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741" documentId="14_{DB2BAAAE-AE66-42BF-8291-A2F2F034044B}" xr6:coauthVersionLast="47" xr6:coauthVersionMax="47" xr10:uidLastSave="{A7A8AA87-BDFC-47E6-BC82-CFF9EE39C5BA}"/>
  <bookViews>
    <workbookView xWindow="-120" yWindow="-120" windowWidth="29040" windowHeight="15840" firstSheet="25" activeTab="21" xr2:uid="{4E24E4BA-5EE1-47D7-9C2B-42B66CF557CA}"/>
  </bookViews>
  <sheets>
    <sheet name="Schedule 24 pp.1-3" sheetId="9" r:id="rId1"/>
    <sheet name="Schedule 24 pp.4-5" sheetId="10" r:id="rId2"/>
    <sheet name="Schedule 28 p.1" sheetId="26" r:id="rId3"/>
    <sheet name="Schedule 28 p.2" sheetId="29" r:id="rId4"/>
    <sheet name="Schedule 28 p.3" sheetId="30" r:id="rId5"/>
    <sheet name="Sch. 26 p.1" sheetId="33" r:id="rId6"/>
    <sheet name="Sch. 26. p2-p7" sheetId="34" r:id="rId7"/>
    <sheet name="Schedule 22 pp.1-4" sheetId="4" r:id="rId8"/>
    <sheet name="Schedule 18 pp.1- 3" sheetId="7" r:id="rId9"/>
    <sheet name="Sch.27 p.1" sheetId="36" r:id="rId10"/>
    <sheet name="Sch.27 p.2" sheetId="37" r:id="rId11"/>
    <sheet name="Sch. 27 p.3" sheetId="38" r:id="rId12"/>
    <sheet name="Sch. 27 p.4" sheetId="39" r:id="rId13"/>
    <sheet name="Sch. 27 p.5" sheetId="40" r:id="rId14"/>
    <sheet name="Sch.19 -Total pg.1-17" sheetId="42" r:id="rId15"/>
    <sheet name="Sch.19 - Delivery pg.18-34" sheetId="43" r:id="rId16"/>
    <sheet name="Sch.19-Gas Cost pg.35-51" sheetId="44" r:id="rId17"/>
    <sheet name="Schedule 16" sheetId="13" r:id="rId18"/>
    <sheet name="Schedule 17" sheetId="21" r:id="rId19"/>
    <sheet name="Schedule 18 p.4" sheetId="31" r:id="rId20"/>
    <sheet name="Schedule 20" sheetId="6" r:id="rId21"/>
    <sheet name="Schedule 21" sheetId="32" r:id="rId22"/>
    <sheet name="Schedule 22 p.5" sheetId="5" r:id="rId23"/>
    <sheet name="Schedule 23 p.1" sheetId="19" r:id="rId24"/>
    <sheet name="Schedule 23 p.2" sheetId="25" r:id="rId25"/>
    <sheet name="Schedule 23 p.3" sheetId="24" r:id="rId26"/>
    <sheet name="Schedule 23 p.4" sheetId="22" r:id="rId27"/>
    <sheet name="Schedule 23 p.5" sheetId="23" r:id="rId28"/>
    <sheet name="Schedule 24 pp.6-8" sheetId="11" r:id="rId29"/>
    <sheet name="Schedule 25" sheetId="8" r:id="rId30"/>
    <sheet name="Sch. 26 p8-p10" sheetId="35" r:id="rId31"/>
    <sheet name="Sch. 27 p.6" sheetId="41" r:id="rId32"/>
    <sheet name="Schedule 28 p.4" sheetId="2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#REF!</definedName>
    <definedName name="\e" localSheetId="20">'Schedule 20'!#REF!</definedName>
    <definedName name="\e" localSheetId="21">'[1]T1 S1.1 (old)'!#REF!</definedName>
    <definedName name="\e">'[1]T1 S1.1 (old)'!#REF!</definedName>
    <definedName name="\i" localSheetId="20">'Schedule 20'!#REF!</definedName>
    <definedName name="\i" localSheetId="21">'[1]T1 S1.1 (old)'!#REF!</definedName>
    <definedName name="\i">'[1]T1 S1.1 (old)'!#REF!</definedName>
    <definedName name="\p">#REF!</definedName>
    <definedName name="\x" localSheetId="20">'Schedule 20'!#REF!</definedName>
    <definedName name="\x" localSheetId="21">'[1]T1 S1.1 (old)'!#REF!</definedName>
    <definedName name="\x">'[1]T1 S1.1 (old)'!#REF!</definedName>
    <definedName name="_____________________q222" hidden="1">{"Income Statement",#N/A,FALSE,"Stmt of Earnings"}</definedName>
    <definedName name="____________________q222" hidden="1">{"Income Statement",#N/A,FALSE,"Stmt of Earnings"}</definedName>
    <definedName name="___________________q222" hidden="1">{"Income Statement",#N/A,FALSE,"Stmt of Earnings"}</definedName>
    <definedName name="__________________q222" hidden="1">{"Income Statement",#N/A,FALSE,"Stmt of Earnings"}</definedName>
    <definedName name="________________q222" hidden="1">{"Income Statement",#N/A,FALSE,"Stmt of Earnings"}</definedName>
    <definedName name="______________q222" hidden="1">{"Income Statement",#N/A,FALSE,"Stmt of Earnings"}</definedName>
    <definedName name="____________q222" hidden="1">{"Income Statement",#N/A,FALSE,"Stmt of Earnings"}</definedName>
    <definedName name="___________q222" hidden="1">{"Income Statement",#N/A,FALSE,"Stmt of Earnings"}</definedName>
    <definedName name="__________q222" hidden="1">{"Income Statement",#N/A,FALSE,"Stmt of Earnings"}</definedName>
    <definedName name="________q222" hidden="1">{"Income Statement",#N/A,FALSE,"Stmt of Earnings"}</definedName>
    <definedName name="_______q222" hidden="1">{"Income Statement",#N/A,FALSE,"Stmt of Earnings"}</definedName>
    <definedName name="______q222" hidden="1">{"Income Statement",#N/A,FALSE,"Stmt of Earnings"}</definedName>
    <definedName name="_____q222" hidden="1">{"Income Statement",#N/A,FALSE,"Stmt of Earnings"}</definedName>
    <definedName name="____q222" hidden="1">{"Income Statement",#N/A,FALSE,"Stmt of Earnings"}</definedName>
    <definedName name="___q222" hidden="1">{"Income Statement",#N/A,FALSE,"Stmt of Earnings"}</definedName>
    <definedName name="__1__123Graph_ACHART_2" hidden="1">[2]Assumptions!#REF!</definedName>
    <definedName name="__123Graph_A" hidden="1">'[3]Summary-Business Segments'!#REF!</definedName>
    <definedName name="__123Graph_B" hidden="1">'[3]Summary-Business Segments'!#REF!</definedName>
    <definedName name="__123Graph_C" hidden="1">'[3]Summary-Business Segments'!#REF!</definedName>
    <definedName name="__123Graph_D" hidden="1">'[3]Summary-Business Segments'!#REF!</definedName>
    <definedName name="__123Graph_E" hidden="1">'[3]Summary-Business Segments'!#REF!</definedName>
    <definedName name="__123Graph_X" hidden="1">'[3]Summary-Business Segments'!#REF!</definedName>
    <definedName name="__2__123Graph_BCHART_2" hidden="1">[2]Assumptions!#REF!</definedName>
    <definedName name="__3__123Graph_CCHART_2" hidden="1">[2]Assumptions!#REF!</definedName>
    <definedName name="__4__123Graph_DCHART_2" hidden="1">[2]Assumptions!#REF!</definedName>
    <definedName name="__IntlFixupTable" hidden="1">#REF!</definedName>
    <definedName name="__key1" hidden="1">[4]TETCO!#REF!</definedName>
    <definedName name="__q222" hidden="1">{"Income Statement",#N/A,FALSE,"Stmt of Earnings"}</definedName>
    <definedName name="_1__123Graph_ACHART_2" hidden="1">[2]Assumptions!#REF!</definedName>
    <definedName name="_12__123Graph_ACHART_2" hidden="1">[5]Assumptions!#REF!</definedName>
    <definedName name="_12__123Graph_CCHART_2" hidden="1">[2]Assumptions!#REF!</definedName>
    <definedName name="_16__123Graph_DCHART_2" hidden="1">[2]Assumptions!#REF!</definedName>
    <definedName name="_2__123Graph_BCHART_2" hidden="1">[2]Assumptions!#REF!</definedName>
    <definedName name="_24__123Graph_BCHART_2" hidden="1">[5]Assumptions!#REF!</definedName>
    <definedName name="_3__123Graph_ACHART_2" hidden="1">[2]Assumptions!#REF!</definedName>
    <definedName name="_3__123Graph_CCHART_2" hidden="1">[2]Assumptions!#REF!</definedName>
    <definedName name="_36__123Graph_CCHART_2" hidden="1">[5]Assumptions!#REF!</definedName>
    <definedName name="_4__123Graph_ACHART_2" hidden="1">[2]Assumptions!#REF!</definedName>
    <definedName name="_4__123Graph_DCHART_2" hidden="1">[2]Assumptions!#REF!</definedName>
    <definedName name="_48__123Graph_DCHART_2" hidden="1">[5]Assumptions!#REF!</definedName>
    <definedName name="_8__123Graph_BCHART_2" hidden="1">[2]Assumptions!#REF!</definedName>
    <definedName name="_AMO_UniqueIdentifier" hidden="1">"'3220a84b-f13a-4c9f-972a-ae999c12a9d6'"</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3FA1DECB4CD04B48A136A33BB1EDDE11.edm" hidden="1">#REF!</definedName>
    <definedName name="_bdm.4B906F2216AB4608829152B2EAD2F3AC.edm" hidden="1">#REF!</definedName>
    <definedName name="_bdm.A46A1D31365545078411B39711432804.edm" hidden="1">#REF!</definedName>
    <definedName name="_bdm.CD78E95EA939478FBA877480842DDD29.edm" hidden="1">#REF!</definedName>
    <definedName name="_Fill" hidden="1">#REF!</definedName>
    <definedName name="_xlnm._FilterDatabase" hidden="1">#REF!</definedName>
    <definedName name="_Key1" hidden="1">'[6]TAX_EQUITY_Field Serv'!$A$10</definedName>
    <definedName name="_Order1" hidden="1">255</definedName>
    <definedName name="_q222" hidden="1">{"Income Statement",#N/A,FALSE,"Stmt of Earnings"}</definedName>
    <definedName name="_Regression_Int" localSheetId="20" hidden="1">1</definedName>
    <definedName name="_Regression_Out" hidden="1">#REF!</definedName>
    <definedName name="_Regression_X" hidden="1">#REF!</definedName>
    <definedName name="_Regression_Y" hidden="1">#REF!</definedName>
    <definedName name="_Sort" hidden="1">'[6]TAX_EQUITY_Field Serv'!$A$10:$E$76</definedName>
    <definedName name="_Table1_Out" hidden="1">#REF!</definedName>
    <definedName name="_Table2_In1" hidden="1">#REF!</definedName>
    <definedName name="_Table2_In2" hidden="1">#REF!</definedName>
    <definedName name="_Table2_Out" hidden="1">#REF!</definedName>
    <definedName name="aaa" hidden="1">{"Cash Flow Stmt",#N/A,FALSE,"Stmt of Cash Flows"}</definedName>
    <definedName name="abc" hidden="1">{"Cash for Distribution",#N/A,FALSE,"Cash for Distribution"}</definedName>
    <definedName name="ACwvu.Schedule._.1._.P._.1." localSheetId="20" hidden="1">'Schedule 20'!$A$1:$M$43</definedName>
    <definedName name="ACwvu.Schedule._.1._.P._.2." localSheetId="20" hidden="1">'[1]T3 S1.2'!$A$3:$N$56</definedName>
    <definedName name="ACwvu.Schedule._.1._.P._.3." localSheetId="20" hidden="1">'Schedule 20'!$R$136:$AB$136</definedName>
    <definedName name="ACwvu.Schedule._.1._.P._.4." localSheetId="20" hidden="1">'[1]T3 S1.3'!$A$17:$N$28</definedName>
    <definedName name="ACwvu.Schedule._.1._.P._.5." localSheetId="20" hidden="1">'Schedule 20'!#REF!</definedName>
    <definedName name="ACwvu.Schedule._.1._.P._.6." localSheetId="20" hidden="1">'[1]T3 S1.4'!$A$13:$N$70</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_1"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10_1"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2_1"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alysis3_1"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nscount" hidden="1">1</definedName>
    <definedName name="AS2DocOpenMode" hidden="1">"AS2DocumentEdit"</definedName>
    <definedName name="AS2HasNoAutoHeaderFooter" hidden="1">" "</definedName>
    <definedName name="AS2TickmarkLS" hidden="1">#REF!</definedName>
    <definedName name="asdf" hidden="1">{"Summary Detail",#N/A,TRUE,"Summary";"Summary Notes",#N/A,TRUE,"Summary Notes";"DCF Var Exhibit",#N/A,TRUE,"DCF Variables";"EPC DCF",#N/A,TRUE,"EPC";"Plant Summary",#N/A,TRUE,"Plant";"Storage Summary",#N/A,TRUE,"Storage";"Pipe Summary",#N/A,TRUE,"Pipe";"Truck",#N/A,TRUE,"Truck";"Mktg",#N/A,TRUE,"Mktg";"Other Summary",#N/A,TRUE,"Other";"TGPP DCF",#N/A,TRUE,"TGPP";"Frac DCF",#N/A,TRUE,"Frac";"BRfrac DCF",#N/A,TRUE,"BRfrac";"TSpipe DCF",#N/A,TRUE,"TSPipe";"WPPipe DCF",#N/A,TRUE,"WPPipe";"Chill2 DCF",#N/A,TRUE,"Chill Add. EPC";"EntPro DCF",#N/A,TRUE,"EntPro";"DIBs DCF",#N/A,TRUE,"DIBs";"BEF DCF",#N/A,TRUE,"BEF";"BFP DCF",#N/A,TRUE,"BFP";"Chill DCF",#N/A,TRUE,"Chill"}</definedName>
    <definedName name="asdfsadf" hidden="1">#REF!</definedName>
    <definedName name="bals" hidden="1">{"Balance Sheet",#N/A,FALSE,"Stmt of Financial Position"}</definedName>
    <definedName name="balsheet" hidden="1">{"balsheet",#N/A,FALSE,"A"}</definedName>
    <definedName name="Calculation" hidden="1">{"balsheet",#N/A,FALSE,"A"}</definedName>
    <definedName name="CBWorkbookPriority" hidden="1">-332621336</definedName>
    <definedName name="Commissioning_Delivery_M7">[7]Supplementals!$L$178</definedName>
    <definedName name="Commissioning_Delivery_R100">[7]Supplementals!$L$168</definedName>
    <definedName name="Commissioning_Delivery_R20">[7]Supplementals!$L$158</definedName>
    <definedName name="ConsumersfirstT2s" hidden="1">{"Statements",#N/A,TRUE,"Income Statement";"Statements",#N/A,TRUE,"Cash Flow Statement";"Statements",#N/A,TRUE,"Balance Sheet ";#N/A,#N/A,TRUE,"Revenue Data Table";#N/A,#N/A,TRUE,"Costs &amp; Expenses Data Table";#N/A,#N/A,TRUE,"Cash Flow Data Table ";#N/A,#N/A,TRUE,"Shor-term Interest Expense"}</definedName>
    <definedName name="CurrentYear">[8]Input!$B$6</definedName>
    <definedName name="D" hidden="1">{#N/A,#N/A,FALSE,"Aging Summary";#N/A,#N/A,FALSE,"Ratio Analysis";#N/A,#N/A,FALSE,"Test 120 Day Accts";#N/A,#N/A,FALSE,"Tickmarks"}</definedName>
    <definedName name="ddd" hidden="1">{"Income Statement",#N/A,FALSE,"Stmt of Earnings"}</definedName>
    <definedName name="Delivery_AOR_M1">[7]Supplementals!$L$77</definedName>
    <definedName name="Delivery_AOR_M4">[7]Supplementals!$L$84</definedName>
    <definedName name="Delivery_AOR_M9">[7]Supplementals!$L$93</definedName>
    <definedName name="Delivery_AOR_T1">[7]Supplementals!$L$106</definedName>
    <definedName name="Delivery_AOR_T2">[7]Supplementals!$L$111</definedName>
    <definedName name="Delivery_AOR_T3">[7]Supplementals!$L$116</definedName>
    <definedName name="Delivery_M7_Int_Max">[7]Supplementals!$L$63</definedName>
    <definedName name="Delivery_M7_Seas_Max">[7]Supplementals!$L$68</definedName>
    <definedName name="Delivery_UOR_South">[7]Supplementals!$L$126</definedName>
    <definedName name="Demand_Dawn_to_Parkway" localSheetId="8">'[9]Detail Model'!$U$26</definedName>
    <definedName name="Demand_Dawn_to_Parkway" localSheetId="0">'[9]Detail Model'!$U$26</definedName>
    <definedName name="Demand_Dawn_to_Parkway" localSheetId="1">'[9]Detail Model'!$U$26</definedName>
    <definedName name="Demand_Dawn_to_Parkway" localSheetId="28">'[9]Detail Model'!$U$26</definedName>
    <definedName name="Demand_Dawn_to_Parkway" localSheetId="29">'[9]Detail Model'!$U$26</definedName>
    <definedName name="Demand_Dawn_to_Parkway">'[10]Detail Model'!$U$26</definedName>
    <definedName name="Demand_FromDawn_Ojibway" localSheetId="8">'[9]Detail Model'!$U$85</definedName>
    <definedName name="Demand_FromDawn_Ojibway" localSheetId="0">'[9]Detail Model'!$U$85</definedName>
    <definedName name="Demand_FromDawn_Ojibway" localSheetId="1">'[9]Detail Model'!$U$85</definedName>
    <definedName name="Demand_FromDawn_Ojibway" localSheetId="28">'[9]Detail Model'!$U$85</definedName>
    <definedName name="Demand_FromDawn_Ojibway" localSheetId="29">'[9]Detail Model'!$U$85</definedName>
    <definedName name="Demand_FromDawn_Ojibway">'[10]Detail Model'!$U$85</definedName>
    <definedName name="Demand_Rate_M12_Dawn_to_Kirkwall" localSheetId="8">'[9]Detail Model'!$U$23</definedName>
    <definedName name="Demand_Rate_M12_Dawn_to_Kirkwall" localSheetId="0">'[9]Detail Model'!$U$23</definedName>
    <definedName name="Demand_Rate_M12_Dawn_to_Kirkwall" localSheetId="1">'[9]Detail Model'!$U$23</definedName>
    <definedName name="Demand_Rate_M12_Dawn_to_Kirkwall" localSheetId="28">'[9]Detail Model'!$U$23</definedName>
    <definedName name="Demand_Rate_M12_Dawn_to_Kirkwall" localSheetId="29">'[9]Detail Model'!$U$23</definedName>
    <definedName name="Demand_Rate_M12_Dawn_to_Kirkwall">'[10]Detail Model'!$U$23</definedName>
    <definedName name="Dist_Loss">[7]Supplementals!$L$40</definedName>
    <definedName name="eee" hidden="1">{"Balance Sheet",#N/A,FALSE,"Stmt of Financial Position"}</definedName>
    <definedName name="EPMWorkbookOptions_1" hidden="1">"MCsAAB+LCAAAAAAABADtmm1v4jgQx9+vtN8B8R6SlIeyVcoql6ZtTkBQEnq3qlbIJAP4FpycbaC9T38mkJCUh2O7OoRCpRaa8X/G4/EvltNY/foynRTmQBkOyG1RKcvFAhAv8DEZ3RZnfFhS6sWvzc+f1D8C+mMQBD+skAspKwg/wm5eGL4tjjkPbyRpsViUF5VyQEfSlSwr0p/tluONYYpKmDCOiAfFxMv/b6+i6LVQUPWAEPCWfbqBPqMU"</definedName>
    <definedName name="EPMWorkbookOptions_2" hidden="1">"CH/CsIgaM813iKO1Vdg7aAqr3pKeOEzDGcVRVz0GtEthCCKeB2WRULHZv++2+7919bajyP3ntdMg9HyYz0blESdIfJR9JjEULu3S9/7zA2J3mHGKB7NlDsJiwxzIDPq69SCuhmjCIPlWpWVamyS1MJxgD6UKenSycYxslJR5XYNmKp833a/qtylpQdrb9Ih9H8gdngJhUbL7pZtEWUYjVM44WCQx9GAS0CanM1ClHQ2HXKNR7PDcGt3aUTDC"</definedName>
    <definedName name="EPMWorkbookOptions_3" hidden="1">"4YXfo3lAMRd5RbOxct5qe+P/iEfjifjlDkwEZ+A/YqCIemO8iXNQc0Q+95gynhrQ7vY3gZJR7y/4saq0rkfw3zOIKql5XjAjXJV2NR6KsZpBsXLUZKXSUFIBds1t5GtRH2hTVqXVHzujs3CCXrs0CIHy16ZSq9eGMBiWanW/WqpeDb+UGjWAkozgquoPrqvXg8qy56zXjsAtxJKJa8N0INbCHbIs5DsFQrLyT5XpWdN1q9dxv5efHxXxcW92"</definedName>
    <definedName name="EPMWorkbookOptions_4" hidden="1">"tI5uaq3+usERi8KW157oMVavG2lBLMA3BE9ui0t8im/uy8MTfJyvKh0etyodV0BRPsaDKf4H/OwNm2C2T7AFtfT/s68jDqOAvr4fflmuNmT5ePaV/LGva67xYNnfYvg13e1prYsHfsPWWREf5QL03cRXKrVatVo9nvirHBLfc1yrbdgJ8a1WP7FdPPcJYefE/fKxgVHv3djXrxW50bg+HvtK/rC/01zNsfU09bHp0qFP8Dor5h3rVzY29Xql"</definedName>
    <definedName name="EPMWorkbookOptions_5" hidden="1">"8hM7m2oOgXesDOzi8uJBXzJ1TpAbhGP+Cxv4n356reWPc6Pjmu63NOqRxTQ+HltjvM4JeZNwPTgh8fX8EW92XD2ztguDYesf6/uarXPCvYv4mJ0Q9+v84d7V3EcnjfvKcBGwnwRRGvwlknDcE2LayCGmtvW7obuOm0E1MV4ErgfW5hRl57Q+2yFfDdw75Tb8S/7wt7uu3rNto6Mne/HWx79WMnidE/cO0Dn24ITMKzl8c+oY9pOpG+kVPzZd"</definedName>
    <definedName name="EPMWorkbookOptions_6" hidden="1">"OvkJYOdEvStsp0Q+hy9MXbOd5r0cXV867Cuuzon0tqE5PdtwTkl7Dl+WxmUUsIufrmGb1p15IduaozA9QpTJZq8oowmmIU/dRdmzfKq06zRhxhrHFl1vn71MG7fPa6o2DCmwsUWsEEh8fC5rjHT6BBBdBrWIg+YQK9+aI218MFWMjEc1j9XbDZHeZE+IYjSYQBvoaCPfsn/+tImxPvXa/BcE1B/bMCsAAA=="</definedName>
    <definedName name="EPMWorkbookOptions_7">"Di9DLAAA"</definedName>
    <definedName name="ESC5MOS" hidden="1">{"Statements",#N/A,TRUE,"Income Statement";"Statements",#N/A,TRUE,"Cash Flow Statement";"Statements",#N/A,TRUE,"Balance Sheet ";#N/A,#N/A,TRUE,"Revenue Data Table";#N/A,#N/A,TRUE,"Costs &amp; Expenses Data Table";#N/A,#N/A,TRUE,"Cash Flow Data Table ";#N/A,#N/A,TRUE,"Shor-term Interest Expense"}</definedName>
    <definedName name="essbase12month" hidden="1">{"balsheet",#N/A,FALSE,"A"}</definedName>
    <definedName name="EV__EVCOM_OPTIONS__" hidden="1">8</definedName>
    <definedName name="EV__EXPOPTIONS__" hidden="1">0</definedName>
    <definedName name="EV__LASTREFTIME__" hidden="1">41247.4113888889</definedName>
    <definedName name="EV__MAXEXPCOLS__" hidden="1">100</definedName>
    <definedName name="EV__MAXEXPROWS__" hidden="1">200000</definedName>
    <definedName name="EV__MEMORYCVW__" hidden="1">0</definedName>
    <definedName name="EV__USERCHANGEOPTIONS__" hidden="1">1</definedName>
    <definedName name="EV__WBEVMODE__" hidden="1">0</definedName>
    <definedName name="EV__WBREFOPTIONS__" hidden="1">134217728</definedName>
    <definedName name="EV__WBVERSION__" hidden="1">0</definedName>
    <definedName name="Footnoted12dea4ce69e4366834218b3f411928f" hidden="1">'[11]PPE Table'!#REF!</definedName>
    <definedName name="Fuel_UFG_West_to_Dawn_M16" localSheetId="8">'[12]8.2.8 - Attach 2'!#REF!</definedName>
    <definedName name="Fuel_UFG_West_to_Dawn_M16" localSheetId="21">#REF!</definedName>
    <definedName name="Fuel_UFG_West_to_Dawn_M16" localSheetId="0">'[12]8.2.8 - Attach 2'!#REF!</definedName>
    <definedName name="Fuel_UFG_West_to_Dawn_M16" localSheetId="1">'[12]8.2.8 - Attach 2'!#REF!</definedName>
    <definedName name="Fuel_UFG_West_to_Dawn_M16" localSheetId="28">'[12]8.2.8 - Attach 2'!#REF!</definedName>
    <definedName name="Fuel_UFG_West_to_Dawn_M16" localSheetId="29">'[12]8.2.8 - Attach 2'!#REF!</definedName>
    <definedName name="Fuel_UFG_West_to_Dawn_M16">'[13]8.2.8 - Attach 2'!#REF!</definedName>
    <definedName name="fuel_UFG_West_to_Pool_M16" localSheetId="8">'[12]8.2.8 - Attach 2'!#REF!</definedName>
    <definedName name="fuel_UFG_West_to_Pool_M16" localSheetId="21">#REF!</definedName>
    <definedName name="fuel_UFG_West_to_Pool_M16" localSheetId="0">'[12]8.2.8 - Attach 2'!#REF!</definedName>
    <definedName name="fuel_UFG_West_to_Pool_M16" localSheetId="1">'[12]8.2.8 - Attach 2'!#REF!</definedName>
    <definedName name="fuel_UFG_West_to_Pool_M16" localSheetId="28">'[12]8.2.8 - Attach 2'!#REF!</definedName>
    <definedName name="fuel_UFG_West_to_Pool_M16" localSheetId="29">'[12]8.2.8 - Attach 2'!#REF!</definedName>
    <definedName name="fuel_UFG_West_to_Pool_M16">'[13]8.2.8 - Attach 2'!#REF!</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ap_1" hidden="1">{"yr1_AOA",#N/A,FALSE,"AOA Effect";"yr2_AOA",#N/A,FALSE,"AOA Effect";"yr3_AOA",#N/A,FALSE,"AOA Effect";"yr4_AOA",#N/A,FALSE,"AOA Effect";"yr5_AOA",#N/A,FALSE,"AOA Effect";"yr6_AOA",#N/A,FALSE,"AOA Effect";"yr7_AOA",#N/A,FALSE,"AOA Effect";"yr8_AOA",#N/A,FALSE,"AOA Effect";"yr9_AOA",#N/A,FALSE,"AOA Effect";"yr10_AOA",#N/A,FALSE,"AOA Effect"}</definedName>
    <definedName name="gfhg" hidden="1">{#N/A,#N/A,FALSE,"Sheet1"}</definedName>
    <definedName name="GSAdminChg" localSheetId="8">'[12]8.2.8 - Attach 6'!#REF!</definedName>
    <definedName name="GSAdminChg" localSheetId="21">#REF!</definedName>
    <definedName name="GSAdminChg" localSheetId="0">'[12]8.2.8 - Attach 6'!#REF!</definedName>
    <definedName name="GSAdminChg" localSheetId="1">'[12]8.2.8 - Attach 6'!#REF!</definedName>
    <definedName name="GSAdminChg" localSheetId="28">'[12]8.2.8 - Attach 6'!#REF!</definedName>
    <definedName name="GSAdminChg" localSheetId="29">'[12]8.2.8 - Attach 6'!#REF!</definedName>
    <definedName name="GSAdminChg">'[13]8.2.8 - Attach 6'!#REF!</definedName>
    <definedName name="hgjgh" hidden="1">{"Cash for Distribution",#N/A,FALSE,"Cash for Distribution"}</definedName>
    <definedName name="HV_South">[7]Supplementals!$Q$10</definedName>
    <definedName name="lklk" hidden="1">{"Cash for Distribution",#N/A,FALSE,"Cash for Distribution"}</definedName>
    <definedName name="llulu" hidden="1">{"yr1_AOA",#N/A,FALSE,"AOA Effect";"yr2_AOA",#N/A,FALSE,"AOA Effect";"yr3_AOA",#N/A,FALSE,"AOA Effect";"yr4_AOA",#N/A,FALSE,"AOA Effect";"yr5_AOA",#N/A,FALSE,"AOA Effect";"yr6_AOA",#N/A,FALSE,"AOA Effect";"yr7_AOA",#N/A,FALSE,"AOA Effect";"yr8_AOA",#N/A,FALSE,"AOA Effect";"yr9_AOA",#N/A,FALSE,"AOA Effect";"yr10_AOA",#N/A,FALSE,"AOA Effect"}</definedName>
    <definedName name="LOCAL_DATE_SEPARATOR" hidden="1">#REF!</definedName>
    <definedName name="LOCAL_DAY_FORMAT" hidden="1">#REF!</definedName>
    <definedName name="LOCAL_HOUR_FORMAT" hidden="1">#REF!</definedName>
    <definedName name="LOCAL_MINUTE_FORMAT" hidden="1">#REF!</definedName>
    <definedName name="LOCAL_MONTH_FORMAT" hidden="1">#REF!</definedName>
    <definedName name="LOCAL_MYSQL_DATE_FORMAT" hidden="1">#REF!</definedName>
    <definedName name="LOCAL_SECOND_FORMAT" hidden="1">#REF!</definedName>
    <definedName name="LOCAL_TIME_SEPARATOR" hidden="1">#REF!</definedName>
    <definedName name="LOCAL_YEAR_FORMAT" hidden="1">#REF!</definedName>
    <definedName name="M1FacilityCarbon">[7]Supplementals!$L$292</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V_Delivery_M4_Firm">[7]Supplementals!$L$45</definedName>
    <definedName name="MAV_Delivery_M4M5_Int">[7]Supplementals!$L$50</definedName>
    <definedName name="MEWarning" hidden="1">1</definedName>
    <definedName name="mmmm" hidden="1">{"Balance Sheet",#N/A,FALSE,"Stmt of Financial Position"}</definedName>
    <definedName name="Monthly_Fixed_Charge_M13_Large" localSheetId="8">'[9]Detail Model'!$U$181</definedName>
    <definedName name="Monthly_Fixed_Charge_M13_Large" localSheetId="0">'[9]Detail Model'!$U$181</definedName>
    <definedName name="Monthly_Fixed_Charge_M13_Large" localSheetId="1">'[9]Detail Model'!$U$181</definedName>
    <definedName name="Monthly_Fixed_Charge_M13_Large" localSheetId="28">'[9]Detail Model'!$U$181</definedName>
    <definedName name="Monthly_Fixed_Charge_M13_Large" localSheetId="29">'[9]Detail Model'!$U$181</definedName>
    <definedName name="Monthly_Fixed_Charge_M13_Large">'[10]Detail Model'!$U$181</definedName>
    <definedName name="Monthly_Fixed_Charge_M13_Typical" localSheetId="8">'[9]Detail Model'!$U$180</definedName>
    <definedName name="Monthly_Fixed_Charge_M13_Typical" localSheetId="0">'[9]Detail Model'!$U$180</definedName>
    <definedName name="Monthly_Fixed_Charge_M13_Typical" localSheetId="1">'[9]Detail Model'!$U$180</definedName>
    <definedName name="Monthly_Fixed_Charge_M13_Typical" localSheetId="28">'[9]Detail Model'!$U$180</definedName>
    <definedName name="Monthly_Fixed_Charge_M13_Typical" localSheetId="29">'[9]Detail Model'!$U$180</definedName>
    <definedName name="Monthly_Fixed_Charge_M13_Typical">'[10]Detail Model'!$U$180</definedName>
    <definedName name="page26">#REF!</definedName>
    <definedName name="page27">#REF!</definedName>
    <definedName name="Pal_Workbook_GUID" hidden="1">"AQTEI7HYID8M473JRKISZF5C"</definedName>
    <definedName name="paolo" localSheetId="8" hidden="1">{#N/A,#N/A,FALSE,"H3 Tab 1"}</definedName>
    <definedName name="paolo" localSheetId="21" hidden="1">{#N/A,#N/A,FALSE,"H3 Tab 1"}</definedName>
    <definedName name="paolo" localSheetId="22" hidden="1">{#N/A,#N/A,FALSE,"H3 Tab 1"}</definedName>
    <definedName name="paolo" localSheetId="7" hidden="1">{#N/A,#N/A,FALSE,"H3 Tab 1"}</definedName>
    <definedName name="paolo" localSheetId="23" hidden="1">{#N/A,#N/A,FALSE,"H3 Tab 1"}</definedName>
    <definedName name="paolo" localSheetId="24" hidden="1">{#N/A,#N/A,FALSE,"H3 Tab 1"}</definedName>
    <definedName name="paolo" localSheetId="25" hidden="1">{#N/A,#N/A,FALSE,"H3 Tab 1"}</definedName>
    <definedName name="paolo" localSheetId="26" hidden="1">{#N/A,#N/A,FALSE,"H3 Tab 1"}</definedName>
    <definedName name="paolo" localSheetId="27" hidden="1">{#N/A,#N/A,FALSE,"H3 Tab 1"}</definedName>
    <definedName name="paolo" localSheetId="0" hidden="1">{#N/A,#N/A,FALSE,"H3 Tab 1"}</definedName>
    <definedName name="paolo" localSheetId="1" hidden="1">{#N/A,#N/A,FALSE,"H3 Tab 1"}</definedName>
    <definedName name="paolo" localSheetId="28" hidden="1">{#N/A,#N/A,FALSE,"H3 Tab 1"}</definedName>
    <definedName name="paolo" localSheetId="29" hidden="1">{#N/A,#N/A,FALSE,"H3 Tab 1"}</definedName>
    <definedName name="paolo" hidden="1">{#N/A,#N/A,FALSE,"H3 Tab 1"}</definedName>
    <definedName name="PDCI_Credit">'Schedule 21'!$H$373</definedName>
    <definedName name="PopCache_GL_INTERFACE_REFERENCE7" hidden="1">[14]PopCache!$A$1:$A$2</definedName>
    <definedName name="Price_Cap_Index">[8]Input!$H$13</definedName>
    <definedName name="_xlnm.Print_Area" localSheetId="5">'Sch. 26 p.1'!$A$1:$H$50</definedName>
    <definedName name="_xlnm.Print_Area" localSheetId="30">'Sch. 26 p8-p10'!$A$1:$L$233</definedName>
    <definedName name="_xlnm.Print_Area" localSheetId="6">'Sch. 26. p2-p7'!$A$1:$Q$546</definedName>
    <definedName name="_xlnm.Print_Area" localSheetId="15">'Sch.19 - Delivery pg.18-34'!$A$1:$W$889</definedName>
    <definedName name="_xlnm.Print_Area" localSheetId="14">'Sch.19 -Total pg.1-17'!$A$1:$AC$877</definedName>
    <definedName name="_xlnm.Print_Area" localSheetId="16">'Sch.19-Gas Cost pg.35-51'!$A$1:$X$892</definedName>
    <definedName name="_xlnm.Print_Area" localSheetId="17">'Schedule 16'!$A$1:$P$53</definedName>
    <definedName name="_xlnm.Print_Area" localSheetId="18">'Schedule 17'!$A$1:$J$51</definedName>
    <definedName name="_xlnm.Print_Area" localSheetId="19">'Schedule 18 p.4'!$B$1:$AL$70</definedName>
    <definedName name="_xlnm.Print_Area" localSheetId="8">'Schedule 18 pp.1- 3'!$A$1:$AL$218</definedName>
    <definedName name="_xlnm.Print_Area" localSheetId="20">'Schedule 20'!$A$1:$Q$702</definedName>
    <definedName name="_xlnm.Print_Area" localSheetId="21">'Schedule 21'!$A$1:$I$389</definedName>
    <definedName name="_xlnm.Print_Area" localSheetId="22">'Schedule 22 p.5'!$A$1:$X$53</definedName>
    <definedName name="_xlnm.Print_Area" localSheetId="7">'Schedule 22 pp.1-4'!$A$1:$M$249</definedName>
    <definedName name="_xlnm.Print_Area" localSheetId="23">'Schedule 23 p.1'!$A$1:$W$67</definedName>
    <definedName name="_xlnm.Print_Area" localSheetId="24">'Schedule 23 p.2'!$A$1:$N$63</definedName>
    <definedName name="_xlnm.Print_Area" localSheetId="25">'Schedule 23 p.3'!$A$1:$N$62</definedName>
    <definedName name="_xlnm.Print_Area" localSheetId="27">'Schedule 23 p.5'!$A$1:$N$62</definedName>
    <definedName name="_xlnm.Print_Area" localSheetId="0">'Schedule 24 pp.1-3'!$A$1:$Q$291</definedName>
    <definedName name="_xlnm.Print_Area" localSheetId="28">'Schedule 24 pp.6-8'!$A$1:$Q$219</definedName>
    <definedName name="_xlnm.Print_Area" localSheetId="29">'Schedule 25'!$A$1:$I$54</definedName>
    <definedName name="_xlnm.Print_Area" localSheetId="2">'Schedule 28 p.1'!$A$1:$L$60</definedName>
    <definedName name="_xlnm.Print_Area" localSheetId="3">'Schedule 28 p.2'!$A$1:$V$35</definedName>
    <definedName name="_xlnm.Print_Area" localSheetId="4">'Schedule 28 p.3'!$A$1:$U$51</definedName>
    <definedName name="_xlnm.Print_Area" localSheetId="32">'Schedule 28 p.4'!$A$1:$M$37</definedName>
    <definedName name="Print_Area_MI" localSheetId="20">'Schedule 20'!#REF!</definedName>
    <definedName name="Print_Area_MI" localSheetId="21">'[1]T1 S1.1 (old)'!#REF!</definedName>
    <definedName name="Print_Area_MI">'[1]T1 S1.1 (old)'!#REF!</definedName>
    <definedName name="ratebase" hidden="1">[5]Assumptions!#REF!</definedName>
    <definedName name="Refprice">[7]Supplementals!$J$32</definedName>
    <definedName name="Refprice_GJ">[7]Supplementals!$N$32</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lh.All." hidden="1">{"highlights",#N/A,FALSE,"Highlights";"cap detail",#N/A,FALSE,"Capital Structure Detail"}</definedName>
    <definedName name="rlh.Capital._.Structure._.Detail." hidden="1">{"cap detail",#N/A,FALSE,"Capital Structure Detail"}</definedName>
    <definedName name="rlh.Highlights." hidden="1">{"highlights",#N/A,FALSE,"Highlights"}</definedName>
    <definedName name="rngCopyFormulasSource" hidden="1">'[15]CIN-14'!#REF!</definedName>
    <definedName name="sdghsdghsdgh" hidden="1">{"Balance Sheet",#N/A,FALSE,"Stmt of Financial Position"}</definedName>
    <definedName name="solver_adj" localSheetId="22" hidden="1">'Schedule 22 p.5'!$K$61</definedName>
    <definedName name="solver_cvg" localSheetId="22" hidden="1">0.0001</definedName>
    <definedName name="solver_drv" localSheetId="22" hidden="1">2</definedName>
    <definedName name="solver_eng" localSheetId="22" hidden="1">1</definedName>
    <definedName name="solver_est" localSheetId="22" hidden="1">1</definedName>
    <definedName name="solver_itr" localSheetId="22" hidden="1">2147483647</definedName>
    <definedName name="solver_mip" localSheetId="22" hidden="1">2147483647</definedName>
    <definedName name="solver_mni" localSheetId="22" hidden="1">30</definedName>
    <definedName name="solver_mrt" localSheetId="22" hidden="1">0.075</definedName>
    <definedName name="solver_msl" localSheetId="22" hidden="1">2</definedName>
    <definedName name="solver_neg" localSheetId="22" hidden="1">1</definedName>
    <definedName name="solver_nod" localSheetId="22" hidden="1">2147483647</definedName>
    <definedName name="solver_num" localSheetId="22" hidden="1">0</definedName>
    <definedName name="solver_nwt" localSheetId="22" hidden="1">1</definedName>
    <definedName name="solver_opt" localSheetId="22" hidden="1">'Schedule 22 p.5'!$AD$60</definedName>
    <definedName name="solver_pre" localSheetId="22" hidden="1">0.000001</definedName>
    <definedName name="solver_rbv" localSheetId="22" hidden="1">2</definedName>
    <definedName name="solver_rlx" localSheetId="22" hidden="1">2</definedName>
    <definedName name="solver_rsd" localSheetId="22" hidden="1">0</definedName>
    <definedName name="solver_scl" localSheetId="22" hidden="1">2</definedName>
    <definedName name="solver_sho" localSheetId="22" hidden="1">2</definedName>
    <definedName name="solver_ssz" localSheetId="22" hidden="1">100</definedName>
    <definedName name="solver_tim" localSheetId="22" hidden="1">2147483647</definedName>
    <definedName name="solver_tol" localSheetId="22" hidden="1">0.01</definedName>
    <definedName name="solver_typ" localSheetId="22" hidden="1">3</definedName>
    <definedName name="solver_val" localSheetId="22" hidden="1">0</definedName>
    <definedName name="solver_ver" localSheetId="22" hidden="1">3</definedName>
    <definedName name="sort" hidden="1">[4]TETCO!#REF!</definedName>
    <definedName name="ssss" hidden="1">{"Cash for Distribution",#N/A,FALSE,"Cash for Distribution"}</definedName>
    <definedName name="Storage_AOR_R20R100">[7]Supplementals!$L$121</definedName>
    <definedName name="Storage_Comm_AOR_T1T2T3">[7]Supplementals!$L$101</definedName>
    <definedName name="Storage_Inj_UnauthOR_M9T3">[7]Supplementals!$L$140</definedName>
    <definedName name="Storage_Inj_UnauthOR_T1T2">[7]Supplementals!$L$135</definedName>
    <definedName name="Storage_T1_Deliverability_Cust">'[16]Detail Model'!$BA$441</definedName>
    <definedName name="Swvu.Schedule._.1._.P._.1." localSheetId="20" hidden="1">'Schedule 20'!$A$1:$M$43</definedName>
    <definedName name="Swvu.Schedule._.1._.P._.2." localSheetId="20" hidden="1">'[1]T3 S1.2'!$A$3:$N$56</definedName>
    <definedName name="Swvu.Schedule._.1._.P._.3." localSheetId="20" hidden="1">'Schedule 20'!$R$136:$AB$136</definedName>
    <definedName name="Swvu.Schedule._.1._.P._.4." localSheetId="20" hidden="1">'[1]T3 S1.3'!$A$17:$N$28</definedName>
    <definedName name="Swvu.Schedule._.1._.P._.5." localSheetId="20" hidden="1">'Schedule 20'!#REF!</definedName>
    <definedName name="Swvu.Schedule._.1._.P._.6." localSheetId="20" hidden="1">'[1]T3 S1.4'!$A$13:$N$70</definedName>
    <definedName name="TP_Footer_User" hidden="1">"mcgowan"</definedName>
    <definedName name="TP_Footer_Version" hidden="1">"v4.00"</definedName>
    <definedName name="UOR_Noncompliance">[7]Supplementals!$L$145</definedName>
    <definedName name="wrn.1996." hidden="1">{"Throughput 1996",#N/A,FALSE,"AVG_T1-4";"Revenue 1996",#N/A,FALSE,"AVG_T1-4"}</definedName>
    <definedName name="wrn.5900._.WIP." hidden="1">{#N/A,#N/A,FALSE,"5900 WIP"}</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ccumDepr._1"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ging._.and._.Trend._.Analysis." hidden="1">{#N/A,#N/A,FALSE,"Aging Summary";#N/A,#N/A,FALSE,"Ratio Analysis";#N/A,#N/A,FALSE,"Test 120 Day Accts";#N/A,#N/A,FALSE,"Tickmarks"}</definedName>
    <definedName name="wrn.all." hidden="1">{#N/A,#N/A,FALSE,"Zum";#N/A,#N/A,FALSE,"Amz";#N/A,#N/A,FALSE,"PBGF";#N/A,#N/A,FALSE,"AssetR";#N/A,#N/A,FALSE,"GainLoss";#N/A,#N/A,FALSE,"CICAl";#N/A,#N/A,FALSE,"CICAs"}</definedName>
    <definedName name="wrn.all._.exh._.without._.typicals." localSheetId="21" hidden="1">{"pg1",#N/A,FALSE,"T4 S1.1";"pg 2",#N/A,FALSE,"T4 S1.2";"pg3",#N/A,FALSE,"T4 S2.1";"Exh 3 - Pg 1",#N/A,FALSE,"T4 S3.1-6";"Exh 3 - Pg 2",#N/A,FALSE,"T4 S3.1-6";"Exh 3 - Pg 3",#N/A,FALSE,"T4 S3.1-6";"Exh 3 - Pg 4",#N/A,FALSE,"T4 S3.1-6";"Exh 4 - P1",#N/A,FALSE,"T4 S4.1-3";"Exh 4 - P2",#N/A,FALSE,"T4 S4.1-3";"Exh 4 - P3",#N/A,FALSE,"T4 S4.1-3";"Exh 4 - P4",#N/A,FALSE,"T4 S4.1-3";"Exh 5 - P1",#N/A,FALSE,"T4 S3.1-6";"Exh 5 - P2",#N/A,FALSE,"T4 S3.1-6";"Exh 5 - P3",#N/A,FALSE,"T4 S3.1-6";"Exh 5 - P4",#N/A,FALSE,"T4 S3.1-6";"Exh 5 - P5",#N/A,FALSE,"T4 S5.1-13";"Exh 5 - P6",#N/A,FALSE,"T4 S5.1-13";"Exh 5 - P7",#N/A,FALSE,"T4 S5.1-13";"Exh 5 - P8",#N/A,FALSE,"T4 S5.1-13"}</definedName>
    <definedName name="wrn.all._.exh._.without._.typicals." hidden="1">{"pg1",#N/A,FALSE,"T4 S1.1";"pg 2",#N/A,FALSE,"T4 S1.2";"pg3",#N/A,FALSE,"T4 S2.1";"Exh 3 - Pg 1",#N/A,FALSE,"T4 S3.1-6";"Exh 3 - Pg 2",#N/A,FALSE,"T4 S3.1-6";"Exh 3 - Pg 3",#N/A,FALSE,"T4 S3.1-6";"Exh 3 - Pg 4",#N/A,FALSE,"T4 S3.1-6";"Exh 4 - P1",#N/A,FALSE,"T4 S4.1-3";"Exh 4 - P2",#N/A,FALSE,"T4 S4.1-3";"Exh 4 - P3",#N/A,FALSE,"T4 S4.1-3";"Exh 4 - P4",#N/A,FALSE,"T4 S4.1-3";"Exh 5 - P1",#N/A,FALSE,"T4 S3.1-6";"Exh 5 - P2",#N/A,FALSE,"T4 S3.1-6";"Exh 5 - P3",#N/A,FALSE,"T4 S3.1-6";"Exh 5 - P4",#N/A,FALSE,"T4 S3.1-6";"Exh 5 - P5",#N/A,FALSE,"T4 S5.1-13";"Exh 5 - P6",#N/A,FALSE,"T4 S5.1-13";"Exh 5 - P7",#N/A,FALSE,"T4 S5.1-13";"Exh 5 - P8",#N/A,FALSE,"T4 S5.1-13"}</definedName>
    <definedName name="wrn.ALL._.EXHIBITS." localSheetId="21" hidden="1">{"T4 S1.1",#N/A,FALSE,"T4 S1.1";"Exh 1 - P2 vols &amp; rev",#N/A,FALSE,"T4 S1.2";"Exh 2 - Pg 1 rev comp by rate",#N/A,FALSE,"T4 S2.1";"T4 S3.1",#N/A,FALSE,"T4 S3.1";"T4 S3.2",#N/A,FALSE,"T4 S3.2";"T4 S3.3",#N/A,FALSE,"T4 S3.3";"T4 S3.4",#N/A,FALSE,"T4 S3.4";"T4 S4.1",#N/A,FALSE,"T4 S4.1";"T4 S4.2",#N/A,FALSE,"T4 S4.2";"T4 S4.3",#N/A,FALSE,"T4 S4.3";"T4 S5.1",#N/A,FALSE,"T4 S5.1";"T4 S5.2",#N/A,FALSE,"T4 S5.2";"T4 S5.3",#N/A,FALSE,"T4 S5.3";"T4 S5.4",#N/A,FALSE,"T4 S5.4";"T4 S5.5",#N/A,FALSE,"T4 S5.5";"T4 S5.6",#N/A,FALSE,"T4 S5.6";"T4 S5.7",#N/A,FALSE,"T4 S5.7";"T4 S5.8",#N/A,FALSE,"T4 S5.8";"T4 S6.1",#N/A,FALSE,"T4 S6.1";"T4 S6.2",#N/A,FALSE,"T4 S6.2";"T4 S6.3",#N/A,FALSE,"T4 S6.3";"T4 S6.4",#N/A,FALSE,"T4 S6.4";"T4 S6.5",#N/A,FALSE,"T4 S6.5";"T4 S6.6",#N/A,FALSE,"T4 S6.6";"T4 S6.7",#N/A,FALSE,"T4 S6.7";"T4 S6.8",#N/A,FALSE,"T4 S6.8"}</definedName>
    <definedName name="wrn.ALL._.EXHIBITS." hidden="1">{"T4 S1.1",#N/A,FALSE,"T4 S1.1";"Exh 1 - P2 vols &amp; rev",#N/A,FALSE,"T4 S1.2";"Exh 2 - Pg 1 rev comp by rate",#N/A,FALSE,"T4 S2.1";"T4 S3.1",#N/A,FALSE,"T4 S3.1";"T4 S3.2",#N/A,FALSE,"T4 S3.2";"T4 S3.3",#N/A,FALSE,"T4 S3.3";"T4 S3.4",#N/A,FALSE,"T4 S3.4";"T4 S4.1",#N/A,FALSE,"T4 S4.1";"T4 S4.2",#N/A,FALSE,"T4 S4.2";"T4 S4.3",#N/A,FALSE,"T4 S4.3";"T4 S5.1",#N/A,FALSE,"T4 S5.1";"T4 S5.2",#N/A,FALSE,"T4 S5.2";"T4 S5.3",#N/A,FALSE,"T4 S5.3";"T4 S5.4",#N/A,FALSE,"T4 S5.4";"T4 S5.5",#N/A,FALSE,"T4 S5.5";"T4 S5.6",#N/A,FALSE,"T4 S5.6";"T4 S5.7",#N/A,FALSE,"T4 S5.7";"T4 S5.8",#N/A,FALSE,"T4 S5.8";"T4 S6.1",#N/A,FALSE,"T4 S6.1";"T4 S6.2",#N/A,FALSE,"T4 S6.2";"T4 S6.3",#N/A,FALSE,"T4 S6.3";"T4 S6.4",#N/A,FALSE,"T4 S6.4";"T4 S6.5",#N/A,FALSE,"T4 S6.5";"T4 S6.6",#N/A,FALSE,"T4 S6.6";"T4 S6.7",#N/A,FALSE,"T4 S6.7";"T4 S6.8",#N/A,FALSE,"T4 S6.8"}</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NEW._.TYPICALS." localSheetId="21" hidden="1">{"NEW RES TYP PAGE 1",#N/A,FALSE,"NEW R1 RES TYP";"NEW RES TYP PAGE 2",#N/A,FALSE,"NEW R1 RES TYP";"NEW COM-IND TYP PAGE 1",#N/A,FALSE,"NEW R1 RES TYP";"NEW COM-IND TYP PAGE 2",#N/A,FALSE,"NEW R1 RES TYP";"NEW LV COM-IND TYP PAGE 1",#N/A,FALSE,"NEW R1 RES TYP";"NEW LV COM-IND TYP PAGE 2",#N/A,FALSE,"NEW R1 RES TYP";"NEW LV COM-IND TYP PAGE 3",#N/A,FALSE,"NEW R1 RES TYP";"NEW LV COM-IND TYP PAGE 4",#N/A,FALSE,"NEW R1 RES TYP"}</definedName>
    <definedName name="wrn.ALL._.NEW._.TYPICALS." hidden="1">{"NEW RES TYP PAGE 1",#N/A,FALSE,"NEW R1 RES TYP";"NEW RES TYP PAGE 2",#N/A,FALSE,"NEW R1 RES TYP";"NEW COM-IND TYP PAGE 1",#N/A,FALSE,"NEW R1 RES TYP";"NEW COM-IND TYP PAGE 2",#N/A,FALSE,"NEW R1 RES TYP";"NEW LV COM-IND TYP PAGE 1",#N/A,FALSE,"NEW R1 RES TYP";"NEW LV COM-IND TYP PAGE 2",#N/A,FALSE,"NEW R1 RES TYP";"NEW LV COM-IND TYP PAGE 3",#N/A,FALSE,"NEW R1 RES TYP";"NEW LV COM-IND TYP PAGE 4",#N/A,FALSE,"NEW R1 RES TYP"}</definedName>
    <definedName name="wrn.Assets._.and._.Liabilities." hidden="1">{"assets",#N/A,FALSE,"Balance Sheet";"liabilities",#N/A,FALSE,"Balance Sheet"}</definedName>
    <definedName name="wrn.Backup." localSheetId="8" hidden="1">{#N/A,#N/A,FALSE,"Margins";#N/A,#N/A,FALSE,"Fuel $";#N/A,#N/A,FALSE,"Fuel";#N/A,#N/A,FALSE,"M12 Storage";#N/A,#N/A,FALSE,"M12 Transport";#N/A,#N/A,FALSE,"M12 OR";#N/A,#N/A,FALSE,"C1 OR"}</definedName>
    <definedName name="wrn.Backup." localSheetId="21" hidden="1">{#N/A,#N/A,FALSE,"Margins";#N/A,#N/A,FALSE,"Fuel $";#N/A,#N/A,FALSE,"Fuel";#N/A,#N/A,FALSE,"M12 Storage";#N/A,#N/A,FALSE,"M12 Transport";#N/A,#N/A,FALSE,"M12 OR";#N/A,#N/A,FALSE,"C1 OR"}</definedName>
    <definedName name="wrn.Backup." localSheetId="22" hidden="1">{#N/A,#N/A,FALSE,"Margins";#N/A,#N/A,FALSE,"Fuel $";#N/A,#N/A,FALSE,"Fuel";#N/A,#N/A,FALSE,"M12 Storage";#N/A,#N/A,FALSE,"M12 Transport";#N/A,#N/A,FALSE,"M12 OR";#N/A,#N/A,FALSE,"C1 OR"}</definedName>
    <definedName name="wrn.Backup." localSheetId="7" hidden="1">{#N/A,#N/A,FALSE,"Margins";#N/A,#N/A,FALSE,"Fuel $";#N/A,#N/A,FALSE,"Fuel";#N/A,#N/A,FALSE,"M12 Storage";#N/A,#N/A,FALSE,"M12 Transport";#N/A,#N/A,FALSE,"M12 OR";#N/A,#N/A,FALSE,"C1 OR"}</definedName>
    <definedName name="wrn.Backup." localSheetId="23" hidden="1">{#N/A,#N/A,FALSE,"Margins";#N/A,#N/A,FALSE,"Fuel $";#N/A,#N/A,FALSE,"Fuel";#N/A,#N/A,FALSE,"M12 Storage";#N/A,#N/A,FALSE,"M12 Transport";#N/A,#N/A,FALSE,"M12 OR";#N/A,#N/A,FALSE,"C1 OR"}</definedName>
    <definedName name="wrn.Backup." localSheetId="24" hidden="1">{#N/A,#N/A,FALSE,"Margins";#N/A,#N/A,FALSE,"Fuel $";#N/A,#N/A,FALSE,"Fuel";#N/A,#N/A,FALSE,"M12 Storage";#N/A,#N/A,FALSE,"M12 Transport";#N/A,#N/A,FALSE,"M12 OR";#N/A,#N/A,FALSE,"C1 OR"}</definedName>
    <definedName name="wrn.Backup." localSheetId="25" hidden="1">{#N/A,#N/A,FALSE,"Margins";#N/A,#N/A,FALSE,"Fuel $";#N/A,#N/A,FALSE,"Fuel";#N/A,#N/A,FALSE,"M12 Storage";#N/A,#N/A,FALSE,"M12 Transport";#N/A,#N/A,FALSE,"M12 OR";#N/A,#N/A,FALSE,"C1 OR"}</definedName>
    <definedName name="wrn.Backup." localSheetId="26" hidden="1">{#N/A,#N/A,FALSE,"Margins";#N/A,#N/A,FALSE,"Fuel $";#N/A,#N/A,FALSE,"Fuel";#N/A,#N/A,FALSE,"M12 Storage";#N/A,#N/A,FALSE,"M12 Transport";#N/A,#N/A,FALSE,"M12 OR";#N/A,#N/A,FALSE,"C1 OR"}</definedName>
    <definedName name="wrn.Backup." localSheetId="27" hidden="1">{#N/A,#N/A,FALSE,"Margins";#N/A,#N/A,FALSE,"Fuel $";#N/A,#N/A,FALSE,"Fuel";#N/A,#N/A,FALSE,"M12 Storage";#N/A,#N/A,FALSE,"M12 Transport";#N/A,#N/A,FALSE,"M12 OR";#N/A,#N/A,FALSE,"C1 OR"}</definedName>
    <definedName name="wrn.Backup." localSheetId="0" hidden="1">{#N/A,#N/A,FALSE,"Margins";#N/A,#N/A,FALSE,"Fuel $";#N/A,#N/A,FALSE,"Fuel";#N/A,#N/A,FALSE,"M12 Storage";#N/A,#N/A,FALSE,"M12 Transport";#N/A,#N/A,FALSE,"M12 OR";#N/A,#N/A,FALSE,"C1 OR"}</definedName>
    <definedName name="wrn.Backup." localSheetId="1" hidden="1">{#N/A,#N/A,FALSE,"Margins";#N/A,#N/A,FALSE,"Fuel $";#N/A,#N/A,FALSE,"Fuel";#N/A,#N/A,FALSE,"M12 Storage";#N/A,#N/A,FALSE,"M12 Transport";#N/A,#N/A,FALSE,"M12 OR";#N/A,#N/A,FALSE,"C1 OR"}</definedName>
    <definedName name="wrn.Backup." localSheetId="28" hidden="1">{#N/A,#N/A,FALSE,"Margins";#N/A,#N/A,FALSE,"Fuel $";#N/A,#N/A,FALSE,"Fuel";#N/A,#N/A,FALSE,"M12 Storage";#N/A,#N/A,FALSE,"M12 Transport";#N/A,#N/A,FALSE,"M12 OR";#N/A,#N/A,FALSE,"C1 OR"}</definedName>
    <definedName name="wrn.Backup." localSheetId="29" hidden="1">{#N/A,#N/A,FALSE,"Margins";#N/A,#N/A,FALSE,"Fuel $";#N/A,#N/A,FALSE,"Fuel";#N/A,#N/A,FALSE,"M12 Storage";#N/A,#N/A,FALSE,"M12 Transport";#N/A,#N/A,FALSE,"M12 OR";#N/A,#N/A,FALSE,"C1 OR"}</definedName>
    <definedName name="wrn.Backup." hidden="1">{#N/A,#N/A,FALSE,"Margins";#N/A,#N/A,FALSE,"Fuel $";#N/A,#N/A,FALSE,"Fuel";#N/A,#N/A,FALSE,"M12 Storage";#N/A,#N/A,FALSE,"M12 Transport";#N/A,#N/A,FALSE,"M12 OR";#N/A,#N/A,FALSE,"C1 OR"}</definedName>
    <definedName name="wrn.Balance._.25._.Yr." hidden="1">{"NEB Rate Base 25 Yr",#N/A,FALSE,"NEB Rate Base-Deprec"}</definedName>
    <definedName name="wrn.Balance._.5._.Yr." hidden="1">{"Balance 5 Yr",#N/A,FALSE,"CDN P-L Balance"}</definedName>
    <definedName name="wrn.Balance._.Sheet." hidden="1">{"Balance Sheet",#N/A,FALSE,"Stmt of Financial Position"}</definedName>
    <definedName name="wrn.Balance._Sheet2." hidden="1">{"Balance Sheet",#N/A,FALSE,"Stmt of Financial Position"}</definedName>
    <definedName name="wrn.balsheet." hidden="1">{"balsheet",#N/A,FALSE,"A"}</definedName>
    <definedName name="wrn.balsheet.1" hidden="1">{"balsheet",#N/A,FALSE,"A"}</definedName>
    <definedName name="wrn.BidCo." hidden="1">{#N/A,#N/A,FALSE,"BidCo Assumptions";#N/A,#N/A,FALSE,"Credit Stats";#N/A,#N/A,FALSE,"Bidco Summary";#N/A,#N/A,FALSE,"BIDCO Consolidated"}</definedName>
    <definedName name="wrn.C3_T2_S3." hidden="1">{#N/A,#N/A,FALSE,"Sched 3-1-2_value";#N/A,#N/A,FALSE,"Sched 3-1-2_p2"}</definedName>
    <definedName name="wrn.C3_Tab2_Sch4_2pages." hidden="1">{#N/A,#N/A,FALSE,"C3_T2_S4_p1";#N/A,#N/A,FALSE,"C3_T2_S4_p2"}</definedName>
    <definedName name="wrn.C3T2S4." hidden="1">{#N/A,#N/A,TRUE,"Explanation";#N/A,#N/A,TRUE,"GS AvgUses_sector"}</definedName>
    <definedName name="wrn.Capital._.Dispositions." hidden="1">{"CHART2",#N/A,FALSE,"D2"}</definedName>
    <definedName name="wrn.Capital._.Gain." hidden="1">{"CHART1",#N/A,FALSE,"D2"}</definedName>
    <definedName name="wrn.Capital._.Structure._.Detail." hidden="1">{"cap detail",#N/A,FALSE,"Capital Structure Detail"}</definedName>
    <definedName name="wrn.Cash._.Flow._.statement." hidden="1">{#N/A,#N/A,TRUE,"Cash Flow Statement"}</definedName>
    <definedName name="wrn.Cash._.Flow._.Stmt." hidden="1">{"Cash Flow Stmt",#N/A,FALSE,"Stmt of Cash Flows"}</definedName>
    <definedName name="wrn.Cash._.for._.Distribution." hidden="1">{"Cash for Distribution",#N/A,FALSE,"Cash for Distribution"}</definedName>
    <definedName name="wrn.Cashflow._.5._.Yr." hidden="1">{"Cashflow 5 Yr",#N/A,FALSE,"CDN P-L Cashflow"}</definedName>
    <definedName name="wrn.compare." hidden="1">{"year1",#N/A,FALSE,"compare";"year10",#N/A,FALSE,"compare";"year2",#N/A,FALSE,"compare";"year3",#N/A,FALSE,"compare";"year4",#N/A,FALSE,"compare";"year5",#N/A,FALSE,"compare";"year6",#N/A,FALSE,"compare";"year7",#N/A,FALSE,"compare";"year8",#N/A,FALSE,"compare";"year9",#N/A,FALSE,"compare"}</definedName>
    <definedName name="wrn.compare._1" hidden="1">{"year1",#N/A,FALSE,"compare";"year10",#N/A,FALSE,"compare";"year2",#N/A,FALSE,"compare";"year3",#N/A,FALSE,"compare";"year4",#N/A,FALSE,"compare";"year5",#N/A,FALSE,"compare";"year6",#N/A,FALSE,"compare";"year7",#N/A,FALSE,"compare";"year8",#N/A,FALSE,"compare";"year9",#N/A,FALSE,"compare"}</definedName>
    <definedName name="wrn.compare5yrs." hidden="1">{"year1",#N/A,FALSE,"compare";"year2",#N/A,FALSE,"compare";"year3",#N/A,FALSE,"compare";"year4",#N/A,FALSE,"compare";"year5",#N/A,FALSE,"compare"}</definedName>
    <definedName name="wrn.compare5yrs._1" hidden="1">{"year1",#N/A,FALSE,"compare";"year2",#N/A,FALSE,"compare";"year3",#N/A,FALSE,"compare";"year4",#N/A,FALSE,"compare";"year5",#N/A,FALSE,"compare"}</definedName>
    <definedName name="wrn.Complete._.Balance._.Sheet." hidden="1">{"Complete Balance Sheet",#N/A,FALSE,"CDN P-L Balance"}</definedName>
    <definedName name="wrn.Complete._.Cashflow._.Sheet." hidden="1">{"Complete Cashflow",#N/A,FALSE,"CDN P-L Cashflow"}</definedName>
    <definedName name="wrn.Complete._.COS._.Sheet." hidden="1">{"Complete COS Sheet",#N/A,FALSE,"CDN P-L COS"}</definedName>
    <definedName name="wrn.Complete._.Income._.Sheet." hidden="1">{"Complete Income Sheet",#N/A,FALSE,"CDN P-L Income"}</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Tax._.Sheet." hidden="1">{"Complete Tax Sheet",#N/A,FALSE,"CDN P-L Tax"}</definedName>
    <definedName name="wrn.COS._.25._.Yr." hidden="1">{"COS 25 Yr",#N/A,FALSE,"CDN P-L COS"}</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osts._1" hidden="1">{"consolidated_costs",#N/A,FALSE,"Cost_Data_Table";"regulatory_adjustments",#N/A,FALSE,"Cost_Data_Table";"adjustment_explanations",#N/A,FALSE,"Cost_Data_Table";"utility_costs",#N/A,FALSE,"Cost_Data_Table";"utility_costs_inflated",#N/A,FALSE,"Cost_Data_Table"}</definedName>
    <definedName name="wrn.custadds_volumes." hidden="1">{"datatable",#N/A,FALSE,"Cust.Adds_Volumes"}</definedName>
    <definedName name="wrn.custadds_volumes._1" hidden="1">{"datatable",#N/A,FALSE,"Cust.Adds_Volumes"}</definedName>
    <definedName name="wrn.DCF._.Valuation." hidden="1">{"value box",#N/A,TRUE,"DPL Inc. Fin Statements";"unlevered free cash flows",#N/A,TRUE,"DPL Inc. Fin Statements"}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epreciation._.Expense._1"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ffective._.Capital._.Expenditures._1"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xhibits." hidden="1">{"Summary Detail",#N/A,TRUE,"Summary";"Summary Notes",#N/A,TRUE,"Summary Notes";"DCF Var Exhibit",#N/A,TRUE,"DCF Variables";"EPC DCF",#N/A,TRUE,"EPC";"Plant Summary",#N/A,TRUE,"Plant";"Storage Summary",#N/A,TRUE,"Storage";"Pipe Summary",#N/A,TRUE,"Pipe";"Truck",#N/A,TRUE,"Truck";"Mktg",#N/A,TRUE,"Mktg";"Other Summary",#N/A,TRUE,"Other";"TGPP DCF",#N/A,TRUE,"TGPP";"Frac DCF",#N/A,TRUE,"Frac";"BRfrac DCF",#N/A,TRUE,"BRfrac";"TSpipe DCF",#N/A,TRUE,"TSPipe";"WPPipe DCF",#N/A,TRUE,"WPPipe";"Chill2 DCF",#N/A,TRUE,"Chill Add. EPC";"EntPro DCF",#N/A,TRUE,"EntPro";"DIBs DCF",#N/A,TRUE,"DIBs";"BEF DCF",#N/A,TRUE,"BEF";"BFP DCF",#N/A,TRUE,"BFP";"Chill DCF",#N/A,TRUE,"Chill"}</definedName>
    <definedName name="wrn.F812." hidden="1">{"F8P2",#N/A,TRUE,"F8";"F8P1",#N/A,TRUE,"F8";"F8P3",#N/A,TRUE,"F8"}</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INAL96." hidden="1">{"REVENUE96",#N/A,FALSE,"AVG_T1-4";"THRUPUT96",#N/A,FALSE,"AVG_T1-4"}</definedName>
    <definedName name="wrn.Financials." hidden="1">{#N/A,#N/A,TRUE,"Income Statement";#N/A,#N/A,TRUE,"Balance Sheet";#N/A,#N/A,TRUE,"Cash Flow"}</definedName>
    <definedName name="wrn.First._.Report." hidden="1">{"Test1",#N/A,FALSE,"Test 1"}</definedName>
    <definedName name="wrn.Full._.Report." hidden="1">{"Assumptions",#N/A,TRUE,"Assumptions";"Book Values",#N/A,TRUE,"Book Values";"Summary Summary",#N/A,TRUE,"Summary";"Summary Detail",#N/A,TRUE,"Summary";"Summary Notes",#N/A,TRUE,"Summary Notes";"SH List 1",#N/A,TRUE,"SH List";"DCF Variables",#N/A,TRUE,"DCF Variables";"EntPro DCF",#N/A,TRUE,"EntPro";"EntPro Deprec",#N/A,TRUE,"EntPro";"Chill DCF",#N/A,TRUE,"Chill";"Chill Deprec",#N/A,TRUE,"Chill";"Chill2 DCF",#N/A,TRUE,"Chill Add. EPC";"Chill2 Deprec",#N/A,TRUE,"Chill Add. EPC";"DIBs DCF",#N/A,TRUE,"DIBs";"DIBs Deprec",#N/A,TRUE,"DIBs";"BEF DCF",#N/A,TRUE,"BEF";"BEF Deprec",#N/A,TRUE,"BEF";"BFP DCF",#N/A,TRUE,"BFP";"BFP Deprec",#N/A,TRUE,"BFP";"BRfrac DCF",#N/A,TRUE,"BRfrac";"BRfrac Deprec",#N/A,TRUE,"BRfrac";"TSPipe DCF",#N/A,TRUE,"TSPipe";"TSPipe Deprec",#N/A,TRUE,"TSPipe";"WPPipe DCF",#N/A,TRUE,"WPPipe";"WPPipe Deprec",#N/A,TRUE,"WPPipe";"Frac DCF",#N/A,TRUE,"Frac";"Frac Deprec",#N/A,TRUE,"Frac";"TGPP DCF",#N/A,TRUE,"TGPP";"TGPP Deprec",#N/A,TRUE,"TGPP";"EPC DCF",#N/A,TRUE,"EPC";"EPC Deprec",#N/A,TRUE,"EPC";"Plant Summary",#N/A,TRUE,"Plant";"Plant Detail",#N/A,TRUE,"Plant";"Storage Summary",#N/A,TRUE,"Storage";"Storage Detail",#N/A,TRUE,"Storage";"Pipe Summary",#N/A,TRUE,"Pipe";"Pipe Detail",#N/A,TRUE,"Pipe";"Truck",#N/A,TRUE,"Truck";"Mktg",#N/A,TRUE,"Mktg";"Other Summary",#N/A,TRUE,"Other";"Other Detail",#N/A,TRUE,"Other";"five-year",#N/A,TRUE,"5-Yr"}</definedName>
    <definedName name="wrn.GAS._.COST._.EXHIBITS." localSheetId="21" hidden="1">{"Exh 4 - P1 Gas Supply",#N/A,FALSE,"T4 S4.1-2";"Exh 4 - P2 Load Balancing",#N/A,FALSE,"T4 S4.1-2"}</definedName>
    <definedName name="wrn.GAS._.COST._.EXHIBITS." hidden="1">{"Exh 4 - P1 Gas Supply",#N/A,FALSE,"T4 S4.1-2";"Exh 4 - P2 Load Balancing",#N/A,FALSE,"T4 S4.1-2"}</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Gross._.PPE._1"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3T1S1." localSheetId="8" hidden="1">{#N/A,#N/A,FALSE,"H3 Tab 1"}</definedName>
    <definedName name="wrn.h3T1S1." localSheetId="21" hidden="1">{#N/A,#N/A,FALSE,"H3 Tab 1"}</definedName>
    <definedName name="wrn.h3T1S1." localSheetId="22" hidden="1">{#N/A,#N/A,FALSE,"H3 Tab 1"}</definedName>
    <definedName name="wrn.h3T1S1." localSheetId="7" hidden="1">{#N/A,#N/A,FALSE,"H3 Tab 1"}</definedName>
    <definedName name="wrn.h3T1S1." localSheetId="23" hidden="1">{#N/A,#N/A,FALSE,"H3 Tab 1"}</definedName>
    <definedName name="wrn.h3T1S1." localSheetId="24" hidden="1">{#N/A,#N/A,FALSE,"H3 Tab 1"}</definedName>
    <definedName name="wrn.h3T1S1." localSheetId="25" hidden="1">{#N/A,#N/A,FALSE,"H3 Tab 1"}</definedName>
    <definedName name="wrn.h3T1S1." localSheetId="26" hidden="1">{#N/A,#N/A,FALSE,"H3 Tab 1"}</definedName>
    <definedName name="wrn.h3T1S1." localSheetId="27" hidden="1">{#N/A,#N/A,FALSE,"H3 Tab 1"}</definedName>
    <definedName name="wrn.h3T1S1." localSheetId="0" hidden="1">{#N/A,#N/A,FALSE,"H3 Tab 1"}</definedName>
    <definedName name="wrn.h3T1S1." localSheetId="1" hidden="1">{#N/A,#N/A,FALSE,"H3 Tab 1"}</definedName>
    <definedName name="wrn.h3T1S1." localSheetId="28" hidden="1">{#N/A,#N/A,FALSE,"H3 Tab 1"}</definedName>
    <definedName name="wrn.h3T1S1." localSheetId="29" hidden="1">{#N/A,#N/A,FALSE,"H3 Tab 1"}</definedName>
    <definedName name="wrn.h3T1S1." hidden="1">{#N/A,#N/A,FALSE,"H3 Tab 1"}</definedName>
    <definedName name="wrn.H3T1S2." localSheetId="8" hidden="1">{#N/A,#N/A,FALSE,"H3 Tab 1"}</definedName>
    <definedName name="wrn.H3T1S2." localSheetId="21" hidden="1">{#N/A,#N/A,FALSE,"H3 Tab 1"}</definedName>
    <definedName name="wrn.H3T1S2." localSheetId="22" hidden="1">{#N/A,#N/A,FALSE,"H3 Tab 1"}</definedName>
    <definedName name="wrn.H3T1S2." localSheetId="7" hidden="1">{#N/A,#N/A,FALSE,"H3 Tab 1"}</definedName>
    <definedName name="wrn.H3T1S2." localSheetId="23" hidden="1">{#N/A,#N/A,FALSE,"H3 Tab 1"}</definedName>
    <definedName name="wrn.H3T1S2." localSheetId="24" hidden="1">{#N/A,#N/A,FALSE,"H3 Tab 1"}</definedName>
    <definedName name="wrn.H3T1S2." localSheetId="25" hidden="1">{#N/A,#N/A,FALSE,"H3 Tab 1"}</definedName>
    <definedName name="wrn.H3T1S2." localSheetId="26" hidden="1">{#N/A,#N/A,FALSE,"H3 Tab 1"}</definedName>
    <definedName name="wrn.H3T1S2." localSheetId="27" hidden="1">{#N/A,#N/A,FALSE,"H3 Tab 1"}</definedName>
    <definedName name="wrn.H3T1S2." localSheetId="0" hidden="1">{#N/A,#N/A,FALSE,"H3 Tab 1"}</definedName>
    <definedName name="wrn.H3T1S2." localSheetId="1" hidden="1">{#N/A,#N/A,FALSE,"H3 Tab 1"}</definedName>
    <definedName name="wrn.H3T1S2." localSheetId="28" hidden="1">{#N/A,#N/A,FALSE,"H3 Tab 1"}</definedName>
    <definedName name="wrn.H3T1S2." localSheetId="29" hidden="1">{#N/A,#N/A,FALSE,"H3 Tab 1"}</definedName>
    <definedName name="wrn.H3T1S2." hidden="1">{#N/A,#N/A,FALSE,"H3 Tab 1"}</definedName>
    <definedName name="wrn.H3T2S3." localSheetId="8" hidden="1">{#N/A,#N/A,FALSE,"H3 Tab 2";#N/A,#N/A,FALSE,"H3 Tab 2"}</definedName>
    <definedName name="wrn.H3T2S3." localSheetId="21" hidden="1">{#N/A,#N/A,FALSE,"H3 Tab 2";#N/A,#N/A,FALSE,"H3 Tab 2"}</definedName>
    <definedName name="wrn.H3T2S3." localSheetId="22" hidden="1">{#N/A,#N/A,FALSE,"H3 Tab 2";#N/A,#N/A,FALSE,"H3 Tab 2"}</definedName>
    <definedName name="wrn.H3T2S3." localSheetId="7" hidden="1">{#N/A,#N/A,FALSE,"H3 Tab 2";#N/A,#N/A,FALSE,"H3 Tab 2"}</definedName>
    <definedName name="wrn.H3T2S3." localSheetId="23" hidden="1">{#N/A,#N/A,FALSE,"H3 Tab 2";#N/A,#N/A,FALSE,"H3 Tab 2"}</definedName>
    <definedName name="wrn.H3T2S3." localSheetId="24" hidden="1">{#N/A,#N/A,FALSE,"H3 Tab 2";#N/A,#N/A,FALSE,"H3 Tab 2"}</definedName>
    <definedName name="wrn.H3T2S3." localSheetId="25" hidden="1">{#N/A,#N/A,FALSE,"H3 Tab 2";#N/A,#N/A,FALSE,"H3 Tab 2"}</definedName>
    <definedName name="wrn.H3T2S3." localSheetId="26" hidden="1">{#N/A,#N/A,FALSE,"H3 Tab 2";#N/A,#N/A,FALSE,"H3 Tab 2"}</definedName>
    <definedName name="wrn.H3T2S3." localSheetId="27" hidden="1">{#N/A,#N/A,FALSE,"H3 Tab 2";#N/A,#N/A,FALSE,"H3 Tab 2"}</definedName>
    <definedName name="wrn.H3T2S3." localSheetId="0" hidden="1">{#N/A,#N/A,FALSE,"H3 Tab 2";#N/A,#N/A,FALSE,"H3 Tab 2"}</definedName>
    <definedName name="wrn.H3T2S3." localSheetId="1" hidden="1">{#N/A,#N/A,FALSE,"H3 Tab 2";#N/A,#N/A,FALSE,"H3 Tab 2"}</definedName>
    <definedName name="wrn.H3T2S3." localSheetId="28" hidden="1">{#N/A,#N/A,FALSE,"H3 Tab 2";#N/A,#N/A,FALSE,"H3 Tab 2"}</definedName>
    <definedName name="wrn.H3T2S3." localSheetId="29" hidden="1">{#N/A,#N/A,FALSE,"H3 Tab 2";#N/A,#N/A,FALSE,"H3 Tab 2"}</definedName>
    <definedName name="wrn.H3T2S3." hidden="1">{#N/A,#N/A,FALSE,"H3 Tab 2";#N/A,#N/A,FALSE,"H3 Tab 2"}</definedName>
    <definedName name="wrn.Highlights." hidden="1">{"highlights",#N/A,FALSE,"Highlights"}</definedName>
    <definedName name="wrn.income." hidden="1">{"income",#N/A,FALSE,"income_statement"}</definedName>
    <definedName name="wrn.Income._.5._.Yr." hidden="1">{"Income 5 Yr",#N/A,FALSE,"CDN P-L Income"}</definedName>
    <definedName name="wrn.Income._.Statement." hidden="1">{"Income Statement",#N/A,FALSE,"Stmt of Earnings"}</definedName>
    <definedName name="wrn.income._1" hidden="1">{"income",#N/A,FALSE,"income_statement"}</definedName>
    <definedName name="wrn.input." hidden="1">{#N/A,#N/A,FALSE,"A"}</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Items._1"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s." hidden="1">{"[Cost of Service] COS Inputs Sch 1",#N/A,FALSE,"Cost of Service Model"}</definedName>
    <definedName name="wrn.Inputs._.and._.Results." hidden="1">{"Input Data",#N/A,FALSE,"Input &amp; Results";"Results",#N/A,FALSE,"Input &amp; Results"}</definedName>
    <definedName name="wrn.INTEGRATED" hidden="1">{#N/A,#N/A,FALSE,"Sheet1"}</definedName>
    <definedName name="wrn.INTEGRATEDS." hidden="1">{#N/A,#N/A,FALSE,"Sheet1"}</definedName>
    <definedName name="wrn.INTERMEDIATES." hidden="1">{#N/A,#N/A,FALSE,"Sheet1"}</definedName>
    <definedName name="wrn.juniors" hidden="1">{#N/A,#N/A,FALSE,"Sheet1"}</definedName>
    <definedName name="wrn.JUNIORS." hidden="1">{#N/A,#N/A,FALSE,"Sheet1"}</definedName>
    <definedName name="wrn.JVREPORT." hidden="1">{#N/A,#N/A,FALSE,"202";#N/A,#N/A,FALSE,"203";#N/A,#N/A,FALSE,"204";#N/A,#N/A,FALSE,"205";#N/A,#N/A,FALSE,"205A"}</definedName>
    <definedName name="wrn.monthend._.graph." hidden="1">{#N/A,#N/A,TRUE,"CH-YTD vs Regbud_OntU";#N/A,#N/A,TRUE,"CH-YTD vs RegBud_N_OntU";#N/A,#N/A,TRUE,"CH-YTD vs RegBud_NC_summary";#N/A,#N/A,TRUE,"CH-YTD vs RegBud_EXcust_Summary";#N/A,#N/A,TRUE,"CH-YTD vs RegBud_LockCust";#N/A,#N/A,TRUE,"CH-YTD vs Regbud_GS&amp;LV";#N/A,#N/A,TRUE,"Summary";#N/A,#N/A,TRUE,"CH-YTD vs RegBud_NC_sector";#N/A,#N/A,TRUE,"CH-Lockcust_sector";#N/A,#N/A,TRUE,"CH-YTD vs RegBud_GSexist";#N/A,#N/A,TRUE,"CH-YTD vs RegBud_LVexist"}</definedName>
    <definedName name="wrn.NEB._.Capital._.25._.Yr." hidden="1">{"NEB Capital 25 Yr",#N/A,FALSE,"NEB Rate Base-Deprec"}</definedName>
    <definedName name="wrn.NEB._.Deprec._.25._.Yr." hidden="1">{"NEB Deprec 25 Yr",#N/A,FALSE,"NEB Rate Base-Deprec"}</definedName>
    <definedName name="wrn.NEB._.Rate._.Base._.25._.Yr." hidden="1">{"NEB Rate Base 25 Yr",#N/A,FALSE,"NEB Rate Base-Deprec"}</definedName>
    <definedName name="wrn.NEB._.Revenue._.25._.Yr." hidden="1">{"NEB Revenue 25 Yr",#N/A,FALSE,"NEB Revenue-Toll"}</definedName>
    <definedName name="wrn.NEB._.Tax._.25._.Yr." hidden="1">{#N/A,#N/A,FALSE,"NEB Taxes"}</definedName>
    <definedName name="wrn.NEB._.Toll._.25._.Yr." hidden="1">{"NEB Toll 25 Yr",#N/A,FALSE,"NEB Revenue-Toll"}</definedName>
    <definedName name="wrn.nom." hidden="1">{#N/A,#N/A,FALSE,"Sheet1"}</definedName>
    <definedName name="wrn.NON." hidden="1">{#N/A,#N/A,FALSE,"Sheet1"}</definedName>
    <definedName name="wrn.OMreport." hidden="1">{"OM_data",#N/A,FALSE,"O&amp;M Data Table";"OM_regulatory_adjustments",#N/A,FALSE,"O&amp;M Data Table";"OM_select_data",#N/A,FALSE,"O&amp;M Data Table"}</definedName>
    <definedName name="wrn.OMreport._1" hidden="1">{"OM_data",#N/A,FALSE,"O&amp;M Data Table";"OM_regulatory_adjustments",#N/A,FALSE,"O&amp;M Data Table";"OM_select_data",#N/A,FALSE,"O&amp;M Data Table"}</definedName>
    <definedName name="wrn.PCC." hidden="1">{"INPUTS",#N/A,TRUE,"PCC";"RESULTS1",#N/A,TRUE,"PCC";"RESULTS2",#N/A,TRUE,"PCC"}</definedName>
    <definedName name="wrn.PCC._1" hidden="1">{"INPUTS",#N/A,TRUE,"PCC";"RESULTS1",#N/A,TRUE,"PCC";"RESULTS2",#N/A,TRUE,"PCC"}</definedName>
    <definedName name="wrn.Print._.All." localSheetId="8"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1"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2"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7"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3"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4"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5"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6"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7"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0"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1"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8"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localSheetId="29"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All." hidden="1">{#N/A,#N/A,FALSE,"Dday-Cust#";#N/A,#N/A,FALSE,"Cascade";#N/A,#N/A,FALSE,"LF Rate 10,16";#N/A,#N/A,FALSE,"Direct Supply Source";#N/A,#N/A,FALSE,"Direct-DSM";#N/A,#N/A,FALSE,"Regulators";#N/A,#N/A,FALSE,"BS Admin etc..";#N/A,#N/A,FALSE,"Sole Mains";#N/A,#N/A,FALSE,"Sole M&amp;R";#N/A,#N/A,FALSE,"Joint-Sole-Grid-CIAC";#N/A,#N/A,FALSE,"COG";#N/A,#N/A,FALSE,"Gas Supply"}</definedName>
    <definedName name="wrn.Print._.Chart." hidden="1">{#N/A,#N/A,TRUE,"CH-M of vs BusBud_3";#N/A,#N/A,TRUE,"CH-M of vs BusBud_4";#N/A,#N/A,TRUE,"CH-M of vs BusBud_5"}</definedName>
    <definedName name="wrn.PrintAll." hidden="1">{"PA1",#N/A,TRUE,"BORDMW";"pa2",#N/A,TRUE,"BORDMW";"PA3",#N/A,TRUE,"BORDMW";"PA4",#N/A,TRUE,"BORDMW"}</definedName>
    <definedName name="wrn.PrintG4T5S24." hidden="1">{"Page 1",#N/A,TRUE,"Direct Assignment";"Page 2",#N/A,TRUE,"Storage Allocators";"Page 4",#N/A,TRUE,"Dawn Transmission";"Page 5",#N/A,TRUE,"""Other"" Transmission"}</definedName>
    <definedName name="wrn.projects." hidden="1">{"page1.calcs",#N/A,FALSE,"projects";"page2.summary",#N/A,FALSE,"projects"}</definedName>
    <definedName name="wrn.Rate._.Base." hidden="1">{"Rate Base",#N/A,FALSE,"Sheet1"}</definedName>
    <definedName name="wrn.Report._.1." hidden="1">{#N/A,#N/A,TRUE,"Cover";#N/A,#N/A,TRUE,"Contents";"Statements",#N/A,TRUE,"Income Statement";"Statements",#N/A,TRUE,"Cash Flow Statement";"Statements",#N/A,TRUE,"Balance Sheet ";#N/A,#N/A,TRUE,"Revenue Data Table";#N/A,#N/A,TRUE,"Costs &amp; Expenses Data Table";#N/A,#N/A,TRUE,"Cash Flow Data Table ";#N/A,#N/A,TRUE,"Shor-term Interest Expense";#N/A,#N/A,TRUE,"Income Taxes";#N/A,#N/A,TRUE,"New Issue Test";#N/A,#N/A,TRUE,"Ratios"}</definedName>
    <definedName name="wrn.Rept." hidden="1">{"inputs",#N/A,FALSE,"Inputs";"adjs",#N/A,FALSE,"Adjustments";"Capital",#N/A,FALSE,"Capital";"Rate Base",#N/A,FALSE,"Rate Base";"Income",#N/A,FALSE,"Income";"IncTax",#N/A,FALSE,"IncomeTax";"RevReq",#N/A,FALSE,"Revenue Requirement"}</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1" hidden="1">{"Consolidated_revenue",#N/A,FALSE,"Revenue_Data_Table";"regulatory_adjustments",#N/A,FALSE,"Revenue_Data_Table";"adjustment_explanation",#N/A,FALSE,"Revenue_Data_Table";"utility_revenue",#N/A,FALSE,"Revenue_Data_Table";"utility_revenue_inflated",#N/A,FALSE,"Revenue_Data_Table"}</definedName>
    <definedName name="wrn.RevProof." localSheetId="8" hidden="1">{#N/A,#N/A,FALSE,"RevProof"}</definedName>
    <definedName name="wrn.RevProof." localSheetId="21" hidden="1">{#N/A,#N/A,FALSE,"RevProof"}</definedName>
    <definedName name="wrn.RevProof." localSheetId="22" hidden="1">{#N/A,#N/A,FALSE,"RevProof"}</definedName>
    <definedName name="wrn.RevProof." localSheetId="7" hidden="1">{#N/A,#N/A,FALSE,"RevProof"}</definedName>
    <definedName name="wrn.RevProof." localSheetId="23" hidden="1">{#N/A,#N/A,FALSE,"RevProof"}</definedName>
    <definedName name="wrn.RevProof." localSheetId="24" hidden="1">{#N/A,#N/A,FALSE,"RevProof"}</definedName>
    <definedName name="wrn.RevProof." localSheetId="25" hidden="1">{#N/A,#N/A,FALSE,"RevProof"}</definedName>
    <definedName name="wrn.RevProof." localSheetId="26" hidden="1">{#N/A,#N/A,FALSE,"RevProof"}</definedName>
    <definedName name="wrn.RevProof." localSheetId="27" hidden="1">{#N/A,#N/A,FALSE,"RevProof"}</definedName>
    <definedName name="wrn.RevProof." localSheetId="0" hidden="1">{#N/A,#N/A,FALSE,"RevProof"}</definedName>
    <definedName name="wrn.RevProof." localSheetId="1" hidden="1">{#N/A,#N/A,FALSE,"RevProof"}</definedName>
    <definedName name="wrn.RevProof." localSheetId="28" hidden="1">{#N/A,#N/A,FALSE,"RevProof"}</definedName>
    <definedName name="wrn.RevProof." localSheetId="29" hidden="1">{#N/A,#N/A,FALSE,"RevProof"}</definedName>
    <definedName name="wrn.RevProof." hidden="1">{#N/A,#N/A,FALSE,"RevProof"}</definedName>
    <definedName name="wrn.S.T._.Int.._.Expense._.Calculation." hidden="1">{#N/A,#N/A,TRUE,"Shor-term Interest Expense"}</definedName>
    <definedName name="wrn.sales." hidden="1">{"sales",#N/A,FALSE,"Sales";"sales existing",#N/A,FALSE,"Sales";"sales rd1",#N/A,FALSE,"Sales";"sales rd2",#N/A,FALSE,"Sales"}</definedName>
    <definedName name="wrn.Schedules." localSheetId="8" hidden="1">{#N/A,#N/A,FALSE,"Filed Sheet";#N/A,#N/A,FALSE,"Schedule C";#N/A,#N/A,FALSE,"Appendix A"}</definedName>
    <definedName name="wrn.Schedules." localSheetId="21" hidden="1">{#N/A,#N/A,FALSE,"Filed Sheet";#N/A,#N/A,FALSE,"Schedule C";#N/A,#N/A,FALSE,"Appendix A"}</definedName>
    <definedName name="wrn.Schedules." localSheetId="22" hidden="1">{#N/A,#N/A,FALSE,"Filed Sheet";#N/A,#N/A,FALSE,"Schedule C";#N/A,#N/A,FALSE,"Appendix A"}</definedName>
    <definedName name="wrn.Schedules." localSheetId="7" hidden="1">{#N/A,#N/A,FALSE,"Filed Sheet";#N/A,#N/A,FALSE,"Schedule C";#N/A,#N/A,FALSE,"Appendix A"}</definedName>
    <definedName name="wrn.Schedules." localSheetId="23" hidden="1">{#N/A,#N/A,FALSE,"Filed Sheet";#N/A,#N/A,FALSE,"Schedule C";#N/A,#N/A,FALSE,"Appendix A"}</definedName>
    <definedName name="wrn.Schedules." localSheetId="24" hidden="1">{#N/A,#N/A,FALSE,"Filed Sheet";#N/A,#N/A,FALSE,"Schedule C";#N/A,#N/A,FALSE,"Appendix A"}</definedName>
    <definedName name="wrn.Schedules." localSheetId="25" hidden="1">{#N/A,#N/A,FALSE,"Filed Sheet";#N/A,#N/A,FALSE,"Schedule C";#N/A,#N/A,FALSE,"Appendix A"}</definedName>
    <definedName name="wrn.Schedules." localSheetId="26" hidden="1">{#N/A,#N/A,FALSE,"Filed Sheet";#N/A,#N/A,FALSE,"Schedule C";#N/A,#N/A,FALSE,"Appendix A"}</definedName>
    <definedName name="wrn.Schedules." localSheetId="27" hidden="1">{#N/A,#N/A,FALSE,"Filed Sheet";#N/A,#N/A,FALSE,"Schedule C";#N/A,#N/A,FALSE,"Appendix A"}</definedName>
    <definedName name="wrn.Schedules." localSheetId="0" hidden="1">{#N/A,#N/A,FALSE,"Filed Sheet";#N/A,#N/A,FALSE,"Schedule C";#N/A,#N/A,FALSE,"Appendix A"}</definedName>
    <definedName name="wrn.Schedules." localSheetId="1" hidden="1">{#N/A,#N/A,FALSE,"Filed Sheet";#N/A,#N/A,FALSE,"Schedule C";#N/A,#N/A,FALSE,"Appendix A"}</definedName>
    <definedName name="wrn.Schedules." localSheetId="28" hidden="1">{#N/A,#N/A,FALSE,"Filed Sheet";#N/A,#N/A,FALSE,"Schedule C";#N/A,#N/A,FALSE,"Appendix A"}</definedName>
    <definedName name="wrn.Schedules." localSheetId="29" hidden="1">{#N/A,#N/A,FALSE,"Filed Sheet";#N/A,#N/A,FALSE,"Schedule C";#N/A,#N/A,FALSE,"Appendix A"}</definedName>
    <definedName name="wrn.Schedules." hidden="1">{#N/A,#N/A,FALSE,"Filed Sheet";#N/A,#N/A,FALSE,"Schedule C";#N/A,#N/A,FALSE,"Appendix A"}</definedName>
    <definedName name="wrn.SENIORS." hidden="1">{#N/A,#N/A,FALSE,"Sheet1"}</definedName>
    <definedName name="wrn.Statements." hidden="1">{"Statements",#N/A,TRUE,"Income Statement";"Statements",#N/A,TRUE,"Cash Flow Statement";"Statements",#N/A,TRUE,"Balance Sheet ";#N/A,#N/A,TRUE,"Revenue Data Table";#N/A,#N/A,TRUE,"Costs &amp; Expenses Data Table";#N/A,#N/A,TRUE,"Cash Flow Data Table ";#N/A,#N/A,TRUE,"Shor-term Interest Expense"}</definedName>
    <definedName name="wrn.summary." hidden="1">{"Redefn",#N/A,FALSE,"99REDEFN";"ReBase",#N/A,FALSE,"99REBAS";"RbExpl",#N/A,FALSE,"RBExp";"WrkCsh",#N/A,FALSE,"WrkngCash";"Income",#N/A,FALSE,"99REVINC";"incexpln",#N/A,FALSE,"IncomeExpl";"Costexpln",#N/A,FALSE,"CostExpl";"tax.print",#N/A,FALSE,"99REINTX";"CapStruct",#N/A,FALSE,"CAPSTR";"RevReq",#N/A,FALSE,"Rev Req";"causes",#N/A,FALSE,"Causes"}</definedName>
    <definedName name="wrn.Summary._.2." hidden="1">{#N/A,#N/A,TRUE,"Model"}</definedName>
    <definedName name="wrn.SUMMARY._1" hidden="1">{#N/A,#N/A,FALSE,"Data Entry";"CUST_ADD",#N/A,FALSE,"Calculations";"Calculations",#N/A,FALSE,"Calculations";#N/A,#N/A,FALSE,"NPV";"INPUTS",#N/A,FALSE,"PCC";"RESULTS1",#N/A,FALSE,"PCC";"RESULTS2",#N/A,FALSE,"PCC";#N/A,#N/A,FALSE,"Stage1"}</definedName>
    <definedName name="wrn.Tax._.Sheet._.5._.Yr." hidden="1">{"Tax Calc 5 Yr",#N/A,FALSE,"CDN P-L Tax"}</definedName>
    <definedName name="wrn.Tax._.Variance._.Reconciliation." hidden="1">{"taxrecp1",#N/A,FALSE,"T2S(1) Rec";"taxrecp2",#N/A,FALSE,"T2S(1) Rec";"taxrecp3",#N/A,FALSE,"T2S(1) Rec"}</definedName>
    <definedName name="wrn.THRUPUT95." hidden="1">{"REV95",#N/A,FALSE,"AVG_T1-4";"THRU95",#N/A,FALSE,"AVG_T1-4"}</definedName>
    <definedName name="wrn.THUPUT96." hidden="1">{"REV96",#N/A,FALSE,"AVG_T1-4";"THRU96",#N/A,FALSE,"AVG_T1-4"}</definedName>
    <definedName name="wrn.usreporting." hidden="1">{#N/A,#N/A,FALSE,"DIT Summary";#N/A,#N/A,FALSE,"WCL Tax Provision";#N/A,#N/A,FALSE,"SCL Tax Provision";#N/A,#N/A,FALSE,"Tax Payable"}</definedName>
    <definedName name="wrn.usreporting.1" hidden="1">{#N/A,#N/A,FALSE,"DIT Summary";#N/A,#N/A,FALSE,"WCL Tax Provision";#N/A,#N/A,FALSE,"SCL Tax Provision";#N/A,#N/A,FALSE,"Tax Payable"}</definedName>
    <definedName name="wrn.Wacc." hidden="1">{"Area1",#N/A,FALSE,"OREWACC";"Area2",#N/A,FALSE,"OREWACC"}</definedName>
    <definedName name="wrn.XX." hidden="1">{#N/A,#N/A,FALSE,"337"}</definedName>
    <definedName name="wuil" hidden="1">{"income",#N/A,FALSE,"income_statement"}</definedName>
    <definedName name="wvu.Schedule._.1._.P._.1." localSheetId="20" hidden="1">{TRUE,TRUE,-1.25,-15.5,456.75,255.75,FALSE,TRUE,TRUE,TRUE,0,1,#N/A,1,#N/A,9.44776119402985,25.1666666666667,1,FALSE,FALSE,3,TRUE,1,FALSE,75,"Swvu.Schedule._.1._.P._.1.","ACwvu.Schedule._.1._.P._.1.",#N/A,FALSE,FALSE,0.75,0,0.4,0,1,"","",TRUE,FALSE,FALSE,FALSE,1,78,#N/A,#N/A,"=R1C1:R69C11",FALSE,#N/A,#N/A,TRUE,FALSE,TRUE,1,65532,65532,FALSE,FALSE,TRUE,TRUE,TRUE}</definedName>
    <definedName name="wvu.Schedule._.1._.P._.2." localSheetId="20" hidden="1">{TRUE,TRUE,-1.25,-15.5,456.75,255.75,FALSE,TRUE,TRUE,TRUE,0,16,#N/A,73,#N/A,9.44776119402985,25.75,1,FALSE,FALSE,3,TRUE,1,FALSE,75,"Swvu.Schedule._.1._.P._.2.","ACwvu.Schedule._.1._.P._.2.",#N/A,FALSE,FALSE,0.75,0,0.4,0,1,"","",TRUE,FALSE,FALSE,FALSE,1,78,#N/A,#N/A,"=R73C16:R149C26",FALSE,#N/A,#N/A,TRUE,FALSE,TRUE,1,65532,65532,FALSE,FALSE,TRUE,TRUE,TRUE}</definedName>
    <definedName name="wvu.Schedule._.1._.P._.3." localSheetId="20" hidden="1">{TRUE,TRUE,-1.25,-15.5,456.75,255.75,FALSE,TRUE,TRUE,TRUE,0,16,#N/A,155,#N/A,9.44776119402985,25.5,1,FALSE,FALSE,3,TRUE,1,FALSE,75,"Swvu.Schedule._.1._.P._.3.","ACwvu.Schedule._.1._.P._.3.",#N/A,FALSE,FALSE,0.75,0,0.4,0,1,"","",TRUE,FALSE,FALSE,FALSE,1,78,#N/A,#N/A,"=R155C16:R225C26",FALSE,#N/A,#N/A,TRUE,FALSE,TRUE,1,65532,65532,FALSE,FALSE,TRUE,TRUE,TRUE}</definedName>
    <definedName name="wvu.Schedule._.1._.P._.4." localSheetId="20" hidden="1">{TRUE,TRUE,-1.25,-15.5,456.75,255.75,FALSE,TRUE,TRUE,TRUE,0,16,#N/A,231,#N/A,9.44776119402985,25.5,1,FALSE,FALSE,3,TRUE,1,FALSE,75,"Swvu.Schedule._.1._.P._.4.","ACwvu.Schedule._.1._.P._.4.",#N/A,FALSE,FALSE,0.75,0,0.4,0,1,"","",TRUE,FALSE,FALSE,FALSE,1,78,#N/A,#N/A,"=R231C16:R303C26",FALSE,#N/A,#N/A,TRUE,FALSE,TRUE,1,65532,65532,FALSE,FALSE,TRUE,TRUE,TRUE}</definedName>
    <definedName name="wvu.Schedule._.1._.P._.5." localSheetId="20" hidden="1">{TRUE,TRUE,-1.25,-15.5,456.75,255.75,FALSE,TRUE,TRUE,TRUE,0,16,#N/A,310,#N/A,9.44776119402985,25.3333333333333,1,FALSE,FALSE,3,TRUE,1,FALSE,75,"Swvu.Schedule._.1._.P._.5.","ACwvu.Schedule._.1._.P._.5.",#N/A,FALSE,FALSE,0.75,0,0.4,0,1,"","",TRUE,FALSE,FALSE,FALSE,1,78,#N/A,#N/A,"=R310C16:R358C26",FALSE,#N/A,#N/A,TRUE,FALSE,TRUE,1,65532,65532,FALSE,FALSE,TRUE,TRUE,TRUE}</definedName>
    <definedName name="wvu.Schedule._.1._.P._.6." localSheetId="20" hidden="1">{TRUE,TRUE,-1.25,-15.5,456.75,255.75,FALSE,TRUE,TRUE,TRUE,0,16,#N/A,363,#N/A,9.44776119402985,24,1,FALSE,FALSE,3,TRUE,1,FALSE,75,"Swvu.Schedule._.1._.P._.6.","ACwvu.Schedule._.1._.P._.6.",#N/A,FALSE,FALSE,0.75,0,0.4,0,1,"","",TRUE,FALSE,FALSE,FALSE,1,78,#N/A,#N/A,"=R363C16:R419C26",FALSE,#N/A,#N/A,TRUE,FALSE,TRUE,1,65532,65532,FALSE,FALSE,TRUE,TRUE,TRUE}</definedName>
    <definedName name="Xbrl_Tag_027ee32f_7a28_48e8_a433_f9e1bcb42536" hidden="1">'[11]Derivatives Gain_Loss Table'!#REF!</definedName>
    <definedName name="Xbrl_Tag_04f12a02_3420_4efe_98f7_624f45f611d5" hidden="1">'[11]Income Statement'!#REF!</definedName>
    <definedName name="Xbrl_Tag_063a9e15_02b7_4659_ac7f_d261a32ef1ba" hidden="1">'[11]Income Statement'!#REF!</definedName>
    <definedName name="Xbrl_Tag_098a02bd_e70e_4666_b780_6a47cd03bf1d" hidden="1">'[17]X - Segment Table Q4-2013'!#REF!</definedName>
    <definedName name="Xbrl_Tag_0b9058a1_2a42_49f5_bdd1_ff5bf38763b0" hidden="1">'[17]X - Segment Table Q4-2013'!#REF!</definedName>
    <definedName name="Xbrl_Tag_0c6b62bc_2e19_430f_97c8_0f3bfa07c3d4" hidden="1">'[11]Income Statement'!#REF!</definedName>
    <definedName name="Xbrl_Tag_0db8d13c_91b8_4b1d_b690_5854dbc4e0b1" hidden="1">'[17]X - Segment Table Q4-2013'!#REF!</definedName>
    <definedName name="Xbrl_Tag_1127d091_8325_4a38_86a6_419f1827553d" hidden="1">'[11]Derivatives Gain_Loss Table'!#REF!</definedName>
    <definedName name="Xbrl_Tag_127d1fe4_f182_46e4_851a_76eb7d1a6a38" hidden="1">'[11]Derivatives Gain_Loss Table'!#REF!</definedName>
    <definedName name="Xbrl_Tag_19cf5fe0_af17_4574_ac1c_841be7a9beb2" hidden="1">'[11]Derivatives Gain_Loss Table'!#REF!</definedName>
    <definedName name="Xbrl_Tag_1a9df9c5_e04e_46ce_99a4_34ca8dfd2806" hidden="1">'[17]X - Segment Table Q4-2013'!#REF!</definedName>
    <definedName name="Xbrl_Tag_1ea4b823_5a8a_4ffb_b6c6_accc568b2b30" hidden="1">'[17]X - Segment Table Q4-2013'!#REF!</definedName>
    <definedName name="Xbrl_Tag_1feb6c50_167b_4e2f_9775_70425b31a50d" hidden="1">'[17]X - Segment Table Q4-2013'!#REF!</definedName>
    <definedName name="Xbrl_Tag_24f49af8_e207_4390_9c56_8ed7b00bc272" hidden="1">'[11]Comprehensive Income Statement'!#REF!</definedName>
    <definedName name="Xbrl_Tag_257e28f4_8d39_4fa5_90b0_f7b7bd8d1afd" hidden="1">'[11]Income Statement'!#REF!</definedName>
    <definedName name="Xbrl_Tag_2ae2f6c5_2877_4cee_8e18_b3b316d649fa" hidden="1">'[11]Income Statement'!#REF!</definedName>
    <definedName name="Xbrl_Tag_2c4722ad_84bd_41c7_aceb_86a1cff6ef4a" hidden="1">'[17]X - Segment Table Q4-2013'!#REF!</definedName>
    <definedName name="Xbrl_Tag_2f4e4b07_6dc1_4e25_bb21_40de9108e87b" hidden="1">'[17]X - Segment Table Q4-2013'!#REF!</definedName>
    <definedName name="Xbrl_Tag_34955914_69f1_484f_8d72_cedb68eb5cc8" hidden="1">'[17]X - Segment Table Q4-2013'!#REF!</definedName>
    <definedName name="Xbrl_Tag_39e1d39d_4bf2_4c86_a14a_cf9f9891987d" hidden="1">'[17]X - Segment Table Q4-2013'!#REF!</definedName>
    <definedName name="Xbrl_Tag_3d8f1d3e_90bc_44d4_bcd3_a755b0c9c4f4" hidden="1">'[11]Income Statement'!#REF!</definedName>
    <definedName name="Xbrl_Tag_41de381b_ef29_4661_88ef_6d917a85e577" hidden="1">'[17]X - Segment Table Q4-2013'!#REF!</definedName>
    <definedName name="Xbrl_Tag_41f19b07_90ec_4c45_8d2f_107e7b78edc2" hidden="1">'[17]X - Segment Table Q4-2013'!#REF!</definedName>
    <definedName name="Xbrl_Tag_42f8fdc1_9eb4_4436_97a9_d729583ce3ab" hidden="1">'[17]X - Segment Table Q4-2013'!#REF!</definedName>
    <definedName name="Xbrl_Tag_44d1c908_50bf_46ff_9bae_062544d9c102" hidden="1">'[17]X - Segment Table Q4-2013'!#REF!</definedName>
    <definedName name="Xbrl_Tag_4c20ccda_354e_4e82_afa1_833d578c14eb" hidden="1">'[17]X - Segment Table Q4-2013'!#REF!</definedName>
    <definedName name="Xbrl_Tag_4f513996_d9e7_4dd8_bef6_78ccaab3a9fb" hidden="1">'[17]X - Segment Table Q4-2013'!#REF!</definedName>
    <definedName name="Xbrl_Tag_5073a74d_6396_463f_b487_5f518566bd69" hidden="1">'[11]Income Statement'!#REF!</definedName>
    <definedName name="Xbrl_Tag_50d1bc04_a4f7_4c4e_9766_d0ea71b12f45" hidden="1">'[11]Derivatives Gain_Loss Table'!#REF!</definedName>
    <definedName name="Xbrl_Tag_5559c34a_6daa_4532_8309_63ee866fc938" hidden="1">'[17]X - Segment Table Q4-2013'!#REF!</definedName>
    <definedName name="Xbrl_Tag_556494b6_a380_4776_a5b7_96d694c830e6" hidden="1">'[11]Income Statement'!#REF!</definedName>
    <definedName name="Xbrl_Tag_5a6092eb_9b4c_4770_89cf_c7b9a93c8faf" hidden="1">'[17]X - Segment Table Q4-2013'!#REF!</definedName>
    <definedName name="Xbrl_Tag_5a64da49_163c_44fe_bb2e_d863612f0544" hidden="1">'[11]Income Statement'!#REF!</definedName>
    <definedName name="Xbrl_Tag_5a7a2471_69c5_4f24_94ca_2235921bd02f" hidden="1">'[17]X - Segment Table Q4-2013'!#REF!</definedName>
    <definedName name="Xbrl_Tag_5c876545_57c7_423d_9a8f_88b19441c85d" hidden="1">'[17]X - Segment Table Q4-2013'!#REF!</definedName>
    <definedName name="Xbrl_Tag_5e2004e3_6971_4238_9000_24ca5b83bbda" hidden="1">'[17]X - Segment Table Q4-2013'!#REF!</definedName>
    <definedName name="Xbrl_Tag_5eef82ed_66b9_4137_9d69_19d7f57b25f8" hidden="1">'[11]Income Statement'!#REF!</definedName>
    <definedName name="Xbrl_Tag_60be6f09_b1c7_42d4_89ab_9ae118ff43a1" hidden="1">'[17]X - Segment Table Q4-2013'!#REF!</definedName>
    <definedName name="Xbrl_Tag_65456847_7ebd_45fa_879a_5842ba59dfdb" hidden="1">'[11]Income Statement'!#REF!</definedName>
    <definedName name="Xbrl_Tag_71deb036_931c_4038_8de7_11ce3974e028" hidden="1">'[17]X - Segment Table Q4-2013'!#REF!</definedName>
    <definedName name="Xbrl_Tag_76f211bd_d870_42d8_b760_101d5dd022a6" hidden="1">'[17]X - Segment Table Q4-2013'!#REF!</definedName>
    <definedName name="Xbrl_Tag_793255a7_2ab3_4505_9a06_ab13aae6d30f" hidden="1">'[17]X - Segment Table Q4-2013'!#REF!</definedName>
    <definedName name="Xbrl_Tag_7a8f67cf_3082_4778_9dfa_88d42f127b63" hidden="1">'[11]Income Statement'!#REF!</definedName>
    <definedName name="Xbrl_Tag_8019b2d4_2e9a_44cd_8196_e8404f49cd28" hidden="1">'[11]Income Statement'!#REF!</definedName>
    <definedName name="Xbrl_Tag_8183bd57_421d_41f0_9a78_fd6449bd94d5" hidden="1">'[11]Derivatives Gain_Loss Table'!#REF!</definedName>
    <definedName name="Xbrl_Tag_82c30878_299b_457f_a6a1_b96f612d4d93" hidden="1">'[17]X - Segment Table Q4-2013'!#REF!</definedName>
    <definedName name="Xbrl_Tag_83e487e4_aeff_4084_a7b6_cc852d0bf0da" hidden="1">'[17]X - Segment Table Q4-2013'!#REF!</definedName>
    <definedName name="Xbrl_Tag_8560c3c0_af3d_406f_8f97_cd85947ffa2d" hidden="1">'[11]Income Statement'!#REF!</definedName>
    <definedName name="Xbrl_Tag_87f75862_d797_438b_b129_f7f47c2e241e" hidden="1">'[11]Comprehensive Income Statement'!#REF!</definedName>
    <definedName name="Xbrl_Tag_8919cd5e_8627_43a2_941f_ba8c9af9abfd" hidden="1">'[11]Income Statement'!#REF!</definedName>
    <definedName name="Xbrl_Tag_89a7f27f_1d58_4499_aadc_eb5e2188cece" hidden="1">'[11]Derivatives Gain_Loss Table'!#REF!</definedName>
    <definedName name="Xbrl_Tag_8a490b80_be3b_4b03_9f83_58eac315a139" hidden="1">'[17]X - Segment Table Q4-2013'!#REF!</definedName>
    <definedName name="Xbrl_Tag_8a8ce54d_80a7_40c0_aec6_3bfcba599491" hidden="1">'[11]Income Statement'!#REF!</definedName>
    <definedName name="Xbrl_Tag_919e7f7b_4ffd_45f5_920d_9a68ac0d516b" hidden="1">'[11]Derivatives Gain_Loss Table'!#REF!</definedName>
    <definedName name="Xbrl_Tag_93efd749_eea5_4eba_823c_f23ee577448b" hidden="1">'[11]Income Statement'!#REF!</definedName>
    <definedName name="Xbrl_Tag_957d5b60_d945_4e25_a496_3168ffe4ae27" hidden="1">'[11]Income Statement'!#REF!</definedName>
    <definedName name="Xbrl_Tag_959f8dd3_3f4a_426a_9090_de5371c319cb" hidden="1">'[17]X - Segment Table Q4-2013'!#REF!</definedName>
    <definedName name="Xbrl_Tag_96243770_2b14_4d8a_ab29_f05014ccd8a5" hidden="1">'[11]Income Statement'!#REF!</definedName>
    <definedName name="Xbrl_Tag_9ae7eca2_e294_4b07_88a4_6fd59634b73d" hidden="1">'[17]X - Segment Table Q4-2013'!#REF!</definedName>
    <definedName name="Xbrl_Tag_a09ba55a_a166_46ff_99d0_729fbf97c3ec" hidden="1">'[11]Income Statement'!#REF!</definedName>
    <definedName name="Xbrl_Tag_a20f589d_cec3_47b2_ac17_e077519a3969" hidden="1">'[11]Comprehensive Income Statement'!#REF!</definedName>
    <definedName name="Xbrl_Tag_a59c664a_082f_48d9_b600_e240d50941b4" hidden="1">'[17]X - Segment Table Q4-2013'!#REF!</definedName>
    <definedName name="Xbrl_Tag_a5d4a189_e252_4c4d_838c_b2f5614534cf" hidden="1">'[17]X - Segment Table Q4-2013'!#REF!</definedName>
    <definedName name="Xbrl_Tag_a65273a1_d1af_491b_8079_1c8a2a895ed0" hidden="1">'[17]X - Segment Table Q4-2013'!#REF!</definedName>
    <definedName name="Xbrl_Tag_ab864a02_732e_47f6_9927_34e07e6060b6" hidden="1">'[11]Income Statement'!#REF!</definedName>
    <definedName name="Xbrl_Tag_ad2db914_b56b_406a_a74d_18b92c578066" hidden="1">'[17]X - Segment Table Q4-2013'!#REF!</definedName>
    <definedName name="Xbrl_Tag_b00af0bc_d9b5_4ef5_a67e_28baca2bda7e" hidden="1">'[11]Comprehensive Income Statement'!#REF!</definedName>
    <definedName name="Xbrl_Tag_b0593807_b87c_4dea_a31a_0a7df7fcb0a9" hidden="1">'[17]X - Segment Table Q4-2013'!#REF!</definedName>
    <definedName name="Xbrl_Tag_b26358ca_a641_4165_92d4_ed3ff23564b4" hidden="1">'[17]X - Segment Table Q4-2013'!#REF!</definedName>
    <definedName name="Xbrl_Tag_b3ab0dee_7aa0_472e_b10e_c9f86df6f3d4" hidden="1">'[17]X - Segment Table Q4-2013'!#REF!</definedName>
    <definedName name="Xbrl_Tag_b7fd907e_3249_4ea3_b66c_962b1fa95604" hidden="1">'[11]Income Statement'!#REF!</definedName>
    <definedName name="Xbrl_Tag_b9649311_0f30_4d97_85d8_4c6d391050af" hidden="1">'[11]Comprehensive Income Statement'!#REF!</definedName>
    <definedName name="Xbrl_Tag_ba1bf081_c483_42f4_92a6_63e8f6338750" hidden="1">'[11]Comprehensive Income Statement'!#REF!</definedName>
    <definedName name="Xbrl_Tag_bfa5d5fd_c96e_410d_8427_3e2f38b47198" hidden="1">'[11]Income Statement'!#REF!</definedName>
    <definedName name="Xbrl_Tag_bfe45df7_6214_442e_a83a_a21966ff57d1" hidden="1">'[11]Derivatives Gain_Loss Table'!#REF!</definedName>
    <definedName name="Xbrl_Tag_c241ee7b_d46e_4f8b_8e9f_73859d68f91c" hidden="1">'[17]X - Segment Table Q4-2013'!#REF!</definedName>
    <definedName name="Xbrl_Tag_c7c1ba2c_2ac3_43dd_9886_9ce9034278de" hidden="1">'[17]X - Segment Table Q4-2013'!#REF!</definedName>
    <definedName name="Xbrl_Tag_c93933d3_d087_4738_b666_4d75701d71a7" hidden="1">'[17]X - Segment Table Q4-2013'!#REF!</definedName>
    <definedName name="Xbrl_Tag_d3931975_3c1c_4a5a_a095_d7297d54c11c" hidden="1">'[17]X - Segment Table Q4-2013'!#REF!</definedName>
    <definedName name="Xbrl_Tag_d79b717a_6a1d_4384_a581_498e7af0e618" hidden="1">'[17]X - Segment Table Q4-2013'!#REF!</definedName>
    <definedName name="Xbrl_Tag_d8466a64_0173_4518_8ea6_6d4c15d92b3b" hidden="1">'[17]X - Segment Table Q4-2013'!#REF!</definedName>
    <definedName name="Xbrl_Tag_d84ff0c7_6d7d_4db1_99ff_179f8c14a701" hidden="1">'[11]Income Statement'!#REF!</definedName>
    <definedName name="Xbrl_Tag_e39b0796_b33c_4895_b97d_3fdae66d2549" hidden="1">'[17]X - Segment Table Q4-2013'!#REF!</definedName>
    <definedName name="Xbrl_Tag_f00d828e_026d_4e8d_997c_1bf0178b982c" hidden="1">'[11]Derivatives Gain_Loss Table'!#REF!</definedName>
    <definedName name="Xbrl_Tag_fa12570c_8fc9_4041_b258_7e1b96352a03" hidden="1">'[17]X - Segment Table Q4-2013'!#REF!</definedName>
    <definedName name="Xbrl_Tag_fa4eff9f_bb37_4559_8fd1_f044314ed52b" hidden="1">'[11]Derivatives Gain_Loss Table'!#REF!</definedName>
    <definedName name="Xbrl_Tag_fbb320d8_5e04_444a_a1da_886a4af0a35a" hidden="1">'[11]Income Statement'!#REF!</definedName>
    <definedName name="Xbrl_Tag_fbb54a6e_5284_4747_8c68_1a34bfcc5cd3" hidden="1">'[11]Income Statement'!#REF!</definedName>
    <definedName name="Xbrl_Tag_fd74aa28_d220_4547_92f2_6b63ccc2bb99" hidden="1">'[11]Derivatives Gain_Loss Table'!#REF!</definedName>
    <definedName name="Xbrl_Tag_ff401910_08e8_4445_943f_5c35e6092449" hidden="1">'[11]Income Statement'!#REF!</definedName>
    <definedName name="XYZ" hidden="1">{#N/A,#N/A,FALSE,"DIT Summary";#N/A,#N/A,FALSE,"WCL Tax Provision";#N/A,#N/A,FALSE,"SCL Tax Provision";#N/A,#N/A,FALSE,"Tax Payable"}</definedName>
    <definedName name="y" hidden="1">{"Balance Sheet",#N/A,FALSE,"Stmt of Financial Position"}</definedName>
    <definedName name="Z_03216896_582A_4275_9F71_EC829E74F501_.wvu.PrintArea" localSheetId="20" hidden="1">'Schedule 20'!$A$1:$M$62</definedName>
    <definedName name="Z_13A1B49D_BE8A_4A34_9DE7_57C682154965_.wvu.PrintArea" localSheetId="20" hidden="1">'Schedule 20'!$A$1:$M$62</definedName>
    <definedName name="Z_26272691_5274_4288_90D4_382E5772F19F_.wvu.PrintArea" localSheetId="20" hidden="1">'Schedule 20'!$A$1:$M$62</definedName>
    <definedName name="Z_291C2213_AB60_49BF_92D4_1627BB1C3573_.wvu.PrintArea" localSheetId="20" hidden="1">'Schedule 20'!$A$1:$M$62</definedName>
    <definedName name="Z_36D11777_0EF2_4820_BD6C_43D39D712CD5_.wvu.PrintArea" localSheetId="20" hidden="1">'Schedule 20'!$A$1:$M$62</definedName>
    <definedName name="Z_4325006E_C831_43D3_9B03_994D3B9AC624_.wvu.PrintArea" localSheetId="20" hidden="1">'Schedule 20'!$A$1:$M$62</definedName>
    <definedName name="Z_4C6F7691_61E3_4281_A0A0_99F736425324_.wvu.PrintArea" localSheetId="20" hidden="1">'[1]T3 S1.2'!$A$3:$N$56</definedName>
    <definedName name="Z_4D76C81C_8D53_4518_B2D1_022B7104C7D3_.wvu.PrintArea" localSheetId="20" hidden="1">'Schedule 20'!$A$1:$M$62</definedName>
    <definedName name="Z_54C4D6D9_B3AA_4515_B42B_A05AF63D9501_.wvu.PrintArea" localSheetId="20" hidden="1">'Schedule 20'!$A$1:$M$62</definedName>
    <definedName name="Z_80BA3269_9A62_47B3_8D47_134B616EAB09_.wvu.PrintArea" localSheetId="20" hidden="1">'Schedule 20'!$A$1:$M$62</definedName>
    <definedName name="Z_8530360A_34F6_4596_87BE_6025490F3FFE_.wvu.PrintArea" localSheetId="20" hidden="1">'Schedule 20'!$A$1:$M$62</definedName>
    <definedName name="Z_9FF5325E_7A25_433E_AFC4_63C0C98C7181_.wvu.PrintArea" localSheetId="20" hidden="1">'Schedule 20'!$A$1:$M$62</definedName>
    <definedName name="Z_AA111F9E_52B5_49E2_9B1B_43DC5EDE33F8_.wvu.PrintArea" localSheetId="20" hidden="1">'Schedule 20'!$A$1:$M$62</definedName>
    <definedName name="Z_B47B7980_9269_4C69_A8B4_906371C24137_.wvu.PrintArea" localSheetId="20" hidden="1">'Schedule 20'!$A$1:$M$62</definedName>
    <definedName name="Z_B5251273_7F92_46B9_8A96_ED77916E0C0B_.wvu.PrintArea" localSheetId="20" hidden="1">'Schedule 20'!$A$1:$M$62</definedName>
    <definedName name="Z_B9483924_244C_46F7_9601_5E894BC397D0_.wvu.PrintArea" localSheetId="20" hidden="1">'Schedule 20'!$A$1:$M$62</definedName>
    <definedName name="Z_BAFA5847_51D3_431E_9082_1B06B839B4B5_.wvu.PrintArea" localSheetId="20" hidden="1">'Schedule 20'!$A$1:$M$62</definedName>
    <definedName name="Z_BC176845_E097_4178_BA98_45C72AF2F081_.wvu.PrintArea" localSheetId="20" hidden="1">'Schedule 20'!$A$1:$M$62</definedName>
    <definedName name="Z_C14D4097_A4EF_4F47_8E45_4032DBCBAA99_.wvu.PrintArea" localSheetId="20" hidden="1">'Schedule 20'!$A$1:$M$62</definedName>
    <definedName name="Z_C286D361_7C40_487D_96AB_A7901328B6B2_.wvu.PrintArea" localSheetId="20" hidden="1">'[1]T3 S1.4'!$A$13:$N$70</definedName>
    <definedName name="Z_C8320B38_8C6D_48E4_B02C_979114D8106C_.wvu.PrintArea" localSheetId="20" hidden="1">'Schedule 20'!$A$1:$M$62</definedName>
    <definedName name="Z_DE5AF50C_C45B_4DAF_B625_F6AD5FA84B39_.wvu.PrintArea" localSheetId="20" hidden="1">'Schedule 20'!$A$1:$M$62</definedName>
    <definedName name="Z_DEDDA5DA_C0F1_44C9_A69E_79A52ED631CC_.wvu.PrintArea" localSheetId="20" hidden="1">'Schedule 20'!$A$1:$M$62</definedName>
    <definedName name="Z_ECDD18D8_5E22_4BA5_811F_CD83020A8FAF_.wvu.PrintArea" localSheetId="20" hidden="1">'Schedule 20'!$A$1:$M$62</definedName>
    <definedName name="Z_ED640ABD_53F9_44DC_BAD2_6A5A7E6141AB_.wvu.PrintArea" localSheetId="20" hidden="1">'Schedule 20'!$A$1:$M$62</definedName>
    <definedName name="Z_F51EC656_2EA8_4452_B2B6_1AAC85AC2A95_.wvu.PrintArea" localSheetId="20" hidden="1">'[1]T3 S1.2'!$A$3:$N$56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44" l="1"/>
  <c r="O17" i="44"/>
  <c r="U17" i="44" s="1"/>
  <c r="J18" i="44"/>
  <c r="O18" i="44"/>
  <c r="U18" i="44" s="1"/>
  <c r="W18" i="44" s="1"/>
  <c r="V18" i="44"/>
  <c r="J19" i="44"/>
  <c r="J20" i="44"/>
  <c r="O20" i="44"/>
  <c r="U20" i="44" s="1"/>
  <c r="G21" i="44"/>
  <c r="L21" i="44"/>
  <c r="L23" i="44" s="1"/>
  <c r="M21" i="44"/>
  <c r="M23" i="44" s="1"/>
  <c r="M34" i="44" s="1"/>
  <c r="N21" i="44"/>
  <c r="Q21" i="44"/>
  <c r="Q23" i="44" s="1"/>
  <c r="Q34" i="44" s="1"/>
  <c r="R21" i="44"/>
  <c r="S21" i="44"/>
  <c r="G23" i="44"/>
  <c r="N23" i="44"/>
  <c r="N34" i="44" s="1"/>
  <c r="R23" i="44"/>
  <c r="S23" i="44"/>
  <c r="J25" i="44"/>
  <c r="O25" i="44"/>
  <c r="U25" i="44" s="1"/>
  <c r="J28" i="44"/>
  <c r="O28" i="44"/>
  <c r="J29" i="44"/>
  <c r="G30" i="44"/>
  <c r="L30" i="44"/>
  <c r="M30" i="44"/>
  <c r="N30" i="44"/>
  <c r="Q30" i="44"/>
  <c r="R30" i="44"/>
  <c r="S30" i="44"/>
  <c r="J32" i="44"/>
  <c r="O32" i="44"/>
  <c r="U32" i="44" s="1"/>
  <c r="G34" i="44"/>
  <c r="J39" i="44"/>
  <c r="J40" i="44"/>
  <c r="O40" i="44"/>
  <c r="U40" i="44" s="1"/>
  <c r="W40" i="44" s="1"/>
  <c r="V40" i="44"/>
  <c r="J41" i="44"/>
  <c r="O41" i="44" s="1"/>
  <c r="U41" i="44" s="1"/>
  <c r="J42" i="44"/>
  <c r="O42" i="44" s="1"/>
  <c r="U42" i="44" s="1"/>
  <c r="J43" i="44"/>
  <c r="O43" i="44" s="1"/>
  <c r="U43" i="44" s="1"/>
  <c r="J44" i="44"/>
  <c r="O44" i="44"/>
  <c r="U44" i="44" s="1"/>
  <c r="V44" i="44" s="1"/>
  <c r="W44" i="44"/>
  <c r="G45" i="44"/>
  <c r="L45" i="44"/>
  <c r="L47" i="44" s="1"/>
  <c r="M45" i="44"/>
  <c r="N45" i="44"/>
  <c r="Q45" i="44"/>
  <c r="Q47" i="44" s="1"/>
  <c r="Q58" i="44" s="1"/>
  <c r="R45" i="44"/>
  <c r="S45" i="44"/>
  <c r="G47" i="44"/>
  <c r="M47" i="44"/>
  <c r="M58" i="44" s="1"/>
  <c r="N47" i="44"/>
  <c r="R47" i="44"/>
  <c r="S47" i="44"/>
  <c r="S58" i="44" s="1"/>
  <c r="J49" i="44"/>
  <c r="O49" i="44" s="1"/>
  <c r="U49" i="44"/>
  <c r="V49" i="44" s="1"/>
  <c r="X49" i="44" s="1"/>
  <c r="W49" i="44"/>
  <c r="J52" i="44"/>
  <c r="J53" i="44"/>
  <c r="O53" i="44" s="1"/>
  <c r="U53" i="44" s="1"/>
  <c r="G54" i="44"/>
  <c r="L54" i="44"/>
  <c r="M54" i="44"/>
  <c r="N54" i="44"/>
  <c r="Q54" i="44"/>
  <c r="R54" i="44"/>
  <c r="R58" i="44" s="1"/>
  <c r="S54" i="44"/>
  <c r="J56" i="44"/>
  <c r="O56" i="44" s="1"/>
  <c r="U56" i="44"/>
  <c r="G58" i="44"/>
  <c r="L58" i="44"/>
  <c r="J75" i="44"/>
  <c r="O75" i="44"/>
  <c r="G77" i="44"/>
  <c r="I77" i="44"/>
  <c r="J77" i="44"/>
  <c r="L77" i="44"/>
  <c r="L88" i="44" s="1"/>
  <c r="M77" i="44"/>
  <c r="N77" i="44"/>
  <c r="N88" i="44" s="1"/>
  <c r="Q77" i="44"/>
  <c r="Q88" i="44" s="1"/>
  <c r="R77" i="44"/>
  <c r="R88" i="44" s="1"/>
  <c r="S77" i="44"/>
  <c r="J79" i="44"/>
  <c r="O79" i="44"/>
  <c r="U79" i="44" s="1"/>
  <c r="J82" i="44"/>
  <c r="J83" i="44"/>
  <c r="O83" i="44"/>
  <c r="U83" i="44" s="1"/>
  <c r="W83" i="44" s="1"/>
  <c r="G84" i="44"/>
  <c r="L84" i="44"/>
  <c r="M84" i="44"/>
  <c r="M88" i="44" s="1"/>
  <c r="N84" i="44"/>
  <c r="Q84" i="44"/>
  <c r="R84" i="44"/>
  <c r="S84" i="44"/>
  <c r="J86" i="44"/>
  <c r="O86" i="44"/>
  <c r="U86" i="44" s="1"/>
  <c r="G88" i="44"/>
  <c r="S88" i="44"/>
  <c r="J94" i="44"/>
  <c r="O94" i="44" s="1"/>
  <c r="O96" i="44" s="1"/>
  <c r="O98" i="44" s="1"/>
  <c r="U94" i="44"/>
  <c r="V94" i="44" s="1"/>
  <c r="W94" i="44"/>
  <c r="W96" i="44" s="1"/>
  <c r="W98" i="44" s="1"/>
  <c r="J95" i="44"/>
  <c r="J96" i="44" s="1"/>
  <c r="O95" i="44"/>
  <c r="U95" i="44" s="1"/>
  <c r="W95" i="44" s="1"/>
  <c r="V95" i="44"/>
  <c r="G96" i="44"/>
  <c r="G98" i="44" s="1"/>
  <c r="L96" i="44"/>
  <c r="L98" i="44" s="1"/>
  <c r="L109" i="44" s="1"/>
  <c r="M96" i="44"/>
  <c r="N96" i="44"/>
  <c r="N98" i="44" s="1"/>
  <c r="N109" i="44" s="1"/>
  <c r="Q96" i="44"/>
  <c r="R96" i="44"/>
  <c r="S96" i="44"/>
  <c r="S98" i="44" s="1"/>
  <c r="M98" i="44"/>
  <c r="Q98" i="44"/>
  <c r="Q109" i="44" s="1"/>
  <c r="R98" i="44"/>
  <c r="R109" i="44" s="1"/>
  <c r="J100" i="44"/>
  <c r="O100" i="44"/>
  <c r="U100" i="44" s="1"/>
  <c r="V100" i="44" s="1"/>
  <c r="X100" i="44" s="1"/>
  <c r="W100" i="44"/>
  <c r="J103" i="44"/>
  <c r="J104" i="44"/>
  <c r="O104" i="44"/>
  <c r="U104" i="44" s="1"/>
  <c r="W104" i="44" s="1"/>
  <c r="V104" i="44"/>
  <c r="G105" i="44"/>
  <c r="L105" i="44"/>
  <c r="M105" i="44"/>
  <c r="N105" i="44"/>
  <c r="Q105" i="44"/>
  <c r="R105" i="44"/>
  <c r="S105" i="44"/>
  <c r="J107" i="44"/>
  <c r="O107" i="44"/>
  <c r="U107" i="44" s="1"/>
  <c r="G109" i="44"/>
  <c r="M109" i="44"/>
  <c r="S109" i="44"/>
  <c r="A124" i="44"/>
  <c r="A126" i="44" s="1"/>
  <c r="J126" i="44"/>
  <c r="J127" i="44"/>
  <c r="O127" i="44" s="1"/>
  <c r="U127" i="44" s="1"/>
  <c r="G128" i="44"/>
  <c r="G130" i="44" s="1"/>
  <c r="L128" i="44"/>
  <c r="M128" i="44"/>
  <c r="M130" i="44" s="1"/>
  <c r="N128" i="44"/>
  <c r="N130" i="44" s="1"/>
  <c r="N141" i="44" s="1"/>
  <c r="Q128" i="44"/>
  <c r="Q130" i="44" s="1"/>
  <c r="R128" i="44"/>
  <c r="S128" i="44"/>
  <c r="S130" i="44" s="1"/>
  <c r="S141" i="44" s="1"/>
  <c r="L130" i="44"/>
  <c r="L141" i="44" s="1"/>
  <c r="R130" i="44"/>
  <c r="J132" i="44"/>
  <c r="O132" i="44" s="1"/>
  <c r="U132" i="44" s="1"/>
  <c r="J135" i="44"/>
  <c r="J136" i="44"/>
  <c r="O136" i="44"/>
  <c r="U136" i="44"/>
  <c r="G137" i="44"/>
  <c r="L137" i="44"/>
  <c r="M137" i="44"/>
  <c r="N137" i="44"/>
  <c r="Q137" i="44"/>
  <c r="R137" i="44"/>
  <c r="S137" i="44"/>
  <c r="J139" i="44"/>
  <c r="O139" i="44"/>
  <c r="U139" i="44" s="1"/>
  <c r="G141" i="44"/>
  <c r="R141" i="44"/>
  <c r="J145" i="44"/>
  <c r="O145" i="44"/>
  <c r="U145" i="44" s="1"/>
  <c r="I146" i="44"/>
  <c r="J146" i="44"/>
  <c r="J150" i="44" s="1"/>
  <c r="I150" i="44" s="1"/>
  <c r="L146" i="44"/>
  <c r="M146" i="44"/>
  <c r="M150" i="44" s="1"/>
  <c r="N146" i="44"/>
  <c r="N150" i="44" s="1"/>
  <c r="O146" i="44"/>
  <c r="Q146" i="44"/>
  <c r="Q150" i="44" s="1"/>
  <c r="R146" i="44"/>
  <c r="S146" i="44"/>
  <c r="U146" i="44"/>
  <c r="V146" i="44"/>
  <c r="W146" i="44"/>
  <c r="J148" i="44"/>
  <c r="O148" i="44" s="1"/>
  <c r="O150" i="44" s="1"/>
  <c r="U148" i="44"/>
  <c r="L150" i="44"/>
  <c r="R150" i="44"/>
  <c r="S150" i="44"/>
  <c r="J168" i="44"/>
  <c r="O168" i="44"/>
  <c r="J169" i="44"/>
  <c r="O169" i="44" s="1"/>
  <c r="U169" i="44" s="1"/>
  <c r="J170" i="44"/>
  <c r="O170" i="44" s="1"/>
  <c r="U170" i="44" s="1"/>
  <c r="G171" i="44"/>
  <c r="L171" i="44"/>
  <c r="L182" i="44" s="1"/>
  <c r="L193" i="44" s="1"/>
  <c r="M171" i="44"/>
  <c r="N171" i="44"/>
  <c r="N182" i="44" s="1"/>
  <c r="N193" i="44" s="1"/>
  <c r="Q171" i="44"/>
  <c r="Q182" i="44" s="1"/>
  <c r="Q193" i="44" s="1"/>
  <c r="R171" i="44"/>
  <c r="S171" i="44"/>
  <c r="J175" i="44"/>
  <c r="O175" i="44"/>
  <c r="U175" i="44" s="1"/>
  <c r="U178" i="44" s="1"/>
  <c r="V178" i="44" s="1"/>
  <c r="X178" i="44" s="1"/>
  <c r="X182" i="44" s="1"/>
  <c r="W175" i="44"/>
  <c r="J176" i="44"/>
  <c r="O176" i="44"/>
  <c r="U176" i="44" s="1"/>
  <c r="W176" i="44" s="1"/>
  <c r="V176" i="44"/>
  <c r="J177" i="44"/>
  <c r="O177" i="44"/>
  <c r="U177" i="44"/>
  <c r="V177" i="44" s="1"/>
  <c r="W177" i="44"/>
  <c r="G178" i="44"/>
  <c r="I178" i="44"/>
  <c r="I182" i="44" s="1"/>
  <c r="J178" i="44"/>
  <c r="L178" i="44"/>
  <c r="M178" i="44"/>
  <c r="N178" i="44"/>
  <c r="Q178" i="44"/>
  <c r="R178" i="44"/>
  <c r="S178" i="44"/>
  <c r="J180" i="44"/>
  <c r="O180" i="44" s="1"/>
  <c r="U180" i="44" s="1"/>
  <c r="G182" i="44"/>
  <c r="M182" i="44"/>
  <c r="R182" i="44"/>
  <c r="R193" i="44" s="1"/>
  <c r="J184" i="44"/>
  <c r="O184" i="44"/>
  <c r="V184" i="44"/>
  <c r="W184" i="44"/>
  <c r="J187" i="44"/>
  <c r="O187" i="44"/>
  <c r="J188" i="44"/>
  <c r="J189" i="44" s="1"/>
  <c r="I189" i="44" s="1"/>
  <c r="G189" i="44"/>
  <c r="L189" i="44"/>
  <c r="M189" i="44"/>
  <c r="N189" i="44"/>
  <c r="Q189" i="44"/>
  <c r="R189" i="44"/>
  <c r="S189" i="44"/>
  <c r="J191" i="44"/>
  <c r="O191" i="44"/>
  <c r="U191" i="44" s="1"/>
  <c r="W191" i="44" s="1"/>
  <c r="V191" i="44"/>
  <c r="X191" i="44" s="1"/>
  <c r="G193" i="44"/>
  <c r="M193" i="44"/>
  <c r="J199" i="44"/>
  <c r="O199" i="44"/>
  <c r="J200" i="44"/>
  <c r="O200" i="44"/>
  <c r="U200" i="44" s="1"/>
  <c r="J201" i="44"/>
  <c r="O201" i="44" s="1"/>
  <c r="U201" i="44" s="1"/>
  <c r="G202" i="44"/>
  <c r="G207" i="44" s="1"/>
  <c r="J202" i="44"/>
  <c r="L202" i="44"/>
  <c r="M202" i="44"/>
  <c r="M207" i="44" s="1"/>
  <c r="M218" i="44" s="1"/>
  <c r="N202" i="44"/>
  <c r="Q202" i="44"/>
  <c r="Q207" i="44" s="1"/>
  <c r="R202" i="44"/>
  <c r="S202" i="44"/>
  <c r="J204" i="44"/>
  <c r="O204" i="44"/>
  <c r="U204" i="44" s="1"/>
  <c r="W204" i="44" s="1"/>
  <c r="J205" i="44"/>
  <c r="W205" i="44" s="1"/>
  <c r="O205" i="44"/>
  <c r="U206" i="44"/>
  <c r="L207" i="44"/>
  <c r="N207" i="44"/>
  <c r="R207" i="44"/>
  <c r="R218" i="44" s="1"/>
  <c r="S207" i="44"/>
  <c r="J209" i="44"/>
  <c r="O209" i="44" s="1"/>
  <c r="U209" i="44" s="1"/>
  <c r="J212" i="44"/>
  <c r="O212" i="44"/>
  <c r="J213" i="44"/>
  <c r="J214" i="44" s="1"/>
  <c r="I214" i="44" s="1"/>
  <c r="O213" i="44"/>
  <c r="U213" i="44" s="1"/>
  <c r="G214" i="44"/>
  <c r="L214" i="44"/>
  <c r="M214" i="44"/>
  <c r="N214" i="44"/>
  <c r="Q214" i="44"/>
  <c r="R214" i="44"/>
  <c r="S214" i="44"/>
  <c r="J216" i="44"/>
  <c r="O216" i="44"/>
  <c r="U216" i="44" s="1"/>
  <c r="G218" i="44"/>
  <c r="Q218" i="44"/>
  <c r="S218" i="44"/>
  <c r="J235" i="44"/>
  <c r="O235" i="44" s="1"/>
  <c r="J236" i="44"/>
  <c r="O236" i="44"/>
  <c r="U236" i="44" s="1"/>
  <c r="G237" i="44"/>
  <c r="G252" i="44" s="1"/>
  <c r="L237" i="44"/>
  <c r="L241" i="44" s="1"/>
  <c r="L252" i="44" s="1"/>
  <c r="M237" i="44"/>
  <c r="N237" i="44"/>
  <c r="Q237" i="44"/>
  <c r="R237" i="44"/>
  <c r="S237" i="44"/>
  <c r="J239" i="44"/>
  <c r="O239" i="44" s="1"/>
  <c r="U239" i="44" s="1"/>
  <c r="V239" i="44" s="1"/>
  <c r="G241" i="44"/>
  <c r="M241" i="44"/>
  <c r="N241" i="44"/>
  <c r="Q241" i="44"/>
  <c r="R241" i="44"/>
  <c r="S241" i="44"/>
  <c r="S252" i="44" s="1"/>
  <c r="J243" i="44"/>
  <c r="O243" i="44" s="1"/>
  <c r="U243" i="44" s="1"/>
  <c r="J246" i="44"/>
  <c r="O246" i="44"/>
  <c r="J247" i="44"/>
  <c r="O247" i="44" s="1"/>
  <c r="U247" i="44" s="1"/>
  <c r="G248" i="44"/>
  <c r="J248" i="44"/>
  <c r="I248" i="44" s="1"/>
  <c r="L248" i="44"/>
  <c r="M248" i="44"/>
  <c r="M252" i="44" s="1"/>
  <c r="N248" i="44"/>
  <c r="Q248" i="44"/>
  <c r="R248" i="44"/>
  <c r="S248" i="44"/>
  <c r="J250" i="44"/>
  <c r="O250" i="44"/>
  <c r="U250" i="44" s="1"/>
  <c r="W250" i="44" s="1"/>
  <c r="V250" i="44"/>
  <c r="X250" i="44" s="1"/>
  <c r="U251" i="44"/>
  <c r="N252" i="44"/>
  <c r="Q252" i="44"/>
  <c r="J257" i="44"/>
  <c r="J259" i="44"/>
  <c r="O259" i="44"/>
  <c r="U259" i="44" s="1"/>
  <c r="W259" i="44" s="1"/>
  <c r="G261" i="44"/>
  <c r="I261" i="44"/>
  <c r="L261" i="44"/>
  <c r="M261" i="44"/>
  <c r="N261" i="44"/>
  <c r="N272" i="44" s="1"/>
  <c r="Q261" i="44"/>
  <c r="R261" i="44"/>
  <c r="S261" i="44"/>
  <c r="S272" i="44" s="1"/>
  <c r="J263" i="44"/>
  <c r="O263" i="44" s="1"/>
  <c r="U263" i="44"/>
  <c r="V263" i="44" s="1"/>
  <c r="X263" i="44" s="1"/>
  <c r="W263" i="44"/>
  <c r="J266" i="44"/>
  <c r="O266" i="44" s="1"/>
  <c r="U266" i="44" s="1"/>
  <c r="J267" i="44"/>
  <c r="G268" i="44"/>
  <c r="L268" i="44"/>
  <c r="M268" i="44"/>
  <c r="M272" i="44" s="1"/>
  <c r="N268" i="44"/>
  <c r="Q268" i="44"/>
  <c r="R268" i="44"/>
  <c r="S268" i="44"/>
  <c r="J270" i="44"/>
  <c r="O270" i="44" s="1"/>
  <c r="U270" i="44" s="1"/>
  <c r="G272" i="44"/>
  <c r="L272" i="44"/>
  <c r="Q272" i="44"/>
  <c r="R272" i="44"/>
  <c r="J289" i="44"/>
  <c r="O289" i="44"/>
  <c r="U289" i="44" s="1"/>
  <c r="J290" i="44"/>
  <c r="J291" i="44"/>
  <c r="O291" i="44" s="1"/>
  <c r="U291" i="44" s="1"/>
  <c r="V291" i="44" s="1"/>
  <c r="W291" i="44"/>
  <c r="J292" i="44"/>
  <c r="O292" i="44"/>
  <c r="U292" i="44" s="1"/>
  <c r="J293" i="44"/>
  <c r="O293" i="44" s="1"/>
  <c r="U293" i="44"/>
  <c r="G294" i="44"/>
  <c r="L294" i="44"/>
  <c r="L296" i="44" s="1"/>
  <c r="M294" i="44"/>
  <c r="M296" i="44" s="1"/>
  <c r="N294" i="44"/>
  <c r="Q294" i="44"/>
  <c r="R294" i="44"/>
  <c r="S294" i="44"/>
  <c r="G296" i="44"/>
  <c r="N296" i="44"/>
  <c r="Q296" i="44"/>
  <c r="R296" i="44"/>
  <c r="S296" i="44"/>
  <c r="J299" i="44"/>
  <c r="J300" i="44"/>
  <c r="O300" i="44"/>
  <c r="U300" i="44" s="1"/>
  <c r="W300" i="44" s="1"/>
  <c r="G301" i="44"/>
  <c r="L301" i="44"/>
  <c r="M301" i="44"/>
  <c r="N301" i="44"/>
  <c r="Q301" i="44"/>
  <c r="R301" i="44"/>
  <c r="S301" i="44"/>
  <c r="J304" i="44"/>
  <c r="J305" i="44"/>
  <c r="O305" i="44"/>
  <c r="U305" i="44" s="1"/>
  <c r="W305" i="44" s="1"/>
  <c r="G306" i="44"/>
  <c r="L306" i="44"/>
  <c r="M306" i="44"/>
  <c r="N306" i="44"/>
  <c r="Q306" i="44"/>
  <c r="R306" i="44"/>
  <c r="S306" i="44"/>
  <c r="J309" i="44"/>
  <c r="J310" i="44"/>
  <c r="O310" i="44"/>
  <c r="U310" i="44" s="1"/>
  <c r="W310" i="44" s="1"/>
  <c r="G311" i="44"/>
  <c r="L311" i="44"/>
  <c r="M311" i="44"/>
  <c r="N311" i="44"/>
  <c r="Q311" i="44"/>
  <c r="R311" i="44"/>
  <c r="S311" i="44"/>
  <c r="G314" i="44"/>
  <c r="L314" i="44"/>
  <c r="N314" i="44"/>
  <c r="Q314" i="44"/>
  <c r="R314" i="44"/>
  <c r="S314" i="44"/>
  <c r="J319" i="44"/>
  <c r="O319" i="44" s="1"/>
  <c r="U319" i="44"/>
  <c r="V319" i="44" s="1"/>
  <c r="J320" i="44"/>
  <c r="O320" i="44"/>
  <c r="U320" i="44"/>
  <c r="J321" i="44"/>
  <c r="O321" i="44" s="1"/>
  <c r="U321" i="44" s="1"/>
  <c r="J322" i="44"/>
  <c r="O322" i="44"/>
  <c r="U322" i="44"/>
  <c r="J323" i="44"/>
  <c r="O323" i="44"/>
  <c r="U323" i="44" s="1"/>
  <c r="G324" i="44"/>
  <c r="J324" i="44"/>
  <c r="L324" i="44"/>
  <c r="M324" i="44"/>
  <c r="N324" i="44"/>
  <c r="N326" i="44" s="1"/>
  <c r="Q324" i="44"/>
  <c r="Q343" i="44" s="1"/>
  <c r="R324" i="44"/>
  <c r="S324" i="44"/>
  <c r="J326" i="44"/>
  <c r="L326" i="44"/>
  <c r="M326" i="44"/>
  <c r="S326" i="44"/>
  <c r="J329" i="44"/>
  <c r="O329" i="44" s="1"/>
  <c r="J330" i="44"/>
  <c r="O330" i="44"/>
  <c r="U330" i="44" s="1"/>
  <c r="G331" i="44"/>
  <c r="J331" i="44"/>
  <c r="I331" i="44" s="1"/>
  <c r="L331" i="44"/>
  <c r="M331" i="44"/>
  <c r="N331" i="44"/>
  <c r="Q331" i="44"/>
  <c r="R331" i="44"/>
  <c r="S331" i="44"/>
  <c r="J334" i="44"/>
  <c r="O334" i="44" s="1"/>
  <c r="J335" i="44"/>
  <c r="O335" i="44"/>
  <c r="U335" i="44" s="1"/>
  <c r="G336" i="44"/>
  <c r="J336" i="44"/>
  <c r="I336" i="44" s="1"/>
  <c r="L336" i="44"/>
  <c r="M336" i="44"/>
  <c r="M343" i="44" s="1"/>
  <c r="N336" i="44"/>
  <c r="Q336" i="44"/>
  <c r="R336" i="44"/>
  <c r="S336" i="44"/>
  <c r="S343" i="44" s="1"/>
  <c r="J339" i="44"/>
  <c r="O339" i="44" s="1"/>
  <c r="J340" i="44"/>
  <c r="O340" i="44"/>
  <c r="U340" i="44" s="1"/>
  <c r="G341" i="44"/>
  <c r="J341" i="44"/>
  <c r="I341" i="44" s="1"/>
  <c r="L341" i="44"/>
  <c r="M341" i="44"/>
  <c r="N341" i="44"/>
  <c r="Q341" i="44"/>
  <c r="R341" i="44"/>
  <c r="S341" i="44"/>
  <c r="N343" i="44"/>
  <c r="G362" i="44"/>
  <c r="J365" i="44"/>
  <c r="O365" i="44"/>
  <c r="J366" i="44"/>
  <c r="J367" i="44" s="1"/>
  <c r="O366" i="44"/>
  <c r="U366" i="44" s="1"/>
  <c r="G367" i="44"/>
  <c r="L367" i="44"/>
  <c r="L372" i="44" s="1"/>
  <c r="M367" i="44"/>
  <c r="M372" i="44" s="1"/>
  <c r="N367" i="44"/>
  <c r="N395" i="44" s="1"/>
  <c r="Q367" i="44"/>
  <c r="Q372" i="44" s="1"/>
  <c r="R367" i="44"/>
  <c r="S367" i="44"/>
  <c r="S372" i="44" s="1"/>
  <c r="J369" i="44"/>
  <c r="O369" i="44"/>
  <c r="U369" i="44" s="1"/>
  <c r="O370" i="44"/>
  <c r="U370" i="44"/>
  <c r="W370" i="44" s="1"/>
  <c r="G372" i="44"/>
  <c r="R372" i="44"/>
  <c r="J375" i="44"/>
  <c r="J376" i="44"/>
  <c r="O376" i="44"/>
  <c r="U376" i="44"/>
  <c r="W376" i="44" s="1"/>
  <c r="V376" i="44"/>
  <c r="J378" i="44"/>
  <c r="O378" i="44" s="1"/>
  <c r="U378" i="44" s="1"/>
  <c r="V378" i="44" s="1"/>
  <c r="W378" i="44"/>
  <c r="J379" i="44"/>
  <c r="O379" i="44"/>
  <c r="U379" i="44" s="1"/>
  <c r="J381" i="44"/>
  <c r="O381" i="44"/>
  <c r="U381" i="44"/>
  <c r="V381" i="44"/>
  <c r="W381" i="44"/>
  <c r="J382" i="44"/>
  <c r="O382" i="44"/>
  <c r="U382" i="44" s="1"/>
  <c r="G383" i="44"/>
  <c r="L383" i="44"/>
  <c r="M383" i="44"/>
  <c r="N383" i="44"/>
  <c r="Q383" i="44"/>
  <c r="Q395" i="44" s="1"/>
  <c r="R383" i="44"/>
  <c r="S383" i="44"/>
  <c r="S395" i="44" s="1"/>
  <c r="J386" i="44"/>
  <c r="O386" i="44"/>
  <c r="O388" i="44" s="1"/>
  <c r="U386" i="44"/>
  <c r="V386" i="44"/>
  <c r="W386" i="44"/>
  <c r="J387" i="44"/>
  <c r="O387" i="44"/>
  <c r="U387" i="44" s="1"/>
  <c r="G388" i="44"/>
  <c r="J388" i="44"/>
  <c r="I388" i="44" s="1"/>
  <c r="L388" i="44"/>
  <c r="M388" i="44"/>
  <c r="N388" i="44"/>
  <c r="Q388" i="44"/>
  <c r="R388" i="44"/>
  <c r="S388" i="44"/>
  <c r="J391" i="44"/>
  <c r="O391" i="44"/>
  <c r="O393" i="44" s="1"/>
  <c r="U391" i="44"/>
  <c r="U393" i="44" s="1"/>
  <c r="V393" i="44" s="1"/>
  <c r="X393" i="44" s="1"/>
  <c r="V391" i="44"/>
  <c r="J392" i="44"/>
  <c r="O392" i="44"/>
  <c r="U392" i="44" s="1"/>
  <c r="G393" i="44"/>
  <c r="J393" i="44"/>
  <c r="I393" i="44" s="1"/>
  <c r="L393" i="44"/>
  <c r="M393" i="44"/>
  <c r="N393" i="44"/>
  <c r="Q393" i="44"/>
  <c r="R393" i="44"/>
  <c r="S393" i="44"/>
  <c r="G395" i="44"/>
  <c r="L395" i="44"/>
  <c r="J399" i="44"/>
  <c r="O399" i="44" s="1"/>
  <c r="J400" i="44"/>
  <c r="J401" i="44"/>
  <c r="O401" i="44"/>
  <c r="U401" i="44"/>
  <c r="G402" i="44"/>
  <c r="L402" i="44"/>
  <c r="M402" i="44"/>
  <c r="N402" i="44"/>
  <c r="Q402" i="44"/>
  <c r="R402" i="44"/>
  <c r="S402" i="44"/>
  <c r="J404" i="44"/>
  <c r="O404" i="44" s="1"/>
  <c r="U404" i="44" s="1"/>
  <c r="J407" i="44"/>
  <c r="U407" i="44"/>
  <c r="J408" i="44"/>
  <c r="U408" i="44"/>
  <c r="V408" i="44"/>
  <c r="W408" i="44"/>
  <c r="G409" i="44"/>
  <c r="J409" i="44"/>
  <c r="I409" i="44" s="1"/>
  <c r="L409" i="44"/>
  <c r="M409" i="44"/>
  <c r="N409" i="44"/>
  <c r="O409" i="44"/>
  <c r="Q409" i="44"/>
  <c r="Q411" i="44" s="1"/>
  <c r="R409" i="44"/>
  <c r="R411" i="44" s="1"/>
  <c r="S409" i="44"/>
  <c r="S411" i="44" s="1"/>
  <c r="U409" i="44"/>
  <c r="V409" i="44" s="1"/>
  <c r="X409" i="44" s="1"/>
  <c r="G411" i="44"/>
  <c r="L411" i="44"/>
  <c r="M411" i="44"/>
  <c r="N411" i="44"/>
  <c r="J427" i="44"/>
  <c r="O427" i="44" s="1"/>
  <c r="J428" i="44"/>
  <c r="O428" i="44" s="1"/>
  <c r="U428" i="44" s="1"/>
  <c r="J429" i="44"/>
  <c r="O429" i="44"/>
  <c r="U429" i="44"/>
  <c r="G431" i="44"/>
  <c r="L431" i="44"/>
  <c r="M431" i="44"/>
  <c r="N431" i="44"/>
  <c r="O431" i="44"/>
  <c r="Q431" i="44"/>
  <c r="R431" i="44"/>
  <c r="S431" i="44"/>
  <c r="J432" i="44"/>
  <c r="O432" i="44"/>
  <c r="O434" i="44"/>
  <c r="U434" i="44"/>
  <c r="W434" i="44" s="1"/>
  <c r="O435" i="44"/>
  <c r="U435" i="44"/>
  <c r="W435" i="44"/>
  <c r="O437" i="44"/>
  <c r="U437" i="44"/>
  <c r="O438" i="44"/>
  <c r="U438" i="44"/>
  <c r="W438" i="44"/>
  <c r="U439" i="44"/>
  <c r="O440" i="44"/>
  <c r="U440" i="44"/>
  <c r="W440" i="44" s="1"/>
  <c r="V440" i="44"/>
  <c r="V442" i="44" s="1"/>
  <c r="O441" i="44"/>
  <c r="U441" i="44"/>
  <c r="V441" i="44"/>
  <c r="W441" i="44"/>
  <c r="G442" i="44"/>
  <c r="J442" i="44"/>
  <c r="L442" i="44"/>
  <c r="L449" i="44" s="1"/>
  <c r="M442" i="44"/>
  <c r="N442" i="44"/>
  <c r="Q442" i="44"/>
  <c r="R442" i="44"/>
  <c r="S442" i="44"/>
  <c r="J445" i="44"/>
  <c r="O445" i="44"/>
  <c r="U445" i="44"/>
  <c r="J446" i="44"/>
  <c r="O446" i="44"/>
  <c r="U446" i="44"/>
  <c r="W446" i="44" s="1"/>
  <c r="G447" i="44"/>
  <c r="L447" i="44"/>
  <c r="M447" i="44"/>
  <c r="M449" i="44" s="1"/>
  <c r="N447" i="44"/>
  <c r="N449" i="44" s="1"/>
  <c r="O447" i="44"/>
  <c r="Q447" i="44"/>
  <c r="R447" i="44"/>
  <c r="S447" i="44"/>
  <c r="V447" i="44"/>
  <c r="G449" i="44"/>
  <c r="R449" i="44"/>
  <c r="S449" i="44"/>
  <c r="J455" i="44"/>
  <c r="O455" i="44" s="1"/>
  <c r="U455" i="44" s="1"/>
  <c r="J456" i="44"/>
  <c r="O456" i="44"/>
  <c r="U456" i="44" s="1"/>
  <c r="J457" i="44"/>
  <c r="O457" i="44" s="1"/>
  <c r="U457" i="44" s="1"/>
  <c r="G458" i="44"/>
  <c r="L458" i="44"/>
  <c r="L460" i="44" s="1"/>
  <c r="M458" i="44"/>
  <c r="M466" i="44" s="1"/>
  <c r="N458" i="44"/>
  <c r="N466" i="44" s="1"/>
  <c r="Q458" i="44"/>
  <c r="Q460" i="44" s="1"/>
  <c r="R458" i="44"/>
  <c r="S458" i="44"/>
  <c r="S460" i="44" s="1"/>
  <c r="G460" i="44"/>
  <c r="H460" i="44"/>
  <c r="R460" i="44"/>
  <c r="J462" i="44"/>
  <c r="O462" i="44" s="1"/>
  <c r="U462" i="44" s="1"/>
  <c r="J464" i="44"/>
  <c r="O464" i="44" s="1"/>
  <c r="U464" i="44"/>
  <c r="G466" i="44"/>
  <c r="Q466" i="44"/>
  <c r="R466" i="44"/>
  <c r="J483" i="44"/>
  <c r="O483" i="44" s="1"/>
  <c r="J484" i="44"/>
  <c r="O484" i="44"/>
  <c r="U484" i="44" s="1"/>
  <c r="J485" i="44"/>
  <c r="O485" i="44" s="1"/>
  <c r="U485" i="44" s="1"/>
  <c r="J486" i="44"/>
  <c r="O486" i="44" s="1"/>
  <c r="U486" i="44" s="1"/>
  <c r="G487" i="44"/>
  <c r="G489" i="44" s="1"/>
  <c r="J487" i="44"/>
  <c r="J495" i="44" s="1"/>
  <c r="L487" i="44"/>
  <c r="M487" i="44"/>
  <c r="N487" i="44"/>
  <c r="Q487" i="44"/>
  <c r="R487" i="44"/>
  <c r="R489" i="44" s="1"/>
  <c r="S487" i="44"/>
  <c r="H489" i="44"/>
  <c r="L489" i="44"/>
  <c r="M489" i="44"/>
  <c r="N489" i="44"/>
  <c r="Q489" i="44"/>
  <c r="S489" i="44"/>
  <c r="J491" i="44"/>
  <c r="O491" i="44"/>
  <c r="U491" i="44" s="1"/>
  <c r="J493" i="44"/>
  <c r="O493" i="44" s="1"/>
  <c r="U493" i="44" s="1"/>
  <c r="G495" i="44"/>
  <c r="L495" i="44"/>
  <c r="M495" i="44"/>
  <c r="N495" i="44"/>
  <c r="Q495" i="44"/>
  <c r="S495" i="44"/>
  <c r="G502" i="44"/>
  <c r="I502" i="44"/>
  <c r="J502" i="44"/>
  <c r="L502" i="44"/>
  <c r="M502" i="44"/>
  <c r="N502" i="44"/>
  <c r="O502" i="44"/>
  <c r="Q502" i="44"/>
  <c r="R502" i="44"/>
  <c r="S502" i="44"/>
  <c r="U502" i="44"/>
  <c r="V502" i="44" s="1"/>
  <c r="W502" i="44"/>
  <c r="J505" i="44"/>
  <c r="O505" i="44" s="1"/>
  <c r="J506" i="44"/>
  <c r="O506" i="44"/>
  <c r="U506" i="44" s="1"/>
  <c r="G507" i="44"/>
  <c r="J507" i="44"/>
  <c r="I507" i="44" s="1"/>
  <c r="L507" i="44"/>
  <c r="L512" i="44" s="1"/>
  <c r="M507" i="44"/>
  <c r="M512" i="44" s="1"/>
  <c r="N507" i="44"/>
  <c r="Q507" i="44"/>
  <c r="R507" i="44"/>
  <c r="S507" i="44"/>
  <c r="J509" i="44"/>
  <c r="O509" i="44" s="1"/>
  <c r="U509" i="44" s="1"/>
  <c r="V509" i="44" s="1"/>
  <c r="X509" i="44" s="1"/>
  <c r="J510" i="44"/>
  <c r="O510" i="44" s="1"/>
  <c r="U510" i="44" s="1"/>
  <c r="G512" i="44"/>
  <c r="G524" i="44" s="1"/>
  <c r="J512" i="44"/>
  <c r="I512" i="44" s="1"/>
  <c r="N512" i="44"/>
  <c r="Q512" i="44"/>
  <c r="R512" i="44"/>
  <c r="S512" i="44"/>
  <c r="S524" i="44" s="1"/>
  <c r="J516" i="44"/>
  <c r="J519" i="44" s="1"/>
  <c r="I519" i="44" s="1"/>
  <c r="J517" i="44"/>
  <c r="O517" i="44" s="1"/>
  <c r="U517" i="44" s="1"/>
  <c r="V517" i="44" s="1"/>
  <c r="X517" i="44" s="1"/>
  <c r="G519" i="44"/>
  <c r="L519" i="44"/>
  <c r="M519" i="44"/>
  <c r="N519" i="44"/>
  <c r="Q519" i="44"/>
  <c r="Q524" i="44" s="1"/>
  <c r="R519" i="44"/>
  <c r="S519" i="44"/>
  <c r="J522" i="44"/>
  <c r="O522" i="44"/>
  <c r="U522" i="44" s="1"/>
  <c r="J524" i="44"/>
  <c r="I524" i="44" s="1"/>
  <c r="L524" i="44"/>
  <c r="M524" i="44"/>
  <c r="N524" i="44"/>
  <c r="J540" i="44"/>
  <c r="O540" i="44" s="1"/>
  <c r="J541" i="44"/>
  <c r="O541" i="44" s="1"/>
  <c r="U541" i="44" s="1"/>
  <c r="J542" i="44"/>
  <c r="O542" i="44"/>
  <c r="U542" i="44"/>
  <c r="W542" i="44" s="1"/>
  <c r="J543" i="44"/>
  <c r="O543" i="44"/>
  <c r="U543" i="44"/>
  <c r="W543" i="44" s="1"/>
  <c r="G545" i="44"/>
  <c r="L545" i="44"/>
  <c r="M545" i="44"/>
  <c r="N545" i="44"/>
  <c r="Q545" i="44"/>
  <c r="R545" i="44"/>
  <c r="R557" i="44" s="1"/>
  <c r="S545" i="44"/>
  <c r="J549" i="44"/>
  <c r="J550" i="44"/>
  <c r="O550" i="44"/>
  <c r="U550" i="44"/>
  <c r="V550" i="44" s="1"/>
  <c r="W550" i="44"/>
  <c r="X550" i="44"/>
  <c r="G552" i="44"/>
  <c r="L552" i="44"/>
  <c r="M552" i="44"/>
  <c r="M557" i="44" s="1"/>
  <c r="N552" i="44"/>
  <c r="Q552" i="44"/>
  <c r="Q557" i="44" s="1"/>
  <c r="R552" i="44"/>
  <c r="S552" i="44"/>
  <c r="J555" i="44"/>
  <c r="O555" i="44"/>
  <c r="U555" i="44" s="1"/>
  <c r="G557" i="44"/>
  <c r="L557" i="44"/>
  <c r="N557" i="44"/>
  <c r="S557" i="44"/>
  <c r="J562" i="44"/>
  <c r="O562" i="44"/>
  <c r="U562" i="44"/>
  <c r="V562" i="44"/>
  <c r="X562" i="44"/>
  <c r="J563" i="44"/>
  <c r="O563" i="44"/>
  <c r="U563" i="44" s="1"/>
  <c r="G565" i="44"/>
  <c r="I565" i="44"/>
  <c r="J565" i="44"/>
  <c r="L565" i="44"/>
  <c r="M565" i="44"/>
  <c r="N565" i="44"/>
  <c r="O565" i="44"/>
  <c r="Q565" i="44"/>
  <c r="Q575" i="44" s="1"/>
  <c r="R565" i="44"/>
  <c r="S565" i="44"/>
  <c r="S575" i="44" s="1"/>
  <c r="J568" i="44"/>
  <c r="J571" i="44" s="1"/>
  <c r="O568" i="44"/>
  <c r="J569" i="44"/>
  <c r="O569" i="44"/>
  <c r="U569" i="44"/>
  <c r="W569" i="44" s="1"/>
  <c r="V569" i="44"/>
  <c r="X569" i="44"/>
  <c r="G571" i="44"/>
  <c r="L571" i="44"/>
  <c r="M571" i="44"/>
  <c r="M575" i="44" s="1"/>
  <c r="N571" i="44"/>
  <c r="N575" i="44" s="1"/>
  <c r="Q571" i="44"/>
  <c r="R571" i="44"/>
  <c r="S571" i="44"/>
  <c r="J573" i="44"/>
  <c r="O573" i="44"/>
  <c r="U573" i="44" s="1"/>
  <c r="G575" i="44"/>
  <c r="L575" i="44"/>
  <c r="R575" i="44"/>
  <c r="J591" i="44"/>
  <c r="O591" i="44"/>
  <c r="U591" i="44"/>
  <c r="U593" i="44" s="1"/>
  <c r="W593" i="44" s="1"/>
  <c r="V591" i="44"/>
  <c r="W592" i="44"/>
  <c r="G593" i="44"/>
  <c r="J593" i="44" s="1"/>
  <c r="I593" i="44"/>
  <c r="L593" i="44"/>
  <c r="M593" i="44"/>
  <c r="N593" i="44"/>
  <c r="O593" i="44"/>
  <c r="O599" i="44" s="1"/>
  <c r="Q593" i="44"/>
  <c r="R593" i="44"/>
  <c r="S593" i="44"/>
  <c r="J597" i="44"/>
  <c r="O597" i="44" s="1"/>
  <c r="U597" i="44" s="1"/>
  <c r="G599" i="44"/>
  <c r="J599" i="44"/>
  <c r="I599" i="44" s="1"/>
  <c r="L599" i="44"/>
  <c r="M599" i="44"/>
  <c r="N599" i="44"/>
  <c r="Q599" i="44"/>
  <c r="R599" i="44"/>
  <c r="S599" i="44"/>
  <c r="J608" i="44"/>
  <c r="O608" i="44"/>
  <c r="J609" i="44"/>
  <c r="O609" i="44" s="1"/>
  <c r="U609" i="44" s="1"/>
  <c r="V609" i="44"/>
  <c r="X609" i="44" s="1"/>
  <c r="W609" i="44"/>
  <c r="J611" i="44"/>
  <c r="O611" i="44" s="1"/>
  <c r="U611" i="44" s="1"/>
  <c r="J612" i="44"/>
  <c r="O612" i="44" s="1"/>
  <c r="U612" i="44" s="1"/>
  <c r="W612" i="44" s="1"/>
  <c r="X612" i="44"/>
  <c r="O614" i="44"/>
  <c r="U614" i="44"/>
  <c r="W614" i="44"/>
  <c r="X614" i="44"/>
  <c r="G616" i="44"/>
  <c r="G631" i="44" s="1"/>
  <c r="I631" i="44" s="1"/>
  <c r="L616" i="44"/>
  <c r="M616" i="44"/>
  <c r="N616" i="44"/>
  <c r="Q616" i="44"/>
  <c r="R616" i="44"/>
  <c r="S616" i="44"/>
  <c r="O629" i="44"/>
  <c r="O631" i="44" s="1"/>
  <c r="U629" i="44"/>
  <c r="X629" i="44"/>
  <c r="J631" i="44"/>
  <c r="L631" i="44"/>
  <c r="M631" i="44"/>
  <c r="M633" i="44" s="1"/>
  <c r="N631" i="44"/>
  <c r="N633" i="44" s="1"/>
  <c r="Q631" i="44"/>
  <c r="R631" i="44"/>
  <c r="S631" i="44"/>
  <c r="G633" i="44"/>
  <c r="L633" i="44"/>
  <c r="Q633" i="44"/>
  <c r="R633" i="44"/>
  <c r="S633" i="44"/>
  <c r="J654" i="44"/>
  <c r="J662" i="44" s="1"/>
  <c r="O654" i="44"/>
  <c r="J655" i="44"/>
  <c r="O655" i="44"/>
  <c r="U655" i="44"/>
  <c r="J657" i="44"/>
  <c r="O657" i="44"/>
  <c r="U657" i="44" s="1"/>
  <c r="V657" i="44" s="1"/>
  <c r="X657" i="44"/>
  <c r="J658" i="44"/>
  <c r="O658" i="44"/>
  <c r="U658" i="44" s="1"/>
  <c r="O660" i="44"/>
  <c r="U660" i="44"/>
  <c r="W660" i="44" s="1"/>
  <c r="X660" i="44"/>
  <c r="G662" i="44"/>
  <c r="L662" i="44"/>
  <c r="M662" i="44"/>
  <c r="M679" i="44" s="1"/>
  <c r="N662" i="44"/>
  <c r="N679" i="44" s="1"/>
  <c r="Q662" i="44"/>
  <c r="Q679" i="44" s="1"/>
  <c r="R662" i="44"/>
  <c r="S662" i="44"/>
  <c r="O675" i="44"/>
  <c r="O677" i="44" s="1"/>
  <c r="U675" i="44"/>
  <c r="W675" i="44" s="1"/>
  <c r="W677" i="44" s="1"/>
  <c r="X675" i="44"/>
  <c r="G677" i="44"/>
  <c r="J677" i="44"/>
  <c r="I677" i="44" s="1"/>
  <c r="L677" i="44"/>
  <c r="L679" i="44" s="1"/>
  <c r="M677" i="44"/>
  <c r="N677" i="44"/>
  <c r="Q677" i="44"/>
  <c r="R677" i="44"/>
  <c r="S677" i="44"/>
  <c r="U677" i="44"/>
  <c r="V677" i="44" s="1"/>
  <c r="X677" i="44" s="1"/>
  <c r="G679" i="44"/>
  <c r="R679" i="44"/>
  <c r="S679" i="44"/>
  <c r="J697" i="44"/>
  <c r="J701" i="44" s="1"/>
  <c r="O697" i="44"/>
  <c r="O699" i="44"/>
  <c r="U699" i="44"/>
  <c r="W699" i="44" s="1"/>
  <c r="X699" i="44"/>
  <c r="G701" i="44"/>
  <c r="L701" i="44"/>
  <c r="M701" i="44"/>
  <c r="N701" i="44"/>
  <c r="Q701" i="44"/>
  <c r="R701" i="44"/>
  <c r="S701" i="44"/>
  <c r="O714" i="44"/>
  <c r="O716" i="44" s="1"/>
  <c r="U714" i="44"/>
  <c r="X714" i="44"/>
  <c r="G716" i="44"/>
  <c r="J716" i="44"/>
  <c r="I716" i="44" s="1"/>
  <c r="L716" i="44"/>
  <c r="L719" i="44" s="1"/>
  <c r="M716" i="44"/>
  <c r="N716" i="44"/>
  <c r="N719" i="44" s="1"/>
  <c r="Q716" i="44"/>
  <c r="R716" i="44"/>
  <c r="S716" i="44"/>
  <c r="G719" i="44"/>
  <c r="M719" i="44"/>
  <c r="Q719" i="44"/>
  <c r="R719" i="44"/>
  <c r="S719" i="44"/>
  <c r="P721" i="44"/>
  <c r="T721" i="44"/>
  <c r="G740" i="44"/>
  <c r="J740" i="44"/>
  <c r="L740" i="44"/>
  <c r="L879" i="44" s="1"/>
  <c r="M740" i="44"/>
  <c r="N740" i="44"/>
  <c r="O740" i="44"/>
  <c r="Q740" i="44"/>
  <c r="R740" i="44"/>
  <c r="S740" i="44"/>
  <c r="U740" i="44"/>
  <c r="G745" i="44"/>
  <c r="J745" i="44"/>
  <c r="J879" i="44" s="1"/>
  <c r="L745" i="44"/>
  <c r="M745" i="44"/>
  <c r="N745" i="44"/>
  <c r="O745" i="44"/>
  <c r="Q745" i="44"/>
  <c r="R745" i="44"/>
  <c r="S745" i="44"/>
  <c r="U745" i="44"/>
  <c r="V745" i="44"/>
  <c r="W745" i="44"/>
  <c r="O769" i="44"/>
  <c r="U769" i="44"/>
  <c r="W769" i="44" s="1"/>
  <c r="O770" i="44"/>
  <c r="U770" i="44"/>
  <c r="W770" i="44"/>
  <c r="O773" i="44"/>
  <c r="U773" i="44"/>
  <c r="W773" i="44" s="1"/>
  <c r="O774" i="44"/>
  <c r="U774" i="44" s="1"/>
  <c r="W774" i="44" s="1"/>
  <c r="G776" i="44"/>
  <c r="I776" i="44" s="1"/>
  <c r="J776" i="44"/>
  <c r="L776" i="44"/>
  <c r="M776" i="44"/>
  <c r="N776" i="44"/>
  <c r="N879" i="44" s="1"/>
  <c r="Q776" i="44"/>
  <c r="R776" i="44"/>
  <c r="S776" i="44"/>
  <c r="S879" i="44" s="1"/>
  <c r="U792" i="44"/>
  <c r="V792" i="44"/>
  <c r="W792" i="44"/>
  <c r="O800" i="44"/>
  <c r="O801" i="44"/>
  <c r="U801" i="44"/>
  <c r="W801" i="44" s="1"/>
  <c r="O802" i="44"/>
  <c r="U802" i="44"/>
  <c r="W802" i="44"/>
  <c r="G803" i="44"/>
  <c r="U803" i="44"/>
  <c r="W803" i="44" s="1"/>
  <c r="U809" i="44"/>
  <c r="O810" i="44"/>
  <c r="U810" i="44"/>
  <c r="W810" i="44"/>
  <c r="C812" i="44"/>
  <c r="G812" i="44"/>
  <c r="I812" i="44"/>
  <c r="J812" i="44"/>
  <c r="L812" i="44"/>
  <c r="M812" i="44"/>
  <c r="N812" i="44"/>
  <c r="Q812" i="44"/>
  <c r="R812" i="44"/>
  <c r="S812" i="44"/>
  <c r="V812" i="44"/>
  <c r="X812" i="44" s="1"/>
  <c r="V827" i="44"/>
  <c r="W827" i="44"/>
  <c r="V828" i="44"/>
  <c r="W828" i="44"/>
  <c r="O829" i="44"/>
  <c r="U829" i="44"/>
  <c r="C832" i="44"/>
  <c r="G832" i="44"/>
  <c r="I832" i="44" s="1"/>
  <c r="J832" i="44"/>
  <c r="L832" i="44"/>
  <c r="M832" i="44"/>
  <c r="N832" i="44"/>
  <c r="O832" i="44"/>
  <c r="Q832" i="44"/>
  <c r="R832" i="44"/>
  <c r="S832" i="44"/>
  <c r="V837" i="44"/>
  <c r="V838" i="44"/>
  <c r="O840" i="44"/>
  <c r="U840" i="44"/>
  <c r="O841" i="44"/>
  <c r="U841" i="44" s="1"/>
  <c r="W841" i="44" s="1"/>
  <c r="O842" i="44"/>
  <c r="U842" i="44"/>
  <c r="W842" i="44"/>
  <c r="O843" i="44"/>
  <c r="U843" i="44" s="1"/>
  <c r="W843" i="44"/>
  <c r="O844" i="44"/>
  <c r="U844" i="44"/>
  <c r="W844" i="44" s="1"/>
  <c r="W846" i="44"/>
  <c r="W847" i="44"/>
  <c r="W848" i="44"/>
  <c r="W849" i="44"/>
  <c r="W850" i="44"/>
  <c r="C852" i="44"/>
  <c r="G852" i="44"/>
  <c r="J852" i="44"/>
  <c r="I852" i="44" s="1"/>
  <c r="L852" i="44"/>
  <c r="M852" i="44"/>
  <c r="N852" i="44"/>
  <c r="Q852" i="44"/>
  <c r="R852" i="44"/>
  <c r="S852" i="44"/>
  <c r="V867" i="44"/>
  <c r="V869" i="44"/>
  <c r="V870" i="44"/>
  <c r="V871" i="44"/>
  <c r="O873" i="44"/>
  <c r="U873" i="44"/>
  <c r="V873" i="44"/>
  <c r="I875" i="44"/>
  <c r="J875" i="44"/>
  <c r="L875" i="44"/>
  <c r="M875" i="44"/>
  <c r="N875" i="44"/>
  <c r="O875" i="44"/>
  <c r="Q875" i="44"/>
  <c r="R875" i="44"/>
  <c r="S875" i="44"/>
  <c r="Q879" i="44"/>
  <c r="J15" i="43"/>
  <c r="N15" i="43"/>
  <c r="A17" i="43"/>
  <c r="J17" i="43"/>
  <c r="N17" i="43" s="1"/>
  <c r="T17" i="43"/>
  <c r="A18" i="43"/>
  <c r="J18" i="43"/>
  <c r="N18" i="43" s="1"/>
  <c r="T18" i="43"/>
  <c r="U18" i="43" s="1"/>
  <c r="V18" i="43"/>
  <c r="J19" i="43"/>
  <c r="N19" i="43"/>
  <c r="T19" i="43"/>
  <c r="J20" i="43"/>
  <c r="G21" i="43"/>
  <c r="L21" i="43"/>
  <c r="P21" i="43"/>
  <c r="P23" i="43" s="1"/>
  <c r="Q21" i="43"/>
  <c r="R21" i="43"/>
  <c r="G23" i="43"/>
  <c r="L23" i="43"/>
  <c r="L34" i="43" s="1"/>
  <c r="M23" i="43"/>
  <c r="Q23" i="43"/>
  <c r="Q34" i="43" s="1"/>
  <c r="R23" i="43"/>
  <c r="R34" i="43" s="1"/>
  <c r="J25" i="43"/>
  <c r="N25" i="43"/>
  <c r="T25" i="43"/>
  <c r="V25" i="43" s="1"/>
  <c r="U25" i="43"/>
  <c r="W25" i="43"/>
  <c r="J28" i="43"/>
  <c r="J29" i="43"/>
  <c r="N29" i="43" s="1"/>
  <c r="T29" i="43"/>
  <c r="U29" i="43" s="1"/>
  <c r="V29" i="43"/>
  <c r="G30" i="43"/>
  <c r="L30" i="43"/>
  <c r="M30" i="43"/>
  <c r="P30" i="43"/>
  <c r="Q30" i="43"/>
  <c r="R30" i="43"/>
  <c r="J32" i="43"/>
  <c r="N32" i="43"/>
  <c r="T32" i="43" s="1"/>
  <c r="G34" i="43"/>
  <c r="M34" i="43"/>
  <c r="P34" i="43"/>
  <c r="J37" i="43"/>
  <c r="N37" i="43"/>
  <c r="J39" i="43"/>
  <c r="N39" i="43"/>
  <c r="T39" i="43" s="1"/>
  <c r="V39" i="43" s="1"/>
  <c r="U39" i="43"/>
  <c r="J40" i="43"/>
  <c r="N40" i="43" s="1"/>
  <c r="T40" i="43"/>
  <c r="U40" i="43"/>
  <c r="V40" i="43"/>
  <c r="J41" i="43"/>
  <c r="N41" i="43"/>
  <c r="T41" i="43" s="1"/>
  <c r="V41" i="43" s="1"/>
  <c r="U41" i="43"/>
  <c r="J42" i="43"/>
  <c r="N42" i="43"/>
  <c r="T42" i="43"/>
  <c r="U42" i="43" s="1"/>
  <c r="V42" i="43"/>
  <c r="J43" i="43"/>
  <c r="N43" i="43"/>
  <c r="T43" i="43" s="1"/>
  <c r="J44" i="43"/>
  <c r="N44" i="43" s="1"/>
  <c r="T44" i="43"/>
  <c r="U44" i="43" s="1"/>
  <c r="V44" i="43"/>
  <c r="G45" i="43"/>
  <c r="J45" i="43"/>
  <c r="L45" i="43"/>
  <c r="L47" i="43" s="1"/>
  <c r="M45" i="43"/>
  <c r="P45" i="43"/>
  <c r="Q45" i="43"/>
  <c r="Q47" i="43" s="1"/>
  <c r="R45" i="43"/>
  <c r="G47" i="43"/>
  <c r="M47" i="43"/>
  <c r="P47" i="43"/>
  <c r="R47" i="43"/>
  <c r="R58" i="43" s="1"/>
  <c r="J49" i="43"/>
  <c r="N49" i="43"/>
  <c r="T49" i="43" s="1"/>
  <c r="V49" i="43" s="1"/>
  <c r="U49" i="43"/>
  <c r="W49" i="43"/>
  <c r="J52" i="43"/>
  <c r="N52" i="43"/>
  <c r="T52" i="43" s="1"/>
  <c r="J53" i="43"/>
  <c r="G54" i="43"/>
  <c r="L54" i="43"/>
  <c r="M54" i="43"/>
  <c r="P54" i="43"/>
  <c r="Q54" i="43"/>
  <c r="R54" i="43"/>
  <c r="J56" i="43"/>
  <c r="N56" i="43" s="1"/>
  <c r="T56" i="43" s="1"/>
  <c r="G58" i="43"/>
  <c r="M58" i="43"/>
  <c r="P58" i="43"/>
  <c r="Q58" i="43"/>
  <c r="J73" i="43"/>
  <c r="N73" i="43"/>
  <c r="N77" i="43" s="1"/>
  <c r="T73" i="43"/>
  <c r="V73" i="43" s="1"/>
  <c r="U73" i="43"/>
  <c r="W73" i="43" s="1"/>
  <c r="J74" i="43"/>
  <c r="N74" i="43"/>
  <c r="T74" i="43"/>
  <c r="U74" i="43"/>
  <c r="V74" i="43"/>
  <c r="W74" i="43"/>
  <c r="J75" i="43"/>
  <c r="N75" i="43" s="1"/>
  <c r="T75" i="43" s="1"/>
  <c r="G77" i="43"/>
  <c r="L77" i="43"/>
  <c r="M77" i="43"/>
  <c r="P77" i="43"/>
  <c r="Q77" i="43"/>
  <c r="R77" i="43"/>
  <c r="J79" i="43"/>
  <c r="N79" i="43"/>
  <c r="T79" i="43"/>
  <c r="U79" i="43"/>
  <c r="W79" i="43" s="1"/>
  <c r="V79" i="43"/>
  <c r="J82" i="43"/>
  <c r="N82" i="43"/>
  <c r="T82" i="43"/>
  <c r="U82" i="43"/>
  <c r="V82" i="43"/>
  <c r="J83" i="43"/>
  <c r="G84" i="43"/>
  <c r="L84" i="43"/>
  <c r="L88" i="43" s="1"/>
  <c r="M84" i="43"/>
  <c r="M88" i="43" s="1"/>
  <c r="P84" i="43"/>
  <c r="Q84" i="43"/>
  <c r="R84" i="43"/>
  <c r="J86" i="43"/>
  <c r="N86" i="43" s="1"/>
  <c r="T86" i="43" s="1"/>
  <c r="G88" i="43"/>
  <c r="P88" i="43"/>
  <c r="Q88" i="43"/>
  <c r="R88" i="43"/>
  <c r="J92" i="43"/>
  <c r="N92" i="43"/>
  <c r="T92" i="43"/>
  <c r="U92" i="43"/>
  <c r="W92" i="43" s="1"/>
  <c r="V92" i="43"/>
  <c r="J93" i="43"/>
  <c r="N93" i="43"/>
  <c r="T93" i="43"/>
  <c r="U93" i="43"/>
  <c r="V93" i="43"/>
  <c r="W93" i="43"/>
  <c r="J95" i="43"/>
  <c r="J97" i="43" s="1"/>
  <c r="I97" i="43" s="1"/>
  <c r="N95" i="43"/>
  <c r="T95" i="43" s="1"/>
  <c r="J96" i="43"/>
  <c r="N96" i="43"/>
  <c r="T96" i="43"/>
  <c r="U96" i="43" s="1"/>
  <c r="V96" i="43"/>
  <c r="G97" i="43"/>
  <c r="L97" i="43"/>
  <c r="L99" i="43" s="1"/>
  <c r="L110" i="43" s="1"/>
  <c r="M97" i="43"/>
  <c r="M99" i="43" s="1"/>
  <c r="M110" i="43" s="1"/>
  <c r="P97" i="43"/>
  <c r="P99" i="43" s="1"/>
  <c r="P110" i="43" s="1"/>
  <c r="Q97" i="43"/>
  <c r="Q99" i="43" s="1"/>
  <c r="Q110" i="43" s="1"/>
  <c r="R97" i="43"/>
  <c r="G99" i="43"/>
  <c r="I99" i="43"/>
  <c r="J99" i="43"/>
  <c r="R99" i="43"/>
  <c r="J101" i="43"/>
  <c r="N101" i="43"/>
  <c r="T101" i="43"/>
  <c r="U101" i="43"/>
  <c r="W101" i="43" s="1"/>
  <c r="V101" i="43"/>
  <c r="J104" i="43"/>
  <c r="N104" i="43"/>
  <c r="T104" i="43"/>
  <c r="U104" i="43"/>
  <c r="V104" i="43"/>
  <c r="J105" i="43"/>
  <c r="G106" i="43"/>
  <c r="L106" i="43"/>
  <c r="M106" i="43"/>
  <c r="P106" i="43"/>
  <c r="Q106" i="43"/>
  <c r="R106" i="43"/>
  <c r="J108" i="43"/>
  <c r="N108" i="43" s="1"/>
  <c r="T108" i="43" s="1"/>
  <c r="G110" i="43"/>
  <c r="R110" i="43"/>
  <c r="J125" i="43"/>
  <c r="N125" i="43"/>
  <c r="T125" i="43"/>
  <c r="U125" i="43"/>
  <c r="V125" i="43"/>
  <c r="W125" i="43"/>
  <c r="J126" i="43"/>
  <c r="N126" i="43"/>
  <c r="T126" i="43"/>
  <c r="U126" i="43"/>
  <c r="V126" i="43"/>
  <c r="W126" i="43"/>
  <c r="N127" i="43"/>
  <c r="J128" i="43"/>
  <c r="J129" i="43"/>
  <c r="N129" i="43"/>
  <c r="T129" i="43" s="1"/>
  <c r="V129" i="43" s="1"/>
  <c r="U129" i="43"/>
  <c r="G130" i="43"/>
  <c r="L130" i="43"/>
  <c r="L132" i="43" s="1"/>
  <c r="M130" i="43"/>
  <c r="M132" i="43" s="1"/>
  <c r="M143" i="43" s="1"/>
  <c r="P130" i="43"/>
  <c r="P132" i="43" s="1"/>
  <c r="P143" i="43" s="1"/>
  <c r="Q130" i="43"/>
  <c r="R130" i="43"/>
  <c r="G132" i="43"/>
  <c r="Q132" i="43"/>
  <c r="R132" i="43"/>
  <c r="R143" i="43" s="1"/>
  <c r="J134" i="43"/>
  <c r="N134" i="43"/>
  <c r="T134" i="43"/>
  <c r="J137" i="43"/>
  <c r="N137" i="43" s="1"/>
  <c r="J138" i="43"/>
  <c r="N138" i="43"/>
  <c r="T138" i="43" s="1"/>
  <c r="G139" i="43"/>
  <c r="J139" i="43"/>
  <c r="I139" i="43" s="1"/>
  <c r="L139" i="43"/>
  <c r="M139" i="43"/>
  <c r="P139" i="43"/>
  <c r="Q139" i="43"/>
  <c r="R139" i="43"/>
  <c r="J141" i="43"/>
  <c r="N141" i="43"/>
  <c r="T141" i="43" s="1"/>
  <c r="G143" i="43"/>
  <c r="Q143" i="43"/>
  <c r="J146" i="43"/>
  <c r="J148" i="43" s="1"/>
  <c r="J152" i="43" s="1"/>
  <c r="I152" i="43" s="1"/>
  <c r="N146" i="43"/>
  <c r="T146" i="43"/>
  <c r="V146" i="43" s="1"/>
  <c r="U146" i="43"/>
  <c r="W146" i="43" s="1"/>
  <c r="J147" i="43"/>
  <c r="N147" i="43" s="1"/>
  <c r="T147" i="43" s="1"/>
  <c r="U147" i="43" s="1"/>
  <c r="W147" i="43"/>
  <c r="I148" i="43"/>
  <c r="L148" i="43"/>
  <c r="M148" i="43"/>
  <c r="P148" i="43"/>
  <c r="Q148" i="43"/>
  <c r="Q152" i="43" s="1"/>
  <c r="R148" i="43"/>
  <c r="R152" i="43" s="1"/>
  <c r="J150" i="43"/>
  <c r="N150" i="43"/>
  <c r="T150" i="43"/>
  <c r="U150" i="43"/>
  <c r="V150" i="43"/>
  <c r="G152" i="43"/>
  <c r="L152" i="43"/>
  <c r="M152" i="43"/>
  <c r="P152" i="43"/>
  <c r="J167" i="43"/>
  <c r="N167" i="43"/>
  <c r="J170" i="43"/>
  <c r="N170" i="43"/>
  <c r="T170" i="43"/>
  <c r="J171" i="43"/>
  <c r="N171" i="43"/>
  <c r="T171" i="43" s="1"/>
  <c r="J172" i="43"/>
  <c r="J173" i="43" s="1"/>
  <c r="I173" i="43" s="1"/>
  <c r="N172" i="43"/>
  <c r="N173" i="43" s="1"/>
  <c r="G173" i="43"/>
  <c r="L173" i="43"/>
  <c r="L184" i="43" s="1"/>
  <c r="M173" i="43"/>
  <c r="M184" i="43" s="1"/>
  <c r="P173" i="43"/>
  <c r="Q173" i="43"/>
  <c r="R173" i="43"/>
  <c r="J177" i="43"/>
  <c r="J178" i="43"/>
  <c r="N178" i="43"/>
  <c r="T178" i="43"/>
  <c r="J179" i="43"/>
  <c r="N179" i="43"/>
  <c r="T179" i="43"/>
  <c r="U179" i="43"/>
  <c r="V179" i="43"/>
  <c r="G180" i="43"/>
  <c r="G184" i="43" s="1"/>
  <c r="G195" i="43" s="1"/>
  <c r="L180" i="43"/>
  <c r="M180" i="43"/>
  <c r="P180" i="43"/>
  <c r="P184" i="43" s="1"/>
  <c r="P195" i="43" s="1"/>
  <c r="Q180" i="43"/>
  <c r="R180" i="43"/>
  <c r="N182" i="43"/>
  <c r="T182" i="43"/>
  <c r="Q184" i="43"/>
  <c r="Q195" i="43" s="1"/>
  <c r="R184" i="43"/>
  <c r="J186" i="43"/>
  <c r="N186" i="43"/>
  <c r="T186" i="43"/>
  <c r="U186" i="43" s="1"/>
  <c r="V186" i="43"/>
  <c r="J189" i="43"/>
  <c r="J190" i="43"/>
  <c r="N190" i="43"/>
  <c r="T190" i="43"/>
  <c r="G191" i="43"/>
  <c r="L191" i="43"/>
  <c r="M191" i="43"/>
  <c r="P191" i="43"/>
  <c r="Q191" i="43"/>
  <c r="R191" i="43"/>
  <c r="J193" i="43"/>
  <c r="N193" i="43"/>
  <c r="T193" i="43" s="1"/>
  <c r="L195" i="43"/>
  <c r="R195" i="43"/>
  <c r="J198" i="43"/>
  <c r="N198" i="43"/>
  <c r="T198" i="43"/>
  <c r="U198" i="43"/>
  <c r="V198" i="43"/>
  <c r="W198" i="43"/>
  <c r="J199" i="43"/>
  <c r="N199" i="43" s="1"/>
  <c r="T199" i="43" s="1"/>
  <c r="U199" i="43" s="1"/>
  <c r="V199" i="43"/>
  <c r="W199" i="43"/>
  <c r="J201" i="43"/>
  <c r="T201" i="43"/>
  <c r="U201" i="43"/>
  <c r="J202" i="43"/>
  <c r="T202" i="43"/>
  <c r="U202" i="43"/>
  <c r="V202" i="43"/>
  <c r="J203" i="43"/>
  <c r="T203" i="43"/>
  <c r="U203" i="43"/>
  <c r="G204" i="43"/>
  <c r="J204" i="43"/>
  <c r="I204" i="43" s="1"/>
  <c r="L204" i="43"/>
  <c r="L209" i="43" s="1"/>
  <c r="L220" i="43" s="1"/>
  <c r="M204" i="43"/>
  <c r="N204" i="43"/>
  <c r="N209" i="43" s="1"/>
  <c r="P204" i="43"/>
  <c r="P209" i="43" s="1"/>
  <c r="Q204" i="43"/>
  <c r="R204" i="43"/>
  <c r="N206" i="43"/>
  <c r="T206" i="43"/>
  <c r="N207" i="43"/>
  <c r="T207" i="43"/>
  <c r="G209" i="43"/>
  <c r="I209" i="43"/>
  <c r="J209" i="43"/>
  <c r="M209" i="43"/>
  <c r="Q209" i="43"/>
  <c r="R209" i="43"/>
  <c r="J211" i="43"/>
  <c r="N211" i="43" s="1"/>
  <c r="T211" i="43" s="1"/>
  <c r="U211" i="43" s="1"/>
  <c r="W211" i="43" s="1"/>
  <c r="V211" i="43"/>
  <c r="J214" i="43"/>
  <c r="J216" i="43" s="1"/>
  <c r="N214" i="43"/>
  <c r="J215" i="43"/>
  <c r="N215" i="43"/>
  <c r="T215" i="43" s="1"/>
  <c r="V215" i="43" s="1"/>
  <c r="U215" i="43"/>
  <c r="G216" i="43"/>
  <c r="L216" i="43"/>
  <c r="M216" i="43"/>
  <c r="P216" i="43"/>
  <c r="Q216" i="43"/>
  <c r="Q220" i="43" s="1"/>
  <c r="R216" i="43"/>
  <c r="R220" i="43" s="1"/>
  <c r="W216" i="43"/>
  <c r="J218" i="43"/>
  <c r="N218" i="43"/>
  <c r="T218" i="43" s="1"/>
  <c r="G220" i="43"/>
  <c r="J220" i="43"/>
  <c r="I220" i="43" s="1"/>
  <c r="J235" i="43"/>
  <c r="N235" i="43" s="1"/>
  <c r="T235" i="43" s="1"/>
  <c r="J236" i="43"/>
  <c r="N236" i="43" s="1"/>
  <c r="T236" i="43" s="1"/>
  <c r="J238" i="43"/>
  <c r="T238" i="43"/>
  <c r="V238" i="43" s="1"/>
  <c r="U238" i="43"/>
  <c r="J239" i="43"/>
  <c r="T239" i="43"/>
  <c r="U239" i="43" s="1"/>
  <c r="G240" i="43"/>
  <c r="G244" i="43" s="1"/>
  <c r="G255" i="43" s="1"/>
  <c r="J240" i="43"/>
  <c r="L240" i="43"/>
  <c r="M240" i="43"/>
  <c r="M244" i="43" s="1"/>
  <c r="M255" i="43" s="1"/>
  <c r="N240" i="43"/>
  <c r="P240" i="43"/>
  <c r="Q240" i="43"/>
  <c r="R240" i="43"/>
  <c r="R244" i="43" s="1"/>
  <c r="R255" i="43" s="1"/>
  <c r="T240" i="43"/>
  <c r="N242" i="43"/>
  <c r="T242" i="43" s="1"/>
  <c r="J244" i="43"/>
  <c r="L244" i="43"/>
  <c r="P244" i="43"/>
  <c r="Q244" i="43"/>
  <c r="J246" i="43"/>
  <c r="N246" i="43" s="1"/>
  <c r="T246" i="43" s="1"/>
  <c r="U246" i="43" s="1"/>
  <c r="W246" i="43" s="1"/>
  <c r="V246" i="43"/>
  <c r="J249" i="43"/>
  <c r="J250" i="43"/>
  <c r="N250" i="43"/>
  <c r="T250" i="43" s="1"/>
  <c r="V250" i="43" s="1"/>
  <c r="U250" i="43"/>
  <c r="G251" i="43"/>
  <c r="L251" i="43"/>
  <c r="M251" i="43"/>
  <c r="P251" i="43"/>
  <c r="Q251" i="43"/>
  <c r="R251" i="43"/>
  <c r="W251" i="43"/>
  <c r="J253" i="43"/>
  <c r="N253" i="43" s="1"/>
  <c r="T253" i="43" s="1"/>
  <c r="V253" i="43" s="1"/>
  <c r="L255" i="43"/>
  <c r="P255" i="43"/>
  <c r="Q255" i="43"/>
  <c r="J258" i="43"/>
  <c r="N258" i="43" s="1"/>
  <c r="T258" i="43" s="1"/>
  <c r="U258" i="43" s="1"/>
  <c r="V258" i="43"/>
  <c r="J259" i="43"/>
  <c r="N259" i="43" s="1"/>
  <c r="T259" i="43"/>
  <c r="J260" i="43"/>
  <c r="N260" i="43"/>
  <c r="T260" i="43" s="1"/>
  <c r="V260" i="43" s="1"/>
  <c r="N262" i="43"/>
  <c r="T262" i="43" s="1"/>
  <c r="G264" i="43"/>
  <c r="J264" i="43"/>
  <c r="I264" i="43" s="1"/>
  <c r="L264" i="43"/>
  <c r="L275" i="43" s="1"/>
  <c r="M264" i="43"/>
  <c r="P264" i="43"/>
  <c r="Q264" i="43"/>
  <c r="Q275" i="43" s="1"/>
  <c r="R264" i="43"/>
  <c r="J266" i="43"/>
  <c r="N266" i="43" s="1"/>
  <c r="T266" i="43"/>
  <c r="N267" i="43"/>
  <c r="J269" i="43"/>
  <c r="N269" i="43" s="1"/>
  <c r="J270" i="43"/>
  <c r="N270" i="43"/>
  <c r="T270" i="43" s="1"/>
  <c r="G271" i="43"/>
  <c r="I271" i="43"/>
  <c r="J271" i="43"/>
  <c r="J275" i="43" s="1"/>
  <c r="L271" i="43"/>
  <c r="M271" i="43"/>
  <c r="O271" i="43"/>
  <c r="P271" i="43"/>
  <c r="Q271" i="43"/>
  <c r="R271" i="43"/>
  <c r="J273" i="43"/>
  <c r="N273" i="43" s="1"/>
  <c r="T273" i="43" s="1"/>
  <c r="V273" i="43" s="1"/>
  <c r="U273" i="43"/>
  <c r="W273" i="43" s="1"/>
  <c r="G275" i="43"/>
  <c r="P275" i="43"/>
  <c r="R275" i="43"/>
  <c r="J290" i="43"/>
  <c r="J292" i="43"/>
  <c r="N292" i="43" s="1"/>
  <c r="T292" i="43"/>
  <c r="V292" i="43" s="1"/>
  <c r="J293" i="43"/>
  <c r="N293" i="43" s="1"/>
  <c r="T293" i="43"/>
  <c r="J294" i="43"/>
  <c r="N294" i="43"/>
  <c r="T294" i="43" s="1"/>
  <c r="J295" i="43"/>
  <c r="N295" i="43" s="1"/>
  <c r="T295" i="43" s="1"/>
  <c r="V295" i="43" s="1"/>
  <c r="U295" i="43"/>
  <c r="J296" i="43"/>
  <c r="N296" i="43"/>
  <c r="T296" i="43" s="1"/>
  <c r="G297" i="43"/>
  <c r="L297" i="43"/>
  <c r="L299" i="43" s="1"/>
  <c r="L316" i="43" s="1"/>
  <c r="M297" i="43"/>
  <c r="P297" i="43"/>
  <c r="P299" i="43" s="1"/>
  <c r="Q297" i="43"/>
  <c r="R297" i="43"/>
  <c r="G299" i="43"/>
  <c r="G316" i="43" s="1"/>
  <c r="M299" i="43"/>
  <c r="Q299" i="43"/>
  <c r="R299" i="43"/>
  <c r="J302" i="43"/>
  <c r="N302" i="43" s="1"/>
  <c r="T302" i="43" s="1"/>
  <c r="J303" i="43"/>
  <c r="N303" i="43" s="1"/>
  <c r="T303" i="43" s="1"/>
  <c r="V303" i="43" s="1"/>
  <c r="U303" i="43"/>
  <c r="G304" i="43"/>
  <c r="L304" i="43"/>
  <c r="M304" i="43"/>
  <c r="P304" i="43"/>
  <c r="Q304" i="43"/>
  <c r="R304" i="43"/>
  <c r="J307" i="43"/>
  <c r="N307" i="43"/>
  <c r="J308" i="43"/>
  <c r="N308" i="43" s="1"/>
  <c r="T308" i="43" s="1"/>
  <c r="V308" i="43" s="1"/>
  <c r="U308" i="43"/>
  <c r="G309" i="43"/>
  <c r="L309" i="43"/>
  <c r="M309" i="43"/>
  <c r="P309" i="43"/>
  <c r="Q309" i="43"/>
  <c r="Q316" i="43" s="1"/>
  <c r="R309" i="43"/>
  <c r="J312" i="43"/>
  <c r="N312" i="43"/>
  <c r="T312" i="43"/>
  <c r="V312" i="43" s="1"/>
  <c r="J313" i="43"/>
  <c r="N313" i="43"/>
  <c r="T313" i="43" s="1"/>
  <c r="G314" i="43"/>
  <c r="J314" i="43"/>
  <c r="L314" i="43"/>
  <c r="M314" i="43"/>
  <c r="P314" i="43"/>
  <c r="Q314" i="43"/>
  <c r="R314" i="43"/>
  <c r="J319" i="43"/>
  <c r="N319" i="43" s="1"/>
  <c r="T319" i="43"/>
  <c r="J321" i="43"/>
  <c r="J322" i="43"/>
  <c r="N322" i="43" s="1"/>
  <c r="T322" i="43"/>
  <c r="J323" i="43"/>
  <c r="N323" i="43" s="1"/>
  <c r="T323" i="43" s="1"/>
  <c r="J324" i="43"/>
  <c r="N324" i="43"/>
  <c r="T324" i="43" s="1"/>
  <c r="V324" i="43" s="1"/>
  <c r="J325" i="43"/>
  <c r="N325" i="43" s="1"/>
  <c r="T325" i="43" s="1"/>
  <c r="V325" i="43" s="1"/>
  <c r="U325" i="43"/>
  <c r="G326" i="43"/>
  <c r="G328" i="43" s="1"/>
  <c r="L326" i="43"/>
  <c r="L328" i="43" s="1"/>
  <c r="M326" i="43"/>
  <c r="P326" i="43"/>
  <c r="Q326" i="43"/>
  <c r="Q328" i="43" s="1"/>
  <c r="Q345" i="43" s="1"/>
  <c r="R326" i="43"/>
  <c r="R328" i="43" s="1"/>
  <c r="R345" i="43" s="1"/>
  <c r="M328" i="43"/>
  <c r="P328" i="43"/>
  <c r="J331" i="43"/>
  <c r="N331" i="43"/>
  <c r="T331" i="43" s="1"/>
  <c r="V331" i="43"/>
  <c r="J332" i="43"/>
  <c r="N332" i="43" s="1"/>
  <c r="N333" i="43" s="1"/>
  <c r="G333" i="43"/>
  <c r="L333" i="43"/>
  <c r="M333" i="43"/>
  <c r="P333" i="43"/>
  <c r="Q333" i="43"/>
  <c r="R333" i="43"/>
  <c r="J336" i="43"/>
  <c r="J337" i="43"/>
  <c r="N337" i="43"/>
  <c r="T337" i="43" s="1"/>
  <c r="V337" i="43" s="1"/>
  <c r="G338" i="43"/>
  <c r="L338" i="43"/>
  <c r="M338" i="43"/>
  <c r="P338" i="43"/>
  <c r="Q338" i="43"/>
  <c r="R338" i="43"/>
  <c r="J341" i="43"/>
  <c r="J343" i="43" s="1"/>
  <c r="N341" i="43"/>
  <c r="T341" i="43" s="1"/>
  <c r="J342" i="43"/>
  <c r="N342" i="43"/>
  <c r="T342" i="43"/>
  <c r="U342" i="43" s="1"/>
  <c r="V342" i="43"/>
  <c r="G343" i="43"/>
  <c r="I343" i="43"/>
  <c r="L343" i="43"/>
  <c r="M343" i="43"/>
  <c r="N343" i="43"/>
  <c r="P343" i="43"/>
  <c r="Q343" i="43"/>
  <c r="R343" i="43"/>
  <c r="G345" i="43"/>
  <c r="M345" i="43"/>
  <c r="J359" i="43"/>
  <c r="N359" i="43" s="1"/>
  <c r="T359" i="43"/>
  <c r="J361" i="43"/>
  <c r="N361" i="43"/>
  <c r="T361" i="43" s="1"/>
  <c r="U361" i="43" s="1"/>
  <c r="V361" i="43"/>
  <c r="J362" i="43"/>
  <c r="N362" i="43" s="1"/>
  <c r="T362" i="43"/>
  <c r="U362" i="43" s="1"/>
  <c r="V362" i="43"/>
  <c r="G363" i="43"/>
  <c r="J363" i="43"/>
  <c r="L363" i="43"/>
  <c r="M363" i="43"/>
  <c r="N363" i="43"/>
  <c r="O363" i="43"/>
  <c r="P363" i="43"/>
  <c r="P373" i="43" s="1"/>
  <c r="Q363" i="43"/>
  <c r="Q373" i="43" s="1"/>
  <c r="R363" i="43"/>
  <c r="T363" i="43"/>
  <c r="U363" i="43" s="1"/>
  <c r="J366" i="43"/>
  <c r="N366" i="43"/>
  <c r="T366" i="43" s="1"/>
  <c r="U366" i="43" s="1"/>
  <c r="V366" i="43"/>
  <c r="J367" i="43"/>
  <c r="G368" i="43"/>
  <c r="L368" i="43"/>
  <c r="M368" i="43"/>
  <c r="O368" i="43"/>
  <c r="P368" i="43"/>
  <c r="Q368" i="43"/>
  <c r="R368" i="43"/>
  <c r="J370" i="43"/>
  <c r="N370" i="43"/>
  <c r="T370" i="43" s="1"/>
  <c r="J371" i="43"/>
  <c r="N371" i="43"/>
  <c r="T371" i="43" s="1"/>
  <c r="V371" i="43" s="1"/>
  <c r="U371" i="43"/>
  <c r="W371" i="43" s="1"/>
  <c r="G373" i="43"/>
  <c r="L373" i="43"/>
  <c r="L396" i="43" s="1"/>
  <c r="M373" i="43"/>
  <c r="R373" i="43"/>
  <c r="J376" i="43"/>
  <c r="J377" i="43"/>
  <c r="N377" i="43"/>
  <c r="T377" i="43" s="1"/>
  <c r="J379" i="43"/>
  <c r="N379" i="43"/>
  <c r="T379" i="43" s="1"/>
  <c r="J380" i="43"/>
  <c r="N380" i="43"/>
  <c r="T380" i="43" s="1"/>
  <c r="U380" i="43" s="1"/>
  <c r="V380" i="43"/>
  <c r="J382" i="43"/>
  <c r="N382" i="43" s="1"/>
  <c r="T382" i="43"/>
  <c r="U382" i="43" s="1"/>
  <c r="V382" i="43"/>
  <c r="J383" i="43"/>
  <c r="L383" i="43"/>
  <c r="M383" i="43"/>
  <c r="G384" i="43"/>
  <c r="L384" i="43"/>
  <c r="P384" i="43"/>
  <c r="Q384" i="43"/>
  <c r="R384" i="43"/>
  <c r="R396" i="43" s="1"/>
  <c r="J387" i="43"/>
  <c r="J389" i="43" s="1"/>
  <c r="N387" i="43"/>
  <c r="T387" i="43" s="1"/>
  <c r="V387" i="43" s="1"/>
  <c r="U387" i="43"/>
  <c r="J388" i="43"/>
  <c r="N388" i="43"/>
  <c r="T388" i="43"/>
  <c r="G389" i="43"/>
  <c r="I389" i="43"/>
  <c r="L389" i="43"/>
  <c r="M389" i="43"/>
  <c r="P389" i="43"/>
  <c r="Q389" i="43"/>
  <c r="R389" i="43"/>
  <c r="T389" i="43"/>
  <c r="U389" i="43" s="1"/>
  <c r="W389" i="43" s="1"/>
  <c r="J392" i="43"/>
  <c r="N392" i="43" s="1"/>
  <c r="N394" i="43" s="1"/>
  <c r="T392" i="43"/>
  <c r="V392" i="43" s="1"/>
  <c r="J393" i="43"/>
  <c r="N393" i="43" s="1"/>
  <c r="T393" i="43"/>
  <c r="G394" i="43"/>
  <c r="L394" i="43"/>
  <c r="M394" i="43"/>
  <c r="P394" i="43"/>
  <c r="Q394" i="43"/>
  <c r="R394" i="43"/>
  <c r="G396" i="43"/>
  <c r="J399" i="43"/>
  <c r="J400" i="43"/>
  <c r="N400" i="43" s="1"/>
  <c r="T400" i="43" s="1"/>
  <c r="J401" i="43"/>
  <c r="N401" i="43" s="1"/>
  <c r="T401" i="43" s="1"/>
  <c r="U401" i="43" s="1"/>
  <c r="W401" i="43" s="1"/>
  <c r="V401" i="43"/>
  <c r="J402" i="43"/>
  <c r="N402" i="43"/>
  <c r="T402" i="43"/>
  <c r="U402" i="43" s="1"/>
  <c r="G403" i="43"/>
  <c r="L403" i="43"/>
  <c r="M403" i="43"/>
  <c r="M412" i="43" s="1"/>
  <c r="P403" i="43"/>
  <c r="Q403" i="43"/>
  <c r="Q412" i="43" s="1"/>
  <c r="R403" i="43"/>
  <c r="R412" i="43" s="1"/>
  <c r="J405" i="43"/>
  <c r="N405" i="43" s="1"/>
  <c r="T405" i="43"/>
  <c r="J408" i="43"/>
  <c r="N408" i="43"/>
  <c r="T408" i="43"/>
  <c r="V408" i="43"/>
  <c r="J409" i="43"/>
  <c r="N409" i="43"/>
  <c r="T409" i="43" s="1"/>
  <c r="G410" i="43"/>
  <c r="J410" i="43"/>
  <c r="I410" i="43" s="1"/>
  <c r="L410" i="43"/>
  <c r="M410" i="43"/>
  <c r="P410" i="43"/>
  <c r="Q410" i="43"/>
  <c r="R410" i="43"/>
  <c r="G412" i="43"/>
  <c r="L412" i="43"/>
  <c r="P412" i="43"/>
  <c r="J426" i="43"/>
  <c r="N426" i="43"/>
  <c r="T426" i="43"/>
  <c r="J427" i="43"/>
  <c r="J428" i="43"/>
  <c r="N428" i="43"/>
  <c r="T428" i="43" s="1"/>
  <c r="V428" i="43" s="1"/>
  <c r="U428" i="43"/>
  <c r="W428" i="43" s="1"/>
  <c r="J429" i="43"/>
  <c r="N429" i="43" s="1"/>
  <c r="T429" i="43" s="1"/>
  <c r="U429" i="43" s="1"/>
  <c r="W429" i="43"/>
  <c r="J430" i="43"/>
  <c r="N430" i="43"/>
  <c r="T430" i="43" s="1"/>
  <c r="G432" i="43"/>
  <c r="L432" i="43"/>
  <c r="L450" i="43" s="1"/>
  <c r="M432" i="43"/>
  <c r="P432" i="43"/>
  <c r="Q432" i="43"/>
  <c r="R432" i="43"/>
  <c r="R450" i="43" s="1"/>
  <c r="J435" i="43"/>
  <c r="N435" i="43" s="1"/>
  <c r="T435" i="43"/>
  <c r="J436" i="43"/>
  <c r="T436" i="43"/>
  <c r="V436" i="43" s="1"/>
  <c r="J438" i="43"/>
  <c r="N438" i="43" s="1"/>
  <c r="T438" i="43" s="1"/>
  <c r="V438" i="43"/>
  <c r="J439" i="43"/>
  <c r="N439" i="43"/>
  <c r="T439" i="43" s="1"/>
  <c r="V439" i="43" s="1"/>
  <c r="J441" i="43"/>
  <c r="N441" i="43" s="1"/>
  <c r="T441" i="43" s="1"/>
  <c r="U441" i="43" s="1"/>
  <c r="J442" i="43"/>
  <c r="G443" i="43"/>
  <c r="L443" i="43"/>
  <c r="M443" i="43"/>
  <c r="P443" i="43"/>
  <c r="Q443" i="43"/>
  <c r="Q450" i="43" s="1"/>
  <c r="R443" i="43"/>
  <c r="J446" i="43"/>
  <c r="N446" i="43"/>
  <c r="T446" i="43"/>
  <c r="J447" i="43"/>
  <c r="G448" i="43"/>
  <c r="L448" i="43"/>
  <c r="M448" i="43"/>
  <c r="P448" i="43"/>
  <c r="Q448" i="43"/>
  <c r="R448" i="43"/>
  <c r="G450" i="43"/>
  <c r="M450" i="43"/>
  <c r="P450" i="43"/>
  <c r="J454" i="43"/>
  <c r="J456" i="43"/>
  <c r="J457" i="43"/>
  <c r="N457" i="43" s="1"/>
  <c r="T457" i="43" s="1"/>
  <c r="V457" i="43" s="1"/>
  <c r="U457" i="43"/>
  <c r="J458" i="43"/>
  <c r="N458" i="43" s="1"/>
  <c r="T458" i="43" s="1"/>
  <c r="G459" i="43"/>
  <c r="G461" i="43" s="1"/>
  <c r="L459" i="43"/>
  <c r="L461" i="43" s="1"/>
  <c r="M459" i="43"/>
  <c r="P459" i="43"/>
  <c r="Q459" i="43"/>
  <c r="Q461" i="43" s="1"/>
  <c r="Q467" i="43" s="1"/>
  <c r="R459" i="43"/>
  <c r="R461" i="43" s="1"/>
  <c r="R467" i="43" s="1"/>
  <c r="M461" i="43"/>
  <c r="M467" i="43" s="1"/>
  <c r="P461" i="43"/>
  <c r="P467" i="43" s="1"/>
  <c r="J463" i="43"/>
  <c r="N463" i="43"/>
  <c r="T463" i="43" s="1"/>
  <c r="J465" i="43"/>
  <c r="N465" i="43"/>
  <c r="T465" i="43" s="1"/>
  <c r="G467" i="43"/>
  <c r="L467" i="43"/>
  <c r="J482" i="43"/>
  <c r="J484" i="43"/>
  <c r="J485" i="43"/>
  <c r="N485" i="43" s="1"/>
  <c r="T485" i="43" s="1"/>
  <c r="V485" i="43" s="1"/>
  <c r="U485" i="43"/>
  <c r="J486" i="43"/>
  <c r="N486" i="43" s="1"/>
  <c r="T486" i="43" s="1"/>
  <c r="J487" i="43"/>
  <c r="N487" i="43"/>
  <c r="T487" i="43" s="1"/>
  <c r="V487" i="43" s="1"/>
  <c r="U487" i="43"/>
  <c r="G488" i="43"/>
  <c r="G490" i="43" s="1"/>
  <c r="L488" i="43"/>
  <c r="L490" i="43" s="1"/>
  <c r="L496" i="43" s="1"/>
  <c r="M488" i="43"/>
  <c r="M490" i="43" s="1"/>
  <c r="M496" i="43" s="1"/>
  <c r="P488" i="43"/>
  <c r="P490" i="43" s="1"/>
  <c r="P496" i="43" s="1"/>
  <c r="Q488" i="43"/>
  <c r="R488" i="43"/>
  <c r="R490" i="43" s="1"/>
  <c r="Q490" i="43"/>
  <c r="Q496" i="43" s="1"/>
  <c r="J492" i="43"/>
  <c r="N492" i="43"/>
  <c r="T492" i="43"/>
  <c r="U492" i="43" s="1"/>
  <c r="W492" i="43" s="1"/>
  <c r="V492" i="43"/>
  <c r="J494" i="43"/>
  <c r="N494" i="43"/>
  <c r="T494" i="43" s="1"/>
  <c r="U494" i="43" s="1"/>
  <c r="W494" i="43" s="1"/>
  <c r="V494" i="43"/>
  <c r="G496" i="43"/>
  <c r="R496" i="43"/>
  <c r="J500" i="43"/>
  <c r="N500" i="43"/>
  <c r="J501" i="43"/>
  <c r="N501" i="43"/>
  <c r="T501" i="43" s="1"/>
  <c r="U501" i="43" s="1"/>
  <c r="V501" i="43"/>
  <c r="J502" i="43"/>
  <c r="N502" i="43"/>
  <c r="T502" i="43" s="1"/>
  <c r="G503" i="43"/>
  <c r="J503" i="43"/>
  <c r="I503" i="43" s="1"/>
  <c r="L503" i="43"/>
  <c r="M503" i="43"/>
  <c r="M513" i="43" s="1"/>
  <c r="M525" i="43" s="1"/>
  <c r="P503" i="43"/>
  <c r="Q503" i="43"/>
  <c r="R503" i="43"/>
  <c r="J506" i="43"/>
  <c r="N506" i="43"/>
  <c r="T506" i="43"/>
  <c r="U506" i="43" s="1"/>
  <c r="J507" i="43"/>
  <c r="G508" i="43"/>
  <c r="G513" i="43" s="1"/>
  <c r="G525" i="43" s="1"/>
  <c r="L508" i="43"/>
  <c r="L513" i="43" s="1"/>
  <c r="M508" i="43"/>
  <c r="P508" i="43"/>
  <c r="Q508" i="43"/>
  <c r="R508" i="43"/>
  <c r="R513" i="43" s="1"/>
  <c r="R525" i="43" s="1"/>
  <c r="J510" i="43"/>
  <c r="N510" i="43" s="1"/>
  <c r="T510" i="43" s="1"/>
  <c r="J511" i="43"/>
  <c r="N511" i="43" s="1"/>
  <c r="T511" i="43" s="1"/>
  <c r="P513" i="43"/>
  <c r="Q513" i="43"/>
  <c r="J516" i="43"/>
  <c r="N516" i="43"/>
  <c r="T516" i="43"/>
  <c r="U516" i="43" s="1"/>
  <c r="W516" i="43"/>
  <c r="J517" i="43"/>
  <c r="N517" i="43"/>
  <c r="T517" i="43" s="1"/>
  <c r="V517" i="43" s="1"/>
  <c r="W517" i="43"/>
  <c r="J518" i="43"/>
  <c r="N518" i="43"/>
  <c r="T518" i="43"/>
  <c r="U518" i="43" s="1"/>
  <c r="W518" i="43" s="1"/>
  <c r="V518" i="43"/>
  <c r="N519" i="43"/>
  <c r="G520" i="43"/>
  <c r="J520" i="43"/>
  <c r="I520" i="43" s="1"/>
  <c r="L520" i="43"/>
  <c r="M520" i="43"/>
  <c r="N520" i="43"/>
  <c r="P520" i="43"/>
  <c r="Q520" i="43"/>
  <c r="R520" i="43"/>
  <c r="J522" i="43"/>
  <c r="N522" i="43" s="1"/>
  <c r="T522" i="43" s="1"/>
  <c r="J523" i="43"/>
  <c r="N523" i="43" s="1"/>
  <c r="T523" i="43" s="1"/>
  <c r="P525" i="43"/>
  <c r="Q525" i="43"/>
  <c r="J540" i="43"/>
  <c r="N540" i="43"/>
  <c r="T540" i="43"/>
  <c r="U540" i="43" s="1"/>
  <c r="W540" i="43" s="1"/>
  <c r="J541" i="43"/>
  <c r="N541" i="43"/>
  <c r="T541" i="43" s="1"/>
  <c r="V541" i="43" s="1"/>
  <c r="W541" i="43"/>
  <c r="J542" i="43"/>
  <c r="N542" i="43"/>
  <c r="T542" i="43"/>
  <c r="U542" i="43" s="1"/>
  <c r="W542" i="43" s="1"/>
  <c r="V542" i="43"/>
  <c r="J543" i="43"/>
  <c r="N543" i="43"/>
  <c r="T543" i="43" s="1"/>
  <c r="U543" i="43"/>
  <c r="W543" i="43" s="1"/>
  <c r="V543" i="43"/>
  <c r="J544" i="43"/>
  <c r="N544" i="43" s="1"/>
  <c r="T544" i="43" s="1"/>
  <c r="V544" i="43" s="1"/>
  <c r="U544" i="43"/>
  <c r="W544" i="43" s="1"/>
  <c r="N545" i="43"/>
  <c r="G546" i="43"/>
  <c r="L546" i="43"/>
  <c r="M546" i="43"/>
  <c r="P546" i="43"/>
  <c r="Q546" i="43"/>
  <c r="Q558" i="43" s="1"/>
  <c r="R546" i="43"/>
  <c r="J549" i="43"/>
  <c r="N549" i="43"/>
  <c r="T549" i="43"/>
  <c r="V549" i="43"/>
  <c r="J550" i="43"/>
  <c r="N550" i="43"/>
  <c r="T550" i="43" s="1"/>
  <c r="U550" i="43" s="1"/>
  <c r="W550" i="43" s="1"/>
  <c r="V550" i="43"/>
  <c r="J551" i="43"/>
  <c r="N551" i="43" s="1"/>
  <c r="G553" i="43"/>
  <c r="G558" i="43" s="1"/>
  <c r="L553" i="43"/>
  <c r="M553" i="43"/>
  <c r="P553" i="43"/>
  <c r="Q553" i="43"/>
  <c r="R553" i="43"/>
  <c r="R558" i="43" s="1"/>
  <c r="J555" i="43"/>
  <c r="N555" i="43" s="1"/>
  <c r="T555" i="43" s="1"/>
  <c r="J556" i="43"/>
  <c r="N556" i="43"/>
  <c r="T556" i="43"/>
  <c r="U556" i="43" s="1"/>
  <c r="W556" i="43"/>
  <c r="L558" i="43"/>
  <c r="M558" i="43"/>
  <c r="P558" i="43"/>
  <c r="J562" i="43"/>
  <c r="N562" i="43"/>
  <c r="T562" i="43"/>
  <c r="V562" i="43"/>
  <c r="J563" i="43"/>
  <c r="N563" i="43"/>
  <c r="T563" i="43" s="1"/>
  <c r="U563" i="43" s="1"/>
  <c r="W563" i="43" s="1"/>
  <c r="V563" i="43"/>
  <c r="J564" i="43"/>
  <c r="N564" i="43" s="1"/>
  <c r="G566" i="43"/>
  <c r="G576" i="43" s="1"/>
  <c r="J566" i="43"/>
  <c r="L566" i="43"/>
  <c r="M566" i="43"/>
  <c r="P566" i="43"/>
  <c r="Q566" i="43"/>
  <c r="Q576" i="43" s="1"/>
  <c r="R566" i="43"/>
  <c r="R576" i="43" s="1"/>
  <c r="J569" i="43"/>
  <c r="J570" i="43"/>
  <c r="N570" i="43"/>
  <c r="T570" i="43"/>
  <c r="G572" i="43"/>
  <c r="L572" i="43"/>
  <c r="M572" i="43"/>
  <c r="P572" i="43"/>
  <c r="Q572" i="43"/>
  <c r="R572" i="43"/>
  <c r="J574" i="43"/>
  <c r="N574" i="43"/>
  <c r="T574" i="43"/>
  <c r="U574" i="43" s="1"/>
  <c r="W574" i="43" s="1"/>
  <c r="V574" i="43"/>
  <c r="L576" i="43"/>
  <c r="M576" i="43"/>
  <c r="P576" i="43"/>
  <c r="J591" i="43"/>
  <c r="N591" i="43"/>
  <c r="J592" i="43"/>
  <c r="N592" i="43"/>
  <c r="T592" i="43" s="1"/>
  <c r="V592" i="43" s="1"/>
  <c r="G594" i="43"/>
  <c r="J594" i="43"/>
  <c r="I594" i="43" s="1"/>
  <c r="L594" i="43"/>
  <c r="L598" i="43" s="1"/>
  <c r="M594" i="43"/>
  <c r="P594" i="43"/>
  <c r="Q594" i="43"/>
  <c r="R594" i="43"/>
  <c r="J596" i="43"/>
  <c r="G598" i="43"/>
  <c r="M598" i="43"/>
  <c r="P598" i="43"/>
  <c r="Q598" i="43"/>
  <c r="R598" i="43"/>
  <c r="J601" i="43"/>
  <c r="J604" i="43"/>
  <c r="N604" i="43"/>
  <c r="T604" i="43"/>
  <c r="J605" i="43"/>
  <c r="N605" i="43"/>
  <c r="T605" i="43" s="1"/>
  <c r="J607" i="43"/>
  <c r="N607" i="43"/>
  <c r="T607" i="43" s="1"/>
  <c r="V607" i="43" s="1"/>
  <c r="J608" i="43"/>
  <c r="N608" i="43" s="1"/>
  <c r="T608" i="43" s="1"/>
  <c r="V608" i="43" s="1"/>
  <c r="U608" i="43"/>
  <c r="W608" i="43" s="1"/>
  <c r="J610" i="43"/>
  <c r="N610" i="43"/>
  <c r="T610" i="43"/>
  <c r="J611" i="43"/>
  <c r="N611" i="43"/>
  <c r="T611" i="43" s="1"/>
  <c r="U611" i="43" s="1"/>
  <c r="W611" i="43" s="1"/>
  <c r="V611" i="43"/>
  <c r="J613" i="43"/>
  <c r="N613" i="43"/>
  <c r="T613" i="43" s="1"/>
  <c r="G615" i="43"/>
  <c r="G632" i="43" s="1"/>
  <c r="L615" i="43"/>
  <c r="M615" i="43"/>
  <c r="P615" i="43"/>
  <c r="P632" i="43" s="1"/>
  <c r="Q615" i="43"/>
  <c r="R615" i="43"/>
  <c r="R632" i="43" s="1"/>
  <c r="J619" i="43"/>
  <c r="N619" i="43"/>
  <c r="J621" i="43"/>
  <c r="N621" i="43"/>
  <c r="T621" i="43" s="1"/>
  <c r="V621" i="43" s="1"/>
  <c r="W621" i="43"/>
  <c r="J622" i="43"/>
  <c r="N622" i="43"/>
  <c r="T622" i="43" s="1"/>
  <c r="V622" i="43"/>
  <c r="W622" i="43"/>
  <c r="J623" i="43"/>
  <c r="N623" i="43"/>
  <c r="T623" i="43" s="1"/>
  <c r="V623" i="43" s="1"/>
  <c r="J624" i="43"/>
  <c r="N624" i="43" s="1"/>
  <c r="T624" i="43"/>
  <c r="V624" i="43"/>
  <c r="J626" i="43"/>
  <c r="N626" i="43"/>
  <c r="T626" i="43" s="1"/>
  <c r="U626" i="43" s="1"/>
  <c r="W626" i="43" s="1"/>
  <c r="V626" i="43"/>
  <c r="J628" i="43"/>
  <c r="N628" i="43"/>
  <c r="T628" i="43" s="1"/>
  <c r="V628" i="43" s="1"/>
  <c r="W628" i="43"/>
  <c r="G630" i="43"/>
  <c r="L630" i="43"/>
  <c r="M630" i="43"/>
  <c r="P630" i="43"/>
  <c r="Q630" i="43"/>
  <c r="R630" i="43"/>
  <c r="M632" i="43"/>
  <c r="Q632" i="43"/>
  <c r="J647" i="43"/>
  <c r="N647" i="43"/>
  <c r="T647" i="43"/>
  <c r="V647" i="43"/>
  <c r="J650" i="43"/>
  <c r="N650" i="43"/>
  <c r="T650" i="43" s="1"/>
  <c r="J651" i="43"/>
  <c r="N651" i="43" s="1"/>
  <c r="T651" i="43" s="1"/>
  <c r="J653" i="43"/>
  <c r="N653" i="43" s="1"/>
  <c r="T653" i="43"/>
  <c r="J654" i="43"/>
  <c r="N654" i="43"/>
  <c r="T654" i="43"/>
  <c r="U654" i="43" s="1"/>
  <c r="W654" i="43" s="1"/>
  <c r="V654" i="43"/>
  <c r="J656" i="43"/>
  <c r="N656" i="43"/>
  <c r="T656" i="43" s="1"/>
  <c r="J657" i="43"/>
  <c r="N657" i="43" s="1"/>
  <c r="T657" i="43" s="1"/>
  <c r="V657" i="43" s="1"/>
  <c r="J659" i="43"/>
  <c r="W659" i="43"/>
  <c r="G661" i="43"/>
  <c r="G676" i="43" s="1"/>
  <c r="G678" i="43" s="1"/>
  <c r="L661" i="43"/>
  <c r="L678" i="43" s="1"/>
  <c r="M661" i="43"/>
  <c r="P661" i="43"/>
  <c r="Q661" i="43"/>
  <c r="R661" i="43"/>
  <c r="J665" i="43"/>
  <c r="J667" i="43"/>
  <c r="N667" i="43" s="1"/>
  <c r="T667" i="43" s="1"/>
  <c r="V667" i="43" s="1"/>
  <c r="W667" i="43"/>
  <c r="J668" i="43"/>
  <c r="N668" i="43" s="1"/>
  <c r="T668" i="43" s="1"/>
  <c r="V668" i="43" s="1"/>
  <c r="W668" i="43"/>
  <c r="J669" i="43"/>
  <c r="N669" i="43"/>
  <c r="T669" i="43"/>
  <c r="V669" i="43" s="1"/>
  <c r="W669" i="43"/>
  <c r="J670" i="43"/>
  <c r="N670" i="43"/>
  <c r="T670" i="43"/>
  <c r="V670" i="43" s="1"/>
  <c r="W670" i="43"/>
  <c r="J672" i="43"/>
  <c r="N672" i="43" s="1"/>
  <c r="T672" i="43"/>
  <c r="J674" i="43"/>
  <c r="N674" i="43"/>
  <c r="T674" i="43"/>
  <c r="V674" i="43" s="1"/>
  <c r="W674" i="43"/>
  <c r="L676" i="43"/>
  <c r="M676" i="43"/>
  <c r="M678" i="43" s="1"/>
  <c r="P676" i="43"/>
  <c r="Q676" i="43"/>
  <c r="Q678" i="43" s="1"/>
  <c r="R676" i="43"/>
  <c r="P678" i="43"/>
  <c r="R678" i="43"/>
  <c r="J693" i="43"/>
  <c r="N693" i="43" s="1"/>
  <c r="J695" i="43"/>
  <c r="N695" i="43"/>
  <c r="T695" i="43"/>
  <c r="U695" i="43" s="1"/>
  <c r="V695" i="43"/>
  <c r="W695" i="43"/>
  <c r="J696" i="43"/>
  <c r="N696" i="43"/>
  <c r="T696" i="43" s="1"/>
  <c r="J698" i="43"/>
  <c r="N698" i="43"/>
  <c r="T698" i="43" s="1"/>
  <c r="V698" i="43"/>
  <c r="W698" i="43"/>
  <c r="G700" i="43"/>
  <c r="L700" i="43"/>
  <c r="M700" i="43"/>
  <c r="M718" i="43" s="1"/>
  <c r="P700" i="43"/>
  <c r="P718" i="43" s="1"/>
  <c r="Q700" i="43"/>
  <c r="R700" i="43"/>
  <c r="J704" i="43"/>
  <c r="N704" i="43"/>
  <c r="J706" i="43"/>
  <c r="N706" i="43"/>
  <c r="T706" i="43" s="1"/>
  <c r="J707" i="43"/>
  <c r="N707" i="43" s="1"/>
  <c r="T707" i="43" s="1"/>
  <c r="V707" i="43" s="1"/>
  <c r="W707" i="43"/>
  <c r="J708" i="43"/>
  <c r="N708" i="43"/>
  <c r="T708" i="43" s="1"/>
  <c r="J709" i="43"/>
  <c r="N709" i="43" s="1"/>
  <c r="T709" i="43" s="1"/>
  <c r="J711" i="43"/>
  <c r="N711" i="43" s="1"/>
  <c r="T711" i="43" s="1"/>
  <c r="V711" i="43" s="1"/>
  <c r="U711" i="43"/>
  <c r="W711" i="43"/>
  <c r="J713" i="43"/>
  <c r="N713" i="43" s="1"/>
  <c r="T713" i="43" s="1"/>
  <c r="V713" i="43" s="1"/>
  <c r="W713" i="43"/>
  <c r="G715" i="43"/>
  <c r="J715" i="43"/>
  <c r="I715" i="43" s="1"/>
  <c r="L715" i="43"/>
  <c r="M715" i="43"/>
  <c r="P715" i="43"/>
  <c r="Q715" i="43"/>
  <c r="Q718" i="43" s="1"/>
  <c r="R715" i="43"/>
  <c r="R718" i="43" s="1"/>
  <c r="G718" i="43"/>
  <c r="L718" i="43"/>
  <c r="J736" i="43"/>
  <c r="W736" i="43"/>
  <c r="G737" i="43"/>
  <c r="U737" i="43"/>
  <c r="W737" i="43"/>
  <c r="L739" i="43"/>
  <c r="M739" i="43"/>
  <c r="P739" i="43"/>
  <c r="Q739" i="43"/>
  <c r="R739" i="43"/>
  <c r="J742" i="43"/>
  <c r="N742" i="43" s="1"/>
  <c r="G744" i="43"/>
  <c r="I744" i="43"/>
  <c r="J744" i="43"/>
  <c r="L744" i="43"/>
  <c r="M744" i="43"/>
  <c r="P744" i="43"/>
  <c r="Q744" i="43"/>
  <c r="R744" i="43"/>
  <c r="N747" i="43"/>
  <c r="T747" i="43"/>
  <c r="V747" i="43"/>
  <c r="J751" i="43"/>
  <c r="J752" i="43"/>
  <c r="N752" i="43"/>
  <c r="T752" i="43"/>
  <c r="J753" i="43"/>
  <c r="N753" i="43"/>
  <c r="T753" i="43" s="1"/>
  <c r="U753" i="43" s="1"/>
  <c r="J754" i="43"/>
  <c r="N754" i="43" s="1"/>
  <c r="T754" i="43" s="1"/>
  <c r="J755" i="43"/>
  <c r="N755" i="43" s="1"/>
  <c r="T755" i="43"/>
  <c r="J757" i="43"/>
  <c r="N757" i="43"/>
  <c r="T757" i="43"/>
  <c r="J760" i="43"/>
  <c r="N760" i="43"/>
  <c r="T760" i="43" s="1"/>
  <c r="U760" i="43" s="1"/>
  <c r="W760" i="43" s="1"/>
  <c r="V760" i="43"/>
  <c r="I761" i="43"/>
  <c r="V761" i="43"/>
  <c r="J762" i="43"/>
  <c r="N762" i="43"/>
  <c r="T762" i="43"/>
  <c r="V762" i="43" s="1"/>
  <c r="W762" i="43"/>
  <c r="J763" i="43"/>
  <c r="N763" i="43"/>
  <c r="T763" i="43"/>
  <c r="U763" i="43" s="1"/>
  <c r="W763" i="43" s="1"/>
  <c r="V763" i="43"/>
  <c r="J764" i="43"/>
  <c r="N764" i="43"/>
  <c r="T764" i="43" s="1"/>
  <c r="I765" i="43"/>
  <c r="J765" i="43"/>
  <c r="N767" i="43"/>
  <c r="T767" i="43" s="1"/>
  <c r="V767" i="43" s="1"/>
  <c r="N768" i="43"/>
  <c r="T768" i="43" s="1"/>
  <c r="V768" i="43" s="1"/>
  <c r="N771" i="43"/>
  <c r="T771" i="43" s="1"/>
  <c r="V771" i="43" s="1"/>
  <c r="N772" i="43"/>
  <c r="T772" i="43"/>
  <c r="V772" i="43"/>
  <c r="G774" i="43"/>
  <c r="L774" i="43"/>
  <c r="M774" i="43"/>
  <c r="P774" i="43"/>
  <c r="R774" i="43"/>
  <c r="N789" i="43"/>
  <c r="T789" i="43"/>
  <c r="V789" i="43" s="1"/>
  <c r="U789" i="43"/>
  <c r="W789" i="43" s="1"/>
  <c r="J791" i="43"/>
  <c r="N791" i="43" s="1"/>
  <c r="J792" i="43"/>
  <c r="N792" i="43"/>
  <c r="T792" i="43" s="1"/>
  <c r="J793" i="43"/>
  <c r="J809" i="43" s="1"/>
  <c r="N793" i="43"/>
  <c r="T793" i="43" s="1"/>
  <c r="V793" i="43" s="1"/>
  <c r="U793" i="43"/>
  <c r="W793" i="43" s="1"/>
  <c r="J797" i="43"/>
  <c r="N797" i="43" s="1"/>
  <c r="T797" i="43"/>
  <c r="V797" i="43" s="1"/>
  <c r="J798" i="43"/>
  <c r="N798" i="43"/>
  <c r="T798" i="43" s="1"/>
  <c r="V798" i="43" s="1"/>
  <c r="J799" i="43"/>
  <c r="N799" i="43" s="1"/>
  <c r="T799" i="43"/>
  <c r="V799" i="43"/>
  <c r="V800" i="43"/>
  <c r="N803" i="43"/>
  <c r="T803" i="43" s="1"/>
  <c r="V803" i="43" s="1"/>
  <c r="N804" i="43"/>
  <c r="T804" i="43" s="1"/>
  <c r="V804" i="43" s="1"/>
  <c r="N806" i="43"/>
  <c r="T806" i="43" s="1"/>
  <c r="V806" i="43"/>
  <c r="T807" i="43"/>
  <c r="V807" i="43" s="1"/>
  <c r="C809" i="43"/>
  <c r="G809" i="43"/>
  <c r="I809" i="43"/>
  <c r="L809" i="43"/>
  <c r="M809" i="43"/>
  <c r="P809" i="43"/>
  <c r="Q809" i="43"/>
  <c r="R809" i="43"/>
  <c r="J824" i="43"/>
  <c r="N824" i="43" s="1"/>
  <c r="T824" i="43" s="1"/>
  <c r="V824" i="43"/>
  <c r="J825" i="43"/>
  <c r="N825" i="43"/>
  <c r="J826" i="43"/>
  <c r="N827" i="43"/>
  <c r="T827" i="43" s="1"/>
  <c r="C829" i="43"/>
  <c r="G829" i="43"/>
  <c r="J829" i="43"/>
  <c r="I829" i="43" s="1"/>
  <c r="L829" i="43"/>
  <c r="M829" i="43"/>
  <c r="P829" i="43"/>
  <c r="Q829" i="43"/>
  <c r="R829" i="43"/>
  <c r="N831" i="43"/>
  <c r="T831" i="43"/>
  <c r="U831" i="43"/>
  <c r="J834" i="43"/>
  <c r="N834" i="43" s="1"/>
  <c r="J835" i="43"/>
  <c r="N835" i="43"/>
  <c r="T835" i="43" s="1"/>
  <c r="U835" i="43" s="1"/>
  <c r="W835" i="43" s="1"/>
  <c r="V835" i="43"/>
  <c r="N837" i="43"/>
  <c r="T837" i="43"/>
  <c r="U837" i="43" s="1"/>
  <c r="W837" i="43" s="1"/>
  <c r="V838" i="43"/>
  <c r="V839" i="43"/>
  <c r="V840" i="43"/>
  <c r="V841" i="43"/>
  <c r="V843" i="43"/>
  <c r="V844" i="43"/>
  <c r="V845" i="43"/>
  <c r="V846" i="43"/>
  <c r="V847" i="43"/>
  <c r="C849" i="43"/>
  <c r="G849" i="43"/>
  <c r="J849" i="43"/>
  <c r="I849" i="43" s="1"/>
  <c r="L849" i="43"/>
  <c r="M849" i="43"/>
  <c r="P849" i="43"/>
  <c r="Q849" i="43"/>
  <c r="R849" i="43"/>
  <c r="J864" i="43"/>
  <c r="N864" i="43" s="1"/>
  <c r="T864" i="43" s="1"/>
  <c r="U864" i="43"/>
  <c r="W864" i="43" s="1"/>
  <c r="J866" i="43"/>
  <c r="N866" i="43"/>
  <c r="T866" i="43" s="1"/>
  <c r="V866" i="43" s="1"/>
  <c r="W866" i="43"/>
  <c r="N867" i="43"/>
  <c r="T867" i="43" s="1"/>
  <c r="V867" i="43" s="1"/>
  <c r="U867" i="43"/>
  <c r="W867" i="43" s="1"/>
  <c r="N868" i="43"/>
  <c r="T868" i="43" s="1"/>
  <c r="V868" i="43" s="1"/>
  <c r="U868" i="43"/>
  <c r="W868" i="43" s="1"/>
  <c r="N870" i="43"/>
  <c r="T870" i="43" s="1"/>
  <c r="V870" i="43" s="1"/>
  <c r="U870" i="43"/>
  <c r="J872" i="43"/>
  <c r="I872" i="43" s="1"/>
  <c r="L872" i="43"/>
  <c r="M872" i="43"/>
  <c r="N872" i="43"/>
  <c r="P872" i="43"/>
  <c r="Q872" i="43"/>
  <c r="R872" i="43"/>
  <c r="N874" i="43"/>
  <c r="P874" i="43" s="1"/>
  <c r="V874" i="43"/>
  <c r="M876" i="43"/>
  <c r="J14" i="42"/>
  <c r="J16" i="42"/>
  <c r="Q16" i="42" s="1"/>
  <c r="Z16" i="42"/>
  <c r="AB16" i="42" s="1"/>
  <c r="AA16" i="42"/>
  <c r="J17" i="42"/>
  <c r="J18" i="42"/>
  <c r="Q18" i="42" s="1"/>
  <c r="Z18" i="42" s="1"/>
  <c r="J19" i="42"/>
  <c r="Q19" i="42" s="1"/>
  <c r="Z19" i="42" s="1"/>
  <c r="AA19" i="42"/>
  <c r="AB19" i="42"/>
  <c r="G20" i="42"/>
  <c r="L20" i="42"/>
  <c r="M20" i="42"/>
  <c r="N20" i="42"/>
  <c r="O20" i="42"/>
  <c r="O22" i="42" s="1"/>
  <c r="O33" i="42" s="1"/>
  <c r="P20" i="42"/>
  <c r="P22" i="42" s="1"/>
  <c r="P33" i="42" s="1"/>
  <c r="S20" i="42"/>
  <c r="S22" i="42" s="1"/>
  <c r="S33" i="42" s="1"/>
  <c r="T20" i="42"/>
  <c r="U20" i="42"/>
  <c r="U22" i="42" s="1"/>
  <c r="U33" i="42" s="1"/>
  <c r="V20" i="42"/>
  <c r="W20" i="42"/>
  <c r="X20" i="42"/>
  <c r="G22" i="42"/>
  <c r="L22" i="42"/>
  <c r="M22" i="42"/>
  <c r="N22" i="42"/>
  <c r="T22" i="42"/>
  <c r="V22" i="42"/>
  <c r="V33" i="42" s="1"/>
  <c r="W22" i="42"/>
  <c r="X22" i="42"/>
  <c r="X33" i="42" s="1"/>
  <c r="J24" i="42"/>
  <c r="Q24" i="42"/>
  <c r="Z24" i="42" s="1"/>
  <c r="AB24" i="42" s="1"/>
  <c r="AA24" i="42"/>
  <c r="AC24" i="42"/>
  <c r="J27" i="42"/>
  <c r="Q27" i="42" s="1"/>
  <c r="J28" i="42"/>
  <c r="G29" i="42"/>
  <c r="L29" i="42"/>
  <c r="M29" i="42"/>
  <c r="N29" i="42"/>
  <c r="N33" i="42" s="1"/>
  <c r="O29" i="42"/>
  <c r="P29" i="42"/>
  <c r="S29" i="42"/>
  <c r="T29" i="42"/>
  <c r="U29" i="42"/>
  <c r="V29" i="42"/>
  <c r="W29" i="42"/>
  <c r="W33" i="42" s="1"/>
  <c r="X29" i="42"/>
  <c r="J31" i="42"/>
  <c r="Q31" i="42" s="1"/>
  <c r="Z31" i="42"/>
  <c r="G33" i="42"/>
  <c r="M33" i="42"/>
  <c r="T33" i="42"/>
  <c r="J36" i="42"/>
  <c r="Q36" i="42"/>
  <c r="Z36" i="42" s="1"/>
  <c r="AB36" i="42" s="1"/>
  <c r="J38" i="42"/>
  <c r="Q38" i="42"/>
  <c r="Z38" i="42" s="1"/>
  <c r="AA38" i="42"/>
  <c r="J39" i="42"/>
  <c r="Q39" i="42"/>
  <c r="J40" i="42"/>
  <c r="Q40" i="42"/>
  <c r="Z40" i="42" s="1"/>
  <c r="AA40" i="42" s="1"/>
  <c r="AB40" i="42"/>
  <c r="J41" i="42"/>
  <c r="J42" i="42"/>
  <c r="Q42" i="42" s="1"/>
  <c r="Z42" i="42" s="1"/>
  <c r="J43" i="42"/>
  <c r="Q43" i="42" s="1"/>
  <c r="Z43" i="42"/>
  <c r="G44" i="42"/>
  <c r="G57" i="42" s="1"/>
  <c r="L44" i="42"/>
  <c r="L46" i="42" s="1"/>
  <c r="L57" i="42" s="1"/>
  <c r="M44" i="42"/>
  <c r="N44" i="42"/>
  <c r="O44" i="42"/>
  <c r="P44" i="42"/>
  <c r="S44" i="42"/>
  <c r="S46" i="42" s="1"/>
  <c r="S57" i="42" s="1"/>
  <c r="T44" i="42"/>
  <c r="U44" i="42"/>
  <c r="U46" i="42" s="1"/>
  <c r="V44" i="42"/>
  <c r="W44" i="42"/>
  <c r="X44" i="42"/>
  <c r="G46" i="42"/>
  <c r="M46" i="42"/>
  <c r="N46" i="42"/>
  <c r="O46" i="42"/>
  <c r="P46" i="42"/>
  <c r="T46" i="42"/>
  <c r="T57" i="42" s="1"/>
  <c r="V46" i="42"/>
  <c r="W46" i="42"/>
  <c r="X46" i="42"/>
  <c r="X57" i="42" s="1"/>
  <c r="J48" i="42"/>
  <c r="Q48" i="42" s="1"/>
  <c r="Z48" i="42"/>
  <c r="AB48" i="42" s="1"/>
  <c r="AA48" i="42"/>
  <c r="AC48" i="42"/>
  <c r="J51" i="42"/>
  <c r="Q51" i="42"/>
  <c r="J52" i="42"/>
  <c r="Q52" i="42" s="1"/>
  <c r="Z52" i="42"/>
  <c r="AA52" i="42" s="1"/>
  <c r="AB52" i="42"/>
  <c r="G53" i="42"/>
  <c r="J53" i="42"/>
  <c r="I53" i="42" s="1"/>
  <c r="L53" i="42"/>
  <c r="M53" i="42"/>
  <c r="N53" i="42"/>
  <c r="O53" i="42"/>
  <c r="P53" i="42"/>
  <c r="P57" i="42" s="1"/>
  <c r="S53" i="42"/>
  <c r="T53" i="42"/>
  <c r="U53" i="42"/>
  <c r="V53" i="42"/>
  <c r="W53" i="42"/>
  <c r="X53" i="42"/>
  <c r="J55" i="42"/>
  <c r="Q55" i="42" s="1"/>
  <c r="Z55" i="42"/>
  <c r="AA55" i="42" s="1"/>
  <c r="AC55" i="42" s="1"/>
  <c r="AB55" i="42"/>
  <c r="M57" i="42"/>
  <c r="O57" i="42"/>
  <c r="V57" i="42"/>
  <c r="J71" i="42"/>
  <c r="Q71" i="42"/>
  <c r="J72" i="42"/>
  <c r="J75" i="42" s="1"/>
  <c r="J86" i="42" s="1"/>
  <c r="I86" i="42" s="1"/>
  <c r="Q72" i="42"/>
  <c r="Z72" i="42" s="1"/>
  <c r="AB72" i="42" s="1"/>
  <c r="AA72" i="42"/>
  <c r="AC72" i="42" s="1"/>
  <c r="J73" i="42"/>
  <c r="Q73" i="42" s="1"/>
  <c r="Z73" i="42" s="1"/>
  <c r="G75" i="42"/>
  <c r="I75" i="42"/>
  <c r="L75" i="42"/>
  <c r="M75" i="42"/>
  <c r="N75" i="42"/>
  <c r="N86" i="42" s="1"/>
  <c r="O75" i="42"/>
  <c r="P75" i="42"/>
  <c r="P86" i="42" s="1"/>
  <c r="S75" i="42"/>
  <c r="T75" i="42"/>
  <c r="U75" i="42"/>
  <c r="V75" i="42"/>
  <c r="V86" i="42" s="1"/>
  <c r="W75" i="42"/>
  <c r="X75" i="42"/>
  <c r="J77" i="42"/>
  <c r="Q77" i="42"/>
  <c r="Z77" i="42"/>
  <c r="AA77" i="42" s="1"/>
  <c r="AC77" i="42" s="1"/>
  <c r="AB77" i="42"/>
  <c r="J80" i="42"/>
  <c r="Q80" i="42" s="1"/>
  <c r="J81" i="42"/>
  <c r="Q81" i="42"/>
  <c r="Z81" i="42" s="1"/>
  <c r="AB81" i="42" s="1"/>
  <c r="AA81" i="42"/>
  <c r="G82" i="42"/>
  <c r="I82" i="42"/>
  <c r="J82" i="42"/>
  <c r="L82" i="42"/>
  <c r="M82" i="42"/>
  <c r="N82" i="42"/>
  <c r="O82" i="42"/>
  <c r="O86" i="42" s="1"/>
  <c r="P82" i="42"/>
  <c r="S82" i="42"/>
  <c r="T82" i="42"/>
  <c r="T86" i="42" s="1"/>
  <c r="U82" i="42"/>
  <c r="V82" i="42"/>
  <c r="W82" i="42"/>
  <c r="X82" i="42"/>
  <c r="X86" i="42" s="1"/>
  <c r="J84" i="42"/>
  <c r="Q84" i="42"/>
  <c r="Z84" i="42" s="1"/>
  <c r="G86" i="42"/>
  <c r="L86" i="42"/>
  <c r="S86" i="42"/>
  <c r="U86" i="42"/>
  <c r="W86" i="42"/>
  <c r="J89" i="42"/>
  <c r="J90" i="42"/>
  <c r="Q90" i="42" s="1"/>
  <c r="Z90" i="42"/>
  <c r="J92" i="42"/>
  <c r="Q92" i="42"/>
  <c r="Z92" i="42" s="1"/>
  <c r="J93" i="42"/>
  <c r="Q93" i="42"/>
  <c r="Z93" i="42" s="1"/>
  <c r="AA93" i="42" s="1"/>
  <c r="AB93" i="42"/>
  <c r="G94" i="42"/>
  <c r="G96" i="42" s="1"/>
  <c r="J94" i="42"/>
  <c r="I94" i="42" s="1"/>
  <c r="L94" i="42"/>
  <c r="M94" i="42"/>
  <c r="N94" i="42"/>
  <c r="O94" i="42"/>
  <c r="P94" i="42"/>
  <c r="Q94" i="42"/>
  <c r="S94" i="42"/>
  <c r="T94" i="42"/>
  <c r="T96" i="42" s="1"/>
  <c r="T107" i="42" s="1"/>
  <c r="U94" i="42"/>
  <c r="V94" i="42"/>
  <c r="W94" i="42"/>
  <c r="X94" i="42"/>
  <c r="L96" i="42"/>
  <c r="M96" i="42"/>
  <c r="N96" i="42"/>
  <c r="O96" i="42"/>
  <c r="P96" i="42"/>
  <c r="P107" i="42" s="1"/>
  <c r="S96" i="42"/>
  <c r="S107" i="42" s="1"/>
  <c r="U96" i="42"/>
  <c r="V96" i="42"/>
  <c r="V107" i="42" s="1"/>
  <c r="W96" i="42"/>
  <c r="X96" i="42"/>
  <c r="J98" i="42"/>
  <c r="Q98" i="42"/>
  <c r="Z98" i="42" s="1"/>
  <c r="AA98" i="42" s="1"/>
  <c r="AC98" i="42" s="1"/>
  <c r="J101" i="42"/>
  <c r="Q101" i="42" s="1"/>
  <c r="J102" i="42"/>
  <c r="Q102" i="42"/>
  <c r="Z102" i="42" s="1"/>
  <c r="AB102" i="42" s="1"/>
  <c r="AA102" i="42"/>
  <c r="G103" i="42"/>
  <c r="I103" i="42"/>
  <c r="J103" i="42"/>
  <c r="L103" i="42"/>
  <c r="M103" i="42"/>
  <c r="N103" i="42"/>
  <c r="O103" i="42"/>
  <c r="O107" i="42" s="1"/>
  <c r="P103" i="42"/>
  <c r="S103" i="42"/>
  <c r="T103" i="42"/>
  <c r="U103" i="42"/>
  <c r="V103" i="42"/>
  <c r="W103" i="42"/>
  <c r="X103" i="42"/>
  <c r="X107" i="42" s="1"/>
  <c r="J105" i="42"/>
  <c r="Q105" i="42"/>
  <c r="Z105" i="42" s="1"/>
  <c r="L107" i="42"/>
  <c r="N107" i="42"/>
  <c r="U107" i="42"/>
  <c r="W107" i="42"/>
  <c r="J121" i="42"/>
  <c r="Q121" i="42" s="1"/>
  <c r="Z121" i="42"/>
  <c r="J122" i="42"/>
  <c r="Q122" i="42" s="1"/>
  <c r="Z122" i="42"/>
  <c r="J124" i="42"/>
  <c r="Q124" i="42"/>
  <c r="Z124" i="42"/>
  <c r="AB124" i="42"/>
  <c r="J125" i="42"/>
  <c r="G126" i="42"/>
  <c r="L126" i="42"/>
  <c r="M126" i="42"/>
  <c r="N126" i="42"/>
  <c r="N128" i="42" s="1"/>
  <c r="N139" i="42" s="1"/>
  <c r="O126" i="42"/>
  <c r="O128" i="42" s="1"/>
  <c r="P126" i="42"/>
  <c r="S126" i="42"/>
  <c r="T126" i="42"/>
  <c r="U126" i="42"/>
  <c r="V126" i="42"/>
  <c r="W126" i="42"/>
  <c r="W128" i="42" s="1"/>
  <c r="W139" i="42" s="1"/>
  <c r="X126" i="42"/>
  <c r="X128" i="42" s="1"/>
  <c r="X139" i="42" s="1"/>
  <c r="L128" i="42"/>
  <c r="M128" i="42"/>
  <c r="P128" i="42"/>
  <c r="P139" i="42" s="1"/>
  <c r="S128" i="42"/>
  <c r="T128" i="42"/>
  <c r="U128" i="42"/>
  <c r="U139" i="42" s="1"/>
  <c r="V128" i="42"/>
  <c r="J130" i="42"/>
  <c r="Q130" i="42" s="1"/>
  <c r="Z130" i="42"/>
  <c r="J133" i="42"/>
  <c r="Q133" i="42"/>
  <c r="Z133" i="42" s="1"/>
  <c r="J134" i="42"/>
  <c r="Q134" i="42"/>
  <c r="Z134" i="42" s="1"/>
  <c r="AA134" i="42" s="1"/>
  <c r="AB134" i="42"/>
  <c r="G135" i="42"/>
  <c r="J135" i="42"/>
  <c r="I135" i="42" s="1"/>
  <c r="L135" i="42"/>
  <c r="M135" i="42"/>
  <c r="M139" i="42" s="1"/>
  <c r="N135" i="42"/>
  <c r="O135" i="42"/>
  <c r="P135" i="42"/>
  <c r="Q135" i="42"/>
  <c r="S135" i="42"/>
  <c r="T135" i="42"/>
  <c r="U135" i="42"/>
  <c r="V135" i="42"/>
  <c r="V139" i="42" s="1"/>
  <c r="W135" i="42"/>
  <c r="X135" i="42"/>
  <c r="J137" i="42"/>
  <c r="Q137" i="42"/>
  <c r="Z137" i="42" s="1"/>
  <c r="AA137" i="42" s="1"/>
  <c r="AC137" i="42"/>
  <c r="L139" i="42"/>
  <c r="O139" i="42"/>
  <c r="S139" i="42"/>
  <c r="J142" i="42"/>
  <c r="J143" i="42"/>
  <c r="Q143" i="42" s="1"/>
  <c r="Z143" i="42" s="1"/>
  <c r="L144" i="42"/>
  <c r="L148" i="42" s="1"/>
  <c r="M144" i="42"/>
  <c r="N144" i="42"/>
  <c r="N148" i="42" s="1"/>
  <c r="O144" i="42"/>
  <c r="P144" i="42"/>
  <c r="S144" i="42"/>
  <c r="S148" i="42" s="1"/>
  <c r="T144" i="42"/>
  <c r="U144" i="42"/>
  <c r="U148" i="42" s="1"/>
  <c r="V144" i="42"/>
  <c r="W144" i="42"/>
  <c r="W148" i="42" s="1"/>
  <c r="X144" i="42"/>
  <c r="J146" i="42"/>
  <c r="Q146" i="42" s="1"/>
  <c r="Z146" i="42"/>
  <c r="G148" i="42"/>
  <c r="M148" i="42"/>
  <c r="O148" i="42"/>
  <c r="P148" i="42"/>
  <c r="T148" i="42"/>
  <c r="V148" i="42"/>
  <c r="X148" i="42"/>
  <c r="J162" i="42"/>
  <c r="Q162" i="42"/>
  <c r="J165" i="42"/>
  <c r="Q165" i="42"/>
  <c r="Z165" i="42" s="1"/>
  <c r="J166" i="42"/>
  <c r="Q166" i="42"/>
  <c r="Z166" i="42" s="1"/>
  <c r="J167" i="42"/>
  <c r="Q167" i="42"/>
  <c r="Z167" i="42" s="1"/>
  <c r="AA167" i="42" s="1"/>
  <c r="AB167" i="42"/>
  <c r="G168" i="42"/>
  <c r="J168" i="42"/>
  <c r="L168" i="42"/>
  <c r="M168" i="42"/>
  <c r="M179" i="42" s="1"/>
  <c r="N168" i="42"/>
  <c r="O168" i="42"/>
  <c r="P168" i="42"/>
  <c r="P179" i="42" s="1"/>
  <c r="P190" i="42" s="1"/>
  <c r="S168" i="42"/>
  <c r="T168" i="42"/>
  <c r="T179" i="42" s="1"/>
  <c r="T190" i="42" s="1"/>
  <c r="U168" i="42"/>
  <c r="V168" i="42"/>
  <c r="V179" i="42" s="1"/>
  <c r="W168" i="42"/>
  <c r="X168" i="42"/>
  <c r="J172" i="42"/>
  <c r="Q172" i="42"/>
  <c r="Z172" i="42" s="1"/>
  <c r="AB172" i="42" s="1"/>
  <c r="AB175" i="42" s="1"/>
  <c r="J173" i="42"/>
  <c r="Q173" i="42" s="1"/>
  <c r="Z173" i="42"/>
  <c r="AA173" i="42" s="1"/>
  <c r="AB173" i="42"/>
  <c r="J174" i="42"/>
  <c r="Q174" i="42" s="1"/>
  <c r="Z174" i="42" s="1"/>
  <c r="AB174" i="42" s="1"/>
  <c r="G175" i="42"/>
  <c r="L175" i="42"/>
  <c r="M175" i="42"/>
  <c r="N175" i="42"/>
  <c r="N179" i="42" s="1"/>
  <c r="N190" i="42" s="1"/>
  <c r="O175" i="42"/>
  <c r="O179" i="42" s="1"/>
  <c r="O190" i="42" s="1"/>
  <c r="P175" i="42"/>
  <c r="Q175" i="42"/>
  <c r="S175" i="42"/>
  <c r="T175" i="42"/>
  <c r="U175" i="42"/>
  <c r="V175" i="42"/>
  <c r="W175" i="42"/>
  <c r="W179" i="42" s="1"/>
  <c r="W190" i="42" s="1"/>
  <c r="X175" i="42"/>
  <c r="X179" i="42" s="1"/>
  <c r="X190" i="42" s="1"/>
  <c r="J177" i="42"/>
  <c r="Q177" i="42" s="1"/>
  <c r="Z177" i="42" s="1"/>
  <c r="AA177" i="42" s="1"/>
  <c r="L179" i="42"/>
  <c r="L190" i="42" s="1"/>
  <c r="S179" i="42"/>
  <c r="U179" i="42"/>
  <c r="U190" i="42" s="1"/>
  <c r="J181" i="42"/>
  <c r="Q181" i="42" s="1"/>
  <c r="Z181" i="42" s="1"/>
  <c r="AB181" i="42" s="1"/>
  <c r="AA181" i="42"/>
  <c r="J184" i="42"/>
  <c r="Q184" i="42"/>
  <c r="J185" i="42"/>
  <c r="J186" i="42" s="1"/>
  <c r="Q185" i="42"/>
  <c r="Z185" i="42"/>
  <c r="AA185" i="42" s="1"/>
  <c r="AB185" i="42"/>
  <c r="G186" i="42"/>
  <c r="I186" i="42"/>
  <c r="L186" i="42"/>
  <c r="M186" i="42"/>
  <c r="N186" i="42"/>
  <c r="O186" i="42"/>
  <c r="P186" i="42"/>
  <c r="S186" i="42"/>
  <c r="T186" i="42"/>
  <c r="U186" i="42"/>
  <c r="V186" i="42"/>
  <c r="W186" i="42"/>
  <c r="X186" i="42"/>
  <c r="J188" i="42"/>
  <c r="Q188" i="42"/>
  <c r="Z188" i="42"/>
  <c r="M190" i="42"/>
  <c r="V190" i="42"/>
  <c r="J193" i="42"/>
  <c r="Q193" i="42"/>
  <c r="J194" i="42"/>
  <c r="Q194" i="42" s="1"/>
  <c r="Z194" i="42"/>
  <c r="J196" i="42"/>
  <c r="Q196" i="42"/>
  <c r="Z196" i="42" s="1"/>
  <c r="AB196" i="42"/>
  <c r="J197" i="42"/>
  <c r="J199" i="42" s="1"/>
  <c r="I199" i="42" s="1"/>
  <c r="Q197" i="42"/>
  <c r="Z197" i="42"/>
  <c r="J198" i="42"/>
  <c r="Q198" i="42"/>
  <c r="Z198" i="42"/>
  <c r="AB198" i="42" s="1"/>
  <c r="AA198" i="42"/>
  <c r="G199" i="42"/>
  <c r="G204" i="42" s="1"/>
  <c r="G215" i="42" s="1"/>
  <c r="L199" i="42"/>
  <c r="M199" i="42"/>
  <c r="N199" i="42"/>
  <c r="O199" i="42"/>
  <c r="O204" i="42" s="1"/>
  <c r="P199" i="42"/>
  <c r="Q199" i="42"/>
  <c r="S199" i="42"/>
  <c r="T199" i="42"/>
  <c r="T204" i="42" s="1"/>
  <c r="U199" i="42"/>
  <c r="V199" i="42"/>
  <c r="W199" i="42"/>
  <c r="X199" i="42"/>
  <c r="X204" i="42" s="1"/>
  <c r="J201" i="42"/>
  <c r="Q201" i="42"/>
  <c r="Z201" i="42"/>
  <c r="AA201" i="42" s="1"/>
  <c r="Q202" i="42"/>
  <c r="Z202" i="42"/>
  <c r="L204" i="42"/>
  <c r="M204" i="42"/>
  <c r="M215" i="42" s="1"/>
  <c r="N204" i="42"/>
  <c r="P204" i="42"/>
  <c r="P215" i="42" s="1"/>
  <c r="S204" i="42"/>
  <c r="U204" i="42"/>
  <c r="V204" i="42"/>
  <c r="W204" i="42"/>
  <c r="W215" i="42" s="1"/>
  <c r="J206" i="42"/>
  <c r="Q206" i="42"/>
  <c r="Z206" i="42" s="1"/>
  <c r="J209" i="42"/>
  <c r="Q209" i="42" s="1"/>
  <c r="J210" i="42"/>
  <c r="Q210" i="42"/>
  <c r="Z210" i="42" s="1"/>
  <c r="AB210" i="42" s="1"/>
  <c r="AA210" i="42"/>
  <c r="G211" i="42"/>
  <c r="J211" i="42"/>
  <c r="I211" i="42" s="1"/>
  <c r="L211" i="42"/>
  <c r="M211" i="42"/>
  <c r="N211" i="42"/>
  <c r="O211" i="42"/>
  <c r="P211" i="42"/>
  <c r="S211" i="42"/>
  <c r="T211" i="42"/>
  <c r="U211" i="42"/>
  <c r="V211" i="42"/>
  <c r="W211" i="42"/>
  <c r="X211" i="42"/>
  <c r="J213" i="42"/>
  <c r="Q213" i="42"/>
  <c r="Z213" i="42" s="1"/>
  <c r="AB213" i="42" s="1"/>
  <c r="AA213" i="42"/>
  <c r="AC213" i="42" s="1"/>
  <c r="L215" i="42"/>
  <c r="N215" i="42"/>
  <c r="S215" i="42"/>
  <c r="U215" i="42"/>
  <c r="J229" i="42"/>
  <c r="J230" i="42"/>
  <c r="Q230" i="42" s="1"/>
  <c r="Z230" i="42" s="1"/>
  <c r="J232" i="42"/>
  <c r="Q232" i="42"/>
  <c r="Q234" i="42" s="1"/>
  <c r="Z232" i="42"/>
  <c r="J233" i="42"/>
  <c r="Q233" i="42"/>
  <c r="Z233" i="42" s="1"/>
  <c r="AA233" i="42" s="1"/>
  <c r="G234" i="42"/>
  <c r="J234" i="42"/>
  <c r="I234" i="42" s="1"/>
  <c r="L234" i="42"/>
  <c r="M234" i="42"/>
  <c r="M238" i="42" s="1"/>
  <c r="N234" i="42"/>
  <c r="O234" i="42"/>
  <c r="O238" i="42" s="1"/>
  <c r="O249" i="42" s="1"/>
  <c r="P234" i="42"/>
  <c r="P238" i="42" s="1"/>
  <c r="P249" i="42" s="1"/>
  <c r="S234" i="42"/>
  <c r="T234" i="42"/>
  <c r="T238" i="42" s="1"/>
  <c r="T249" i="42" s="1"/>
  <c r="U234" i="42"/>
  <c r="V234" i="42"/>
  <c r="V238" i="42" s="1"/>
  <c r="V249" i="42" s="1"/>
  <c r="W234" i="42"/>
  <c r="X234" i="42"/>
  <c r="X238" i="42" s="1"/>
  <c r="X249" i="42" s="1"/>
  <c r="J236" i="42"/>
  <c r="Q236" i="42"/>
  <c r="Z236" i="42" s="1"/>
  <c r="AA236" i="42" s="1"/>
  <c r="G238" i="42"/>
  <c r="G249" i="42" s="1"/>
  <c r="L238" i="42"/>
  <c r="L249" i="42" s="1"/>
  <c r="N238" i="42"/>
  <c r="S238" i="42"/>
  <c r="U238" i="42"/>
  <c r="U249" i="42" s="1"/>
  <c r="W238" i="42"/>
  <c r="J240" i="42"/>
  <c r="Q240" i="42" s="1"/>
  <c r="Z240" i="42" s="1"/>
  <c r="J243" i="42"/>
  <c r="Q243" i="42" s="1"/>
  <c r="Z243" i="42"/>
  <c r="AB243" i="42"/>
  <c r="J244" i="42"/>
  <c r="Q244" i="42"/>
  <c r="Z244" i="42"/>
  <c r="G245" i="42"/>
  <c r="J245" i="42"/>
  <c r="I245" i="42" s="1"/>
  <c r="L245" i="42"/>
  <c r="M245" i="42"/>
  <c r="N245" i="42"/>
  <c r="N249" i="42" s="1"/>
  <c r="O245" i="42"/>
  <c r="P245" i="42"/>
  <c r="Q245" i="42"/>
  <c r="S245" i="42"/>
  <c r="T245" i="42"/>
  <c r="U245" i="42"/>
  <c r="V245" i="42"/>
  <c r="W245" i="42"/>
  <c r="W249" i="42" s="1"/>
  <c r="X245" i="42"/>
  <c r="J247" i="42"/>
  <c r="Q247" i="42"/>
  <c r="Z247" i="42"/>
  <c r="AB247" i="42" s="1"/>
  <c r="AA247" i="42"/>
  <c r="AC247" i="42"/>
  <c r="M249" i="42"/>
  <c r="S249" i="42"/>
  <c r="J252" i="42"/>
  <c r="Q252" i="42"/>
  <c r="Z252" i="42" s="1"/>
  <c r="J253" i="42"/>
  <c r="Q253" i="42"/>
  <c r="Z253" i="42" s="1"/>
  <c r="AA253" i="42" s="1"/>
  <c r="AC253" i="42" s="1"/>
  <c r="AB253" i="42"/>
  <c r="J254" i="42"/>
  <c r="Q254" i="42"/>
  <c r="Z254" i="42" s="1"/>
  <c r="AB254" i="42" s="1"/>
  <c r="J256" i="42"/>
  <c r="J258" i="42" s="1"/>
  <c r="I258" i="42" s="1"/>
  <c r="Q256" i="42"/>
  <c r="Z256" i="42" s="1"/>
  <c r="AA256" i="42"/>
  <c r="G258" i="42"/>
  <c r="L258" i="42"/>
  <c r="M258" i="42"/>
  <c r="M269" i="42" s="1"/>
  <c r="N258" i="42"/>
  <c r="O258" i="42"/>
  <c r="P258" i="42"/>
  <c r="S258" i="42"/>
  <c r="S269" i="42" s="1"/>
  <c r="T258" i="42"/>
  <c r="U258" i="42"/>
  <c r="V258" i="42"/>
  <c r="V269" i="42" s="1"/>
  <c r="W258" i="42"/>
  <c r="X258" i="42"/>
  <c r="J260" i="42"/>
  <c r="Q260" i="42"/>
  <c r="Z260" i="42" s="1"/>
  <c r="AA260" i="42" s="1"/>
  <c r="AC260" i="42" s="1"/>
  <c r="AB260" i="42"/>
  <c r="J263" i="42"/>
  <c r="Q263" i="42" s="1"/>
  <c r="J264" i="42"/>
  <c r="Q264" i="42"/>
  <c r="Z264" i="42" s="1"/>
  <c r="AB264" i="42" s="1"/>
  <c r="AA264" i="42"/>
  <c r="G265" i="42"/>
  <c r="I265" i="42"/>
  <c r="J265" i="42"/>
  <c r="L265" i="42"/>
  <c r="M265" i="42"/>
  <c r="N265" i="42"/>
  <c r="O265" i="42"/>
  <c r="O269" i="42" s="1"/>
  <c r="P265" i="42"/>
  <c r="S265" i="42"/>
  <c r="T265" i="42"/>
  <c r="T269" i="42" s="1"/>
  <c r="U265" i="42"/>
  <c r="V265" i="42"/>
  <c r="W265" i="42"/>
  <c r="X265" i="42"/>
  <c r="X269" i="42" s="1"/>
  <c r="J267" i="42"/>
  <c r="Q267" i="42"/>
  <c r="Z267" i="42" s="1"/>
  <c r="G269" i="42"/>
  <c r="J269" i="42"/>
  <c r="I269" i="42" s="1"/>
  <c r="L269" i="42"/>
  <c r="N269" i="42"/>
  <c r="P269" i="42"/>
  <c r="U269" i="42"/>
  <c r="W269" i="42"/>
  <c r="G277" i="42"/>
  <c r="L277" i="42"/>
  <c r="S277" i="42"/>
  <c r="Z277" i="42"/>
  <c r="J284" i="42"/>
  <c r="J286" i="42"/>
  <c r="J287" i="42"/>
  <c r="Q287" i="42"/>
  <c r="Z287" i="42"/>
  <c r="AB287" i="42" s="1"/>
  <c r="AA287" i="42"/>
  <c r="J288" i="42"/>
  <c r="Q288" i="42" s="1"/>
  <c r="Z288" i="42" s="1"/>
  <c r="J289" i="42"/>
  <c r="Q289" i="42"/>
  <c r="Z289" i="42" s="1"/>
  <c r="AB289" i="42" s="1"/>
  <c r="AA289" i="42"/>
  <c r="J290" i="42"/>
  <c r="Q290" i="42"/>
  <c r="Z290" i="42"/>
  <c r="AA290" i="42"/>
  <c r="AB290" i="42"/>
  <c r="G291" i="42"/>
  <c r="G293" i="42" s="1"/>
  <c r="G311" i="42" s="1"/>
  <c r="L291" i="42"/>
  <c r="M291" i="42"/>
  <c r="N291" i="42"/>
  <c r="N293" i="42" s="1"/>
  <c r="N311" i="42" s="1"/>
  <c r="O291" i="42"/>
  <c r="P291" i="42"/>
  <c r="P293" i="42" s="1"/>
  <c r="P311" i="42" s="1"/>
  <c r="S291" i="42"/>
  <c r="S293" i="42" s="1"/>
  <c r="S311" i="42" s="1"/>
  <c r="T291" i="42"/>
  <c r="U291" i="42"/>
  <c r="V291" i="42"/>
  <c r="W291" i="42"/>
  <c r="W293" i="42" s="1"/>
  <c r="X291" i="42"/>
  <c r="L293" i="42"/>
  <c r="L311" i="42" s="1"/>
  <c r="M293" i="42"/>
  <c r="M311" i="42" s="1"/>
  <c r="O293" i="42"/>
  <c r="O311" i="42" s="1"/>
  <c r="T293" i="42"/>
  <c r="U293" i="42"/>
  <c r="U311" i="42" s="1"/>
  <c r="V293" i="42"/>
  <c r="X293" i="42"/>
  <c r="X311" i="42" s="1"/>
  <c r="J296" i="42"/>
  <c r="J298" i="42" s="1"/>
  <c r="I298" i="42" s="1"/>
  <c r="Q296" i="42"/>
  <c r="J297" i="42"/>
  <c r="Q297" i="42"/>
  <c r="Z297" i="42"/>
  <c r="AA297" i="42"/>
  <c r="AB297" i="42"/>
  <c r="G298" i="42"/>
  <c r="L298" i="42"/>
  <c r="M298" i="42"/>
  <c r="N298" i="42"/>
  <c r="O298" i="42"/>
  <c r="P298" i="42"/>
  <c r="S298" i="42"/>
  <c r="T298" i="42"/>
  <c r="U298" i="42"/>
  <c r="V298" i="42"/>
  <c r="W298" i="42"/>
  <c r="X298" i="42"/>
  <c r="J301" i="42"/>
  <c r="Q301" i="42"/>
  <c r="Z301" i="42"/>
  <c r="AA301" i="42"/>
  <c r="AB301" i="42"/>
  <c r="J302" i="42"/>
  <c r="Q302" i="42"/>
  <c r="G303" i="42"/>
  <c r="J303" i="42"/>
  <c r="I303" i="42" s="1"/>
  <c r="L303" i="42"/>
  <c r="M303" i="42"/>
  <c r="N303" i="42"/>
  <c r="O303" i="42"/>
  <c r="P303" i="42"/>
  <c r="S303" i="42"/>
  <c r="T303" i="42"/>
  <c r="U303" i="42"/>
  <c r="V303" i="42"/>
  <c r="W303" i="42"/>
  <c r="X303" i="42"/>
  <c r="J306" i="42"/>
  <c r="Q306" i="42"/>
  <c r="J307" i="42"/>
  <c r="J308" i="42" s="1"/>
  <c r="I308" i="42" s="1"/>
  <c r="Q307" i="42"/>
  <c r="Z307" i="42"/>
  <c r="AA307" i="42" s="1"/>
  <c r="G308" i="42"/>
  <c r="L308" i="42"/>
  <c r="M308" i="42"/>
  <c r="N308" i="42"/>
  <c r="O308" i="42"/>
  <c r="P308" i="42"/>
  <c r="S308" i="42"/>
  <c r="T308" i="42"/>
  <c r="U308" i="42"/>
  <c r="V308" i="42"/>
  <c r="W308" i="42"/>
  <c r="X308" i="42"/>
  <c r="T311" i="42"/>
  <c r="V311" i="42"/>
  <c r="J314" i="42"/>
  <c r="Q314" i="42"/>
  <c r="J316" i="42"/>
  <c r="Q316" i="42"/>
  <c r="Z316" i="42" s="1"/>
  <c r="AA316" i="42"/>
  <c r="J317" i="42"/>
  <c r="Q317" i="42"/>
  <c r="Z317" i="42"/>
  <c r="AA317" i="42"/>
  <c r="AB317" i="42"/>
  <c r="J318" i="42"/>
  <c r="Q318" i="42"/>
  <c r="Z318" i="42" s="1"/>
  <c r="J319" i="42"/>
  <c r="Q319" i="42"/>
  <c r="Z319" i="42"/>
  <c r="AA319" i="42" s="1"/>
  <c r="J320" i="42"/>
  <c r="Q320" i="42" s="1"/>
  <c r="Z320" i="42" s="1"/>
  <c r="G321" i="42"/>
  <c r="G323" i="42" s="1"/>
  <c r="G340" i="42" s="1"/>
  <c r="J321" i="42"/>
  <c r="L321" i="42"/>
  <c r="M321" i="42"/>
  <c r="N321" i="42"/>
  <c r="O321" i="42"/>
  <c r="O323" i="42" s="1"/>
  <c r="O340" i="42" s="1"/>
  <c r="P321" i="42"/>
  <c r="Q321" i="42"/>
  <c r="S321" i="42"/>
  <c r="S323" i="42" s="1"/>
  <c r="S340" i="42" s="1"/>
  <c r="T321" i="42"/>
  <c r="T323" i="42" s="1"/>
  <c r="U321" i="42"/>
  <c r="V321" i="42"/>
  <c r="W321" i="42"/>
  <c r="X321" i="42"/>
  <c r="X323" i="42" s="1"/>
  <c r="X340" i="42" s="1"/>
  <c r="L323" i="42"/>
  <c r="M323" i="42"/>
  <c r="M340" i="42" s="1"/>
  <c r="N323" i="42"/>
  <c r="P323" i="42"/>
  <c r="P340" i="42" s="1"/>
  <c r="U323" i="42"/>
  <c r="V323" i="42"/>
  <c r="V340" i="42" s="1"/>
  <c r="W323" i="42"/>
  <c r="J326" i="42"/>
  <c r="Q326" i="42"/>
  <c r="Z326" i="42"/>
  <c r="AB326" i="42"/>
  <c r="J327" i="42"/>
  <c r="Q327" i="42" s="1"/>
  <c r="Z327" i="42" s="1"/>
  <c r="G328" i="42"/>
  <c r="J328" i="42"/>
  <c r="L328" i="42"/>
  <c r="M328" i="42"/>
  <c r="N328" i="42"/>
  <c r="O328" i="42"/>
  <c r="P328" i="42"/>
  <c r="Q328" i="42"/>
  <c r="S328" i="42"/>
  <c r="T328" i="42"/>
  <c r="U328" i="42"/>
  <c r="V328" i="42"/>
  <c r="W328" i="42"/>
  <c r="X328" i="42"/>
  <c r="J331" i="42"/>
  <c r="Q331" i="42" s="1"/>
  <c r="J332" i="42"/>
  <c r="G333" i="42"/>
  <c r="L333" i="42"/>
  <c r="L340" i="42" s="1"/>
  <c r="M333" i="42"/>
  <c r="N333" i="42"/>
  <c r="N340" i="42" s="1"/>
  <c r="O333" i="42"/>
  <c r="P333" i="42"/>
  <c r="S333" i="42"/>
  <c r="T333" i="42"/>
  <c r="U333" i="42"/>
  <c r="V333" i="42"/>
  <c r="W333" i="42"/>
  <c r="X333" i="42"/>
  <c r="J336" i="42"/>
  <c r="J337" i="42"/>
  <c r="Q337" i="42"/>
  <c r="Z337" i="42"/>
  <c r="AB337" i="42" s="1"/>
  <c r="AA337" i="42"/>
  <c r="G338" i="42"/>
  <c r="L338" i="42"/>
  <c r="M338" i="42"/>
  <c r="N338" i="42"/>
  <c r="O338" i="42"/>
  <c r="P338" i="42"/>
  <c r="S338" i="42"/>
  <c r="T338" i="42"/>
  <c r="U338" i="42"/>
  <c r="V338" i="42"/>
  <c r="W338" i="42"/>
  <c r="X338" i="42"/>
  <c r="U340" i="42"/>
  <c r="W340" i="42"/>
  <c r="G348" i="42"/>
  <c r="L348" i="42"/>
  <c r="S348" i="42"/>
  <c r="Z348" i="42"/>
  <c r="J354" i="42"/>
  <c r="Q354" i="42"/>
  <c r="Z354" i="42"/>
  <c r="AA354" i="42"/>
  <c r="AC354" i="42" s="1"/>
  <c r="AB354" i="42"/>
  <c r="J356" i="42"/>
  <c r="J357" i="42"/>
  <c r="Q357" i="42"/>
  <c r="Z357" i="42" s="1"/>
  <c r="AB357" i="42" s="1"/>
  <c r="G358" i="42"/>
  <c r="L358" i="42"/>
  <c r="L368" i="42" s="1"/>
  <c r="M358" i="42"/>
  <c r="M368" i="42" s="1"/>
  <c r="N358" i="42"/>
  <c r="O358" i="42"/>
  <c r="O368" i="42" s="1"/>
  <c r="P358" i="42"/>
  <c r="S358" i="42"/>
  <c r="T358" i="42"/>
  <c r="U358" i="42"/>
  <c r="U368" i="42" s="1"/>
  <c r="U391" i="42" s="1"/>
  <c r="V358" i="42"/>
  <c r="V368" i="42" s="1"/>
  <c r="W358" i="42"/>
  <c r="X358" i="42"/>
  <c r="X368" i="42" s="1"/>
  <c r="X391" i="42" s="1"/>
  <c r="J361" i="42"/>
  <c r="J363" i="42" s="1"/>
  <c r="I363" i="42" s="1"/>
  <c r="Q361" i="42"/>
  <c r="J362" i="42"/>
  <c r="Q362" i="42"/>
  <c r="Z362" i="42"/>
  <c r="AA362" i="42"/>
  <c r="AB362" i="42"/>
  <c r="G363" i="42"/>
  <c r="L363" i="42"/>
  <c r="M363" i="42"/>
  <c r="N363" i="42"/>
  <c r="N368" i="42" s="1"/>
  <c r="O363" i="42"/>
  <c r="P363" i="42"/>
  <c r="P368" i="42" s="1"/>
  <c r="S363" i="42"/>
  <c r="S368" i="42" s="1"/>
  <c r="S391" i="42" s="1"/>
  <c r="T363" i="42"/>
  <c r="U363" i="42"/>
  <c r="V363" i="42"/>
  <c r="W363" i="42"/>
  <c r="W368" i="42" s="1"/>
  <c r="X363" i="42"/>
  <c r="J365" i="42"/>
  <c r="Q365" i="42"/>
  <c r="Z365" i="42"/>
  <c r="AA365" i="42"/>
  <c r="AC365" i="42" s="1"/>
  <c r="AB365" i="42"/>
  <c r="J366" i="42"/>
  <c r="Q366" i="42" s="1"/>
  <c r="Z366" i="42" s="1"/>
  <c r="G368" i="42"/>
  <c r="T368" i="42"/>
  <c r="T391" i="42" s="1"/>
  <c r="J371" i="42"/>
  <c r="Q371" i="42" s="1"/>
  <c r="J372" i="42"/>
  <c r="Q372" i="42" s="1"/>
  <c r="Z372" i="42" s="1"/>
  <c r="J374" i="42"/>
  <c r="Q374" i="42"/>
  <c r="Z374" i="42"/>
  <c r="AB374" i="42" s="1"/>
  <c r="AA374" i="42"/>
  <c r="J375" i="42"/>
  <c r="Q375" i="42" s="1"/>
  <c r="Z375" i="42" s="1"/>
  <c r="J377" i="42"/>
  <c r="Q377" i="42"/>
  <c r="Z377" i="42" s="1"/>
  <c r="AB377" i="42" s="1"/>
  <c r="J378" i="42"/>
  <c r="L378" i="42"/>
  <c r="L379" i="42" s="1"/>
  <c r="M378" i="42"/>
  <c r="N378" i="42"/>
  <c r="N379" i="42" s="1"/>
  <c r="N391" i="42" s="1"/>
  <c r="O378" i="42"/>
  <c r="O379" i="42" s="1"/>
  <c r="G379" i="42"/>
  <c r="M379" i="42"/>
  <c r="S379" i="42"/>
  <c r="T379" i="42"/>
  <c r="U379" i="42"/>
  <c r="V379" i="42"/>
  <c r="W379" i="42"/>
  <c r="X379" i="42"/>
  <c r="J382" i="42"/>
  <c r="Q382" i="42"/>
  <c r="J383" i="42"/>
  <c r="J384" i="42" s="1"/>
  <c r="I384" i="42" s="1"/>
  <c r="Q383" i="42"/>
  <c r="Z383" i="42"/>
  <c r="AA383" i="42" s="1"/>
  <c r="G384" i="42"/>
  <c r="L384" i="42"/>
  <c r="M384" i="42"/>
  <c r="N384" i="42"/>
  <c r="O384" i="42"/>
  <c r="P384" i="42"/>
  <c r="S384" i="42"/>
  <c r="T384" i="42"/>
  <c r="U384" i="42"/>
  <c r="V384" i="42"/>
  <c r="W384" i="42"/>
  <c r="W391" i="42" s="1"/>
  <c r="X384" i="42"/>
  <c r="J387" i="42"/>
  <c r="Q387" i="42"/>
  <c r="Z387" i="42"/>
  <c r="AB387" i="42"/>
  <c r="J388" i="42"/>
  <c r="Q388" i="42" s="1"/>
  <c r="Z388" i="42" s="1"/>
  <c r="G389" i="42"/>
  <c r="J389" i="42"/>
  <c r="L389" i="42"/>
  <c r="M389" i="42"/>
  <c r="N389" i="42"/>
  <c r="O389" i="42"/>
  <c r="P389" i="42"/>
  <c r="Q389" i="42"/>
  <c r="S389" i="42"/>
  <c r="T389" i="42"/>
  <c r="U389" i="42"/>
  <c r="V389" i="42"/>
  <c r="W389" i="42"/>
  <c r="X389" i="42"/>
  <c r="G391" i="42"/>
  <c r="J394" i="42"/>
  <c r="Q394" i="42"/>
  <c r="Z394" i="42"/>
  <c r="AB394" i="42"/>
  <c r="J395" i="42"/>
  <c r="Q395" i="42" s="1"/>
  <c r="Z395" i="42" s="1"/>
  <c r="AA395" i="42" s="1"/>
  <c r="AC395" i="42" s="1"/>
  <c r="AB395" i="42"/>
  <c r="J396" i="42"/>
  <c r="J397" i="42"/>
  <c r="Q397" i="42" s="1"/>
  <c r="Z397" i="42" s="1"/>
  <c r="G398" i="42"/>
  <c r="L398" i="42"/>
  <c r="L407" i="42" s="1"/>
  <c r="M398" i="42"/>
  <c r="N398" i="42"/>
  <c r="N407" i="42" s="1"/>
  <c r="O398" i="42"/>
  <c r="P398" i="42"/>
  <c r="S398" i="42"/>
  <c r="S407" i="42" s="1"/>
  <c r="T398" i="42"/>
  <c r="T407" i="42" s="1"/>
  <c r="U398" i="42"/>
  <c r="U407" i="42" s="1"/>
  <c r="V398" i="42"/>
  <c r="W398" i="42"/>
  <c r="X398" i="42"/>
  <c r="J400" i="42"/>
  <c r="Q400" i="42" s="1"/>
  <c r="Z400" i="42"/>
  <c r="J403" i="42"/>
  <c r="Q403" i="42"/>
  <c r="Z403" i="42" s="1"/>
  <c r="J404" i="42"/>
  <c r="Q404" i="42" s="1"/>
  <c r="Z404" i="42" s="1"/>
  <c r="AA404" i="42" s="1"/>
  <c r="AB404" i="42"/>
  <c r="G405" i="42"/>
  <c r="J405" i="42"/>
  <c r="I405" i="42" s="1"/>
  <c r="L405" i="42"/>
  <c r="M405" i="42"/>
  <c r="N405" i="42"/>
  <c r="O405" i="42"/>
  <c r="P405" i="42"/>
  <c r="Q405" i="42"/>
  <c r="S405" i="42"/>
  <c r="T405" i="42"/>
  <c r="U405" i="42"/>
  <c r="V405" i="42"/>
  <c r="W405" i="42"/>
  <c r="X405" i="42"/>
  <c r="G407" i="42"/>
  <c r="M407" i="42"/>
  <c r="O407" i="42"/>
  <c r="P407" i="42"/>
  <c r="V407" i="42"/>
  <c r="W407" i="42"/>
  <c r="X407" i="42"/>
  <c r="G415" i="42"/>
  <c r="L415" i="42"/>
  <c r="S415" i="42"/>
  <c r="Z415" i="42"/>
  <c r="J421" i="42"/>
  <c r="J422" i="42"/>
  <c r="Q422" i="42" s="1"/>
  <c r="Z422" i="42"/>
  <c r="J423" i="42"/>
  <c r="Q423" i="42"/>
  <c r="Z423" i="42" s="1"/>
  <c r="J424" i="42"/>
  <c r="Q424" i="42" s="1"/>
  <c r="Z424" i="42" s="1"/>
  <c r="AA424" i="42"/>
  <c r="AC424" i="42" s="1"/>
  <c r="AB424" i="42"/>
  <c r="J425" i="42"/>
  <c r="Q425" i="42" s="1"/>
  <c r="Z425" i="42" s="1"/>
  <c r="G427" i="42"/>
  <c r="L427" i="42"/>
  <c r="L445" i="42" s="1"/>
  <c r="M427" i="42"/>
  <c r="N427" i="42"/>
  <c r="O427" i="42"/>
  <c r="P427" i="42"/>
  <c r="S427" i="42"/>
  <c r="S445" i="42" s="1"/>
  <c r="T427" i="42"/>
  <c r="U427" i="42"/>
  <c r="U445" i="42" s="1"/>
  <c r="V427" i="42"/>
  <c r="W427" i="42"/>
  <c r="X427" i="42"/>
  <c r="J430" i="42"/>
  <c r="Q430" i="42" s="1"/>
  <c r="Z430" i="42" s="1"/>
  <c r="J431" i="42"/>
  <c r="Z431" i="42"/>
  <c r="AB431" i="42"/>
  <c r="J433" i="42"/>
  <c r="Q433" i="42"/>
  <c r="Z433" i="42" s="1"/>
  <c r="AB433" i="42" s="1"/>
  <c r="J434" i="42"/>
  <c r="Q434" i="42"/>
  <c r="Z434" i="42"/>
  <c r="AB434" i="42"/>
  <c r="J436" i="42"/>
  <c r="Q436" i="42"/>
  <c r="Z436" i="42" s="1"/>
  <c r="J437" i="42"/>
  <c r="J438" i="42" s="1"/>
  <c r="Q437" i="42"/>
  <c r="Z437" i="42" s="1"/>
  <c r="G438" i="42"/>
  <c r="L438" i="42"/>
  <c r="M438" i="42"/>
  <c r="N438" i="42"/>
  <c r="N445" i="42" s="1"/>
  <c r="O438" i="42"/>
  <c r="P438" i="42"/>
  <c r="S438" i="42"/>
  <c r="T438" i="42"/>
  <c r="U438" i="42"/>
  <c r="V438" i="42"/>
  <c r="W438" i="42"/>
  <c r="W445" i="42" s="1"/>
  <c r="X438" i="42"/>
  <c r="J441" i="42"/>
  <c r="Q441" i="42" s="1"/>
  <c r="Z441" i="42" s="1"/>
  <c r="J442" i="42"/>
  <c r="Q442" i="42" s="1"/>
  <c r="Z442" i="42" s="1"/>
  <c r="AB442" i="42" s="1"/>
  <c r="G443" i="42"/>
  <c r="L443" i="42"/>
  <c r="M443" i="42"/>
  <c r="N443" i="42"/>
  <c r="O443" i="42"/>
  <c r="P443" i="42"/>
  <c r="S443" i="42"/>
  <c r="T443" i="42"/>
  <c r="U443" i="42"/>
  <c r="V443" i="42"/>
  <c r="W443" i="42"/>
  <c r="X443" i="42"/>
  <c r="G445" i="42"/>
  <c r="M445" i="42"/>
  <c r="P445" i="42"/>
  <c r="T445" i="42"/>
  <c r="V445" i="42"/>
  <c r="J449" i="42"/>
  <c r="Q449" i="42"/>
  <c r="Z449" i="42" s="1"/>
  <c r="J451" i="42"/>
  <c r="Q451" i="42"/>
  <c r="Z451" i="42"/>
  <c r="AA451" i="42"/>
  <c r="AB451" i="42"/>
  <c r="J452" i="42"/>
  <c r="Q452" i="42"/>
  <c r="J453" i="42"/>
  <c r="J454" i="42" s="1"/>
  <c r="I454" i="42" s="1"/>
  <c r="Q453" i="42"/>
  <c r="Z453" i="42"/>
  <c r="AA453" i="42" s="1"/>
  <c r="G454" i="42"/>
  <c r="L454" i="42"/>
  <c r="L456" i="42" s="1"/>
  <c r="M454" i="42"/>
  <c r="N454" i="42"/>
  <c r="N456" i="42" s="1"/>
  <c r="O454" i="42"/>
  <c r="O456" i="42" s="1"/>
  <c r="O462" i="42" s="1"/>
  <c r="P454" i="42"/>
  <c r="P456" i="42" s="1"/>
  <c r="P462" i="42" s="1"/>
  <c r="S454" i="42"/>
  <c r="T454" i="42"/>
  <c r="U454" i="42"/>
  <c r="U456" i="42" s="1"/>
  <c r="V454" i="42"/>
  <c r="W454" i="42"/>
  <c r="W456" i="42" s="1"/>
  <c r="W462" i="42" s="1"/>
  <c r="X454" i="42"/>
  <c r="X456" i="42" s="1"/>
  <c r="X462" i="42" s="1"/>
  <c r="G456" i="42"/>
  <c r="M456" i="42"/>
  <c r="M462" i="42" s="1"/>
  <c r="S456" i="42"/>
  <c r="S462" i="42" s="1"/>
  <c r="T456" i="42"/>
  <c r="V456" i="42"/>
  <c r="V462" i="42" s="1"/>
  <c r="J458" i="42"/>
  <c r="Q458" i="42"/>
  <c r="Z458" i="42" s="1"/>
  <c r="J460" i="42"/>
  <c r="Q460" i="42" s="1"/>
  <c r="Z460" i="42" s="1"/>
  <c r="G462" i="42"/>
  <c r="L462" i="42"/>
  <c r="N462" i="42"/>
  <c r="T462" i="42"/>
  <c r="U462" i="42"/>
  <c r="G470" i="42"/>
  <c r="L470" i="42"/>
  <c r="S470" i="42"/>
  <c r="Z470" i="42"/>
  <c r="J476" i="42"/>
  <c r="Q476" i="42"/>
  <c r="Z476" i="42"/>
  <c r="AA476" i="42"/>
  <c r="AC476" i="42" s="1"/>
  <c r="AB476" i="42"/>
  <c r="J478" i="42"/>
  <c r="Q478" i="42" s="1"/>
  <c r="Z478" i="42" s="1"/>
  <c r="J479" i="42"/>
  <c r="Q479" i="42"/>
  <c r="Z479" i="42" s="1"/>
  <c r="AB479" i="42" s="1"/>
  <c r="J480" i="42"/>
  <c r="Q480" i="42"/>
  <c r="Z480" i="42"/>
  <c r="AA480" i="42"/>
  <c r="AB480" i="42"/>
  <c r="J481" i="42"/>
  <c r="Q481" i="42"/>
  <c r="Z481" i="42" s="1"/>
  <c r="G482" i="42"/>
  <c r="G484" i="42" s="1"/>
  <c r="L482" i="42"/>
  <c r="L484" i="42" s="1"/>
  <c r="L490" i="42" s="1"/>
  <c r="M482" i="42"/>
  <c r="M484" i="42" s="1"/>
  <c r="M490" i="42" s="1"/>
  <c r="N482" i="42"/>
  <c r="O482" i="42"/>
  <c r="P482" i="42"/>
  <c r="S482" i="42"/>
  <c r="S484" i="42" s="1"/>
  <c r="S490" i="42" s="1"/>
  <c r="T482" i="42"/>
  <c r="T484" i="42" s="1"/>
  <c r="U482" i="42"/>
  <c r="U484" i="42" s="1"/>
  <c r="U490" i="42" s="1"/>
  <c r="V482" i="42"/>
  <c r="V484" i="42" s="1"/>
  <c r="V490" i="42" s="1"/>
  <c r="W482" i="42"/>
  <c r="X482" i="42"/>
  <c r="N484" i="42"/>
  <c r="N490" i="42" s="1"/>
  <c r="O484" i="42"/>
  <c r="P484" i="42"/>
  <c r="P490" i="42" s="1"/>
  <c r="W484" i="42"/>
  <c r="W490" i="42" s="1"/>
  <c r="X484" i="42"/>
  <c r="J486" i="42"/>
  <c r="Q486" i="42"/>
  <c r="Z486" i="42"/>
  <c r="AA486" i="42" s="1"/>
  <c r="AC486" i="42" s="1"/>
  <c r="AB486" i="42"/>
  <c r="J488" i="42"/>
  <c r="Q488" i="42" s="1"/>
  <c r="Z488" i="42" s="1"/>
  <c r="AA488" i="42" s="1"/>
  <c r="AC488" i="42" s="1"/>
  <c r="AB488" i="42"/>
  <c r="O490" i="42"/>
  <c r="T490" i="42"/>
  <c r="X490" i="42"/>
  <c r="J494" i="42"/>
  <c r="Q494" i="42" s="1"/>
  <c r="Z494" i="42" s="1"/>
  <c r="AA494" i="42" s="1"/>
  <c r="AB494" i="42"/>
  <c r="J495" i="42"/>
  <c r="J496" i="42"/>
  <c r="Q496" i="42"/>
  <c r="Z496" i="42" s="1"/>
  <c r="G497" i="42"/>
  <c r="L497" i="42"/>
  <c r="M497" i="42"/>
  <c r="M507" i="42" s="1"/>
  <c r="M519" i="42" s="1"/>
  <c r="N497" i="42"/>
  <c r="N507" i="42" s="1"/>
  <c r="O497" i="42"/>
  <c r="P497" i="42"/>
  <c r="S497" i="42"/>
  <c r="T497" i="42"/>
  <c r="U497" i="42"/>
  <c r="V497" i="42"/>
  <c r="V507" i="42" s="1"/>
  <c r="V519" i="42" s="1"/>
  <c r="W497" i="42"/>
  <c r="W507" i="42" s="1"/>
  <c r="W519" i="42" s="1"/>
  <c r="X497" i="42"/>
  <c r="J500" i="42"/>
  <c r="Q500" i="42"/>
  <c r="Z500" i="42" s="1"/>
  <c r="J501" i="42"/>
  <c r="Q501" i="42" s="1"/>
  <c r="Z501" i="42" s="1"/>
  <c r="AA501" i="42" s="1"/>
  <c r="AB501" i="42"/>
  <c r="G502" i="42"/>
  <c r="G507" i="42" s="1"/>
  <c r="L502" i="42"/>
  <c r="M502" i="42"/>
  <c r="N502" i="42"/>
  <c r="O502" i="42"/>
  <c r="P502" i="42"/>
  <c r="P507" i="42" s="1"/>
  <c r="Q502" i="42"/>
  <c r="S502" i="42"/>
  <c r="S507" i="42" s="1"/>
  <c r="T502" i="42"/>
  <c r="U502" i="42"/>
  <c r="V502" i="42"/>
  <c r="W502" i="42"/>
  <c r="X502" i="42"/>
  <c r="J504" i="42"/>
  <c r="Q504" i="42" s="1"/>
  <c r="Z504" i="42" s="1"/>
  <c r="AA504" i="42" s="1"/>
  <c r="J505" i="42"/>
  <c r="Q505" i="42" s="1"/>
  <c r="Z505" i="42" s="1"/>
  <c r="L507" i="42"/>
  <c r="L519" i="42" s="1"/>
  <c r="O507" i="42"/>
  <c r="T507" i="42"/>
  <c r="U507" i="42"/>
  <c r="U519" i="42" s="1"/>
  <c r="X507" i="42"/>
  <c r="X519" i="42" s="1"/>
  <c r="J510" i="42"/>
  <c r="J514" i="42" s="1"/>
  <c r="I514" i="42" s="1"/>
  <c r="J511" i="42"/>
  <c r="Q511" i="42"/>
  <c r="Z511" i="42" s="1"/>
  <c r="AB511" i="42" s="1"/>
  <c r="AC511" i="42"/>
  <c r="J512" i="42"/>
  <c r="Q512" i="42" s="1"/>
  <c r="Z512" i="42" s="1"/>
  <c r="AA512" i="42" s="1"/>
  <c r="AC512" i="42" s="1"/>
  <c r="Q513" i="42"/>
  <c r="G514" i="42"/>
  <c r="L514" i="42"/>
  <c r="M514" i="42"/>
  <c r="N514" i="42"/>
  <c r="O514" i="42"/>
  <c r="P514" i="42"/>
  <c r="S514" i="42"/>
  <c r="T514" i="42"/>
  <c r="U514" i="42"/>
  <c r="V514" i="42"/>
  <c r="W514" i="42"/>
  <c r="X514" i="42"/>
  <c r="J516" i="42"/>
  <c r="Q516" i="42"/>
  <c r="Z516" i="42"/>
  <c r="AA516" i="42"/>
  <c r="AC516" i="42" s="1"/>
  <c r="AB516" i="42"/>
  <c r="J517" i="42"/>
  <c r="Q517" i="42" s="1"/>
  <c r="Z517" i="42" s="1"/>
  <c r="AA517" i="42" s="1"/>
  <c r="AC517" i="42" s="1"/>
  <c r="G519" i="42"/>
  <c r="O519" i="42"/>
  <c r="P519" i="42"/>
  <c r="T519" i="42"/>
  <c r="G527" i="42"/>
  <c r="L527" i="42"/>
  <c r="S527" i="42"/>
  <c r="Z527" i="42"/>
  <c r="J533" i="42"/>
  <c r="Q533" i="42"/>
  <c r="J534" i="42"/>
  <c r="Q534" i="42"/>
  <c r="Z534" i="42"/>
  <c r="AB534" i="42" s="1"/>
  <c r="AC534" i="42"/>
  <c r="J535" i="42"/>
  <c r="Q535" i="42" s="1"/>
  <c r="Z535" i="42" s="1"/>
  <c r="AA535" i="42" s="1"/>
  <c r="AB535" i="42"/>
  <c r="AC535" i="42"/>
  <c r="J536" i="42"/>
  <c r="Q536" i="42" s="1"/>
  <c r="Z536" i="42" s="1"/>
  <c r="AB536" i="42" s="1"/>
  <c r="AA536" i="42"/>
  <c r="AC536" i="42"/>
  <c r="J537" i="42"/>
  <c r="Q537" i="42" s="1"/>
  <c r="Z537" i="42" s="1"/>
  <c r="AB537" i="42" s="1"/>
  <c r="AA537" i="42"/>
  <c r="AC537" i="42" s="1"/>
  <c r="G539" i="42"/>
  <c r="L539" i="42"/>
  <c r="L551" i="42" s="1"/>
  <c r="M539" i="42"/>
  <c r="M551" i="42" s="1"/>
  <c r="N539" i="42"/>
  <c r="O539" i="42"/>
  <c r="P539" i="42"/>
  <c r="S539" i="42"/>
  <c r="T539" i="42"/>
  <c r="U539" i="42"/>
  <c r="U551" i="42" s="1"/>
  <c r="V539" i="42"/>
  <c r="W539" i="42"/>
  <c r="X539" i="42"/>
  <c r="J542" i="42"/>
  <c r="J546" i="42" s="1"/>
  <c r="Q542" i="42"/>
  <c r="J543" i="42"/>
  <c r="Q543" i="42"/>
  <c r="Z543" i="42"/>
  <c r="AB543" i="42" s="1"/>
  <c r="J544" i="42"/>
  <c r="Q544" i="42" s="1"/>
  <c r="Z544" i="42" s="1"/>
  <c r="AA544" i="42"/>
  <c r="AB544" i="42"/>
  <c r="AC544" i="42"/>
  <c r="G546" i="42"/>
  <c r="I546" i="42"/>
  <c r="L546" i="42"/>
  <c r="M546" i="42"/>
  <c r="N546" i="42"/>
  <c r="N551" i="42" s="1"/>
  <c r="O546" i="42"/>
  <c r="O551" i="42" s="1"/>
  <c r="P546" i="42"/>
  <c r="S546" i="42"/>
  <c r="S551" i="42" s="1"/>
  <c r="T546" i="42"/>
  <c r="U546" i="42"/>
  <c r="V546" i="42"/>
  <c r="W546" i="42"/>
  <c r="X546" i="42"/>
  <c r="J548" i="42"/>
  <c r="Q548" i="42"/>
  <c r="Z548" i="42"/>
  <c r="AA548" i="42" s="1"/>
  <c r="AC548" i="42" s="1"/>
  <c r="J549" i="42"/>
  <c r="Q549" i="42" s="1"/>
  <c r="Z549" i="42" s="1"/>
  <c r="AB549" i="42" s="1"/>
  <c r="AA549" i="42"/>
  <c r="AC549" i="42"/>
  <c r="G551" i="42"/>
  <c r="P551" i="42"/>
  <c r="T551" i="42"/>
  <c r="V551" i="42"/>
  <c r="W551" i="42"/>
  <c r="X551" i="42"/>
  <c r="J555" i="42"/>
  <c r="Q555" i="42"/>
  <c r="Q559" i="42" s="1"/>
  <c r="J556" i="42"/>
  <c r="Q556" i="42"/>
  <c r="Z556" i="42" s="1"/>
  <c r="AA556" i="42" s="1"/>
  <c r="AC556" i="42" s="1"/>
  <c r="AB556" i="42"/>
  <c r="J557" i="42"/>
  <c r="Q557" i="42" s="1"/>
  <c r="Z557" i="42" s="1"/>
  <c r="G559" i="42"/>
  <c r="J559" i="42"/>
  <c r="I559" i="42" s="1"/>
  <c r="L559" i="42"/>
  <c r="M559" i="42"/>
  <c r="N559" i="42"/>
  <c r="O559" i="42"/>
  <c r="P559" i="42"/>
  <c r="S559" i="42"/>
  <c r="T559" i="42"/>
  <c r="U559" i="42"/>
  <c r="V559" i="42"/>
  <c r="W559" i="42"/>
  <c r="X559" i="42"/>
  <c r="J562" i="42"/>
  <c r="Q562" i="42"/>
  <c r="Z562" i="42"/>
  <c r="AB562" i="42" s="1"/>
  <c r="AA562" i="42"/>
  <c r="AC562" i="42"/>
  <c r="J563" i="42"/>
  <c r="Q563" i="42"/>
  <c r="Z563" i="42" s="1"/>
  <c r="G565" i="42"/>
  <c r="I565" i="42"/>
  <c r="J565" i="42"/>
  <c r="L565" i="42"/>
  <c r="L569" i="42" s="1"/>
  <c r="M565" i="42"/>
  <c r="N565" i="42"/>
  <c r="O565" i="42"/>
  <c r="P565" i="42"/>
  <c r="P569" i="42" s="1"/>
  <c r="S565" i="42"/>
  <c r="S569" i="42" s="1"/>
  <c r="T565" i="42"/>
  <c r="U565" i="42"/>
  <c r="U569" i="42" s="1"/>
  <c r="V565" i="42"/>
  <c r="W565" i="42"/>
  <c r="X565" i="42"/>
  <c r="J567" i="42"/>
  <c r="Q567" i="42" s="1"/>
  <c r="Z567" i="42" s="1"/>
  <c r="G569" i="42"/>
  <c r="M569" i="42"/>
  <c r="N569" i="42"/>
  <c r="O569" i="42"/>
  <c r="T569" i="42"/>
  <c r="V569" i="42"/>
  <c r="W569" i="42"/>
  <c r="X569" i="42"/>
  <c r="G577" i="42"/>
  <c r="L577" i="42"/>
  <c r="S577" i="42"/>
  <c r="Z577" i="42"/>
  <c r="J583" i="42"/>
  <c r="Q583" i="42"/>
  <c r="Q586" i="42" s="1"/>
  <c r="J584" i="42"/>
  <c r="Q584" i="42"/>
  <c r="Z584" i="42" s="1"/>
  <c r="G586" i="42"/>
  <c r="J586" i="42"/>
  <c r="I586" i="42" s="1"/>
  <c r="L586" i="42"/>
  <c r="L590" i="42" s="1"/>
  <c r="M586" i="42"/>
  <c r="N586" i="42"/>
  <c r="N590" i="42" s="1"/>
  <c r="O586" i="42"/>
  <c r="P586" i="42"/>
  <c r="P590" i="42" s="1"/>
  <c r="S586" i="42"/>
  <c r="T586" i="42"/>
  <c r="U586" i="42"/>
  <c r="U590" i="42" s="1"/>
  <c r="V586" i="42"/>
  <c r="W586" i="42"/>
  <c r="W590" i="42" s="1"/>
  <c r="X586" i="42"/>
  <c r="J588" i="42"/>
  <c r="J590" i="42" s="1"/>
  <c r="I590" i="42" s="1"/>
  <c r="G590" i="42"/>
  <c r="M590" i="42"/>
  <c r="O590" i="42"/>
  <c r="S590" i="42"/>
  <c r="T590" i="42"/>
  <c r="V590" i="42"/>
  <c r="X590" i="42"/>
  <c r="J593" i="42"/>
  <c r="Q593" i="42"/>
  <c r="Q607" i="42" s="1"/>
  <c r="J596" i="42"/>
  <c r="J607" i="42" s="1"/>
  <c r="Q596" i="42"/>
  <c r="Z596" i="42" s="1"/>
  <c r="J597" i="42"/>
  <c r="Q597" i="42"/>
  <c r="Z597" i="42"/>
  <c r="AB597" i="42" s="1"/>
  <c r="AA597" i="42"/>
  <c r="AC597" i="42"/>
  <c r="J599" i="42"/>
  <c r="Q599" i="42"/>
  <c r="Z599" i="42" s="1"/>
  <c r="J600" i="42"/>
  <c r="Q600" i="42"/>
  <c r="Z600" i="42" s="1"/>
  <c r="J602" i="42"/>
  <c r="Q602" i="42"/>
  <c r="Z602" i="42" s="1"/>
  <c r="J603" i="42"/>
  <c r="Q603" i="42"/>
  <c r="Z603" i="42"/>
  <c r="AB603" i="42" s="1"/>
  <c r="AA603" i="42"/>
  <c r="AC603" i="42"/>
  <c r="Q605" i="42"/>
  <c r="Z605" i="42"/>
  <c r="AB605" i="42" s="1"/>
  <c r="AC605" i="42"/>
  <c r="G607" i="42"/>
  <c r="G622" i="42" s="1"/>
  <c r="L607" i="42"/>
  <c r="M607" i="42"/>
  <c r="M624" i="42" s="1"/>
  <c r="N607" i="42"/>
  <c r="N624" i="42" s="1"/>
  <c r="O607" i="42"/>
  <c r="P607" i="42"/>
  <c r="S607" i="42"/>
  <c r="T607" i="42"/>
  <c r="U607" i="42"/>
  <c r="V607" i="42"/>
  <c r="V624" i="42" s="1"/>
  <c r="W607" i="42"/>
  <c r="W624" i="42" s="1"/>
  <c r="X607" i="42"/>
  <c r="J611" i="42"/>
  <c r="J622" i="42" s="1"/>
  <c r="I622" i="42" s="1"/>
  <c r="J613" i="42"/>
  <c r="Q613" i="42" s="1"/>
  <c r="Z613" i="42" s="1"/>
  <c r="AB613" i="42" s="1"/>
  <c r="AC613" i="42"/>
  <c r="J614" i="42"/>
  <c r="Q614" i="42"/>
  <c r="Z614" i="42"/>
  <c r="AB614" i="42"/>
  <c r="AC614" i="42"/>
  <c r="J615" i="42"/>
  <c r="Q615" i="42" s="1"/>
  <c r="Z615" i="42"/>
  <c r="AB615" i="42" s="1"/>
  <c r="AC615" i="42"/>
  <c r="J616" i="42"/>
  <c r="Q616" i="42"/>
  <c r="Z616" i="42" s="1"/>
  <c r="AB616" i="42" s="1"/>
  <c r="AC616" i="42"/>
  <c r="J618" i="42"/>
  <c r="Q618" i="42" s="1"/>
  <c r="Z618" i="42" s="1"/>
  <c r="Q620" i="42"/>
  <c r="Z620" i="42" s="1"/>
  <c r="AB620" i="42" s="1"/>
  <c r="AC620" i="42"/>
  <c r="L622" i="42"/>
  <c r="M622" i="42"/>
  <c r="N622" i="42"/>
  <c r="O622" i="42"/>
  <c r="O624" i="42" s="1"/>
  <c r="P622" i="42"/>
  <c r="S622" i="42"/>
  <c r="T622" i="42"/>
  <c r="T624" i="42" s="1"/>
  <c r="U622" i="42"/>
  <c r="V622" i="42"/>
  <c r="W622" i="42"/>
  <c r="X622" i="42"/>
  <c r="X624" i="42" s="1"/>
  <c r="L624" i="42"/>
  <c r="P624" i="42"/>
  <c r="S624" i="42"/>
  <c r="U624" i="42"/>
  <c r="G632" i="42"/>
  <c r="G677" i="42" s="1"/>
  <c r="L632" i="42"/>
  <c r="S632" i="42"/>
  <c r="Z632" i="42"/>
  <c r="J638" i="42"/>
  <c r="Q638" i="42" s="1"/>
  <c r="J641" i="42"/>
  <c r="Q641" i="42"/>
  <c r="Z641" i="42"/>
  <c r="AA641" i="42" s="1"/>
  <c r="AC641" i="42" s="1"/>
  <c r="AB641" i="42"/>
  <c r="J642" i="42"/>
  <c r="J644" i="42"/>
  <c r="Q644" i="42" s="1"/>
  <c r="Z644" i="42"/>
  <c r="J645" i="42"/>
  <c r="Q645" i="42" s="1"/>
  <c r="Z645" i="42" s="1"/>
  <c r="AA645" i="42" s="1"/>
  <c r="AC645" i="42" s="1"/>
  <c r="AB645" i="42"/>
  <c r="J647" i="42"/>
  <c r="Q647" i="42"/>
  <c r="Z647" i="42"/>
  <c r="AA647" i="42" s="1"/>
  <c r="AC647" i="42" s="1"/>
  <c r="AB647" i="42"/>
  <c r="J648" i="42"/>
  <c r="Q648" i="42" s="1"/>
  <c r="Z648" i="42" s="1"/>
  <c r="Q650" i="42"/>
  <c r="Z650" i="42" s="1"/>
  <c r="AB650" i="42"/>
  <c r="AC650" i="42"/>
  <c r="G652" i="42"/>
  <c r="G667" i="42" s="1"/>
  <c r="G669" i="42" s="1"/>
  <c r="L652" i="42"/>
  <c r="M652" i="42"/>
  <c r="N652" i="42"/>
  <c r="N669" i="42" s="1"/>
  <c r="O652" i="42"/>
  <c r="O669" i="42" s="1"/>
  <c r="P652" i="42"/>
  <c r="S652" i="42"/>
  <c r="S669" i="42" s="1"/>
  <c r="T652" i="42"/>
  <c r="U652" i="42"/>
  <c r="V652" i="42"/>
  <c r="W652" i="42"/>
  <c r="W669" i="42" s="1"/>
  <c r="X652" i="42"/>
  <c r="X669" i="42" s="1"/>
  <c r="J656" i="42"/>
  <c r="Q656" i="42"/>
  <c r="J658" i="42"/>
  <c r="Q658" i="42"/>
  <c r="Z658" i="42" s="1"/>
  <c r="AB658" i="42" s="1"/>
  <c r="AC658" i="42"/>
  <c r="J659" i="42"/>
  <c r="AC659" i="42"/>
  <c r="J660" i="42"/>
  <c r="Q660" i="42"/>
  <c r="Z660" i="42" s="1"/>
  <c r="AB660" i="42"/>
  <c r="AC660" i="42"/>
  <c r="J661" i="42"/>
  <c r="Q661" i="42"/>
  <c r="Z661" i="42"/>
  <c r="AB661" i="42" s="1"/>
  <c r="AC661" i="42"/>
  <c r="J663" i="42"/>
  <c r="Q663" i="42"/>
  <c r="Z663" i="42" s="1"/>
  <c r="Q665" i="42"/>
  <c r="Z665" i="42"/>
  <c r="AB665" i="42" s="1"/>
  <c r="AC665" i="42"/>
  <c r="L667" i="42"/>
  <c r="L669" i="42" s="1"/>
  <c r="M667" i="42"/>
  <c r="N667" i="42"/>
  <c r="O667" i="42"/>
  <c r="P667" i="42"/>
  <c r="P669" i="42" s="1"/>
  <c r="S667" i="42"/>
  <c r="T667" i="42"/>
  <c r="U667" i="42"/>
  <c r="U669" i="42" s="1"/>
  <c r="V667" i="42"/>
  <c r="W667" i="42"/>
  <c r="X667" i="42"/>
  <c r="M669" i="42"/>
  <c r="T669" i="42"/>
  <c r="V669" i="42"/>
  <c r="L677" i="42"/>
  <c r="S677" i="42"/>
  <c r="Z677" i="42"/>
  <c r="J683" i="42"/>
  <c r="Q683" i="42"/>
  <c r="J685" i="42"/>
  <c r="Q685" i="42"/>
  <c r="Z685" i="42"/>
  <c r="AB685" i="42" s="1"/>
  <c r="AA685" i="42"/>
  <c r="AC685" i="42"/>
  <c r="J686" i="42"/>
  <c r="J690" i="42" s="1"/>
  <c r="Q686" i="42"/>
  <c r="Z686" i="42" s="1"/>
  <c r="Q688" i="42"/>
  <c r="Z688" i="42"/>
  <c r="AB688" i="42" s="1"/>
  <c r="AC688" i="42"/>
  <c r="G690" i="42"/>
  <c r="L690" i="42"/>
  <c r="M690" i="42"/>
  <c r="N690" i="42"/>
  <c r="N708" i="42" s="1"/>
  <c r="O690" i="42"/>
  <c r="O708" i="42" s="1"/>
  <c r="P690" i="42"/>
  <c r="P708" i="42" s="1"/>
  <c r="S690" i="42"/>
  <c r="T690" i="42"/>
  <c r="U690" i="42"/>
  <c r="V690" i="42"/>
  <c r="W690" i="42"/>
  <c r="W708" i="42" s="1"/>
  <c r="X690" i="42"/>
  <c r="X708" i="42" s="1"/>
  <c r="J694" i="42"/>
  <c r="Q694" i="42" s="1"/>
  <c r="J696" i="42"/>
  <c r="Q696" i="42"/>
  <c r="Z696" i="42"/>
  <c r="J697" i="42"/>
  <c r="Q697" i="42"/>
  <c r="Z697" i="42" s="1"/>
  <c r="AB697" i="42"/>
  <c r="AC697" i="42"/>
  <c r="J698" i="42"/>
  <c r="Q698" i="42"/>
  <c r="Z698" i="42"/>
  <c r="J699" i="42"/>
  <c r="Q699" i="42"/>
  <c r="Z699" i="42" s="1"/>
  <c r="J701" i="42"/>
  <c r="Q703" i="42"/>
  <c r="Z703" i="42" s="1"/>
  <c r="AB703" i="42"/>
  <c r="AC703" i="42"/>
  <c r="G705" i="42"/>
  <c r="L705" i="42"/>
  <c r="M705" i="42"/>
  <c r="M708" i="42" s="1"/>
  <c r="N705" i="42"/>
  <c r="O705" i="42"/>
  <c r="P705" i="42"/>
  <c r="S705" i="42"/>
  <c r="T705" i="42"/>
  <c r="T708" i="42" s="1"/>
  <c r="U705" i="42"/>
  <c r="V705" i="42"/>
  <c r="V708" i="42" s="1"/>
  <c r="W705" i="42"/>
  <c r="X705" i="42"/>
  <c r="G708" i="42"/>
  <c r="L708" i="42"/>
  <c r="S708" i="42"/>
  <c r="U708" i="42"/>
  <c r="R710" i="42"/>
  <c r="G718" i="42"/>
  <c r="L718" i="42"/>
  <c r="S718" i="42"/>
  <c r="Z718" i="42"/>
  <c r="J726" i="42"/>
  <c r="Q726" i="42" s="1"/>
  <c r="AC726" i="42"/>
  <c r="J727" i="42"/>
  <c r="Q727" i="42"/>
  <c r="Z727" i="42"/>
  <c r="AB727" i="42"/>
  <c r="AC727" i="42"/>
  <c r="G729" i="42"/>
  <c r="J729" i="42"/>
  <c r="L729" i="42"/>
  <c r="M729" i="42"/>
  <c r="N729" i="42"/>
  <c r="O729" i="42"/>
  <c r="P729" i="42"/>
  <c r="S729" i="42"/>
  <c r="T729" i="42"/>
  <c r="U729" i="42"/>
  <c r="V729" i="42"/>
  <c r="W729" i="42"/>
  <c r="X729" i="42"/>
  <c r="X864" i="42" s="1"/>
  <c r="J732" i="42"/>
  <c r="AC732" i="42"/>
  <c r="G734" i="42"/>
  <c r="I734" i="42"/>
  <c r="L734" i="42"/>
  <c r="M734" i="42"/>
  <c r="N734" i="42"/>
  <c r="O734" i="42"/>
  <c r="P734" i="42"/>
  <c r="S734" i="42"/>
  <c r="T734" i="42"/>
  <c r="U734" i="42"/>
  <c r="V734" i="42"/>
  <c r="W734" i="42"/>
  <c r="X734" i="42"/>
  <c r="AB737" i="42"/>
  <c r="J741" i="42"/>
  <c r="J742" i="42"/>
  <c r="Q742" i="42" s="1"/>
  <c r="Z742" i="42"/>
  <c r="J743" i="42"/>
  <c r="Q743" i="42" s="1"/>
  <c r="Z743" i="42" s="1"/>
  <c r="AA743" i="42" s="1"/>
  <c r="J744" i="42"/>
  <c r="Q744" i="42"/>
  <c r="Z744" i="42"/>
  <c r="AA744" i="42" s="1"/>
  <c r="AC744" i="42" s="1"/>
  <c r="AB744" i="42"/>
  <c r="J745" i="42"/>
  <c r="Q745" i="42" s="1"/>
  <c r="Z745" i="42" s="1"/>
  <c r="J747" i="42"/>
  <c r="Q747" i="42" s="1"/>
  <c r="Z747" i="42"/>
  <c r="Q749" i="42"/>
  <c r="J750" i="42"/>
  <c r="Q750" i="42"/>
  <c r="Z750" i="42" s="1"/>
  <c r="AB750" i="42" s="1"/>
  <c r="AA750" i="42"/>
  <c r="AC750" i="42" s="1"/>
  <c r="I751" i="42"/>
  <c r="I752" i="42"/>
  <c r="J753" i="42"/>
  <c r="Q753" i="42"/>
  <c r="Z753" i="42"/>
  <c r="AB753" i="42" s="1"/>
  <c r="AA753" i="42"/>
  <c r="AC753" i="42"/>
  <c r="J754" i="42"/>
  <c r="Q754" i="42"/>
  <c r="Z754" i="42" s="1"/>
  <c r="J755" i="42"/>
  <c r="Q755" i="42"/>
  <c r="Z755" i="42" s="1"/>
  <c r="AB755" i="42" s="1"/>
  <c r="AC755" i="42"/>
  <c r="Z757" i="42"/>
  <c r="AB757" i="42"/>
  <c r="Z758" i="42"/>
  <c r="AB758" i="42" s="1"/>
  <c r="Z761" i="42"/>
  <c r="AB761" i="42" s="1"/>
  <c r="Z762" i="42"/>
  <c r="AB762" i="42" s="1"/>
  <c r="G764" i="42"/>
  <c r="L764" i="42"/>
  <c r="M764" i="42"/>
  <c r="M864" i="42" s="1"/>
  <c r="N764" i="42"/>
  <c r="O764" i="42"/>
  <c r="P764" i="42"/>
  <c r="S764" i="42"/>
  <c r="T764" i="42"/>
  <c r="U764" i="42"/>
  <c r="V764" i="42"/>
  <c r="W764" i="42"/>
  <c r="X764" i="42"/>
  <c r="G772" i="42"/>
  <c r="L772" i="42"/>
  <c r="S772" i="42"/>
  <c r="Z772" i="42"/>
  <c r="J779" i="42"/>
  <c r="Q779" i="42"/>
  <c r="Z779" i="42"/>
  <c r="AB779" i="42" s="1"/>
  <c r="AA779" i="42"/>
  <c r="AC779" i="42"/>
  <c r="J781" i="42"/>
  <c r="Q781" i="42"/>
  <c r="Z781" i="42" s="1"/>
  <c r="J782" i="42"/>
  <c r="Q782" i="42"/>
  <c r="Z782" i="42" s="1"/>
  <c r="AB782" i="42" s="1"/>
  <c r="J783" i="42"/>
  <c r="Q783" i="42"/>
  <c r="Z783" i="42" s="1"/>
  <c r="Z787" i="42"/>
  <c r="AB787" i="42"/>
  <c r="Z788" i="42"/>
  <c r="AB788" i="42"/>
  <c r="Z789" i="42"/>
  <c r="AB789" i="42"/>
  <c r="AB790" i="42"/>
  <c r="Q793" i="42"/>
  <c r="Z793" i="42" s="1"/>
  <c r="AB793" i="42" s="1"/>
  <c r="Q794" i="42"/>
  <c r="Z794" i="42"/>
  <c r="AB794" i="42" s="1"/>
  <c r="Q796" i="42"/>
  <c r="Z796" i="42" s="1"/>
  <c r="AB796" i="42"/>
  <c r="Z797" i="42"/>
  <c r="AB797" i="42"/>
  <c r="C799" i="42"/>
  <c r="G799" i="42"/>
  <c r="J799" i="42"/>
  <c r="L799" i="42"/>
  <c r="M799" i="42"/>
  <c r="N799" i="42"/>
  <c r="O799" i="42"/>
  <c r="P799" i="42"/>
  <c r="S799" i="42"/>
  <c r="T799" i="42"/>
  <c r="U799" i="42"/>
  <c r="V799" i="42"/>
  <c r="W799" i="42"/>
  <c r="X799" i="42"/>
  <c r="G807" i="42"/>
  <c r="L807" i="42"/>
  <c r="S807" i="42"/>
  <c r="Z807" i="42"/>
  <c r="J813" i="42"/>
  <c r="Q813" i="42"/>
  <c r="Z813" i="42" s="1"/>
  <c r="J814" i="42"/>
  <c r="Q814" i="42"/>
  <c r="Z814" i="42"/>
  <c r="AB814" i="42"/>
  <c r="AC814" i="42"/>
  <c r="J815" i="42"/>
  <c r="Q815" i="42" s="1"/>
  <c r="J816" i="42"/>
  <c r="J818" i="42" s="1"/>
  <c r="I818" i="42" s="1"/>
  <c r="Z816" i="42"/>
  <c r="AC816" i="42"/>
  <c r="C818" i="42"/>
  <c r="G818" i="42"/>
  <c r="L818" i="42"/>
  <c r="M818" i="42"/>
  <c r="N818" i="42"/>
  <c r="O818" i="42"/>
  <c r="P818" i="42"/>
  <c r="S818" i="42"/>
  <c r="T818" i="42"/>
  <c r="U818" i="42"/>
  <c r="V818" i="42"/>
  <c r="W818" i="42"/>
  <c r="X818" i="42"/>
  <c r="Q820" i="42"/>
  <c r="Z820" i="42"/>
  <c r="AA820" i="42"/>
  <c r="J823" i="42"/>
  <c r="J838" i="42" s="1"/>
  <c r="J824" i="42"/>
  <c r="Q824" i="42"/>
  <c r="Z824" i="42"/>
  <c r="AB824" i="42" s="1"/>
  <c r="AC824" i="42"/>
  <c r="J826" i="42"/>
  <c r="Q826" i="42"/>
  <c r="Z826" i="42" s="1"/>
  <c r="AB826" i="42" s="1"/>
  <c r="AC826" i="42"/>
  <c r="Z827" i="42"/>
  <c r="AB827" i="42" s="1"/>
  <c r="AC827" i="42"/>
  <c r="Z828" i="42"/>
  <c r="AB828" i="42"/>
  <c r="AC828" i="42"/>
  <c r="Z829" i="42"/>
  <c r="AB829" i="42"/>
  <c r="AC829" i="42"/>
  <c r="Z830" i="42"/>
  <c r="AB830" i="42"/>
  <c r="AC830" i="42"/>
  <c r="Q832" i="42"/>
  <c r="Z832" i="42" s="1"/>
  <c r="AB832" i="42" s="1"/>
  <c r="T832" i="42"/>
  <c r="U832" i="42"/>
  <c r="V832" i="42"/>
  <c r="V838" i="42" s="1"/>
  <c r="W832" i="42"/>
  <c r="AA832" i="42"/>
  <c r="Q833" i="42"/>
  <c r="Z833" i="42" s="1"/>
  <c r="AB833" i="42" s="1"/>
  <c r="T833" i="42"/>
  <c r="U833" i="42"/>
  <c r="V833" i="42"/>
  <c r="W833" i="42"/>
  <c r="AA833" i="42"/>
  <c r="Q834" i="42"/>
  <c r="Z834" i="42" s="1"/>
  <c r="AB834" i="42" s="1"/>
  <c r="T834" i="42"/>
  <c r="U834" i="42"/>
  <c r="V834" i="42"/>
  <c r="W834" i="42"/>
  <c r="AA834" i="42"/>
  <c r="Q835" i="42"/>
  <c r="Z835" i="42" s="1"/>
  <c r="AB835" i="42" s="1"/>
  <c r="T835" i="42"/>
  <c r="U835" i="42"/>
  <c r="V835" i="42"/>
  <c r="W835" i="42"/>
  <c r="AA835" i="42"/>
  <c r="Q836" i="42"/>
  <c r="Z836" i="42" s="1"/>
  <c r="AB836" i="42" s="1"/>
  <c r="T836" i="42"/>
  <c r="U836" i="42"/>
  <c r="V836" i="42"/>
  <c r="W836" i="42"/>
  <c r="AA836" i="42"/>
  <c r="C838" i="42"/>
  <c r="G838" i="42"/>
  <c r="L838" i="42"/>
  <c r="M838" i="42"/>
  <c r="N838" i="42"/>
  <c r="O838" i="42"/>
  <c r="P838" i="42"/>
  <c r="S838" i="42"/>
  <c r="T838" i="42"/>
  <c r="U838" i="42"/>
  <c r="W838" i="42"/>
  <c r="X838" i="42"/>
  <c r="G846" i="42"/>
  <c r="L846" i="42"/>
  <c r="S846" i="42"/>
  <c r="Z846" i="42"/>
  <c r="J852" i="42"/>
  <c r="J854" i="42"/>
  <c r="Q854" i="42" s="1"/>
  <c r="Z854" i="42"/>
  <c r="AB854" i="42" s="1"/>
  <c r="AC854" i="42"/>
  <c r="Q855" i="42"/>
  <c r="Z855" i="42"/>
  <c r="AB855" i="42" s="1"/>
  <c r="AC855" i="42"/>
  <c r="Q856" i="42"/>
  <c r="Z856" i="42"/>
  <c r="AB856" i="42" s="1"/>
  <c r="AC856" i="42"/>
  <c r="Q858" i="42"/>
  <c r="Z858" i="42"/>
  <c r="AB858" i="42" s="1"/>
  <c r="L860" i="42"/>
  <c r="M860" i="42"/>
  <c r="N860" i="42"/>
  <c r="O860" i="42"/>
  <c r="P860" i="42"/>
  <c r="S860" i="42"/>
  <c r="T860" i="42"/>
  <c r="U860" i="42"/>
  <c r="V860" i="42"/>
  <c r="W860" i="42"/>
  <c r="X860" i="42"/>
  <c r="Q862" i="42"/>
  <c r="S862" i="42" s="1"/>
  <c r="AB862" i="42"/>
  <c r="N864" i="42"/>
  <c r="P864" i="42"/>
  <c r="W864" i="42"/>
  <c r="AA423" i="42" l="1"/>
  <c r="AC423" i="42" s="1"/>
  <c r="AB423" i="42"/>
  <c r="AA403" i="42"/>
  <c r="AB403" i="42"/>
  <c r="AB405" i="42" s="1"/>
  <c r="Z405" i="42"/>
  <c r="AA405" i="42" s="1"/>
  <c r="AC405" i="42" s="1"/>
  <c r="AA397" i="42"/>
  <c r="AB397" i="42"/>
  <c r="Q838" i="42"/>
  <c r="I838" i="42"/>
  <c r="AA783" i="42"/>
  <c r="AC783" i="42" s="1"/>
  <c r="AB783" i="42"/>
  <c r="AB600" i="42"/>
  <c r="AA600" i="42"/>
  <c r="AC600" i="42" s="1"/>
  <c r="AA449" i="42"/>
  <c r="AC449" i="42" s="1"/>
  <c r="AB449" i="42"/>
  <c r="AA372" i="42"/>
  <c r="AB372" i="42"/>
  <c r="AA782" i="42"/>
  <c r="AC782" i="42" s="1"/>
  <c r="V864" i="42"/>
  <c r="AB743" i="42"/>
  <c r="L864" i="42"/>
  <c r="I729" i="42"/>
  <c r="Q729" i="42"/>
  <c r="Z726" i="42"/>
  <c r="AB618" i="42"/>
  <c r="AA618" i="42"/>
  <c r="AC618" i="42" s="1"/>
  <c r="AA599" i="42"/>
  <c r="AC599" i="42" s="1"/>
  <c r="AB599" i="42"/>
  <c r="I607" i="42"/>
  <c r="J624" i="42"/>
  <c r="AA584" i="42"/>
  <c r="AC584" i="42" s="1"/>
  <c r="AB584" i="42"/>
  <c r="AA567" i="42"/>
  <c r="AC567" i="42" s="1"/>
  <c r="AB567" i="42"/>
  <c r="AB460" i="42"/>
  <c r="AA460" i="42"/>
  <c r="AC460" i="42" s="1"/>
  <c r="AA596" i="42"/>
  <c r="AC596" i="42" s="1"/>
  <c r="AB596" i="42"/>
  <c r="AA437" i="42"/>
  <c r="AB437" i="42"/>
  <c r="AA747" i="42"/>
  <c r="AC747" i="42" s="1"/>
  <c r="AB747" i="42"/>
  <c r="AC743" i="42"/>
  <c r="AA751" i="42"/>
  <c r="AC751" i="42" s="1"/>
  <c r="U864" i="42"/>
  <c r="T864" i="42"/>
  <c r="Q705" i="42"/>
  <c r="Z694" i="42"/>
  <c r="AA663" i="42"/>
  <c r="AC663" i="42" s="1"/>
  <c r="AB663" i="42"/>
  <c r="AA644" i="42"/>
  <c r="AC644" i="42" s="1"/>
  <c r="AB644" i="42"/>
  <c r="Q652" i="42"/>
  <c r="Z638" i="42"/>
  <c r="AB496" i="42"/>
  <c r="AA496" i="42"/>
  <c r="AA563" i="42"/>
  <c r="AC563" i="42" s="1"/>
  <c r="Z565" i="42"/>
  <c r="AA565" i="42" s="1"/>
  <c r="AC565" i="42" s="1"/>
  <c r="AB563" i="42"/>
  <c r="AB565" i="42" s="1"/>
  <c r="AA742" i="42"/>
  <c r="AC742" i="42" s="1"/>
  <c r="AB742" i="42"/>
  <c r="S864" i="42"/>
  <c r="AA686" i="42"/>
  <c r="AC686" i="42" s="1"/>
  <c r="AB686" i="42"/>
  <c r="Q690" i="42"/>
  <c r="AA648" i="42"/>
  <c r="AC648" i="42" s="1"/>
  <c r="AB648" i="42"/>
  <c r="AB505" i="42"/>
  <c r="AA505" i="42"/>
  <c r="AB484" i="42"/>
  <c r="AB490" i="42" s="1"/>
  <c r="Q852" i="42"/>
  <c r="J860" i="42"/>
  <c r="I860" i="42" s="1"/>
  <c r="Q816" i="42"/>
  <c r="AB816" i="42"/>
  <c r="Z818" i="42"/>
  <c r="AA818" i="42" s="1"/>
  <c r="AC818" i="42" s="1"/>
  <c r="AA813" i="42"/>
  <c r="AC813" i="42" s="1"/>
  <c r="AB813" i="42"/>
  <c r="AA781" i="42"/>
  <c r="AC781" i="42" s="1"/>
  <c r="AB781" i="42"/>
  <c r="AB799" i="42" s="1"/>
  <c r="Z799" i="42"/>
  <c r="AA799" i="42" s="1"/>
  <c r="AC799" i="42" s="1"/>
  <c r="AA754" i="42"/>
  <c r="AC754" i="42" s="1"/>
  <c r="AB754" i="42"/>
  <c r="AB745" i="42"/>
  <c r="AA745" i="42"/>
  <c r="Q701" i="42"/>
  <c r="Z701" i="42" s="1"/>
  <c r="J705" i="42"/>
  <c r="I705" i="42" s="1"/>
  <c r="I690" i="42"/>
  <c r="J708" i="42"/>
  <c r="I708" i="42" s="1"/>
  <c r="Q642" i="42"/>
  <c r="Z642" i="42" s="1"/>
  <c r="J652" i="42"/>
  <c r="AA557" i="42"/>
  <c r="AC557" i="42" s="1"/>
  <c r="AB557" i="42"/>
  <c r="AB500" i="42"/>
  <c r="AB502" i="42" s="1"/>
  <c r="AA500" i="42"/>
  <c r="Z502" i="42"/>
  <c r="AA502" i="42" s="1"/>
  <c r="Q818" i="42"/>
  <c r="Q799" i="42"/>
  <c r="Q741" i="42"/>
  <c r="J764" i="42"/>
  <c r="I764" i="42" s="1"/>
  <c r="Q732" i="42"/>
  <c r="J734" i="42"/>
  <c r="J864" i="42" s="1"/>
  <c r="O864" i="42"/>
  <c r="Q659" i="42"/>
  <c r="Z659" i="42" s="1"/>
  <c r="AB659" i="42" s="1"/>
  <c r="J667" i="42"/>
  <c r="I667" i="42" s="1"/>
  <c r="AA602" i="42"/>
  <c r="AC602" i="42" s="1"/>
  <c r="AB602" i="42"/>
  <c r="AA400" i="42"/>
  <c r="AC400" i="42" s="1"/>
  <c r="AB400" i="42"/>
  <c r="AA375" i="42"/>
  <c r="AB375" i="42"/>
  <c r="AA320" i="42"/>
  <c r="AB320" i="42"/>
  <c r="J238" i="42"/>
  <c r="Q229" i="42"/>
  <c r="AB165" i="42"/>
  <c r="AB168" i="42" s="1"/>
  <c r="Z168" i="42"/>
  <c r="AA168" i="42" s="1"/>
  <c r="AA165" i="42"/>
  <c r="AB105" i="42"/>
  <c r="AA105" i="42"/>
  <c r="AC105" i="42" s="1"/>
  <c r="AB84" i="42"/>
  <c r="AA84" i="42"/>
  <c r="AC84" i="42" s="1"/>
  <c r="Z39" i="42"/>
  <c r="Q44" i="42"/>
  <c r="Q46" i="42" s="1"/>
  <c r="Q57" i="42" s="1"/>
  <c r="AB18" i="42"/>
  <c r="AA18" i="42"/>
  <c r="N809" i="43"/>
  <c r="T791" i="43"/>
  <c r="U757" i="43"/>
  <c r="V757" i="43"/>
  <c r="U752" i="43"/>
  <c r="W752" i="43" s="1"/>
  <c r="V752" i="43"/>
  <c r="J737" i="43"/>
  <c r="N737" i="43" s="1"/>
  <c r="T737" i="43" s="1"/>
  <c r="V737" i="43" s="1"/>
  <c r="G739" i="43"/>
  <c r="U56" i="43"/>
  <c r="W56" i="43" s="1"/>
  <c r="V56" i="43"/>
  <c r="V52" i="43"/>
  <c r="U52" i="43"/>
  <c r="W20" i="44"/>
  <c r="V20" i="44"/>
  <c r="Z656" i="42"/>
  <c r="Q611" i="42"/>
  <c r="Z593" i="42"/>
  <c r="Z583" i="42"/>
  <c r="Z555" i="42"/>
  <c r="J497" i="42"/>
  <c r="Q495" i="42"/>
  <c r="Z495" i="42" s="1"/>
  <c r="Q482" i="42"/>
  <c r="Q484" i="42" s="1"/>
  <c r="Q490" i="42" s="1"/>
  <c r="AA479" i="42"/>
  <c r="AA458" i="42"/>
  <c r="AC458" i="42" s="1"/>
  <c r="AB458" i="42"/>
  <c r="J456" i="42"/>
  <c r="AB453" i="42"/>
  <c r="AB441" i="42"/>
  <c r="AB443" i="42" s="1"/>
  <c r="Z443" i="42"/>
  <c r="Q438" i="42"/>
  <c r="Q396" i="42"/>
  <c r="Z396" i="42" s="1"/>
  <c r="J398" i="42"/>
  <c r="Z361" i="42"/>
  <c r="Q363" i="42"/>
  <c r="J333" i="42"/>
  <c r="I333" i="42" s="1"/>
  <c r="Q332" i="42"/>
  <c r="Z332" i="42" s="1"/>
  <c r="I328" i="42"/>
  <c r="AB319" i="42"/>
  <c r="J291" i="42"/>
  <c r="I291" i="42" s="1"/>
  <c r="Q286" i="42"/>
  <c r="I168" i="42"/>
  <c r="AA130" i="42"/>
  <c r="AC130" i="42" s="1"/>
  <c r="AB130" i="42"/>
  <c r="Q125" i="42"/>
  <c r="J126" i="42"/>
  <c r="I126" i="42" s="1"/>
  <c r="T825" i="43"/>
  <c r="N829" i="43"/>
  <c r="J569" i="42"/>
  <c r="I569" i="42" s="1"/>
  <c r="AA422" i="42"/>
  <c r="AC422" i="42" s="1"/>
  <c r="AB422" i="42"/>
  <c r="P378" i="42"/>
  <c r="Z331" i="42"/>
  <c r="Q333" i="42"/>
  <c r="Q284" i="42"/>
  <c r="J293" i="42"/>
  <c r="AA240" i="42"/>
  <c r="AC240" i="42" s="1"/>
  <c r="AB240" i="42"/>
  <c r="AA188" i="42"/>
  <c r="AC188" i="42" s="1"/>
  <c r="AB188" i="42"/>
  <c r="AB42" i="42"/>
  <c r="AA42" i="42"/>
  <c r="J739" i="43"/>
  <c r="V555" i="43"/>
  <c r="U555" i="43"/>
  <c r="W555" i="43" s="1"/>
  <c r="V322" i="43"/>
  <c r="U322" i="43"/>
  <c r="Q823" i="42"/>
  <c r="Z823" i="42" s="1"/>
  <c r="I799" i="42"/>
  <c r="Z683" i="42"/>
  <c r="G624" i="42"/>
  <c r="Q588" i="42"/>
  <c r="Z588" i="42" s="1"/>
  <c r="Q565" i="42"/>
  <c r="Q569" i="42" s="1"/>
  <c r="X445" i="42"/>
  <c r="O445" i="42"/>
  <c r="Q421" i="42"/>
  <c r="J427" i="42"/>
  <c r="I389" i="42"/>
  <c r="Z382" i="42"/>
  <c r="Q384" i="42"/>
  <c r="J338" i="42"/>
  <c r="I338" i="42" s="1"/>
  <c r="Q336" i="42"/>
  <c r="AA327" i="42"/>
  <c r="AB327" i="42"/>
  <c r="AB307" i="42"/>
  <c r="Z296" i="42"/>
  <c r="Q298" i="42"/>
  <c r="AA288" i="42"/>
  <c r="AB288" i="42"/>
  <c r="AA252" i="42"/>
  <c r="AB252" i="42"/>
  <c r="AB258" i="42" s="1"/>
  <c r="Z258" i="42"/>
  <c r="AA232" i="42"/>
  <c r="Z234" i="42"/>
  <c r="AA234" i="42" s="1"/>
  <c r="AC234" i="42" s="1"/>
  <c r="AB232" i="42"/>
  <c r="AA206" i="42"/>
  <c r="AC206" i="42" s="1"/>
  <c r="AB206" i="42"/>
  <c r="S190" i="42"/>
  <c r="Q168" i="42"/>
  <c r="Z27" i="42"/>
  <c r="N849" i="43"/>
  <c r="T834" i="43"/>
  <c r="U511" i="43"/>
  <c r="W511" i="43" s="1"/>
  <c r="V511" i="43"/>
  <c r="Q41" i="42"/>
  <c r="Z41" i="42" s="1"/>
  <c r="J44" i="42"/>
  <c r="V864" i="43"/>
  <c r="V872" i="43" s="1"/>
  <c r="T872" i="43"/>
  <c r="U872" i="43" s="1"/>
  <c r="W872" i="43" s="1"/>
  <c r="U656" i="43"/>
  <c r="W656" i="43" s="1"/>
  <c r="V656" i="43"/>
  <c r="N519" i="42"/>
  <c r="AA425" i="42"/>
  <c r="AB425" i="42"/>
  <c r="J539" i="42"/>
  <c r="O391" i="42"/>
  <c r="AA478" i="42"/>
  <c r="Z482" i="42"/>
  <c r="AB478" i="42"/>
  <c r="AB482" i="42" s="1"/>
  <c r="M391" i="42"/>
  <c r="AB244" i="42"/>
  <c r="AA244" i="42"/>
  <c r="AB504" i="42"/>
  <c r="J502" i="42"/>
  <c r="I502" i="42" s="1"/>
  <c r="Z452" i="42"/>
  <c r="Q454" i="42"/>
  <c r="Z398" i="42"/>
  <c r="AA394" i="42"/>
  <c r="AC394" i="42" s="1"/>
  <c r="AA388" i="42"/>
  <c r="AB388" i="42"/>
  <c r="J379" i="42"/>
  <c r="I379" i="42" s="1"/>
  <c r="AA377" i="42"/>
  <c r="V391" i="42"/>
  <c r="L391" i="42"/>
  <c r="Z328" i="42"/>
  <c r="AA328" i="42" s="1"/>
  <c r="AC328" i="42" s="1"/>
  <c r="AA326" i="42"/>
  <c r="AA318" i="42"/>
  <c r="AB318" i="42"/>
  <c r="AB316" i="42"/>
  <c r="AB321" i="42" s="1"/>
  <c r="Z321" i="42"/>
  <c r="AA321" i="42" s="1"/>
  <c r="AC321" i="42" s="1"/>
  <c r="AA174" i="42"/>
  <c r="AB98" i="42"/>
  <c r="AA92" i="42"/>
  <c r="AB92" i="42"/>
  <c r="AB94" i="42" s="1"/>
  <c r="Z94" i="42"/>
  <c r="AA94" i="42" s="1"/>
  <c r="AC94" i="42" s="1"/>
  <c r="Z51" i="42"/>
  <c r="Q53" i="42"/>
  <c r="N661" i="43"/>
  <c r="AA481" i="42"/>
  <c r="AB481" i="42"/>
  <c r="Q356" i="42"/>
  <c r="J358" i="42"/>
  <c r="AB194" i="42"/>
  <c r="AA194" i="42"/>
  <c r="AC194" i="42" s="1"/>
  <c r="AA436" i="42"/>
  <c r="AB436" i="42"/>
  <c r="AB548" i="42"/>
  <c r="Q539" i="42"/>
  <c r="Z533" i="42"/>
  <c r="G490" i="42"/>
  <c r="Q456" i="42"/>
  <c r="Q462" i="42" s="1"/>
  <c r="Q398" i="42"/>
  <c r="Q407" i="42" s="1"/>
  <c r="AB389" i="42"/>
  <c r="AA366" i="42"/>
  <c r="AC366" i="42" s="1"/>
  <c r="AB366" i="42"/>
  <c r="T340" i="42"/>
  <c r="J323" i="42"/>
  <c r="I321" i="42"/>
  <c r="AA230" i="42"/>
  <c r="AC230" i="42" s="1"/>
  <c r="AB230" i="42"/>
  <c r="AA166" i="42"/>
  <c r="AB166" i="42"/>
  <c r="AA122" i="42"/>
  <c r="AC122" i="42" s="1"/>
  <c r="AB122" i="42"/>
  <c r="AB73" i="42"/>
  <c r="AA73" i="42"/>
  <c r="AC73" i="42" s="1"/>
  <c r="J22" i="42"/>
  <c r="Q14" i="42"/>
  <c r="U650" i="43"/>
  <c r="W650" i="43" s="1"/>
  <c r="V650" i="43"/>
  <c r="Z542" i="42"/>
  <c r="Q546" i="42"/>
  <c r="AB328" i="42"/>
  <c r="AA197" i="42"/>
  <c r="AB197" i="42"/>
  <c r="AB199" i="42" s="1"/>
  <c r="AA143" i="42"/>
  <c r="AC143" i="42" s="1"/>
  <c r="AB143" i="42"/>
  <c r="AA543" i="42"/>
  <c r="AC543" i="42" s="1"/>
  <c r="AB517" i="42"/>
  <c r="AB512" i="42"/>
  <c r="Q510" i="42"/>
  <c r="S519" i="42"/>
  <c r="J482" i="42"/>
  <c r="Q443" i="42"/>
  <c r="AB430" i="42"/>
  <c r="Z438" i="42"/>
  <c r="Z389" i="42"/>
  <c r="AA389" i="42" s="1"/>
  <c r="AA387" i="42"/>
  <c r="AB383" i="42"/>
  <c r="Z371" i="42"/>
  <c r="AA357" i="42"/>
  <c r="Z314" i="42"/>
  <c r="Q323" i="42"/>
  <c r="Z306" i="42"/>
  <c r="Q308" i="42"/>
  <c r="Z302" i="42"/>
  <c r="Q303" i="42"/>
  <c r="W311" i="42"/>
  <c r="AB267" i="42"/>
  <c r="AA267" i="42"/>
  <c r="AC267" i="42" s="1"/>
  <c r="AA133" i="42"/>
  <c r="AB133" i="42"/>
  <c r="AB135" i="42" s="1"/>
  <c r="Z135" i="42"/>
  <c r="AA135" i="42" s="1"/>
  <c r="AC135" i="42" s="1"/>
  <c r="AA90" i="42"/>
  <c r="AC90" i="42" s="1"/>
  <c r="AB90" i="42"/>
  <c r="U57" i="42"/>
  <c r="U710" i="42" s="1"/>
  <c r="U866" i="42" s="1"/>
  <c r="V827" i="43"/>
  <c r="U827" i="43"/>
  <c r="U502" i="43"/>
  <c r="V502" i="43"/>
  <c r="T215" i="42"/>
  <c r="G179" i="42"/>
  <c r="G190" i="42" s="1"/>
  <c r="T139" i="42"/>
  <c r="T710" i="42" s="1"/>
  <c r="T866" i="42" s="1"/>
  <c r="Z80" i="42"/>
  <c r="Q82" i="42"/>
  <c r="M86" i="42"/>
  <c r="W57" i="42"/>
  <c r="L33" i="42"/>
  <c r="L710" i="42" s="1"/>
  <c r="Q17" i="42"/>
  <c r="Z17" i="42" s="1"/>
  <c r="J20" i="42"/>
  <c r="I20" i="42" s="1"/>
  <c r="V651" i="43"/>
  <c r="V661" i="43" s="1"/>
  <c r="U651" i="43"/>
  <c r="W651" i="43" s="1"/>
  <c r="U523" i="43"/>
  <c r="W523" i="43" s="1"/>
  <c r="V523" i="43"/>
  <c r="L525" i="43"/>
  <c r="U458" i="43"/>
  <c r="V458" i="43"/>
  <c r="N367" i="43"/>
  <c r="J368" i="43"/>
  <c r="I368" i="43" s="1"/>
  <c r="N290" i="43"/>
  <c r="J144" i="42"/>
  <c r="Q142" i="42"/>
  <c r="AA121" i="42"/>
  <c r="AC121" i="42" s="1"/>
  <c r="AB121" i="42"/>
  <c r="AA43" i="42"/>
  <c r="AB43" i="42"/>
  <c r="AB38" i="42"/>
  <c r="Z44" i="42"/>
  <c r="AA44" i="42" s="1"/>
  <c r="U755" i="43"/>
  <c r="W755" i="43" s="1"/>
  <c r="V755" i="43"/>
  <c r="L876" i="43"/>
  <c r="U696" i="43"/>
  <c r="W696" i="43" s="1"/>
  <c r="V696" i="43"/>
  <c r="V613" i="43"/>
  <c r="U613" i="43"/>
  <c r="N596" i="43"/>
  <c r="T596" i="43" s="1"/>
  <c r="J598" i="43"/>
  <c r="I598" i="43" s="1"/>
  <c r="V465" i="43"/>
  <c r="U465" i="43"/>
  <c r="W465" i="43" s="1"/>
  <c r="U430" i="43"/>
  <c r="W430" i="43" s="1"/>
  <c r="V430" i="43"/>
  <c r="U426" i="43"/>
  <c r="W426" i="43" s="1"/>
  <c r="V426" i="43"/>
  <c r="U400" i="43"/>
  <c r="W400" i="43" s="1"/>
  <c r="V400" i="43"/>
  <c r="Z245" i="42"/>
  <c r="AA243" i="42"/>
  <c r="Z199" i="42"/>
  <c r="AA199" i="42" s="1"/>
  <c r="AC199" i="42" s="1"/>
  <c r="AA196" i="42"/>
  <c r="Z193" i="42"/>
  <c r="Q204" i="42"/>
  <c r="AA124" i="42"/>
  <c r="AC124" i="42" s="1"/>
  <c r="AA31" i="42"/>
  <c r="AC31" i="42" s="1"/>
  <c r="AB31" i="42"/>
  <c r="T742" i="43"/>
  <c r="N744" i="43"/>
  <c r="N700" i="43"/>
  <c r="N718" i="43" s="1"/>
  <c r="T693" i="43"/>
  <c r="U672" i="43"/>
  <c r="W672" i="43" s="1"/>
  <c r="V672" i="43"/>
  <c r="N665" i="43"/>
  <c r="J676" i="43"/>
  <c r="I676" i="43" s="1"/>
  <c r="U302" i="43"/>
  <c r="T304" i="43"/>
  <c r="U304" i="43" s="1"/>
  <c r="W304" i="43" s="1"/>
  <c r="V302" i="43"/>
  <c r="V304" i="43" s="1"/>
  <c r="V218" i="43"/>
  <c r="U218" i="43"/>
  <c r="W218" i="43" s="1"/>
  <c r="Z209" i="42"/>
  <c r="Q211" i="42"/>
  <c r="V215" i="42"/>
  <c r="V710" i="42" s="1"/>
  <c r="V866" i="42" s="1"/>
  <c r="X215" i="42"/>
  <c r="X710" i="42" s="1"/>
  <c r="X866" i="42" s="1"/>
  <c r="O215" i="42"/>
  <c r="O710" i="42" s="1"/>
  <c r="O866" i="42" s="1"/>
  <c r="J204" i="42"/>
  <c r="AA146" i="42"/>
  <c r="AC146" i="42" s="1"/>
  <c r="AB146" i="42"/>
  <c r="U792" i="43"/>
  <c r="W792" i="43" s="1"/>
  <c r="V792" i="43"/>
  <c r="Q765" i="43"/>
  <c r="Q774" i="43" s="1"/>
  <c r="Q876" i="43" s="1"/>
  <c r="V765" i="43"/>
  <c r="U754" i="43"/>
  <c r="W754" i="43" s="1"/>
  <c r="V754" i="43"/>
  <c r="P876" i="43"/>
  <c r="N659" i="43"/>
  <c r="T659" i="43" s="1"/>
  <c r="V659" i="43" s="1"/>
  <c r="J661" i="43"/>
  <c r="N601" i="43"/>
  <c r="J615" i="43"/>
  <c r="T591" i="43"/>
  <c r="N594" i="43"/>
  <c r="N598" i="43" s="1"/>
  <c r="U313" i="43"/>
  <c r="V313" i="43"/>
  <c r="J443" i="42"/>
  <c r="AA254" i="42"/>
  <c r="AC254" i="42" s="1"/>
  <c r="AB233" i="42"/>
  <c r="J175" i="42"/>
  <c r="I175" i="42" s="1"/>
  <c r="Q179" i="42"/>
  <c r="Z162" i="42"/>
  <c r="AB137" i="42"/>
  <c r="G107" i="42"/>
  <c r="M107" i="42"/>
  <c r="Q89" i="42"/>
  <c r="J96" i="42"/>
  <c r="Z71" i="42"/>
  <c r="Q75" i="42"/>
  <c r="V837" i="43"/>
  <c r="U824" i="43"/>
  <c r="W824" i="43" s="1"/>
  <c r="T829" i="43"/>
  <c r="U829" i="43" s="1"/>
  <c r="W829" i="43" s="1"/>
  <c r="V753" i="43"/>
  <c r="N751" i="43"/>
  <c r="J774" i="43"/>
  <c r="I774" i="43" s="1"/>
  <c r="T704" i="43"/>
  <c r="N715" i="43"/>
  <c r="U657" i="43"/>
  <c r="W657" i="43" s="1"/>
  <c r="U653" i="43"/>
  <c r="W653" i="43" s="1"/>
  <c r="V653" i="43"/>
  <c r="Z263" i="42"/>
  <c r="Q265" i="42"/>
  <c r="Q258" i="42"/>
  <c r="Q269" i="42" s="1"/>
  <c r="Z184" i="42"/>
  <c r="Q186" i="42"/>
  <c r="Z175" i="42"/>
  <c r="AA175" i="42" s="1"/>
  <c r="AA172" i="42"/>
  <c r="J128" i="42"/>
  <c r="G139" i="42"/>
  <c r="G128" i="42"/>
  <c r="Z101" i="42"/>
  <c r="Q103" i="42"/>
  <c r="N57" i="42"/>
  <c r="N710" i="42" s="1"/>
  <c r="N866" i="42" s="1"/>
  <c r="Z46" i="42"/>
  <c r="AA36" i="42"/>
  <c r="AC36" i="42" s="1"/>
  <c r="J29" i="42"/>
  <c r="I29" i="42" s="1"/>
  <c r="Q28" i="42"/>
  <c r="Z28" i="42" s="1"/>
  <c r="U764" i="43"/>
  <c r="W764" i="43" s="1"/>
  <c r="V764" i="43"/>
  <c r="W753" i="43"/>
  <c r="U761" i="43"/>
  <c r="W761" i="43" s="1"/>
  <c r="R876" i="43"/>
  <c r="U605" i="43"/>
  <c r="W605" i="43" s="1"/>
  <c r="V605" i="43"/>
  <c r="I566" i="43"/>
  <c r="V314" i="43"/>
  <c r="J106" i="43"/>
  <c r="I106" i="43" s="1"/>
  <c r="J110" i="43"/>
  <c r="I110" i="43" s="1"/>
  <c r="N105" i="43"/>
  <c r="U647" i="43"/>
  <c r="W647" i="43" s="1"/>
  <c r="T661" i="43"/>
  <c r="N630" i="43"/>
  <c r="T619" i="43"/>
  <c r="U604" i="43"/>
  <c r="W604" i="43" s="1"/>
  <c r="V604" i="43"/>
  <c r="J572" i="43"/>
  <c r="I572" i="43" s="1"/>
  <c r="N569" i="43"/>
  <c r="J546" i="43"/>
  <c r="U522" i="43"/>
  <c r="W522" i="43" s="1"/>
  <c r="V522" i="43"/>
  <c r="N507" i="43"/>
  <c r="J508" i="43"/>
  <c r="N484" i="43"/>
  <c r="J488" i="43"/>
  <c r="I488" i="43" s="1"/>
  <c r="N447" i="43"/>
  <c r="T447" i="43" s="1"/>
  <c r="V447" i="43" s="1"/>
  <c r="J448" i="43"/>
  <c r="U405" i="43"/>
  <c r="W405" i="43" s="1"/>
  <c r="V405" i="43"/>
  <c r="N399" i="43"/>
  <c r="J403" i="43"/>
  <c r="U293" i="43"/>
  <c r="V293" i="43"/>
  <c r="V297" i="43" s="1"/>
  <c r="I244" i="43"/>
  <c r="U236" i="43"/>
  <c r="W236" i="43" s="1"/>
  <c r="V236" i="43"/>
  <c r="V77" i="43"/>
  <c r="V464" i="44"/>
  <c r="X464" i="44" s="1"/>
  <c r="W464" i="44"/>
  <c r="J700" i="43"/>
  <c r="L632" i="43"/>
  <c r="U607" i="43"/>
  <c r="W607" i="43" s="1"/>
  <c r="U592" i="43"/>
  <c r="W592" i="43" s="1"/>
  <c r="T564" i="43"/>
  <c r="N566" i="43"/>
  <c r="N482" i="43"/>
  <c r="J490" i="43"/>
  <c r="U463" i="43"/>
  <c r="W463" i="43" s="1"/>
  <c r="V463" i="43"/>
  <c r="V446" i="43"/>
  <c r="V448" i="43" s="1"/>
  <c r="T448" i="43"/>
  <c r="I363" i="43"/>
  <c r="W363" i="43" s="1"/>
  <c r="I275" i="43"/>
  <c r="V266" i="43"/>
  <c r="U266" i="43"/>
  <c r="W266" i="43" s="1"/>
  <c r="N216" i="43"/>
  <c r="T214" i="43"/>
  <c r="J184" i="43"/>
  <c r="W832" i="44"/>
  <c r="U800" i="44"/>
  <c r="O812" i="44"/>
  <c r="V593" i="44"/>
  <c r="X591" i="44"/>
  <c r="X593" i="44" s="1"/>
  <c r="N448" i="43"/>
  <c r="U409" i="43"/>
  <c r="V409" i="43"/>
  <c r="V410" i="43" s="1"/>
  <c r="V393" i="43"/>
  <c r="U393" i="43"/>
  <c r="V359" i="43"/>
  <c r="U359" i="43"/>
  <c r="W359" i="43" s="1"/>
  <c r="V341" i="43"/>
  <c r="V343" i="43" s="1"/>
  <c r="U341" i="43"/>
  <c r="T343" i="43"/>
  <c r="U343" i="43" s="1"/>
  <c r="W343" i="43" s="1"/>
  <c r="U319" i="43"/>
  <c r="W319" i="43" s="1"/>
  <c r="V319" i="43"/>
  <c r="V296" i="43"/>
  <c r="U296" i="43"/>
  <c r="N736" i="43"/>
  <c r="U610" i="43"/>
  <c r="W610" i="43" s="1"/>
  <c r="V610" i="43"/>
  <c r="U570" i="43"/>
  <c r="W570" i="43" s="1"/>
  <c r="V570" i="43"/>
  <c r="U549" i="43"/>
  <c r="W549" i="43" s="1"/>
  <c r="T500" i="43"/>
  <c r="N503" i="43"/>
  <c r="N456" i="43"/>
  <c r="J459" i="43"/>
  <c r="I459" i="43" s="1"/>
  <c r="N383" i="43"/>
  <c r="T383" i="43" s="1"/>
  <c r="M384" i="43"/>
  <c r="M396" i="43" s="1"/>
  <c r="U370" i="43"/>
  <c r="W370" i="43" s="1"/>
  <c r="V370" i="43"/>
  <c r="Q396" i="43"/>
  <c r="Q720" i="43" s="1"/>
  <c r="Q878" i="43" s="1"/>
  <c r="T297" i="43"/>
  <c r="U297" i="43" s="1"/>
  <c r="N220" i="43"/>
  <c r="J553" i="43"/>
  <c r="I553" i="43" s="1"/>
  <c r="U486" i="43"/>
  <c r="V486" i="43"/>
  <c r="N454" i="43"/>
  <c r="N442" i="43"/>
  <c r="J443" i="43"/>
  <c r="V435" i="43"/>
  <c r="N427" i="43"/>
  <c r="T427" i="43" s="1"/>
  <c r="J432" i="43"/>
  <c r="V394" i="43"/>
  <c r="U379" i="43"/>
  <c r="V379" i="43"/>
  <c r="J338" i="43"/>
  <c r="I338" i="43" s="1"/>
  <c r="N336" i="43"/>
  <c r="V270" i="43"/>
  <c r="U270" i="43"/>
  <c r="J630" i="43"/>
  <c r="I630" i="43" s="1"/>
  <c r="U562" i="43"/>
  <c r="W562" i="43" s="1"/>
  <c r="T566" i="43"/>
  <c r="T551" i="43"/>
  <c r="N553" i="43"/>
  <c r="T546" i="43"/>
  <c r="N546" i="43"/>
  <c r="N558" i="43" s="1"/>
  <c r="U510" i="43"/>
  <c r="W510" i="43" s="1"/>
  <c r="V510" i="43"/>
  <c r="U388" i="43"/>
  <c r="V388" i="43"/>
  <c r="V389" i="43" s="1"/>
  <c r="V377" i="43"/>
  <c r="U377" i="43"/>
  <c r="U323" i="43"/>
  <c r="V323" i="43"/>
  <c r="R316" i="43"/>
  <c r="R720" i="43" s="1"/>
  <c r="R878" i="43" s="1"/>
  <c r="V294" i="43"/>
  <c r="U294" i="43"/>
  <c r="V259" i="43"/>
  <c r="V264" i="43" s="1"/>
  <c r="T264" i="43"/>
  <c r="U259" i="43"/>
  <c r="W259" i="43" s="1"/>
  <c r="N244" i="43"/>
  <c r="V240" i="43"/>
  <c r="U134" i="43"/>
  <c r="W134" i="43" s="1"/>
  <c r="V134" i="43"/>
  <c r="V556" i="43"/>
  <c r="V540" i="43"/>
  <c r="V546" i="43" s="1"/>
  <c r="V516" i="43"/>
  <c r="V520" i="43" s="1"/>
  <c r="V506" i="43"/>
  <c r="V441" i="43"/>
  <c r="V429" i="43"/>
  <c r="U408" i="43"/>
  <c r="T410" i="43"/>
  <c r="U410" i="43" s="1"/>
  <c r="W410" i="43" s="1"/>
  <c r="P396" i="43"/>
  <c r="N304" i="43"/>
  <c r="M316" i="43"/>
  <c r="P316" i="43"/>
  <c r="N128" i="43"/>
  <c r="J130" i="43"/>
  <c r="I130" i="43" s="1"/>
  <c r="U108" i="43"/>
  <c r="W108" i="43" s="1"/>
  <c r="V108" i="43"/>
  <c r="T520" i="43"/>
  <c r="U520" i="43" s="1"/>
  <c r="W520" i="43" s="1"/>
  <c r="N410" i="43"/>
  <c r="V402" i="43"/>
  <c r="N389" i="43"/>
  <c r="N376" i="43"/>
  <c r="J384" i="43"/>
  <c r="I384" i="43" s="1"/>
  <c r="U337" i="43"/>
  <c r="T332" i="43"/>
  <c r="T333" i="43" s="1"/>
  <c r="U333" i="43" s="1"/>
  <c r="W333" i="43" s="1"/>
  <c r="P345" i="43"/>
  <c r="U324" i="43"/>
  <c r="U292" i="43"/>
  <c r="T269" i="43"/>
  <c r="N271" i="43"/>
  <c r="U260" i="43"/>
  <c r="W260" i="43" s="1"/>
  <c r="U253" i="43"/>
  <c r="W253" i="43" s="1"/>
  <c r="M220" i="43"/>
  <c r="U171" i="43"/>
  <c r="V171" i="43"/>
  <c r="N20" i="43"/>
  <c r="J21" i="43"/>
  <c r="U17" i="43"/>
  <c r="V17" i="43"/>
  <c r="U392" i="43"/>
  <c r="T394" i="43"/>
  <c r="U394" i="43" s="1"/>
  <c r="W394" i="43" s="1"/>
  <c r="V363" i="43"/>
  <c r="U312" i="43"/>
  <c r="T314" i="43"/>
  <c r="U314" i="43" s="1"/>
  <c r="N309" i="43"/>
  <c r="T307" i="43"/>
  <c r="U240" i="43"/>
  <c r="I240" i="43"/>
  <c r="J84" i="43"/>
  <c r="I84" i="43" s="1"/>
  <c r="N83" i="43"/>
  <c r="L345" i="43"/>
  <c r="N321" i="43"/>
  <c r="J326" i="43"/>
  <c r="N314" i="43"/>
  <c r="J309" i="43"/>
  <c r="I309" i="43" s="1"/>
  <c r="J304" i="43"/>
  <c r="I304" i="43" s="1"/>
  <c r="J297" i="43"/>
  <c r="I297" i="43" s="1"/>
  <c r="N297" i="43"/>
  <c r="U235" i="43"/>
  <c r="W235" i="43" s="1"/>
  <c r="V235" i="43"/>
  <c r="T244" i="43"/>
  <c r="U193" i="43"/>
  <c r="W193" i="43" s="1"/>
  <c r="V193" i="43"/>
  <c r="T173" i="43"/>
  <c r="U173" i="43" s="1"/>
  <c r="W173" i="43" s="1"/>
  <c r="U170" i="43"/>
  <c r="V170" i="43"/>
  <c r="U86" i="43"/>
  <c r="W86" i="43" s="1"/>
  <c r="V86" i="43"/>
  <c r="J394" i="43"/>
  <c r="I394" i="43" s="1"/>
  <c r="U331" i="43"/>
  <c r="I314" i="43"/>
  <c r="M275" i="43"/>
  <c r="V190" i="43"/>
  <c r="U190" i="43"/>
  <c r="V178" i="43"/>
  <c r="U178" i="43"/>
  <c r="J47" i="43"/>
  <c r="I45" i="43"/>
  <c r="J333" i="43"/>
  <c r="I333" i="43" s="1"/>
  <c r="J251" i="43"/>
  <c r="I251" i="43" s="1"/>
  <c r="N249" i="43"/>
  <c r="T167" i="43"/>
  <c r="V32" i="43"/>
  <c r="U32" i="43"/>
  <c r="W32" i="43" s="1"/>
  <c r="T172" i="43"/>
  <c r="T148" i="43"/>
  <c r="V147" i="43"/>
  <c r="V148" i="43" s="1"/>
  <c r="V152" i="43" s="1"/>
  <c r="J132" i="43"/>
  <c r="N97" i="43"/>
  <c r="T77" i="43"/>
  <c r="N45" i="43"/>
  <c r="V457" i="44"/>
  <c r="W457" i="44"/>
  <c r="V136" i="44"/>
  <c r="W136" i="44"/>
  <c r="U138" i="43"/>
  <c r="V138" i="43"/>
  <c r="U95" i="43"/>
  <c r="T97" i="43"/>
  <c r="V95" i="43"/>
  <c r="V97" i="43" s="1"/>
  <c r="V99" i="43" s="1"/>
  <c r="U75" i="43"/>
  <c r="W75" i="43" s="1"/>
  <c r="V75" i="43"/>
  <c r="O299" i="44"/>
  <c r="J301" i="44"/>
  <c r="I301" i="44" s="1"/>
  <c r="O19" i="44"/>
  <c r="U19" i="44" s="1"/>
  <c r="J21" i="44"/>
  <c r="V45" i="43"/>
  <c r="A19" i="43"/>
  <c r="A20" i="43" s="1"/>
  <c r="W714" i="44"/>
  <c r="W716" i="44" s="1"/>
  <c r="U716" i="44"/>
  <c r="V716" i="44" s="1"/>
  <c r="X716" i="44" s="1"/>
  <c r="W655" i="44"/>
  <c r="V655" i="44"/>
  <c r="X655" i="44" s="1"/>
  <c r="O616" i="44"/>
  <c r="O633" i="44" s="1"/>
  <c r="U608" i="44"/>
  <c r="V201" i="43"/>
  <c r="T204" i="43"/>
  <c r="N139" i="43"/>
  <c r="T137" i="43"/>
  <c r="U43" i="43"/>
  <c r="V43" i="43"/>
  <c r="T45" i="43"/>
  <c r="U45" i="43" s="1"/>
  <c r="W45" i="43" s="1"/>
  <c r="U19" i="43"/>
  <c r="V19" i="43"/>
  <c r="V658" i="44"/>
  <c r="X658" i="44" s="1"/>
  <c r="W658" i="44"/>
  <c r="V506" i="44"/>
  <c r="W506" i="44"/>
  <c r="W485" i="44"/>
  <c r="V485" i="44"/>
  <c r="I216" i="43"/>
  <c r="V203" i="43"/>
  <c r="M195" i="43"/>
  <c r="N148" i="43"/>
  <c r="N152" i="43" s="1"/>
  <c r="U141" i="43"/>
  <c r="W141" i="43" s="1"/>
  <c r="V141" i="43"/>
  <c r="L143" i="43"/>
  <c r="N99" i="43"/>
  <c r="N110" i="43" s="1"/>
  <c r="T37" i="43"/>
  <c r="N47" i="43"/>
  <c r="N58" i="43" s="1"/>
  <c r="O852" i="44"/>
  <c r="N264" i="43"/>
  <c r="N275" i="43" s="1"/>
  <c r="P220" i="43"/>
  <c r="N189" i="43"/>
  <c r="J191" i="43"/>
  <c r="I191" i="43" s="1"/>
  <c r="N177" i="43"/>
  <c r="J180" i="43"/>
  <c r="I180" i="43" s="1"/>
  <c r="J77" i="43"/>
  <c r="N54" i="43"/>
  <c r="T15" i="43"/>
  <c r="O879" i="44"/>
  <c r="U631" i="44"/>
  <c r="V631" i="44" s="1"/>
  <c r="X631" i="44" s="1"/>
  <c r="W629" i="44"/>
  <c r="W631" i="44" s="1"/>
  <c r="O575" i="44"/>
  <c r="V563" i="44"/>
  <c r="X563" i="44" s="1"/>
  <c r="W563" i="44"/>
  <c r="Q449" i="44"/>
  <c r="W388" i="44"/>
  <c r="N28" i="43"/>
  <c r="J30" i="43"/>
  <c r="I30" i="43" s="1"/>
  <c r="U875" i="44"/>
  <c r="V875" i="44" s="1"/>
  <c r="X875" i="44" s="1"/>
  <c r="W873" i="44"/>
  <c r="W875" i="44" s="1"/>
  <c r="U852" i="44"/>
  <c r="V852" i="44" s="1"/>
  <c r="X852" i="44" s="1"/>
  <c r="W840" i="44"/>
  <c r="W852" i="44" s="1"/>
  <c r="M879" i="44"/>
  <c r="J616" i="44"/>
  <c r="V522" i="44"/>
  <c r="X522" i="44" s="1"/>
  <c r="W522" i="44"/>
  <c r="U458" i="44"/>
  <c r="V455" i="44"/>
  <c r="W455" i="44"/>
  <c r="V330" i="44"/>
  <c r="W330" i="44"/>
  <c r="V53" i="44"/>
  <c r="W53" i="44"/>
  <c r="W25" i="44"/>
  <c r="V25" i="44"/>
  <c r="X25" i="44" s="1"/>
  <c r="W829" i="44"/>
  <c r="U832" i="44"/>
  <c r="V832" i="44" s="1"/>
  <c r="X832" i="44" s="1"/>
  <c r="V611" i="44"/>
  <c r="X611" i="44" s="1"/>
  <c r="W611" i="44"/>
  <c r="U599" i="44"/>
  <c r="V599" i="44" s="1"/>
  <c r="X599" i="44" s="1"/>
  <c r="V573" i="44"/>
  <c r="X573" i="44" s="1"/>
  <c r="W573" i="44"/>
  <c r="U568" i="44"/>
  <c r="O571" i="44"/>
  <c r="O400" i="44"/>
  <c r="J402" i="44"/>
  <c r="I402" i="44" s="1"/>
  <c r="V379" i="44"/>
  <c r="W379" i="44"/>
  <c r="O375" i="44"/>
  <c r="J383" i="44"/>
  <c r="V366" i="44"/>
  <c r="W366" i="44"/>
  <c r="V322" i="44"/>
  <c r="W322" i="44"/>
  <c r="O309" i="44"/>
  <c r="J311" i="44"/>
  <c r="I311" i="44" s="1"/>
  <c r="V239" i="43"/>
  <c r="W657" i="44"/>
  <c r="V597" i="44"/>
  <c r="X597" i="44" s="1"/>
  <c r="W597" i="44"/>
  <c r="I571" i="44"/>
  <c r="J575" i="44"/>
  <c r="I575" i="44" s="1"/>
  <c r="U565" i="44"/>
  <c r="V555" i="44"/>
  <c r="X555" i="44" s="1"/>
  <c r="W555" i="44"/>
  <c r="O341" i="44"/>
  <c r="U339" i="44"/>
  <c r="N53" i="43"/>
  <c r="T53" i="43" s="1"/>
  <c r="T54" i="43" s="1"/>
  <c r="U54" i="43" s="1"/>
  <c r="W54" i="43" s="1"/>
  <c r="J54" i="43"/>
  <c r="I54" i="43" s="1"/>
  <c r="O776" i="44"/>
  <c r="U697" i="44"/>
  <c r="O701" i="44"/>
  <c r="O719" i="44" s="1"/>
  <c r="U654" i="44"/>
  <c r="O662" i="44"/>
  <c r="O679" i="44" s="1"/>
  <c r="V491" i="44"/>
  <c r="X491" i="44" s="1"/>
  <c r="W491" i="44"/>
  <c r="I495" i="44"/>
  <c r="N460" i="44"/>
  <c r="J411" i="44"/>
  <c r="I411" i="44" s="1"/>
  <c r="W407" i="44"/>
  <c r="W409" i="44" s="1"/>
  <c r="V407" i="44"/>
  <c r="O367" i="44"/>
  <c r="W209" i="44"/>
  <c r="V209" i="44"/>
  <c r="X209" i="44" s="1"/>
  <c r="L58" i="43"/>
  <c r="W776" i="44"/>
  <c r="R879" i="44"/>
  <c r="I701" i="44"/>
  <c r="J719" i="44"/>
  <c r="I719" i="44" s="1"/>
  <c r="I662" i="44"/>
  <c r="J679" i="44"/>
  <c r="I679" i="44" s="1"/>
  <c r="V387" i="44"/>
  <c r="W387" i="44"/>
  <c r="U388" i="44"/>
  <c r="V388" i="44" s="1"/>
  <c r="X388" i="44" s="1"/>
  <c r="V86" i="44"/>
  <c r="X86" i="44" s="1"/>
  <c r="W86" i="44"/>
  <c r="U776" i="44"/>
  <c r="V776" i="44" s="1"/>
  <c r="X776" i="44" s="1"/>
  <c r="W591" i="44"/>
  <c r="W599" i="44" s="1"/>
  <c r="W562" i="44"/>
  <c r="U540" i="44"/>
  <c r="O545" i="44"/>
  <c r="J489" i="44"/>
  <c r="M460" i="44"/>
  <c r="V456" i="44"/>
  <c r="W456" i="44"/>
  <c r="U447" i="44"/>
  <c r="W437" i="44"/>
  <c r="U427" i="44"/>
  <c r="O449" i="44"/>
  <c r="M395" i="44"/>
  <c r="W391" i="44"/>
  <c r="R395" i="44"/>
  <c r="V382" i="44"/>
  <c r="W382" i="44"/>
  <c r="I367" i="44"/>
  <c r="J372" i="44"/>
  <c r="I372" i="44" s="1"/>
  <c r="L343" i="44"/>
  <c r="V510" i="44"/>
  <c r="X510" i="44" s="1"/>
  <c r="W510" i="44"/>
  <c r="V484" i="44"/>
  <c r="W484" i="44"/>
  <c r="V462" i="44"/>
  <c r="X462" i="44" s="1"/>
  <c r="W462" i="44"/>
  <c r="J447" i="44"/>
  <c r="J449" i="44" s="1"/>
  <c r="I449" i="44" s="1"/>
  <c r="V369" i="44"/>
  <c r="X369" i="44" s="1"/>
  <c r="W369" i="44"/>
  <c r="J343" i="44"/>
  <c r="I324" i="44"/>
  <c r="I326" i="44" s="1"/>
  <c r="V321" i="44"/>
  <c r="W321" i="44"/>
  <c r="V247" i="44"/>
  <c r="W247" i="44"/>
  <c r="I96" i="44"/>
  <c r="I98" i="44" s="1"/>
  <c r="J98" i="44"/>
  <c r="J109" i="44" s="1"/>
  <c r="I109" i="44" s="1"/>
  <c r="R495" i="44"/>
  <c r="V493" i="44"/>
  <c r="X493" i="44" s="1"/>
  <c r="W493" i="44"/>
  <c r="I487" i="44"/>
  <c r="I489" i="44" s="1"/>
  <c r="V404" i="44"/>
  <c r="X404" i="44" s="1"/>
  <c r="W404" i="44"/>
  <c r="V335" i="44"/>
  <c r="W335" i="44"/>
  <c r="U324" i="44"/>
  <c r="G343" i="44"/>
  <c r="G326" i="44"/>
  <c r="W320" i="44"/>
  <c r="V320" i="44"/>
  <c r="O267" i="44"/>
  <c r="J268" i="44"/>
  <c r="I268" i="44" s="1"/>
  <c r="V170" i="44"/>
  <c r="W170" i="44"/>
  <c r="V148" i="44"/>
  <c r="X148" i="44" s="1"/>
  <c r="W148" i="44"/>
  <c r="W150" i="44" s="1"/>
  <c r="J552" i="44"/>
  <c r="I552" i="44" s="1"/>
  <c r="O549" i="44"/>
  <c r="J545" i="44"/>
  <c r="W517" i="44"/>
  <c r="R524" i="44"/>
  <c r="W509" i="44"/>
  <c r="O507" i="44"/>
  <c r="O512" i="44" s="1"/>
  <c r="U505" i="44"/>
  <c r="L466" i="44"/>
  <c r="U442" i="44"/>
  <c r="O442" i="44"/>
  <c r="O411" i="44"/>
  <c r="U399" i="44"/>
  <c r="N372" i="44"/>
  <c r="V340" i="44"/>
  <c r="W340" i="44"/>
  <c r="O331" i="44"/>
  <c r="U329" i="44"/>
  <c r="V323" i="44"/>
  <c r="W323" i="44"/>
  <c r="O324" i="44"/>
  <c r="O326" i="44" s="1"/>
  <c r="O304" i="44"/>
  <c r="J306" i="44"/>
  <c r="I306" i="44" s="1"/>
  <c r="W200" i="44"/>
  <c r="V200" i="44"/>
  <c r="V182" i="44"/>
  <c r="V541" i="44"/>
  <c r="X541" i="44" s="1"/>
  <c r="W541" i="44"/>
  <c r="V486" i="44"/>
  <c r="W486" i="44"/>
  <c r="U483" i="44"/>
  <c r="O487" i="44"/>
  <c r="O458" i="44"/>
  <c r="W442" i="44"/>
  <c r="V428" i="44"/>
  <c r="X428" i="44" s="1"/>
  <c r="W428" i="44"/>
  <c r="R343" i="44"/>
  <c r="R326" i="44"/>
  <c r="V236" i="44"/>
  <c r="W236" i="44"/>
  <c r="O82" i="44"/>
  <c r="J84" i="44"/>
  <c r="W42" i="44"/>
  <c r="V42" i="44"/>
  <c r="V32" i="44"/>
  <c r="X32" i="44" s="1"/>
  <c r="W32" i="44"/>
  <c r="W401" i="44"/>
  <c r="V392" i="44"/>
  <c r="W392" i="44"/>
  <c r="O336" i="44"/>
  <c r="U334" i="44"/>
  <c r="U199" i="44"/>
  <c r="O202" i="44"/>
  <c r="O207" i="44" s="1"/>
  <c r="O218" i="44" s="1"/>
  <c r="V79" i="44"/>
  <c r="X79" i="44" s="1"/>
  <c r="W79" i="44"/>
  <c r="V266" i="44"/>
  <c r="W266" i="44"/>
  <c r="O257" i="44"/>
  <c r="J261" i="44"/>
  <c r="J272" i="44" s="1"/>
  <c r="I272" i="44" s="1"/>
  <c r="V216" i="44"/>
  <c r="X216" i="44" s="1"/>
  <c r="W216" i="44"/>
  <c r="W178" i="44"/>
  <c r="U168" i="44"/>
  <c r="O171" i="44"/>
  <c r="O182" i="44" s="1"/>
  <c r="O52" i="44"/>
  <c r="J54" i="44"/>
  <c r="I54" i="44" s="1"/>
  <c r="V41" i="44"/>
  <c r="W41" i="44"/>
  <c r="O516" i="44"/>
  <c r="S466" i="44"/>
  <c r="J458" i="44"/>
  <c r="W445" i="44"/>
  <c r="W447" i="44" s="1"/>
  <c r="O290" i="44"/>
  <c r="J294" i="44"/>
  <c r="O237" i="44"/>
  <c r="O241" i="44" s="1"/>
  <c r="U235" i="44"/>
  <c r="V293" i="44"/>
  <c r="W293" i="44"/>
  <c r="V289" i="44"/>
  <c r="W289" i="44"/>
  <c r="U246" i="44"/>
  <c r="O248" i="44"/>
  <c r="V213" i="44"/>
  <c r="W213" i="44"/>
  <c r="J207" i="44"/>
  <c r="J218" i="44" s="1"/>
  <c r="I218" i="44" s="1"/>
  <c r="I202" i="44"/>
  <c r="I207" i="44" s="1"/>
  <c r="U187" i="44"/>
  <c r="U150" i="44"/>
  <c r="V150" i="44" s="1"/>
  <c r="X150" i="44" s="1"/>
  <c r="V56" i="44"/>
  <c r="X56" i="44" s="1"/>
  <c r="W56" i="44"/>
  <c r="O29" i="44"/>
  <c r="U29" i="44" s="1"/>
  <c r="J30" i="44"/>
  <c r="I30" i="44" s="1"/>
  <c r="J431" i="44"/>
  <c r="I431" i="44" s="1"/>
  <c r="U365" i="44"/>
  <c r="Q326" i="44"/>
  <c r="W319" i="44"/>
  <c r="V310" i="44"/>
  <c r="V305" i="44"/>
  <c r="V300" i="44"/>
  <c r="V270" i="44"/>
  <c r="X270" i="44" s="1"/>
  <c r="W270" i="44"/>
  <c r="V259" i="44"/>
  <c r="N218" i="44"/>
  <c r="V127" i="44"/>
  <c r="W127" i="44"/>
  <c r="O103" i="44"/>
  <c r="J105" i="44"/>
  <c r="I105" i="44" s="1"/>
  <c r="V83" i="44"/>
  <c r="O39" i="44"/>
  <c r="J45" i="44"/>
  <c r="L34" i="44"/>
  <c r="V292" i="44"/>
  <c r="W292" i="44"/>
  <c r="V243" i="44"/>
  <c r="X243" i="44" s="1"/>
  <c r="W243" i="44"/>
  <c r="L218" i="44"/>
  <c r="V201" i="44"/>
  <c r="W201" i="44"/>
  <c r="S182" i="44"/>
  <c r="S193" i="44" s="1"/>
  <c r="J137" i="44"/>
  <c r="I137" i="44" s="1"/>
  <c r="O135" i="44"/>
  <c r="U75" i="44"/>
  <c r="O77" i="44"/>
  <c r="V43" i="44"/>
  <c r="W43" i="44"/>
  <c r="W17" i="44"/>
  <c r="U21" i="44"/>
  <c r="V17" i="44"/>
  <c r="M314" i="44"/>
  <c r="O214" i="44"/>
  <c r="V169" i="44"/>
  <c r="W169" i="44"/>
  <c r="V139" i="44"/>
  <c r="X139" i="44" s="1"/>
  <c r="W139" i="44"/>
  <c r="V132" i="44"/>
  <c r="X132" i="44" s="1"/>
  <c r="W132" i="44"/>
  <c r="Q141" i="44"/>
  <c r="Q721" i="44" s="1"/>
  <c r="Q881" i="44" s="1"/>
  <c r="J128" i="44"/>
  <c r="V107" i="44"/>
  <c r="X107" i="44" s="1"/>
  <c r="W107" i="44"/>
  <c r="J237" i="44"/>
  <c r="U212" i="44"/>
  <c r="O188" i="44"/>
  <c r="U188" i="44" s="1"/>
  <c r="O178" i="44"/>
  <c r="J171" i="44"/>
  <c r="U28" i="44"/>
  <c r="O21" i="44"/>
  <c r="O23" i="44" s="1"/>
  <c r="S34" i="44"/>
  <c r="R252" i="44"/>
  <c r="V175" i="44"/>
  <c r="O126" i="44"/>
  <c r="U126" i="44" s="1"/>
  <c r="U96" i="44"/>
  <c r="N58" i="44"/>
  <c r="N721" i="44" s="1"/>
  <c r="N881" i="44" s="1"/>
  <c r="R34" i="44"/>
  <c r="M141" i="44"/>
  <c r="M721" i="44" s="1"/>
  <c r="M881" i="44" s="1"/>
  <c r="A127" i="44"/>
  <c r="H75" i="41"/>
  <c r="H71" i="41"/>
  <c r="H67" i="41"/>
  <c r="H64" i="41"/>
  <c r="H58" i="41"/>
  <c r="H50" i="41"/>
  <c r="H45" i="41"/>
  <c r="H35" i="41"/>
  <c r="H32" i="41"/>
  <c r="H25" i="41"/>
  <c r="H22" i="41"/>
  <c r="H19" i="41"/>
  <c r="A18" i="41"/>
  <c r="A19" i="41" s="1"/>
  <c r="A21" i="41" s="1"/>
  <c r="A22" i="41" s="1"/>
  <c r="A24" i="41" s="1"/>
  <c r="A25" i="41" s="1"/>
  <c r="A27" i="41" s="1"/>
  <c r="A29" i="41" s="1"/>
  <c r="A31" i="41" s="1"/>
  <c r="A32" i="41" s="1"/>
  <c r="A34" i="41" s="1"/>
  <c r="A35" i="41" s="1"/>
  <c r="A37" i="41" s="1"/>
  <c r="A40" i="41" s="1"/>
  <c r="A42" i="41" s="1"/>
  <c r="A44" i="41" s="1"/>
  <c r="A45" i="41" s="1"/>
  <c r="A47" i="41" s="1"/>
  <c r="A49" i="41" s="1"/>
  <c r="A50" i="41" s="1"/>
  <c r="A53" i="41" s="1"/>
  <c r="A55" i="41" s="1"/>
  <c r="A57" i="41" s="1"/>
  <c r="A58" i="41" s="1"/>
  <c r="A60" i="41" s="1"/>
  <c r="A61" i="41" s="1"/>
  <c r="A63" i="41" s="1"/>
  <c r="A64" i="41" s="1"/>
  <c r="A66" i="41" s="1"/>
  <c r="A67" i="41" s="1"/>
  <c r="A69" i="41" s="1"/>
  <c r="A70" i="41" s="1"/>
  <c r="A71" i="41" s="1"/>
  <c r="A73" i="41" s="1"/>
  <c r="A74" i="41" s="1"/>
  <c r="A75" i="41" s="1"/>
  <c r="A77" i="41" s="1"/>
  <c r="A16" i="41"/>
  <c r="A17" i="40"/>
  <c r="A18" i="40" s="1"/>
  <c r="A19" i="40" s="1"/>
  <c r="A20" i="40" s="1"/>
  <c r="A21" i="40" s="1"/>
  <c r="A22" i="40" s="1"/>
  <c r="A23" i="40" s="1"/>
  <c r="A24" i="40" s="1"/>
  <c r="A25" i="40" s="1"/>
  <c r="A26" i="40" s="1"/>
  <c r="A27" i="40" s="1"/>
  <c r="A30" i="40" s="1"/>
  <c r="A31" i="40" s="1"/>
  <c r="A32" i="40" s="1"/>
  <c r="A33" i="40" s="1"/>
  <c r="A34" i="40" s="1"/>
  <c r="A35" i="40" s="1"/>
  <c r="A38" i="40" s="1"/>
  <c r="A39" i="40" s="1"/>
  <c r="A40" i="40" s="1"/>
  <c r="A41" i="40" s="1"/>
  <c r="A42" i="40" s="1"/>
  <c r="A43" i="40" s="1"/>
  <c r="A44" i="40" s="1"/>
  <c r="A45" i="40" s="1"/>
  <c r="A46" i="40" s="1"/>
  <c r="A47" i="40" s="1"/>
  <c r="A48" i="40" s="1"/>
  <c r="A49" i="40" s="1"/>
  <c r="A50" i="40" s="1"/>
  <c r="A51" i="40" s="1"/>
  <c r="A54" i="40" s="1"/>
  <c r="A55" i="40" s="1"/>
  <c r="A56" i="40" s="1"/>
  <c r="A57" i="40" s="1"/>
  <c r="A58" i="40" s="1"/>
  <c r="A59" i="40" s="1"/>
  <c r="A61" i="40" s="1"/>
  <c r="A63" i="40" s="1"/>
  <c r="K46" i="39"/>
  <c r="I46" i="39"/>
  <c r="G46" i="39"/>
  <c r="E45" i="39"/>
  <c r="E44" i="39"/>
  <c r="K37" i="39"/>
  <c r="I37" i="39"/>
  <c r="G37" i="39"/>
  <c r="E31" i="39"/>
  <c r="E28" i="39"/>
  <c r="E25" i="39"/>
  <c r="E37" i="39" s="1"/>
  <c r="K21" i="39"/>
  <c r="K48" i="39" s="1"/>
  <c r="I21" i="39"/>
  <c r="I48" i="39" s="1"/>
  <c r="G21" i="39"/>
  <c r="G48" i="39" s="1"/>
  <c r="E21" i="39"/>
  <c r="A17" i="39"/>
  <c r="A18" i="39" s="1"/>
  <c r="A19" i="39" s="1"/>
  <c r="A20" i="39" s="1"/>
  <c r="A21" i="39" s="1"/>
  <c r="A24" i="39" s="1"/>
  <c r="A25" i="39" s="1"/>
  <c r="A26" i="39" s="1"/>
  <c r="A27" i="39" s="1"/>
  <c r="A28" i="39" s="1"/>
  <c r="A29" i="39" s="1"/>
  <c r="A30" i="39" s="1"/>
  <c r="A31" i="39" s="1"/>
  <c r="A32" i="39" s="1"/>
  <c r="A33" i="39" s="1"/>
  <c r="A34" i="39" s="1"/>
  <c r="A35" i="39" s="1"/>
  <c r="A36" i="39" s="1"/>
  <c r="A37" i="39" s="1"/>
  <c r="A40" i="39" s="1"/>
  <c r="A41" i="39" s="1"/>
  <c r="A42" i="39" s="1"/>
  <c r="A43" i="39" s="1"/>
  <c r="A44" i="39" s="1"/>
  <c r="A45" i="39" s="1"/>
  <c r="A46" i="39" s="1"/>
  <c r="A48" i="39" s="1"/>
  <c r="I28" i="38"/>
  <c r="G28" i="38"/>
  <c r="E28" i="38"/>
  <c r="H54" i="37"/>
  <c r="H56" i="37" s="1"/>
  <c r="H52" i="37"/>
  <c r="F52" i="37"/>
  <c r="J52" i="37" s="1"/>
  <c r="H50" i="37"/>
  <c r="F50" i="37"/>
  <c r="J49" i="37"/>
  <c r="S48" i="39" s="1"/>
  <c r="J48" i="37"/>
  <c r="Q48" i="39" s="1"/>
  <c r="F47" i="37"/>
  <c r="J47" i="37" s="1"/>
  <c r="H44" i="37"/>
  <c r="J43" i="37"/>
  <c r="J42" i="37"/>
  <c r="J41" i="37"/>
  <c r="J40" i="37"/>
  <c r="J39" i="37"/>
  <c r="A39" i="37"/>
  <c r="A40" i="37" s="1"/>
  <c r="A41" i="37" s="1"/>
  <c r="A42" i="37" s="1"/>
  <c r="A43" i="37" s="1"/>
  <c r="A44" i="37" s="1"/>
  <c r="A47" i="37" s="1"/>
  <c r="A48" i="37" s="1"/>
  <c r="A49" i="37" s="1"/>
  <c r="A50" i="37" s="1"/>
  <c r="A52" i="37" s="1"/>
  <c r="F38" i="37"/>
  <c r="F32" i="37"/>
  <c r="J32" i="37" s="1"/>
  <c r="J30" i="37"/>
  <c r="F30" i="37"/>
  <c r="J28" i="37"/>
  <c r="H28" i="37"/>
  <c r="F28" i="37"/>
  <c r="H26" i="37"/>
  <c r="F26" i="37"/>
  <c r="J25" i="37"/>
  <c r="J24" i="37"/>
  <c r="J26" i="37" s="1"/>
  <c r="M28" i="38" s="1"/>
  <c r="H21" i="37"/>
  <c r="H34" i="37" s="1"/>
  <c r="F21" i="37"/>
  <c r="F34" i="37" s="1"/>
  <c r="J20" i="37"/>
  <c r="J19" i="37"/>
  <c r="O28" i="38" s="1"/>
  <c r="J18" i="37"/>
  <c r="J17" i="37"/>
  <c r="J16" i="37"/>
  <c r="J15" i="37"/>
  <c r="J21" i="37" s="1"/>
  <c r="H56" i="36"/>
  <c r="L56" i="36" s="1"/>
  <c r="L54" i="36"/>
  <c r="H54" i="36"/>
  <c r="J51" i="36"/>
  <c r="H51" i="36"/>
  <c r="L51" i="36" s="1"/>
  <c r="L50" i="36"/>
  <c r="J50" i="36"/>
  <c r="H50" i="36"/>
  <c r="H52" i="36" s="1"/>
  <c r="L47" i="36"/>
  <c r="L46" i="36"/>
  <c r="A46" i="36"/>
  <c r="A47" i="36" s="1"/>
  <c r="A48" i="36" s="1"/>
  <c r="A50" i="36" s="1"/>
  <c r="A51" i="36" s="1"/>
  <c r="A52" i="36" s="1"/>
  <c r="A54" i="36" s="1"/>
  <c r="A56" i="36" s="1"/>
  <c r="A58" i="36" s="1"/>
  <c r="J42" i="36"/>
  <c r="J41" i="36"/>
  <c r="H41" i="36"/>
  <c r="L41" i="36" s="1"/>
  <c r="J40" i="36"/>
  <c r="H40" i="36"/>
  <c r="L40" i="36" s="1"/>
  <c r="J39" i="36"/>
  <c r="H39" i="36"/>
  <c r="L39" i="36" s="1"/>
  <c r="J38" i="36"/>
  <c r="H38" i="36"/>
  <c r="L38" i="36" s="1"/>
  <c r="J37" i="36"/>
  <c r="H37" i="36"/>
  <c r="L37" i="36" s="1"/>
  <c r="J34" i="36"/>
  <c r="H34" i="36"/>
  <c r="L34" i="36" s="1"/>
  <c r="J33" i="36"/>
  <c r="L33" i="36" s="1"/>
  <c r="H33" i="36"/>
  <c r="J32" i="36"/>
  <c r="H32" i="36"/>
  <c r="L32" i="36" s="1"/>
  <c r="J31" i="36"/>
  <c r="L31" i="36" s="1"/>
  <c r="H31" i="36"/>
  <c r="H35" i="36" s="1"/>
  <c r="J29" i="36"/>
  <c r="H29" i="36"/>
  <c r="L28" i="36"/>
  <c r="A28" i="36"/>
  <c r="A29" i="36" s="1"/>
  <c r="A31" i="36" s="1"/>
  <c r="A32" i="36" s="1"/>
  <c r="A33" i="36" s="1"/>
  <c r="A34" i="36" s="1"/>
  <c r="A35" i="36" s="1"/>
  <c r="A37" i="36" s="1"/>
  <c r="A38" i="36" s="1"/>
  <c r="A39" i="36" s="1"/>
  <c r="A40" i="36" s="1"/>
  <c r="A41" i="36" s="1"/>
  <c r="A42" i="36" s="1"/>
  <c r="L27" i="36"/>
  <c r="L26" i="36"/>
  <c r="A26" i="36"/>
  <c r="A27" i="36" s="1"/>
  <c r="L25" i="36"/>
  <c r="L29" i="36" s="1"/>
  <c r="A25" i="36"/>
  <c r="J23" i="36"/>
  <c r="L20" i="36"/>
  <c r="J20" i="36"/>
  <c r="H20" i="36"/>
  <c r="D20" i="36"/>
  <c r="J19" i="36"/>
  <c r="H19" i="36"/>
  <c r="L19" i="36" s="1"/>
  <c r="D19" i="36"/>
  <c r="L18" i="36"/>
  <c r="J18" i="36"/>
  <c r="H18" i="36"/>
  <c r="L17" i="36"/>
  <c r="J17" i="36"/>
  <c r="H17" i="36"/>
  <c r="J16" i="36"/>
  <c r="J21" i="36" s="1"/>
  <c r="H16" i="36"/>
  <c r="L16" i="36" s="1"/>
  <c r="L14" i="36"/>
  <c r="I458" i="44" l="1"/>
  <c r="I460" i="44" s="1"/>
  <c r="J460" i="44"/>
  <c r="J466" i="44"/>
  <c r="I466" i="44" s="1"/>
  <c r="T177" i="43"/>
  <c r="N180" i="43"/>
  <c r="N184" i="43" s="1"/>
  <c r="U204" i="43"/>
  <c r="W204" i="43" s="1"/>
  <c r="T209" i="43"/>
  <c r="N84" i="43"/>
  <c r="N88" i="43" s="1"/>
  <c r="T83" i="43"/>
  <c r="T20" i="43"/>
  <c r="N21" i="43"/>
  <c r="N23" i="43" s="1"/>
  <c r="N34" i="43" s="1"/>
  <c r="U427" i="43"/>
  <c r="W427" i="43" s="1"/>
  <c r="V427" i="43"/>
  <c r="J496" i="43"/>
  <c r="I496" i="43" s="1"/>
  <c r="I490" i="43"/>
  <c r="AA162" i="42"/>
  <c r="AC162" i="42" s="1"/>
  <c r="AB162" i="42"/>
  <c r="AB179" i="42" s="1"/>
  <c r="AB190" i="42" s="1"/>
  <c r="Z179" i="42"/>
  <c r="T290" i="43"/>
  <c r="N299" i="43"/>
  <c r="N316" i="43" s="1"/>
  <c r="AB542" i="42"/>
  <c r="AB546" i="42" s="1"/>
  <c r="Z546" i="42"/>
  <c r="AA546" i="42" s="1"/>
  <c r="AC546" i="42" s="1"/>
  <c r="AA542" i="42"/>
  <c r="AC542" i="42" s="1"/>
  <c r="AA398" i="42"/>
  <c r="Z407" i="42"/>
  <c r="AA407" i="42" s="1"/>
  <c r="AA495" i="42"/>
  <c r="AB495" i="42"/>
  <c r="AB497" i="42" s="1"/>
  <c r="AB507" i="42" s="1"/>
  <c r="AC745" i="42"/>
  <c r="AA752" i="42"/>
  <c r="AC752" i="42" s="1"/>
  <c r="R721" i="44"/>
  <c r="R881" i="44" s="1"/>
  <c r="W28" i="44"/>
  <c r="U30" i="44"/>
  <c r="V30" i="44" s="1"/>
  <c r="X30" i="44" s="1"/>
  <c r="V28" i="44"/>
  <c r="O128" i="44"/>
  <c r="O130" i="44" s="1"/>
  <c r="J130" i="44"/>
  <c r="J141" i="44" s="1"/>
  <c r="I141" i="44" s="1"/>
  <c r="I128" i="44"/>
  <c r="I130" i="44" s="1"/>
  <c r="V29" i="44"/>
  <c r="W29" i="44"/>
  <c r="W168" i="44"/>
  <c r="W171" i="44" s="1"/>
  <c r="W182" i="44" s="1"/>
  <c r="U171" i="44"/>
  <c r="V168" i="44"/>
  <c r="O489" i="44"/>
  <c r="O495" i="44"/>
  <c r="V505" i="44"/>
  <c r="W505" i="44"/>
  <c r="W507" i="44" s="1"/>
  <c r="W512" i="44" s="1"/>
  <c r="U507" i="44"/>
  <c r="W654" i="44"/>
  <c r="W662" i="44" s="1"/>
  <c r="W679" i="44" s="1"/>
  <c r="U662" i="44"/>
  <c r="V654" i="44"/>
  <c r="X654" i="44" s="1"/>
  <c r="U375" i="44"/>
  <c r="O383" i="44"/>
  <c r="O395" i="44" s="1"/>
  <c r="T47" i="43"/>
  <c r="V37" i="43"/>
  <c r="V47" i="43" s="1"/>
  <c r="U37" i="43"/>
  <c r="W37" i="43" s="1"/>
  <c r="V204" i="43"/>
  <c r="V209" i="43" s="1"/>
  <c r="U97" i="43"/>
  <c r="W97" i="43" s="1"/>
  <c r="T99" i="43"/>
  <c r="N255" i="43"/>
  <c r="U546" i="43"/>
  <c r="N338" i="43"/>
  <c r="T336" i="43"/>
  <c r="V383" i="43"/>
  <c r="U383" i="43"/>
  <c r="U812" i="44"/>
  <c r="U879" i="44" s="1"/>
  <c r="W800" i="44"/>
  <c r="W812" i="44" s="1"/>
  <c r="J373" i="43"/>
  <c r="T482" i="43"/>
  <c r="N488" i="43"/>
  <c r="N490" i="43" s="1"/>
  <c r="N496" i="43" s="1"/>
  <c r="T484" i="43"/>
  <c r="AB184" i="42"/>
  <c r="AB186" i="42" s="1"/>
  <c r="AA184" i="42"/>
  <c r="Z186" i="42"/>
  <c r="AA186" i="42" s="1"/>
  <c r="AC186" i="42" s="1"/>
  <c r="Q86" i="42"/>
  <c r="Q190" i="42"/>
  <c r="J215" i="42"/>
  <c r="I215" i="42" s="1"/>
  <c r="I204" i="42"/>
  <c r="J299" i="43"/>
  <c r="Z82" i="42"/>
  <c r="AA82" i="42" s="1"/>
  <c r="AC82" i="42" s="1"/>
  <c r="AB80" i="42"/>
  <c r="AB82" i="42" s="1"/>
  <c r="AA80" i="42"/>
  <c r="V834" i="43"/>
  <c r="V849" i="43" s="1"/>
  <c r="T849" i="43"/>
  <c r="U849" i="43" s="1"/>
  <c r="W849" i="43" s="1"/>
  <c r="U834" i="43"/>
  <c r="W834" i="43" s="1"/>
  <c r="AB234" i="42"/>
  <c r="AA332" i="42"/>
  <c r="AB332" i="42"/>
  <c r="I497" i="42"/>
  <c r="J507" i="42"/>
  <c r="AA39" i="42"/>
  <c r="AB39" i="42"/>
  <c r="AB44" i="42" s="1"/>
  <c r="AB46" i="42" s="1"/>
  <c r="AB57" i="42" s="1"/>
  <c r="Q238" i="42"/>
  <c r="Q249" i="42" s="1"/>
  <c r="Z249" i="42" s="1"/>
  <c r="AA249" i="42" s="1"/>
  <c r="Z229" i="42"/>
  <c r="Z741" i="42"/>
  <c r="Q764" i="42"/>
  <c r="I383" i="44"/>
  <c r="J395" i="44"/>
  <c r="I395" i="44" s="1"/>
  <c r="J23" i="44"/>
  <c r="J34" i="44" s="1"/>
  <c r="I21" i="44"/>
  <c r="I23" i="44" s="1"/>
  <c r="Z103" i="42"/>
  <c r="AA103" i="42" s="1"/>
  <c r="AC103" i="42" s="1"/>
  <c r="AA101" i="42"/>
  <c r="AB101" i="42"/>
  <c r="AB103" i="42" s="1"/>
  <c r="U591" i="43"/>
  <c r="W591" i="43" s="1"/>
  <c r="T594" i="43"/>
  <c r="V591" i="43"/>
  <c r="V594" i="43" s="1"/>
  <c r="V598" i="43" s="1"/>
  <c r="Z484" i="42"/>
  <c r="AA482" i="42"/>
  <c r="AC482" i="42" s="1"/>
  <c r="AB588" i="42"/>
  <c r="AA588" i="42"/>
  <c r="AC588" i="42" s="1"/>
  <c r="AB555" i="42"/>
  <c r="AB559" i="42" s="1"/>
  <c r="AB569" i="42" s="1"/>
  <c r="AA555" i="42"/>
  <c r="AC555" i="42" s="1"/>
  <c r="Z559" i="42"/>
  <c r="V697" i="44"/>
  <c r="X697" i="44" s="1"/>
  <c r="W697" i="44"/>
  <c r="W701" i="44" s="1"/>
  <c r="W719" i="44" s="1"/>
  <c r="U701" i="44"/>
  <c r="V565" i="44"/>
  <c r="X565" i="44" s="1"/>
  <c r="O311" i="44"/>
  <c r="U309" i="44"/>
  <c r="P720" i="43"/>
  <c r="P878" i="43" s="1"/>
  <c r="A21" i="43"/>
  <c r="V19" i="44"/>
  <c r="W19" i="44"/>
  <c r="U167" i="43"/>
  <c r="W167" i="43" s="1"/>
  <c r="V167" i="43"/>
  <c r="W240" i="43"/>
  <c r="U332" i="43"/>
  <c r="V332" i="43"/>
  <c r="V333" i="43" s="1"/>
  <c r="U264" i="43"/>
  <c r="W264" i="43" s="1"/>
  <c r="U551" i="43"/>
  <c r="W551" i="43" s="1"/>
  <c r="V551" i="43"/>
  <c r="V553" i="43" s="1"/>
  <c r="N459" i="43"/>
  <c r="N461" i="43" s="1"/>
  <c r="N467" i="43" s="1"/>
  <c r="T456" i="43"/>
  <c r="J195" i="43"/>
  <c r="I195" i="43" s="1"/>
  <c r="I184" i="43"/>
  <c r="U564" i="43"/>
  <c r="W564" i="43" s="1"/>
  <c r="V564" i="43"/>
  <c r="V566" i="43" s="1"/>
  <c r="T399" i="43"/>
  <c r="N403" i="43"/>
  <c r="N412" i="43" s="1"/>
  <c r="N508" i="43"/>
  <c r="T507" i="43"/>
  <c r="U619" i="43"/>
  <c r="W619" i="43" s="1"/>
  <c r="T630" i="43"/>
  <c r="U630" i="43" s="1"/>
  <c r="W630" i="43" s="1"/>
  <c r="V619" i="43"/>
  <c r="V630" i="43" s="1"/>
  <c r="J576" i="43"/>
  <c r="I576" i="43" s="1"/>
  <c r="J107" i="42"/>
  <c r="I107" i="42" s="1"/>
  <c r="I96" i="42"/>
  <c r="J632" i="43"/>
  <c r="I632" i="43" s="1"/>
  <c r="I615" i="43"/>
  <c r="T367" i="43"/>
  <c r="N368" i="43"/>
  <c r="N373" i="43" s="1"/>
  <c r="AA302" i="42"/>
  <c r="AB302" i="42"/>
  <c r="AB303" i="42" s="1"/>
  <c r="Z14" i="42"/>
  <c r="Q497" i="42"/>
  <c r="Q507" i="42" s="1"/>
  <c r="Q519" i="42" s="1"/>
  <c r="AB27" i="42"/>
  <c r="Z29" i="42"/>
  <c r="AA29" i="42" s="1"/>
  <c r="AC29" i="42" s="1"/>
  <c r="AA27" i="42"/>
  <c r="Z303" i="42"/>
  <c r="AA303" i="42" s="1"/>
  <c r="AC303" i="42" s="1"/>
  <c r="AA382" i="42"/>
  <c r="AB382" i="42"/>
  <c r="AB384" i="42" s="1"/>
  <c r="Z384" i="42"/>
  <c r="AA384" i="42" s="1"/>
  <c r="AC384" i="42" s="1"/>
  <c r="I293" i="42"/>
  <c r="J311" i="42"/>
  <c r="I311" i="42" s="1"/>
  <c r="J462" i="42"/>
  <c r="I462" i="42" s="1"/>
  <c r="I456" i="42"/>
  <c r="AB583" i="42"/>
  <c r="AB586" i="42" s="1"/>
  <c r="AB590" i="42" s="1"/>
  <c r="Z586" i="42"/>
  <c r="AA583" i="42"/>
  <c r="AC583" i="42" s="1"/>
  <c r="W757" i="43"/>
  <c r="U765" i="43"/>
  <c r="W765" i="43" s="1"/>
  <c r="AA642" i="42"/>
  <c r="AC642" i="42" s="1"/>
  <c r="AB642" i="42"/>
  <c r="Q590" i="42"/>
  <c r="Z652" i="42"/>
  <c r="AA638" i="42"/>
  <c r="AC638" i="42" s="1"/>
  <c r="AB638" i="42"/>
  <c r="J182" i="44"/>
  <c r="J193" i="44" s="1"/>
  <c r="I193" i="44" s="1"/>
  <c r="I171" i="44"/>
  <c r="U103" i="44"/>
  <c r="O105" i="44"/>
  <c r="O109" i="44" s="1"/>
  <c r="V483" i="44"/>
  <c r="W483" i="44"/>
  <c r="W487" i="44" s="1"/>
  <c r="W489" i="44" s="1"/>
  <c r="W495" i="44" s="1"/>
  <c r="U487" i="44"/>
  <c r="AB71" i="42"/>
  <c r="AB75" i="42" s="1"/>
  <c r="AB86" i="42" s="1"/>
  <c r="Z75" i="42"/>
  <c r="AA71" i="42"/>
  <c r="AC71" i="42" s="1"/>
  <c r="V693" i="43"/>
  <c r="V700" i="43" s="1"/>
  <c r="V718" i="43" s="1"/>
  <c r="T700" i="43"/>
  <c r="U693" i="43"/>
  <c r="W693" i="43" s="1"/>
  <c r="J179" i="42"/>
  <c r="J669" i="42"/>
  <c r="I669" i="42" s="1"/>
  <c r="I652" i="42"/>
  <c r="Z705" i="42"/>
  <c r="AA705" i="42" s="1"/>
  <c r="AC705" i="42" s="1"/>
  <c r="AA694" i="42"/>
  <c r="AC694" i="42" s="1"/>
  <c r="AB694" i="42"/>
  <c r="AB705" i="42" s="1"/>
  <c r="O137" i="44"/>
  <c r="U135" i="44"/>
  <c r="V235" i="44"/>
  <c r="U237" i="44"/>
  <c r="W235" i="44"/>
  <c r="W237" i="44" s="1"/>
  <c r="W241" i="44" s="1"/>
  <c r="I343" i="44"/>
  <c r="V188" i="44"/>
  <c r="W188" i="44"/>
  <c r="O343" i="44"/>
  <c r="I326" i="43"/>
  <c r="J328" i="43"/>
  <c r="T442" i="43"/>
  <c r="N443" i="43"/>
  <c r="N739" i="43"/>
  <c r="T736" i="43"/>
  <c r="Z265" i="42"/>
  <c r="AA265" i="42" s="1"/>
  <c r="AC265" i="42" s="1"/>
  <c r="AA263" i="42"/>
  <c r="AB263" i="42"/>
  <c r="AB265" i="42" s="1"/>
  <c r="AB269" i="42" s="1"/>
  <c r="AA17" i="42"/>
  <c r="AB17" i="42"/>
  <c r="AB20" i="42" s="1"/>
  <c r="Z510" i="42"/>
  <c r="Q514" i="42"/>
  <c r="Q29" i="42"/>
  <c r="AA258" i="42"/>
  <c r="AC258" i="42" s="1"/>
  <c r="AA683" i="42"/>
  <c r="AC683" i="42" s="1"/>
  <c r="AB683" i="42"/>
  <c r="AB690" i="42" s="1"/>
  <c r="Z690" i="42"/>
  <c r="J876" i="43"/>
  <c r="I739" i="43"/>
  <c r="Z284" i="42"/>
  <c r="Q293" i="42"/>
  <c r="Q311" i="42" s="1"/>
  <c r="Q291" i="42"/>
  <c r="Z286" i="42"/>
  <c r="AB361" i="42"/>
  <c r="AB363" i="42" s="1"/>
  <c r="Z363" i="42"/>
  <c r="AA363" i="42" s="1"/>
  <c r="AC363" i="42" s="1"/>
  <c r="AA361" i="42"/>
  <c r="AB593" i="42"/>
  <c r="AB607" i="42" s="1"/>
  <c r="Z607" i="42"/>
  <c r="AA593" i="42"/>
  <c r="AC593" i="42" s="1"/>
  <c r="U791" i="43"/>
  <c r="W791" i="43" s="1"/>
  <c r="V791" i="43"/>
  <c r="V809" i="43" s="1"/>
  <c r="T809" i="43"/>
  <c r="U809" i="43" s="1"/>
  <c r="W809" i="43" s="1"/>
  <c r="AC502" i="42"/>
  <c r="Q669" i="42"/>
  <c r="Z729" i="42"/>
  <c r="AB726" i="42"/>
  <c r="AB729" i="42" s="1"/>
  <c r="U82" i="44"/>
  <c r="O84" i="44"/>
  <c r="O88" i="44" s="1"/>
  <c r="U77" i="44"/>
  <c r="V75" i="44"/>
  <c r="W75" i="44"/>
  <c r="W77" i="44" s="1"/>
  <c r="T28" i="43"/>
  <c r="N30" i="43"/>
  <c r="AB245" i="42"/>
  <c r="AA245" i="42"/>
  <c r="AC245" i="42" s="1"/>
  <c r="W393" i="44"/>
  <c r="O252" i="44"/>
  <c r="W879" i="44"/>
  <c r="J143" i="43"/>
  <c r="I143" i="43" s="1"/>
  <c r="I132" i="43"/>
  <c r="U244" i="43"/>
  <c r="W244" i="43" s="1"/>
  <c r="AA28" i="42"/>
  <c r="AB28" i="42"/>
  <c r="V212" i="44"/>
  <c r="U214" i="44"/>
  <c r="V214" i="44" s="1"/>
  <c r="X214" i="44" s="1"/>
  <c r="W212" i="44"/>
  <c r="W214" i="44" s="1"/>
  <c r="U189" i="44"/>
  <c r="V189" i="44" s="1"/>
  <c r="X189" i="44" s="1"/>
  <c r="V187" i="44"/>
  <c r="W187" i="44"/>
  <c r="W189" i="44" s="1"/>
  <c r="W199" i="44"/>
  <c r="W202" i="44" s="1"/>
  <c r="W207" i="44" s="1"/>
  <c r="V199" i="44"/>
  <c r="U202" i="44"/>
  <c r="L720" i="43"/>
  <c r="L878" i="43" s="1"/>
  <c r="U400" i="44"/>
  <c r="O402" i="44"/>
  <c r="W458" i="44"/>
  <c r="W460" i="44" s="1"/>
  <c r="W466" i="44" s="1"/>
  <c r="O301" i="44"/>
  <c r="U299" i="44"/>
  <c r="T249" i="43"/>
  <c r="N251" i="43"/>
  <c r="V244" i="43"/>
  <c r="N326" i="43"/>
  <c r="N328" i="43" s="1"/>
  <c r="N345" i="43" s="1"/>
  <c r="T321" i="43"/>
  <c r="V307" i="43"/>
  <c r="T309" i="43"/>
  <c r="U307" i="43"/>
  <c r="J461" i="43"/>
  <c r="V500" i="43"/>
  <c r="V503" i="43" s="1"/>
  <c r="T503" i="43"/>
  <c r="U500" i="43"/>
  <c r="J255" i="43"/>
  <c r="I255" i="43" s="1"/>
  <c r="U661" i="43"/>
  <c r="J139" i="42"/>
  <c r="I139" i="42" s="1"/>
  <c r="I128" i="42"/>
  <c r="I661" i="43"/>
  <c r="J678" i="43"/>
  <c r="I678" i="43" s="1"/>
  <c r="U742" i="43"/>
  <c r="W742" i="43" s="1"/>
  <c r="W744" i="43" s="1"/>
  <c r="V742" i="43"/>
  <c r="V744" i="43" s="1"/>
  <c r="T744" i="43"/>
  <c r="Q215" i="42"/>
  <c r="T432" i="43"/>
  <c r="V596" i="43"/>
  <c r="U596" i="43"/>
  <c r="W596" i="43" s="1"/>
  <c r="Z142" i="42"/>
  <c r="Q144" i="42"/>
  <c r="Q148" i="42" s="1"/>
  <c r="L866" i="42"/>
  <c r="AA306" i="42"/>
  <c r="AB306" i="42"/>
  <c r="AB308" i="42" s="1"/>
  <c r="Z308" i="42"/>
  <c r="AA308" i="42" s="1"/>
  <c r="AC308" i="42" s="1"/>
  <c r="AC389" i="42"/>
  <c r="I358" i="42"/>
  <c r="J368" i="42"/>
  <c r="AA51" i="42"/>
  <c r="AB51" i="42"/>
  <c r="AB53" i="42" s="1"/>
  <c r="Z53" i="42"/>
  <c r="AA53" i="42" s="1"/>
  <c r="AC53" i="42" s="1"/>
  <c r="I539" i="42"/>
  <c r="J551" i="42"/>
  <c r="I551" i="42" s="1"/>
  <c r="I44" i="42"/>
  <c r="AC44" i="42" s="1"/>
  <c r="J46" i="42"/>
  <c r="J445" i="42"/>
  <c r="I445" i="42" s="1"/>
  <c r="I427" i="42"/>
  <c r="U825" i="43"/>
  <c r="W825" i="43" s="1"/>
  <c r="V825" i="43"/>
  <c r="V829" i="43" s="1"/>
  <c r="J407" i="42"/>
  <c r="I407" i="42" s="1"/>
  <c r="I398" i="42"/>
  <c r="Q622" i="42"/>
  <c r="Q624" i="42" s="1"/>
  <c r="Z611" i="42"/>
  <c r="Z852" i="42"/>
  <c r="Q860" i="42"/>
  <c r="Q864" i="42"/>
  <c r="O466" i="44"/>
  <c r="O460" i="44"/>
  <c r="T189" i="43"/>
  <c r="N191" i="43"/>
  <c r="U616" i="44"/>
  <c r="V608" i="44"/>
  <c r="X608" i="44" s="1"/>
  <c r="W608" i="44"/>
  <c r="W616" i="44" s="1"/>
  <c r="W633" i="44" s="1"/>
  <c r="J412" i="43"/>
  <c r="I412" i="43" s="1"/>
  <c r="I403" i="43"/>
  <c r="J484" i="42"/>
  <c r="I482" i="42"/>
  <c r="AA452" i="42"/>
  <c r="AB452" i="42"/>
  <c r="AB454" i="42" s="1"/>
  <c r="AB456" i="42" s="1"/>
  <c r="AB462" i="42" s="1"/>
  <c r="Z454" i="42"/>
  <c r="AB296" i="42"/>
  <c r="AB298" i="42" s="1"/>
  <c r="Z298" i="42"/>
  <c r="AA298" i="42" s="1"/>
  <c r="AC298" i="42" s="1"/>
  <c r="AA296" i="42"/>
  <c r="J249" i="42"/>
  <c r="I249" i="42" s="1"/>
  <c r="I238" i="42"/>
  <c r="U128" i="44"/>
  <c r="V126" i="44"/>
  <c r="W126" i="44"/>
  <c r="W128" i="44" s="1"/>
  <c r="W130" i="44" s="1"/>
  <c r="U23" i="44"/>
  <c r="U34" i="44" s="1"/>
  <c r="V21" i="44"/>
  <c r="W21" i="44"/>
  <c r="W23" i="44" s="1"/>
  <c r="W246" i="44"/>
  <c r="W248" i="44" s="1"/>
  <c r="V246" i="44"/>
  <c r="U248" i="44"/>
  <c r="V248" i="44" s="1"/>
  <c r="X248" i="44" s="1"/>
  <c r="U402" i="44"/>
  <c r="V402" i="44" s="1"/>
  <c r="X402" i="44" s="1"/>
  <c r="V399" i="44"/>
  <c r="X399" i="44" s="1"/>
  <c r="W399" i="44"/>
  <c r="U15" i="43"/>
  <c r="W15" i="43" s="1"/>
  <c r="V15" i="43"/>
  <c r="U566" i="43"/>
  <c r="W566" i="43" s="1"/>
  <c r="N513" i="43"/>
  <c r="N525" i="43" s="1"/>
  <c r="U214" i="43"/>
  <c r="T216" i="43"/>
  <c r="U216" i="43" s="1"/>
  <c r="V214" i="43"/>
  <c r="V216" i="43" s="1"/>
  <c r="N774" i="43"/>
  <c r="T751" i="43"/>
  <c r="N615" i="43"/>
  <c r="N632" i="43" s="1"/>
  <c r="T601" i="43"/>
  <c r="I22" i="42"/>
  <c r="J33" i="42"/>
  <c r="I237" i="44"/>
  <c r="J241" i="44"/>
  <c r="O30" i="44"/>
  <c r="I45" i="44"/>
  <c r="I47" i="44" s="1"/>
  <c r="J47" i="44"/>
  <c r="J58" i="44" s="1"/>
  <c r="I58" i="44" s="1"/>
  <c r="V365" i="44"/>
  <c r="W365" i="44"/>
  <c r="W367" i="44" s="1"/>
  <c r="W372" i="44" s="1"/>
  <c r="U367" i="44"/>
  <c r="O189" i="44"/>
  <c r="O193" i="44" s="1"/>
  <c r="U290" i="44"/>
  <c r="O294" i="44"/>
  <c r="U52" i="44"/>
  <c r="O54" i="44"/>
  <c r="U257" i="44"/>
  <c r="O261" i="44"/>
  <c r="V334" i="44"/>
  <c r="W334" i="44"/>
  <c r="W336" i="44" s="1"/>
  <c r="U336" i="44"/>
  <c r="V336" i="44" s="1"/>
  <c r="X336" i="44" s="1"/>
  <c r="J557" i="44"/>
  <c r="I557" i="44" s="1"/>
  <c r="I545" i="44"/>
  <c r="U267" i="44"/>
  <c r="O268" i="44"/>
  <c r="U431" i="44"/>
  <c r="V431" i="44" s="1"/>
  <c r="X431" i="44" s="1"/>
  <c r="V427" i="44"/>
  <c r="X427" i="44" s="1"/>
  <c r="U449" i="44"/>
  <c r="V449" i="44" s="1"/>
  <c r="X449" i="44" s="1"/>
  <c r="W427" i="44"/>
  <c r="V540" i="44"/>
  <c r="X540" i="44" s="1"/>
  <c r="U545" i="44"/>
  <c r="W540" i="44"/>
  <c r="W545" i="44" s="1"/>
  <c r="U53" i="43"/>
  <c r="V53" i="43"/>
  <c r="V54" i="43" s="1"/>
  <c r="J88" i="43"/>
  <c r="I88" i="43" s="1"/>
  <c r="I77" i="43"/>
  <c r="U137" i="43"/>
  <c r="T139" i="43"/>
  <c r="U139" i="43" s="1"/>
  <c r="W139" i="43" s="1"/>
  <c r="V137" i="43"/>
  <c r="V139" i="43" s="1"/>
  <c r="U148" i="43"/>
  <c r="W148" i="43" s="1"/>
  <c r="T152" i="43"/>
  <c r="U152" i="43" s="1"/>
  <c r="W152" i="43" s="1"/>
  <c r="T376" i="43"/>
  <c r="N384" i="43"/>
  <c r="T454" i="43"/>
  <c r="T553" i="43"/>
  <c r="U553" i="43" s="1"/>
  <c r="W553" i="43" s="1"/>
  <c r="J558" i="43"/>
  <c r="I558" i="43" s="1"/>
  <c r="I546" i="43"/>
  <c r="Z211" i="42"/>
  <c r="AA211" i="42" s="1"/>
  <c r="AC211" i="42" s="1"/>
  <c r="AA209" i="42"/>
  <c r="AB209" i="42"/>
  <c r="AB211" i="42" s="1"/>
  <c r="Q20" i="42"/>
  <c r="Q22" i="42" s="1"/>
  <c r="Q33" i="42" s="1"/>
  <c r="AB193" i="42"/>
  <c r="AB204" i="42" s="1"/>
  <c r="AA193" i="42"/>
  <c r="AC193" i="42" s="1"/>
  <c r="Z204" i="42"/>
  <c r="V432" i="43"/>
  <c r="I144" i="42"/>
  <c r="J148" i="42"/>
  <c r="I148" i="42" s="1"/>
  <c r="W710" i="42"/>
  <c r="W866" i="42" s="1"/>
  <c r="Q340" i="42"/>
  <c r="Z497" i="42"/>
  <c r="I323" i="42"/>
  <c r="J340" i="42"/>
  <c r="I340" i="42" s="1"/>
  <c r="AB533" i="42"/>
  <c r="AB539" i="42" s="1"/>
  <c r="Z539" i="42"/>
  <c r="AA533" i="42"/>
  <c r="AC533" i="42" s="1"/>
  <c r="Z356" i="42"/>
  <c r="Q358" i="42"/>
  <c r="Q368" i="42" s="1"/>
  <c r="AA41" i="42"/>
  <c r="AB41" i="42"/>
  <c r="S710" i="42"/>
  <c r="S866" i="42" s="1"/>
  <c r="Z421" i="42"/>
  <c r="Q427" i="42"/>
  <c r="Q445" i="42" s="1"/>
  <c r="AA823" i="42"/>
  <c r="AC823" i="42" s="1"/>
  <c r="AB823" i="42"/>
  <c r="AB838" i="42" s="1"/>
  <c r="Z838" i="42"/>
  <c r="AA838" i="42" s="1"/>
  <c r="AC838" i="42" s="1"/>
  <c r="Z333" i="42"/>
  <c r="AA333" i="42" s="1"/>
  <c r="AC333" i="42" s="1"/>
  <c r="AA331" i="42"/>
  <c r="AB331" i="42"/>
  <c r="AB333" i="42" s="1"/>
  <c r="AA396" i="42"/>
  <c r="AC396" i="42" s="1"/>
  <c r="AB396" i="42"/>
  <c r="AB398" i="42" s="1"/>
  <c r="AB407" i="42" s="1"/>
  <c r="AB656" i="42"/>
  <c r="AB667" i="42" s="1"/>
  <c r="Z667" i="42"/>
  <c r="AA667" i="42" s="1"/>
  <c r="AC667" i="42" s="1"/>
  <c r="AA656" i="42"/>
  <c r="AC656" i="42" s="1"/>
  <c r="Q708" i="42"/>
  <c r="I624" i="42"/>
  <c r="O34" i="44"/>
  <c r="O372" i="44"/>
  <c r="O519" i="44"/>
  <c r="O524" i="44" s="1"/>
  <c r="U516" i="44"/>
  <c r="J633" i="44"/>
  <c r="I633" i="44" s="1"/>
  <c r="I616" i="44"/>
  <c r="U77" i="43"/>
  <c r="I47" i="43"/>
  <c r="J58" i="43"/>
  <c r="I58" i="43" s="1"/>
  <c r="I508" i="43"/>
  <c r="J513" i="43"/>
  <c r="T715" i="43"/>
  <c r="U715" i="43" s="1"/>
  <c r="W715" i="43" s="1"/>
  <c r="U704" i="43"/>
  <c r="W704" i="43" s="1"/>
  <c r="V704" i="43"/>
  <c r="V715" i="43" s="1"/>
  <c r="AA371" i="42"/>
  <c r="AB371" i="42"/>
  <c r="U98" i="44"/>
  <c r="V96" i="44"/>
  <c r="O306" i="44"/>
  <c r="U304" i="44"/>
  <c r="V324" i="44"/>
  <c r="U326" i="44"/>
  <c r="W324" i="44"/>
  <c r="W326" i="44" s="1"/>
  <c r="W297" i="43"/>
  <c r="Q96" i="42"/>
  <c r="Q107" i="42" s="1"/>
  <c r="Z89" i="42"/>
  <c r="L721" i="44"/>
  <c r="L881" i="44" s="1"/>
  <c r="I294" i="44"/>
  <c r="I296" i="44" s="1"/>
  <c r="J296" i="44"/>
  <c r="J314" i="44"/>
  <c r="I314" i="44" s="1"/>
  <c r="A130" i="44"/>
  <c r="A128" i="44"/>
  <c r="S721" i="44"/>
  <c r="S881" i="44" s="1"/>
  <c r="U39" i="44"/>
  <c r="O45" i="44"/>
  <c r="O47" i="44" s="1"/>
  <c r="O58" i="44" s="1"/>
  <c r="I84" i="44"/>
  <c r="J88" i="44"/>
  <c r="I88" i="44" s="1"/>
  <c r="V329" i="44"/>
  <c r="W329" i="44"/>
  <c r="W331" i="44" s="1"/>
  <c r="U331" i="44"/>
  <c r="V331" i="44" s="1"/>
  <c r="X331" i="44" s="1"/>
  <c r="U549" i="44"/>
  <c r="O552" i="44"/>
  <c r="O557" i="44" s="1"/>
  <c r="W565" i="44"/>
  <c r="W575" i="44" s="1"/>
  <c r="V339" i="44"/>
  <c r="W339" i="44"/>
  <c r="W341" i="44" s="1"/>
  <c r="U341" i="44"/>
  <c r="V341" i="44" s="1"/>
  <c r="X341" i="44" s="1"/>
  <c r="W568" i="44"/>
  <c r="W571" i="44" s="1"/>
  <c r="U571" i="44"/>
  <c r="V571" i="44" s="1"/>
  <c r="X571" i="44" s="1"/>
  <c r="V568" i="44"/>
  <c r="X568" i="44" s="1"/>
  <c r="U460" i="44"/>
  <c r="V458" i="44"/>
  <c r="U466" i="44"/>
  <c r="V466" i="44" s="1"/>
  <c r="M720" i="43"/>
  <c r="M878" i="43" s="1"/>
  <c r="U172" i="43"/>
  <c r="V172" i="43"/>
  <c r="V173" i="43" s="1"/>
  <c r="W314" i="43"/>
  <c r="I21" i="43"/>
  <c r="J23" i="43"/>
  <c r="T271" i="43"/>
  <c r="U271" i="43" s="1"/>
  <c r="W271" i="43" s="1"/>
  <c r="U269" i="43"/>
  <c r="V269" i="43"/>
  <c r="V271" i="43" s="1"/>
  <c r="V275" i="43" s="1"/>
  <c r="T128" i="43"/>
  <c r="N130" i="43"/>
  <c r="N132" i="43" s="1"/>
  <c r="N143" i="43" s="1"/>
  <c r="N432" i="43"/>
  <c r="J450" i="43"/>
  <c r="I450" i="43" s="1"/>
  <c r="I432" i="43"/>
  <c r="I700" i="43"/>
  <c r="J718" i="43"/>
  <c r="I718" i="43" s="1"/>
  <c r="N572" i="43"/>
  <c r="N576" i="43" s="1"/>
  <c r="T569" i="43"/>
  <c r="N106" i="43"/>
  <c r="T105" i="43"/>
  <c r="AA46" i="42"/>
  <c r="AC175" i="42"/>
  <c r="N676" i="43"/>
  <c r="N678" i="43" s="1"/>
  <c r="T665" i="43"/>
  <c r="Z20" i="42"/>
  <c r="AA20" i="42" s="1"/>
  <c r="AC20" i="42" s="1"/>
  <c r="M710" i="42"/>
  <c r="M866" i="42" s="1"/>
  <c r="AA314" i="42"/>
  <c r="AC314" i="42" s="1"/>
  <c r="AB314" i="42"/>
  <c r="AB323" i="42" s="1"/>
  <c r="Z323" i="42"/>
  <c r="AB438" i="42"/>
  <c r="Q551" i="42"/>
  <c r="Q338" i="42"/>
  <c r="Z336" i="42"/>
  <c r="P379" i="42"/>
  <c r="P391" i="42" s="1"/>
  <c r="P710" i="42" s="1"/>
  <c r="P866" i="42" s="1"/>
  <c r="Q378" i="42"/>
  <c r="Z125" i="42"/>
  <c r="Q126" i="42"/>
  <c r="Q128" i="42" s="1"/>
  <c r="Q139" i="42" s="1"/>
  <c r="AC168" i="42"/>
  <c r="Z732" i="42"/>
  <c r="Q734" i="42"/>
  <c r="AB701" i="42"/>
  <c r="AA701" i="42"/>
  <c r="AC701" i="42" s="1"/>
  <c r="AB818" i="42"/>
  <c r="Q667" i="42"/>
  <c r="K28" i="38"/>
  <c r="J34" i="37"/>
  <c r="O25" i="38"/>
  <c r="O23" i="38"/>
  <c r="O21" i="38"/>
  <c r="O19" i="38"/>
  <c r="O17" i="38"/>
  <c r="O26" i="38"/>
  <c r="O24" i="38"/>
  <c r="O22" i="38"/>
  <c r="O20" i="38"/>
  <c r="O18" i="38"/>
  <c r="O16" i="38"/>
  <c r="Q45" i="39"/>
  <c r="Q40" i="39"/>
  <c r="Q46" i="39" s="1"/>
  <c r="Q36" i="39"/>
  <c r="Q32" i="39"/>
  <c r="Q27" i="39"/>
  <c r="Q28" i="39"/>
  <c r="Q19" i="39"/>
  <c r="Q41" i="39"/>
  <c r="Q33" i="39"/>
  <c r="Q29" i="39"/>
  <c r="Q24" i="39"/>
  <c r="Q20" i="39"/>
  <c r="Q16" i="39"/>
  <c r="Q30" i="39"/>
  <c r="Q42" i="39"/>
  <c r="Q34" i="39"/>
  <c r="Q25" i="39"/>
  <c r="Q17" i="39"/>
  <c r="Q43" i="39"/>
  <c r="Q35" i="39"/>
  <c r="Q31" i="39"/>
  <c r="Q26" i="39"/>
  <c r="Q44" i="39"/>
  <c r="Q18" i="39"/>
  <c r="F44" i="37"/>
  <c r="F54" i="37" s="1"/>
  <c r="F56" i="37" s="1"/>
  <c r="J38" i="37"/>
  <c r="J44" i="37" s="1"/>
  <c r="L21" i="36"/>
  <c r="L23" i="36" s="1"/>
  <c r="J50" i="37"/>
  <c r="O48" i="39"/>
  <c r="O32" i="39" s="1"/>
  <c r="S28" i="39"/>
  <c r="S19" i="39"/>
  <c r="S35" i="39"/>
  <c r="S31" i="39"/>
  <c r="S41" i="39"/>
  <c r="S33" i="39"/>
  <c r="S29" i="39"/>
  <c r="S24" i="39"/>
  <c r="S20" i="39"/>
  <c r="S16" i="39"/>
  <c r="S21" i="39" s="1"/>
  <c r="S42" i="39"/>
  <c r="S34" i="39"/>
  <c r="S25" i="39"/>
  <c r="S30" i="39"/>
  <c r="S17" i="39"/>
  <c r="S44" i="39"/>
  <c r="S18" i="39"/>
  <c r="S43" i="39"/>
  <c r="S26" i="39"/>
  <c r="S45" i="39"/>
  <c r="S40" i="39"/>
  <c r="S36" i="39"/>
  <c r="S32" i="39"/>
  <c r="S27" i="39"/>
  <c r="M25" i="38"/>
  <c r="M23" i="38"/>
  <c r="M21" i="38"/>
  <c r="M19" i="38"/>
  <c r="M17" i="38"/>
  <c r="M26" i="38"/>
  <c r="M24" i="38"/>
  <c r="M22" i="38"/>
  <c r="M20" i="38"/>
  <c r="M18" i="38"/>
  <c r="M16" i="38"/>
  <c r="O42" i="39"/>
  <c r="O45" i="39"/>
  <c r="O40" i="39"/>
  <c r="O36" i="39"/>
  <c r="O41" i="39"/>
  <c r="O33" i="39"/>
  <c r="O29" i="39"/>
  <c r="O24" i="39"/>
  <c r="O34" i="39"/>
  <c r="O43" i="39"/>
  <c r="O35" i="39"/>
  <c r="O31" i="39"/>
  <c r="J35" i="36"/>
  <c r="J44" i="36" s="1"/>
  <c r="J52" i="36"/>
  <c r="L35" i="36"/>
  <c r="L42" i="36"/>
  <c r="L44" i="36" s="1"/>
  <c r="L52" i="36"/>
  <c r="H21" i="36"/>
  <c r="H42" i="36"/>
  <c r="H44" i="36" s="1"/>
  <c r="E46" i="39"/>
  <c r="E48" i="39" s="1"/>
  <c r="V34" i="44" l="1"/>
  <c r="W34" i="44"/>
  <c r="U88" i="44"/>
  <c r="V88" i="44" s="1"/>
  <c r="X88" i="44" s="1"/>
  <c r="AA286" i="42"/>
  <c r="AB286" i="42"/>
  <c r="AB291" i="42" s="1"/>
  <c r="Z291" i="42"/>
  <c r="AA291" i="42" s="1"/>
  <c r="AC291" i="42" s="1"/>
  <c r="U137" i="44"/>
  <c r="V137" i="44" s="1"/>
  <c r="X137" i="44" s="1"/>
  <c r="V135" i="44"/>
  <c r="W135" i="44"/>
  <c r="W137" i="44" s="1"/>
  <c r="AA652" i="42"/>
  <c r="AC652" i="42" s="1"/>
  <c r="Z669" i="42"/>
  <c r="AA669" i="42" s="1"/>
  <c r="AC669" i="42" s="1"/>
  <c r="AA586" i="42"/>
  <c r="AC586" i="42" s="1"/>
  <c r="Z590" i="42"/>
  <c r="AA590" i="42" s="1"/>
  <c r="AC590" i="42" s="1"/>
  <c r="U719" i="44"/>
  <c r="V719" i="44" s="1"/>
  <c r="X719" i="44" s="1"/>
  <c r="V701" i="44"/>
  <c r="X701" i="44" s="1"/>
  <c r="AA229" i="42"/>
  <c r="AC229" i="42" s="1"/>
  <c r="AB229" i="42"/>
  <c r="AB238" i="42" s="1"/>
  <c r="AB249" i="42" s="1"/>
  <c r="Z238" i="42"/>
  <c r="AA238" i="42" s="1"/>
  <c r="AC238" i="42" s="1"/>
  <c r="A23" i="43"/>
  <c r="U679" i="44"/>
  <c r="V679" i="44" s="1"/>
  <c r="X679" i="44" s="1"/>
  <c r="V662" i="44"/>
  <c r="X662" i="44" s="1"/>
  <c r="U182" i="44"/>
  <c r="U193" i="44" s="1"/>
  <c r="V193" i="44" s="1"/>
  <c r="X193" i="44" s="1"/>
  <c r="V171" i="44"/>
  <c r="X171" i="44" s="1"/>
  <c r="AA179" i="42"/>
  <c r="Z190" i="42"/>
  <c r="AA190" i="42" s="1"/>
  <c r="N720" i="43"/>
  <c r="N878" i="43" s="1"/>
  <c r="AA89" i="42"/>
  <c r="AC89" i="42" s="1"/>
  <c r="AB89" i="42"/>
  <c r="AB96" i="42" s="1"/>
  <c r="AB107" i="42" s="1"/>
  <c r="Z96" i="42"/>
  <c r="AA204" i="42"/>
  <c r="AC204" i="42" s="1"/>
  <c r="Z215" i="42"/>
  <c r="AA215" i="42" s="1"/>
  <c r="AC215" i="42" s="1"/>
  <c r="A28" i="43"/>
  <c r="V267" i="44"/>
  <c r="W267" i="44"/>
  <c r="U268" i="44"/>
  <c r="V601" i="43"/>
  <c r="V615" i="43" s="1"/>
  <c r="V632" i="43" s="1"/>
  <c r="U601" i="43"/>
  <c r="W601" i="43" s="1"/>
  <c r="T615" i="43"/>
  <c r="W141" i="44"/>
  <c r="AA454" i="42"/>
  <c r="AC454" i="42" s="1"/>
  <c r="Z456" i="42"/>
  <c r="U321" i="43"/>
  <c r="T326" i="43"/>
  <c r="V321" i="43"/>
  <c r="V326" i="43" s="1"/>
  <c r="V328" i="43" s="1"/>
  <c r="W218" i="44"/>
  <c r="Z269" i="42"/>
  <c r="AA269" i="42" s="1"/>
  <c r="AC269" i="42" s="1"/>
  <c r="U700" i="43"/>
  <c r="W700" i="43" s="1"/>
  <c r="T718" i="43"/>
  <c r="U718" i="43" s="1"/>
  <c r="W718" i="43" s="1"/>
  <c r="T275" i="43"/>
  <c r="U275" i="43" s="1"/>
  <c r="W275" i="43" s="1"/>
  <c r="AA484" i="42"/>
  <c r="Z490" i="42"/>
  <c r="AA490" i="42" s="1"/>
  <c r="AC249" i="42"/>
  <c r="U336" i="43"/>
  <c r="T338" i="43"/>
  <c r="U338" i="43" s="1"/>
  <c r="W338" i="43" s="1"/>
  <c r="V336" i="43"/>
  <c r="V338" i="43" s="1"/>
  <c r="V220" i="43"/>
  <c r="W193" i="44"/>
  <c r="AC407" i="42"/>
  <c r="U20" i="43"/>
  <c r="V20" i="43"/>
  <c r="V21" i="43" s="1"/>
  <c r="T21" i="43"/>
  <c r="V665" i="43"/>
  <c r="V676" i="43" s="1"/>
  <c r="V678" i="43" s="1"/>
  <c r="U665" i="43"/>
  <c r="W665" i="43" s="1"/>
  <c r="T676" i="43"/>
  <c r="U128" i="43"/>
  <c r="T130" i="43"/>
  <c r="V128" i="43"/>
  <c r="V130" i="43" s="1"/>
  <c r="V132" i="43" s="1"/>
  <c r="V143" i="43" s="1"/>
  <c r="V304" i="44"/>
  <c r="U306" i="44"/>
  <c r="V306" i="44" s="1"/>
  <c r="X306" i="44" s="1"/>
  <c r="W304" i="44"/>
  <c r="W306" i="44" s="1"/>
  <c r="A135" i="44"/>
  <c r="I513" i="43"/>
  <c r="J525" i="43"/>
  <c r="I525" i="43" s="1"/>
  <c r="Z507" i="42"/>
  <c r="AA497" i="42"/>
  <c r="AC497" i="42" s="1"/>
  <c r="AA852" i="42"/>
  <c r="AC852" i="42" s="1"/>
  <c r="AB852" i="42"/>
  <c r="AB860" i="42" s="1"/>
  <c r="Z860" i="42"/>
  <c r="AA860" i="42" s="1"/>
  <c r="AC860" i="42" s="1"/>
  <c r="V82" i="44"/>
  <c r="W82" i="44"/>
  <c r="W84" i="44" s="1"/>
  <c r="U84" i="44"/>
  <c r="V84" i="44" s="1"/>
  <c r="X84" i="44" s="1"/>
  <c r="I34" i="44"/>
  <c r="AC398" i="42"/>
  <c r="U83" i="43"/>
  <c r="V83" i="43"/>
  <c r="V84" i="43" s="1"/>
  <c r="V88" i="43" s="1"/>
  <c r="T84" i="43"/>
  <c r="AB215" i="42"/>
  <c r="U454" i="43"/>
  <c r="W454" i="43" s="1"/>
  <c r="V454" i="43"/>
  <c r="V461" i="43" s="1"/>
  <c r="V467" i="43" s="1"/>
  <c r="O296" i="44"/>
  <c r="O314" i="44"/>
  <c r="U751" i="43"/>
  <c r="W751" i="43" s="1"/>
  <c r="V751" i="43"/>
  <c r="V774" i="43" s="1"/>
  <c r="T774" i="43"/>
  <c r="U774" i="43" s="1"/>
  <c r="W774" i="43" s="1"/>
  <c r="V128" i="44"/>
  <c r="U130" i="44"/>
  <c r="U141" i="44" s="1"/>
  <c r="V141" i="44" s="1"/>
  <c r="X141" i="44" s="1"/>
  <c r="U633" i="44"/>
  <c r="V633" i="44" s="1"/>
  <c r="X633" i="44" s="1"/>
  <c r="V616" i="44"/>
  <c r="X616" i="44" s="1"/>
  <c r="AA611" i="42"/>
  <c r="AC611" i="42" s="1"/>
  <c r="Z622" i="42"/>
  <c r="AA622" i="42" s="1"/>
  <c r="AC622" i="42" s="1"/>
  <c r="AB611" i="42"/>
  <c r="AB622" i="42" s="1"/>
  <c r="J391" i="42"/>
  <c r="I391" i="42" s="1"/>
  <c r="I368" i="42"/>
  <c r="Z144" i="42"/>
  <c r="AB142" i="42"/>
  <c r="AB144" i="42" s="1"/>
  <c r="AB148" i="42" s="1"/>
  <c r="AA142" i="42"/>
  <c r="AC142" i="42" s="1"/>
  <c r="T513" i="43"/>
  <c r="U503" i="43"/>
  <c r="W503" i="43" s="1"/>
  <c r="Z624" i="42"/>
  <c r="AA624" i="42" s="1"/>
  <c r="AC624" i="42" s="1"/>
  <c r="AA607" i="42"/>
  <c r="AC607" i="42" s="1"/>
  <c r="Z293" i="42"/>
  <c r="AA284" i="42"/>
  <c r="AC284" i="42" s="1"/>
  <c r="AB284" i="42"/>
  <c r="AB293" i="42" s="1"/>
  <c r="AB311" i="42" s="1"/>
  <c r="V736" i="43"/>
  <c r="V739" i="43" s="1"/>
  <c r="T739" i="43"/>
  <c r="V103" i="44"/>
  <c r="W103" i="44"/>
  <c r="W105" i="44" s="1"/>
  <c r="W109" i="44" s="1"/>
  <c r="U105" i="44"/>
  <c r="V105" i="44" s="1"/>
  <c r="X105" i="44" s="1"/>
  <c r="U367" i="43"/>
  <c r="T368" i="43"/>
  <c r="V367" i="43"/>
  <c r="V368" i="43" s="1"/>
  <c r="V373" i="43" s="1"/>
  <c r="Z569" i="42"/>
  <c r="AA569" i="42" s="1"/>
  <c r="AC569" i="42" s="1"/>
  <c r="AA559" i="42"/>
  <c r="AC559" i="42" s="1"/>
  <c r="T598" i="43"/>
  <c r="U598" i="43" s="1"/>
  <c r="W598" i="43" s="1"/>
  <c r="U594" i="43"/>
  <c r="W594" i="43" s="1"/>
  <c r="J396" i="43"/>
  <c r="I396" i="43" s="1"/>
  <c r="I373" i="43"/>
  <c r="T558" i="43"/>
  <c r="V58" i="43"/>
  <c r="W257" i="44"/>
  <c r="W261" i="44" s="1"/>
  <c r="U261" i="44"/>
  <c r="U272" i="44" s="1"/>
  <c r="V272" i="44" s="1"/>
  <c r="X272" i="44" s="1"/>
  <c r="V257" i="44"/>
  <c r="AA323" i="42"/>
  <c r="AC323" i="42" s="1"/>
  <c r="V545" i="44"/>
  <c r="X545" i="44" s="1"/>
  <c r="U557" i="44"/>
  <c r="V557" i="44" s="1"/>
  <c r="X557" i="44" s="1"/>
  <c r="V52" i="44"/>
  <c r="U54" i="44"/>
  <c r="V54" i="44" s="1"/>
  <c r="X54" i="44" s="1"/>
  <c r="W52" i="44"/>
  <c r="W54" i="44" s="1"/>
  <c r="N396" i="43"/>
  <c r="U482" i="43"/>
  <c r="W482" i="43" s="1"/>
  <c r="V482" i="43"/>
  <c r="V490" i="43" s="1"/>
  <c r="V496" i="43" s="1"/>
  <c r="U512" i="44"/>
  <c r="V507" i="44"/>
  <c r="X507" i="44" s="1"/>
  <c r="W30" i="44"/>
  <c r="AA125" i="42"/>
  <c r="AC125" i="42" s="1"/>
  <c r="AB125" i="42"/>
  <c r="AB126" i="42" s="1"/>
  <c r="AB128" i="42" s="1"/>
  <c r="AB139" i="42" s="1"/>
  <c r="Z126" i="42"/>
  <c r="AC46" i="42"/>
  <c r="U109" i="44"/>
  <c r="V109" i="44" s="1"/>
  <c r="X109" i="44" s="1"/>
  <c r="Z378" i="42"/>
  <c r="Q379" i="42"/>
  <c r="Q391" i="42" s="1"/>
  <c r="Q710" i="42" s="1"/>
  <c r="Q866" i="42" s="1"/>
  <c r="Z57" i="42"/>
  <c r="AA57" i="42" s="1"/>
  <c r="J34" i="43"/>
  <c r="I23" i="43"/>
  <c r="X466" i="44"/>
  <c r="A132" i="44"/>
  <c r="W343" i="44"/>
  <c r="U519" i="44"/>
  <c r="V519" i="44" s="1"/>
  <c r="X519" i="44" s="1"/>
  <c r="W516" i="44"/>
  <c r="W519" i="44" s="1"/>
  <c r="W524" i="44" s="1"/>
  <c r="V516" i="44"/>
  <c r="X516" i="44" s="1"/>
  <c r="Z358" i="42"/>
  <c r="AA356" i="42"/>
  <c r="AB356" i="42"/>
  <c r="AB358" i="42" s="1"/>
  <c r="AB368" i="42" s="1"/>
  <c r="W449" i="44"/>
  <c r="W431" i="44"/>
  <c r="W290" i="44"/>
  <c r="W294" i="44" s="1"/>
  <c r="W296" i="44" s="1"/>
  <c r="V290" i="44"/>
  <c r="U294" i="44"/>
  <c r="J252" i="44"/>
  <c r="I252" i="44" s="1"/>
  <c r="I241" i="44"/>
  <c r="I46" i="42"/>
  <c r="J57" i="42"/>
  <c r="I57" i="42" s="1"/>
  <c r="V400" i="44"/>
  <c r="X400" i="44" s="1"/>
  <c r="W400" i="44"/>
  <c r="W402" i="44" s="1"/>
  <c r="W411" i="44" s="1"/>
  <c r="AC729" i="42"/>
  <c r="AB624" i="42"/>
  <c r="N876" i="43"/>
  <c r="AA75" i="42"/>
  <c r="AC75" i="42" s="1"/>
  <c r="Z86" i="42"/>
  <c r="AA86" i="42" s="1"/>
  <c r="AC86" i="42" s="1"/>
  <c r="AB29" i="42"/>
  <c r="U507" i="43"/>
  <c r="V507" i="43"/>
  <c r="V508" i="43" s="1"/>
  <c r="V513" i="43" s="1"/>
  <c r="V525" i="43" s="1"/>
  <c r="T508" i="43"/>
  <c r="U508" i="43" s="1"/>
  <c r="W508" i="43" s="1"/>
  <c r="U456" i="43"/>
  <c r="V456" i="43"/>
  <c r="V459" i="43" s="1"/>
  <c r="T459" i="43"/>
  <c r="U459" i="43" s="1"/>
  <c r="W459" i="43" s="1"/>
  <c r="V309" i="44"/>
  <c r="U311" i="44"/>
  <c r="V311" i="44" s="1"/>
  <c r="X311" i="44" s="1"/>
  <c r="W309" i="44"/>
  <c r="W311" i="44" s="1"/>
  <c r="I507" i="42"/>
  <c r="J519" i="42"/>
  <c r="I519" i="42" s="1"/>
  <c r="W546" i="43"/>
  <c r="T58" i="43"/>
  <c r="U58" i="43" s="1"/>
  <c r="W58" i="43" s="1"/>
  <c r="U47" i="43"/>
  <c r="W47" i="43" s="1"/>
  <c r="U209" i="43"/>
  <c r="W209" i="43" s="1"/>
  <c r="T220" i="43"/>
  <c r="U220" i="43" s="1"/>
  <c r="W220" i="43" s="1"/>
  <c r="A25" i="43"/>
  <c r="AB732" i="42"/>
  <c r="AB734" i="42" s="1"/>
  <c r="AB864" i="42" s="1"/>
  <c r="Z734" i="42"/>
  <c r="AC734" i="42" s="1"/>
  <c r="O721" i="44"/>
  <c r="O881" i="44" s="1"/>
  <c r="V460" i="44"/>
  <c r="X458" i="44"/>
  <c r="X460" i="44" s="1"/>
  <c r="V23" i="43"/>
  <c r="I484" i="42"/>
  <c r="J490" i="42"/>
  <c r="I490" i="42" s="1"/>
  <c r="U189" i="43"/>
  <c r="T191" i="43"/>
  <c r="U191" i="43" s="1"/>
  <c r="W191" i="43" s="1"/>
  <c r="V189" i="43"/>
  <c r="V191" i="43" s="1"/>
  <c r="I461" i="43"/>
  <c r="J467" i="43"/>
  <c r="I467" i="43" s="1"/>
  <c r="U249" i="43"/>
  <c r="T251" i="43"/>
  <c r="V249" i="43"/>
  <c r="V251" i="43" s="1"/>
  <c r="V255" i="43" s="1"/>
  <c r="W252" i="44"/>
  <c r="AA336" i="42"/>
  <c r="AB336" i="42"/>
  <c r="AB338" i="42" s="1"/>
  <c r="AB340" i="42" s="1"/>
  <c r="Z338" i="42"/>
  <c r="AA338" i="42" s="1"/>
  <c r="AC338" i="42" s="1"/>
  <c r="N450" i="43"/>
  <c r="V39" i="44"/>
  <c r="W39" i="44"/>
  <c r="W45" i="44" s="1"/>
  <c r="W47" i="44" s="1"/>
  <c r="U45" i="44"/>
  <c r="U343" i="44"/>
  <c r="V343" i="44" s="1"/>
  <c r="X343" i="44" s="1"/>
  <c r="AA539" i="42"/>
  <c r="AC539" i="42" s="1"/>
  <c r="Z551" i="42"/>
  <c r="AA551" i="42" s="1"/>
  <c r="AC551" i="42" s="1"/>
  <c r="T384" i="43"/>
  <c r="U384" i="43" s="1"/>
  <c r="W384" i="43" s="1"/>
  <c r="U376" i="43"/>
  <c r="V376" i="43"/>
  <c r="V384" i="43" s="1"/>
  <c r="U372" i="44"/>
  <c r="V372" i="44" s="1"/>
  <c r="X372" i="44" s="1"/>
  <c r="V367" i="44"/>
  <c r="X367" i="44" s="1"/>
  <c r="U395" i="44"/>
  <c r="V395" i="44" s="1"/>
  <c r="X395" i="44" s="1"/>
  <c r="U432" i="43"/>
  <c r="W432" i="43" s="1"/>
  <c r="T450" i="43"/>
  <c r="U450" i="43" s="1"/>
  <c r="W450" i="43" s="1"/>
  <c r="V299" i="44"/>
  <c r="U301" i="44"/>
  <c r="V301" i="44" s="1"/>
  <c r="X301" i="44" s="1"/>
  <c r="W299" i="44"/>
  <c r="W301" i="44" s="1"/>
  <c r="W88" i="44"/>
  <c r="AA690" i="42"/>
  <c r="AC690" i="42" s="1"/>
  <c r="Z708" i="42"/>
  <c r="AA708" i="42" s="1"/>
  <c r="AC708" i="42" s="1"/>
  <c r="V442" i="43"/>
  <c r="V443" i="43" s="1"/>
  <c r="U442" i="43"/>
  <c r="U443" i="43" s="1"/>
  <c r="T443" i="43"/>
  <c r="U241" i="44"/>
  <c r="V237" i="44"/>
  <c r="X237" i="44" s="1"/>
  <c r="AB652" i="42"/>
  <c r="AB669" i="42" s="1"/>
  <c r="V184" i="43"/>
  <c r="V195" i="43" s="1"/>
  <c r="U575" i="44"/>
  <c r="V575" i="44" s="1"/>
  <c r="X575" i="44" s="1"/>
  <c r="U99" i="43"/>
  <c r="W99" i="43" s="1"/>
  <c r="V375" i="44"/>
  <c r="W375" i="44"/>
  <c r="W383" i="44" s="1"/>
  <c r="U383" i="44"/>
  <c r="V383" i="44" s="1"/>
  <c r="X383" i="44" s="1"/>
  <c r="N195" i="43"/>
  <c r="V450" i="43"/>
  <c r="X96" i="44"/>
  <c r="X98" i="44" s="1"/>
  <c r="V98" i="44"/>
  <c r="U105" i="43"/>
  <c r="V105" i="43"/>
  <c r="T106" i="43"/>
  <c r="U106" i="43" s="1"/>
  <c r="W106" i="43" s="1"/>
  <c r="T30" i="43"/>
  <c r="U30" i="43" s="1"/>
  <c r="W30" i="43" s="1"/>
  <c r="U28" i="43"/>
  <c r="V28" i="43"/>
  <c r="V30" i="43" s="1"/>
  <c r="AB510" i="42"/>
  <c r="AB514" i="42" s="1"/>
  <c r="Z514" i="42"/>
  <c r="AA514" i="42" s="1"/>
  <c r="AC514" i="42" s="1"/>
  <c r="AA510" i="42"/>
  <c r="AC510" i="42" s="1"/>
  <c r="V569" i="43"/>
  <c r="V572" i="43" s="1"/>
  <c r="V576" i="43" s="1"/>
  <c r="T572" i="43"/>
  <c r="U569" i="43"/>
  <c r="W569" i="43" s="1"/>
  <c r="U552" i="44"/>
  <c r="V552" i="44" s="1"/>
  <c r="X552" i="44" s="1"/>
  <c r="V549" i="44"/>
  <c r="X549" i="44" s="1"/>
  <c r="W549" i="44"/>
  <c r="W552" i="44" s="1"/>
  <c r="W557" i="44" s="1"/>
  <c r="X324" i="44"/>
  <c r="V326" i="44"/>
  <c r="X326" i="44" s="1"/>
  <c r="W77" i="43"/>
  <c r="AA421" i="42"/>
  <c r="AC421" i="42" s="1"/>
  <c r="AB421" i="42"/>
  <c r="AB427" i="42" s="1"/>
  <c r="AB445" i="42" s="1"/>
  <c r="Z427" i="42"/>
  <c r="AB551" i="42"/>
  <c r="O272" i="44"/>
  <c r="W395" i="44"/>
  <c r="I33" i="42"/>
  <c r="U411" i="44"/>
  <c r="V411" i="44" s="1"/>
  <c r="X411" i="44" s="1"/>
  <c r="V23" i="44"/>
  <c r="X21" i="44"/>
  <c r="X23" i="44" s="1"/>
  <c r="W661" i="43"/>
  <c r="U309" i="43"/>
  <c r="W309" i="43" s="1"/>
  <c r="V309" i="43"/>
  <c r="V202" i="44"/>
  <c r="U207" i="44"/>
  <c r="U218" i="44" s="1"/>
  <c r="V218" i="44" s="1"/>
  <c r="X218" i="44" s="1"/>
  <c r="X75" i="44"/>
  <c r="X77" i="44" s="1"/>
  <c r="V77" i="44"/>
  <c r="AB708" i="42"/>
  <c r="J345" i="43"/>
  <c r="I345" i="43" s="1"/>
  <c r="I328" i="43"/>
  <c r="J190" i="42"/>
  <c r="I190" i="42" s="1"/>
  <c r="I179" i="42"/>
  <c r="V487" i="44"/>
  <c r="U495" i="44"/>
  <c r="V495" i="44" s="1"/>
  <c r="X495" i="44" s="1"/>
  <c r="U489" i="44"/>
  <c r="AB14" i="42"/>
  <c r="AB22" i="42" s="1"/>
  <c r="AB33" i="42" s="1"/>
  <c r="Z22" i="42"/>
  <c r="AA14" i="42"/>
  <c r="AC14" i="42" s="1"/>
  <c r="U399" i="43"/>
  <c r="W399" i="43" s="1"/>
  <c r="V399" i="43"/>
  <c r="V403" i="43" s="1"/>
  <c r="V412" i="43" s="1"/>
  <c r="T403" i="43"/>
  <c r="Z764" i="42"/>
  <c r="AA764" i="42" s="1"/>
  <c r="AC764" i="42" s="1"/>
  <c r="AB741" i="42"/>
  <c r="AB764" i="42" s="1"/>
  <c r="AA741" i="42"/>
  <c r="AC741" i="42" s="1"/>
  <c r="J316" i="43"/>
  <c r="I316" i="43" s="1"/>
  <c r="I299" i="43"/>
  <c r="U484" i="43"/>
  <c r="V484" i="43"/>
  <c r="V488" i="43" s="1"/>
  <c r="T488" i="43"/>
  <c r="U488" i="43" s="1"/>
  <c r="W488" i="43" s="1"/>
  <c r="O141" i="44"/>
  <c r="AB519" i="42"/>
  <c r="V290" i="43"/>
  <c r="V299" i="43" s="1"/>
  <c r="T299" i="43"/>
  <c r="U290" i="43"/>
  <c r="W290" i="43" s="1"/>
  <c r="U177" i="43"/>
  <c r="V177" i="43"/>
  <c r="V180" i="43" s="1"/>
  <c r="T180" i="43"/>
  <c r="M36" i="39"/>
  <c r="U36" i="39" s="1"/>
  <c r="D50" i="40" s="1"/>
  <c r="G50" i="40" s="1"/>
  <c r="D77" i="41" s="1"/>
  <c r="J77" i="41" s="1"/>
  <c r="N77" i="41" s="1"/>
  <c r="M25" i="39"/>
  <c r="U25" i="39" s="1"/>
  <c r="D39" i="40" s="1"/>
  <c r="G39" i="40" s="1"/>
  <c r="D55" i="41" s="1"/>
  <c r="J55" i="41" s="1"/>
  <c r="N55" i="41" s="1"/>
  <c r="M44" i="39"/>
  <c r="U44" i="39" s="1"/>
  <c r="D58" i="40" s="1"/>
  <c r="J58" i="36"/>
  <c r="L58" i="36"/>
  <c r="O18" i="39"/>
  <c r="O30" i="39"/>
  <c r="Q21" i="39"/>
  <c r="O46" i="39"/>
  <c r="O19" i="39"/>
  <c r="S37" i="39"/>
  <c r="O17" i="39"/>
  <c r="H58" i="36"/>
  <c r="H23" i="36"/>
  <c r="O28" i="39"/>
  <c r="O44" i="39"/>
  <c r="O25" i="39"/>
  <c r="O37" i="39" s="1"/>
  <c r="O16" i="39"/>
  <c r="O27" i="39"/>
  <c r="S46" i="39"/>
  <c r="O26" i="39"/>
  <c r="O20" i="39"/>
  <c r="J54" i="37"/>
  <c r="J56" i="37" s="1"/>
  <c r="M48" i="39"/>
  <c r="M43" i="39" s="1"/>
  <c r="U43" i="39" s="1"/>
  <c r="D57" i="40" s="1"/>
  <c r="Q37" i="39"/>
  <c r="K26" i="38"/>
  <c r="Q26" i="38" s="1"/>
  <c r="D26" i="40" s="1"/>
  <c r="K24" i="38"/>
  <c r="Q24" i="38" s="1"/>
  <c r="D24" i="40" s="1"/>
  <c r="G24" i="40" s="1"/>
  <c r="D34" i="41" s="1"/>
  <c r="K22" i="38"/>
  <c r="Q22" i="38" s="1"/>
  <c r="D22" i="40" s="1"/>
  <c r="G22" i="40" s="1"/>
  <c r="D29" i="41" s="1"/>
  <c r="J29" i="41" s="1"/>
  <c r="N29" i="41" s="1"/>
  <c r="K20" i="38"/>
  <c r="Q20" i="38" s="1"/>
  <c r="D20" i="40" s="1"/>
  <c r="G20" i="40" s="1"/>
  <c r="D24" i="41" s="1"/>
  <c r="K18" i="38"/>
  <c r="Q18" i="38" s="1"/>
  <c r="D18" i="40" s="1"/>
  <c r="G18" i="40" s="1"/>
  <c r="D18" i="41" s="1"/>
  <c r="K16" i="38"/>
  <c r="Q16" i="38" s="1"/>
  <c r="K25" i="38"/>
  <c r="Q25" i="38" s="1"/>
  <c r="D25" i="40" s="1"/>
  <c r="G25" i="40" s="1"/>
  <c r="D37" i="41" s="1"/>
  <c r="J37" i="41" s="1"/>
  <c r="N37" i="41" s="1"/>
  <c r="K23" i="38"/>
  <c r="Q23" i="38" s="1"/>
  <c r="D23" i="40" s="1"/>
  <c r="G23" i="40" s="1"/>
  <c r="D31" i="41" s="1"/>
  <c r="K21" i="38"/>
  <c r="Q21" i="38" s="1"/>
  <c r="D21" i="40" s="1"/>
  <c r="G21" i="40" s="1"/>
  <c r="D27" i="41" s="1"/>
  <c r="J27" i="41" s="1"/>
  <c r="N27" i="41" s="1"/>
  <c r="K19" i="38"/>
  <c r="Q19" i="38" s="1"/>
  <c r="D19" i="40" s="1"/>
  <c r="G19" i="40" s="1"/>
  <c r="D21" i="41" s="1"/>
  <c r="K17" i="38"/>
  <c r="Q17" i="38" s="1"/>
  <c r="D17" i="40" s="1"/>
  <c r="G17" i="40" s="1"/>
  <c r="D16" i="41" s="1"/>
  <c r="J16" i="41" s="1"/>
  <c r="N16" i="41" s="1"/>
  <c r="U299" i="43" l="1"/>
  <c r="W299" i="43" s="1"/>
  <c r="T316" i="43"/>
  <c r="U316" i="43" s="1"/>
  <c r="W316" i="43" s="1"/>
  <c r="Z340" i="42"/>
  <c r="AA340" i="42" s="1"/>
  <c r="AC340" i="42" s="1"/>
  <c r="Z445" i="42"/>
  <c r="AA445" i="42" s="1"/>
  <c r="AC445" i="42" s="1"/>
  <c r="AA427" i="42"/>
  <c r="AC427" i="42" s="1"/>
  <c r="A136" i="44"/>
  <c r="Z864" i="42"/>
  <c r="AA358" i="42"/>
  <c r="AC358" i="42" s="1"/>
  <c r="Z368" i="42"/>
  <c r="AA126" i="42"/>
  <c r="AC126" i="42" s="1"/>
  <c r="Z128" i="42"/>
  <c r="Z148" i="42"/>
  <c r="AA148" i="42" s="1"/>
  <c r="AC148" i="42" s="1"/>
  <c r="AA144" i="42"/>
  <c r="AC144" i="42" s="1"/>
  <c r="T461" i="43"/>
  <c r="U615" i="43"/>
  <c r="W615" i="43" s="1"/>
  <c r="T632" i="43"/>
  <c r="U632" i="43" s="1"/>
  <c r="W632" i="43" s="1"/>
  <c r="AC190" i="42"/>
  <c r="AA293" i="42"/>
  <c r="AC293" i="42" s="1"/>
  <c r="Z311" i="42"/>
  <c r="AA311" i="42" s="1"/>
  <c r="AC311" i="42" s="1"/>
  <c r="U84" i="43"/>
  <c r="W84" i="43" s="1"/>
  <c r="T88" i="43"/>
  <c r="U88" i="43" s="1"/>
  <c r="W88" i="43" s="1"/>
  <c r="U47" i="44"/>
  <c r="U58" i="44" s="1"/>
  <c r="V45" i="44"/>
  <c r="V294" i="44"/>
  <c r="U296" i="44"/>
  <c r="U314" i="44"/>
  <c r="V314" i="44" s="1"/>
  <c r="X314" i="44" s="1"/>
  <c r="I34" i="43"/>
  <c r="J720" i="43"/>
  <c r="J878" i="43" s="1"/>
  <c r="X257" i="44"/>
  <c r="X261" i="44" s="1"/>
  <c r="V261" i="44"/>
  <c r="X128" i="44"/>
  <c r="X130" i="44" s="1"/>
  <c r="V130" i="44"/>
  <c r="U21" i="43"/>
  <c r="W21" i="43" s="1"/>
  <c r="T23" i="43"/>
  <c r="AC179" i="42"/>
  <c r="U572" i="43"/>
  <c r="W572" i="43" s="1"/>
  <c r="T576" i="43"/>
  <c r="U576" i="43" s="1"/>
  <c r="W576" i="43" s="1"/>
  <c r="U251" i="43"/>
  <c r="T255" i="43"/>
  <c r="U255" i="43" s="1"/>
  <c r="W255" i="43" s="1"/>
  <c r="AC57" i="42"/>
  <c r="V345" i="43"/>
  <c r="AA96" i="42"/>
  <c r="AC96" i="42" s="1"/>
  <c r="Z107" i="42"/>
  <c r="AA107" i="42" s="1"/>
  <c r="AC107" i="42" s="1"/>
  <c r="X34" i="44"/>
  <c r="U403" i="43"/>
  <c r="W403" i="43" s="1"/>
  <c r="T412" i="43"/>
  <c r="U412" i="43" s="1"/>
  <c r="W412" i="43" s="1"/>
  <c r="X487" i="44"/>
  <c r="X489" i="44" s="1"/>
  <c r="V489" i="44"/>
  <c r="J710" i="42"/>
  <c r="J866" i="42" s="1"/>
  <c r="V106" i="43"/>
  <c r="V110" i="43"/>
  <c r="V241" i="44"/>
  <c r="X241" i="44" s="1"/>
  <c r="U252" i="44"/>
  <c r="V252" i="44" s="1"/>
  <c r="X252" i="44" s="1"/>
  <c r="V34" i="43"/>
  <c r="W314" i="44"/>
  <c r="W739" i="43"/>
  <c r="T876" i="43"/>
  <c r="J721" i="44"/>
  <c r="J881" i="44" s="1"/>
  <c r="AC490" i="42"/>
  <c r="U326" i="43"/>
  <c r="W326" i="43" s="1"/>
  <c r="T328" i="43"/>
  <c r="V268" i="44"/>
  <c r="X268" i="44" s="1"/>
  <c r="W268" i="44"/>
  <c r="W272" i="44" s="1"/>
  <c r="AA22" i="42"/>
  <c r="AC22" i="42" s="1"/>
  <c r="Z33" i="42"/>
  <c r="V316" i="43"/>
  <c r="U180" i="43"/>
  <c r="W180" i="43" s="1"/>
  <c r="T184" i="43"/>
  <c r="X202" i="44"/>
  <c r="X207" i="44" s="1"/>
  <c r="V207" i="44"/>
  <c r="AA378" i="42"/>
  <c r="AB378" i="42"/>
  <c r="AB379" i="42" s="1"/>
  <c r="Z379" i="42"/>
  <c r="AA379" i="42" s="1"/>
  <c r="AC379" i="42" s="1"/>
  <c r="V876" i="43"/>
  <c r="A137" i="44"/>
  <c r="A141" i="44" s="1"/>
  <c r="AA507" i="42"/>
  <c r="AC507" i="42" s="1"/>
  <c r="Z519" i="42"/>
  <c r="AA519" i="42" s="1"/>
  <c r="AC519" i="42" s="1"/>
  <c r="U130" i="43"/>
  <c r="W130" i="43" s="1"/>
  <c r="T132" i="43"/>
  <c r="AC484" i="42"/>
  <c r="V512" i="44"/>
  <c r="X512" i="44" s="1"/>
  <c r="U524" i="44"/>
  <c r="V524" i="44" s="1"/>
  <c r="X524" i="44" s="1"/>
  <c r="T525" i="43"/>
  <c r="U525" i="43" s="1"/>
  <c r="W525" i="43" s="1"/>
  <c r="U513" i="43"/>
  <c r="W513" i="43" s="1"/>
  <c r="Z462" i="42"/>
  <c r="AA462" i="42" s="1"/>
  <c r="AC462" i="42" s="1"/>
  <c r="AA456" i="42"/>
  <c r="AC456" i="42" s="1"/>
  <c r="T110" i="43"/>
  <c r="U110" i="43" s="1"/>
  <c r="W110" i="43" s="1"/>
  <c r="AB391" i="42"/>
  <c r="AB710" i="42" s="1"/>
  <c r="AB866" i="42" s="1"/>
  <c r="A139" i="44"/>
  <c r="T490" i="43"/>
  <c r="U558" i="43"/>
  <c r="W558" i="43" s="1"/>
  <c r="V558" i="43"/>
  <c r="U368" i="43"/>
  <c r="W368" i="43" s="1"/>
  <c r="T373" i="43"/>
  <c r="U676" i="43"/>
  <c r="W676" i="43" s="1"/>
  <c r="T678" i="43"/>
  <c r="U678" i="43" s="1"/>
  <c r="W678" i="43" s="1"/>
  <c r="A29" i="43"/>
  <c r="M40" i="39"/>
  <c r="M31" i="39"/>
  <c r="U31" i="39" s="1"/>
  <c r="D45" i="40" s="1"/>
  <c r="G45" i="40" s="1"/>
  <c r="D66" i="41" s="1"/>
  <c r="M29" i="39"/>
  <c r="U29" i="39" s="1"/>
  <c r="D43" i="40" s="1"/>
  <c r="G43" i="40" s="1"/>
  <c r="D63" i="41" s="1"/>
  <c r="M28" i="39"/>
  <c r="U28" i="39" s="1"/>
  <c r="D42" i="40" s="1"/>
  <c r="G42" i="40" s="1"/>
  <c r="D60" i="41" s="1"/>
  <c r="M33" i="39"/>
  <c r="U33" i="39" s="1"/>
  <c r="D47" i="40" s="1"/>
  <c r="G47" i="40" s="1"/>
  <c r="M18" i="39"/>
  <c r="U18" i="39" s="1"/>
  <c r="D32" i="40" s="1"/>
  <c r="G32" i="40" s="1"/>
  <c r="D19" i="41"/>
  <c r="J19" i="41" s="1"/>
  <c r="N19" i="41" s="1"/>
  <c r="J18" i="41"/>
  <c r="N18" i="41" s="1"/>
  <c r="M16" i="39"/>
  <c r="M41" i="39"/>
  <c r="U41" i="39" s="1"/>
  <c r="D55" i="40" s="1"/>
  <c r="M24" i="39"/>
  <c r="O21" i="39"/>
  <c r="M34" i="39"/>
  <c r="U34" i="39" s="1"/>
  <c r="D48" i="40" s="1"/>
  <c r="G48" i="40" s="1"/>
  <c r="D73" i="41" s="1"/>
  <c r="M42" i="39"/>
  <c r="U42" i="39" s="1"/>
  <c r="D56" i="40" s="1"/>
  <c r="D25" i="41"/>
  <c r="J25" i="41" s="1"/>
  <c r="N25" i="41" s="1"/>
  <c r="J24" i="41"/>
  <c r="N24" i="41" s="1"/>
  <c r="M17" i="39"/>
  <c r="U17" i="39" s="1"/>
  <c r="D31" i="40" s="1"/>
  <c r="G31" i="40" s="1"/>
  <c r="D42" i="41" s="1"/>
  <c r="J42" i="41" s="1"/>
  <c r="N42" i="41" s="1"/>
  <c r="M19" i="39"/>
  <c r="U19" i="39" s="1"/>
  <c r="D33" i="40" s="1"/>
  <c r="G33" i="40" s="1"/>
  <c r="D47" i="41" s="1"/>
  <c r="J47" i="41" s="1"/>
  <c r="N47" i="41" s="1"/>
  <c r="M26" i="39"/>
  <c r="U26" i="39" s="1"/>
  <c r="D40" i="40" s="1"/>
  <c r="G40" i="40" s="1"/>
  <c r="D57" i="41" s="1"/>
  <c r="J31" i="41"/>
  <c r="N31" i="41" s="1"/>
  <c r="D32" i="41"/>
  <c r="J32" i="41" s="1"/>
  <c r="N32" i="41" s="1"/>
  <c r="M30" i="39"/>
  <c r="U30" i="39" s="1"/>
  <c r="D44" i="40" s="1"/>
  <c r="G44" i="40" s="1"/>
  <c r="M27" i="39"/>
  <c r="U27" i="39" s="1"/>
  <c r="D41" i="40" s="1"/>
  <c r="G41" i="40" s="1"/>
  <c r="M35" i="39"/>
  <c r="U35" i="39" s="1"/>
  <c r="D49" i="40" s="1"/>
  <c r="G49" i="40" s="1"/>
  <c r="M45" i="39"/>
  <c r="U45" i="39" s="1"/>
  <c r="D16" i="40"/>
  <c r="Q28" i="38"/>
  <c r="D22" i="41"/>
  <c r="J22" i="41" s="1"/>
  <c r="N22" i="41" s="1"/>
  <c r="J21" i="41"/>
  <c r="N21" i="41" s="1"/>
  <c r="J34" i="41"/>
  <c r="N34" i="41" s="1"/>
  <c r="D35" i="41"/>
  <c r="J35" i="41" s="1"/>
  <c r="N35" i="41" s="1"/>
  <c r="M20" i="39"/>
  <c r="U20" i="39" s="1"/>
  <c r="D34" i="40" s="1"/>
  <c r="G34" i="40" s="1"/>
  <c r="M32" i="39"/>
  <c r="U32" i="39" s="1"/>
  <c r="D46" i="40" s="1"/>
  <c r="G46" i="40" s="1"/>
  <c r="D69" i="41" s="1"/>
  <c r="AA128" i="42" l="1"/>
  <c r="AC128" i="42" s="1"/>
  <c r="Z139" i="42"/>
  <c r="AA139" i="42" s="1"/>
  <c r="AC139" i="42" s="1"/>
  <c r="AA33" i="42"/>
  <c r="AC33" i="42" s="1"/>
  <c r="T34" i="43"/>
  <c r="U23" i="43"/>
  <c r="W23" i="43" s="1"/>
  <c r="U132" i="43"/>
  <c r="W132" i="43" s="1"/>
  <c r="T143" i="43"/>
  <c r="U143" i="43" s="1"/>
  <c r="W143" i="43" s="1"/>
  <c r="AA368" i="42"/>
  <c r="AC368" i="42" s="1"/>
  <c r="Z391" i="42"/>
  <c r="AA391" i="42" s="1"/>
  <c r="AC391" i="42" s="1"/>
  <c r="V296" i="44"/>
  <c r="X294" i="44"/>
  <c r="X296" i="44" s="1"/>
  <c r="U184" i="43"/>
  <c r="W184" i="43" s="1"/>
  <c r="T195" i="43"/>
  <c r="U195" i="43" s="1"/>
  <c r="W195" i="43" s="1"/>
  <c r="T345" i="43"/>
  <c r="U345" i="43" s="1"/>
  <c r="W345" i="43" s="1"/>
  <c r="U328" i="43"/>
  <c r="W328" i="43" s="1"/>
  <c r="X45" i="44"/>
  <c r="X47" i="44" s="1"/>
  <c r="V47" i="44"/>
  <c r="U373" i="43"/>
  <c r="W373" i="43" s="1"/>
  <c r="T396" i="43"/>
  <c r="U490" i="43"/>
  <c r="W490" i="43" s="1"/>
  <c r="T496" i="43"/>
  <c r="U496" i="43" s="1"/>
  <c r="W496" i="43" s="1"/>
  <c r="V58" i="44"/>
  <c r="X58" i="44" s="1"/>
  <c r="W58" i="44"/>
  <c r="W721" i="44" s="1"/>
  <c r="W881" i="44" s="1"/>
  <c r="U721" i="44"/>
  <c r="U881" i="44" s="1"/>
  <c r="U461" i="43"/>
  <c r="W461" i="43" s="1"/>
  <c r="T467" i="43"/>
  <c r="U467" i="43" s="1"/>
  <c r="W467" i="43" s="1"/>
  <c r="A144" i="44"/>
  <c r="A145" i="44" s="1"/>
  <c r="A32" i="43"/>
  <c r="A34" i="43" s="1"/>
  <c r="D49" i="41"/>
  <c r="J49" i="41" s="1"/>
  <c r="N49" i="41" s="1"/>
  <c r="D50" i="41"/>
  <c r="J50" i="41" s="1"/>
  <c r="N50" i="41" s="1"/>
  <c r="D45" i="41"/>
  <c r="J45" i="41" s="1"/>
  <c r="N45" i="41" s="1"/>
  <c r="D44" i="41"/>
  <c r="J44" i="41" s="1"/>
  <c r="N44" i="41" s="1"/>
  <c r="J60" i="41"/>
  <c r="N60" i="41" s="1"/>
  <c r="D61" i="41"/>
  <c r="J61" i="41" s="1"/>
  <c r="N61" i="41" s="1"/>
  <c r="D64" i="41"/>
  <c r="J64" i="41" s="1"/>
  <c r="N64" i="41" s="1"/>
  <c r="J63" i="41"/>
  <c r="N63" i="41" s="1"/>
  <c r="D67" i="41"/>
  <c r="J67" i="41" s="1"/>
  <c r="N67" i="41" s="1"/>
  <c r="J66" i="41"/>
  <c r="N66" i="41" s="1"/>
  <c r="D74" i="41"/>
  <c r="J74" i="41" s="1"/>
  <c r="N74" i="41" s="1"/>
  <c r="J73" i="41"/>
  <c r="N73" i="41" s="1"/>
  <c r="D75" i="41"/>
  <c r="J75" i="41" s="1"/>
  <c r="N75" i="41" s="1"/>
  <c r="D58" i="41"/>
  <c r="J58" i="41" s="1"/>
  <c r="N58" i="41" s="1"/>
  <c r="J57" i="41"/>
  <c r="N57" i="41" s="1"/>
  <c r="M37" i="39"/>
  <c r="U24" i="39"/>
  <c r="G16" i="40"/>
  <c r="D14" i="41" s="1"/>
  <c r="J14" i="41" s="1"/>
  <c r="N14" i="41" s="1"/>
  <c r="D27" i="40"/>
  <c r="D70" i="41"/>
  <c r="J70" i="41" s="1"/>
  <c r="N70" i="41" s="1"/>
  <c r="J69" i="41"/>
  <c r="N69" i="41" s="1"/>
  <c r="D71" i="41"/>
  <c r="J71" i="41" s="1"/>
  <c r="N71" i="41" s="1"/>
  <c r="U16" i="39"/>
  <c r="M21" i="39"/>
  <c r="M46" i="39"/>
  <c r="U40" i="39"/>
  <c r="U396" i="43" l="1"/>
  <c r="W396" i="43" s="1"/>
  <c r="V396" i="43"/>
  <c r="V720" i="43" s="1"/>
  <c r="V878" i="43" s="1"/>
  <c r="U34" i="43"/>
  <c r="W34" i="43" s="1"/>
  <c r="T720" i="43"/>
  <c r="T878" i="43" s="1"/>
  <c r="Z710" i="42"/>
  <c r="Z866" i="42" s="1"/>
  <c r="A146" i="44"/>
  <c r="A148" i="44" s="1"/>
  <c r="A150" i="44" s="1"/>
  <c r="D30" i="40"/>
  <c r="U21" i="39"/>
  <c r="U46" i="39"/>
  <c r="D54" i="40"/>
  <c r="D59" i="40" s="1"/>
  <c r="U37" i="39"/>
  <c r="D38" i="40"/>
  <c r="G38" i="40" l="1"/>
  <c r="D53" i="41" s="1"/>
  <c r="J53" i="41" s="1"/>
  <c r="N53" i="41" s="1"/>
  <c r="D51" i="40"/>
  <c r="U48" i="39"/>
  <c r="D35" i="40"/>
  <c r="D61" i="40" s="1"/>
  <c r="D63" i="40" s="1"/>
  <c r="G30" i="40"/>
  <c r="D40" i="41" s="1"/>
  <c r="J40" i="41" s="1"/>
  <c r="N40" i="41" s="1"/>
  <c r="A221" i="35" l="1"/>
  <c r="A222" i="35" s="1"/>
  <c r="A223" i="35" s="1"/>
  <c r="A224" i="35" s="1"/>
  <c r="A225" i="35" s="1"/>
  <c r="A228" i="35" s="1"/>
  <c r="A12" i="35"/>
  <c r="A13" i="35" s="1"/>
  <c r="A14" i="35" s="1"/>
  <c r="A15" i="35" s="1"/>
  <c r="A18" i="35" s="1"/>
  <c r="A19" i="35" s="1"/>
  <c r="A20" i="35" s="1"/>
  <c r="A21" i="35" s="1"/>
  <c r="A22" i="35" s="1"/>
  <c r="A25" i="35" s="1"/>
  <c r="A26" i="35" s="1"/>
  <c r="A27" i="35" s="1"/>
  <c r="A28" i="35" s="1"/>
  <c r="A29" i="35" s="1"/>
  <c r="A30" i="35" s="1"/>
  <c r="A33" i="35" s="1"/>
  <c r="A34" i="35" s="1"/>
  <c r="A35" i="35" s="1"/>
  <c r="A36" i="35" s="1"/>
  <c r="A37" i="35" s="1"/>
  <c r="A38" i="35" s="1"/>
  <c r="A41" i="35" s="1"/>
  <c r="A42" i="35" s="1"/>
  <c r="A43" i="35" s="1"/>
  <c r="A44" i="35" s="1"/>
  <c r="A45" i="35" s="1"/>
  <c r="A46" i="35" s="1"/>
  <c r="A49" i="35" s="1"/>
  <c r="A51" i="35" s="1"/>
  <c r="A55" i="35" s="1"/>
  <c r="A58" i="35" s="1"/>
  <c r="A60" i="35" s="1"/>
  <c r="A61" i="35" s="1"/>
  <c r="A62" i="35" s="1"/>
  <c r="A63" i="35" s="1"/>
  <c r="A66" i="35" s="1"/>
  <c r="A67" i="35" s="1"/>
  <c r="A68" i="35" s="1"/>
  <c r="A69" i="35" s="1"/>
  <c r="A70" i="35" s="1"/>
  <c r="A71" i="35" s="1"/>
  <c r="A74" i="35" s="1"/>
  <c r="A75" i="35" s="1"/>
  <c r="A76" i="35" s="1"/>
  <c r="A77" i="35" s="1"/>
  <c r="A78" i="35" s="1"/>
  <c r="A79" i="35" s="1"/>
  <c r="A89" i="35" s="1"/>
  <c r="A90" i="35" s="1"/>
  <c r="A91" i="35" s="1"/>
  <c r="A92" i="35" s="1"/>
  <c r="A93" i="35" s="1"/>
  <c r="A94" i="35" s="1"/>
  <c r="A98" i="35" s="1"/>
  <c r="A100" i="35" s="1"/>
  <c r="A101" i="35" s="1"/>
  <c r="A103" i="35" s="1"/>
  <c r="A104" i="35" s="1"/>
  <c r="A106" i="35" s="1"/>
  <c r="A107" i="35" s="1"/>
  <c r="A108" i="35" s="1"/>
  <c r="A111" i="35" s="1"/>
  <c r="A113" i="35" s="1"/>
  <c r="A114" i="35" s="1"/>
  <c r="A116" i="35" s="1"/>
  <c r="A117" i="35" s="1"/>
  <c r="A119" i="35" s="1"/>
  <c r="A120" i="35" s="1"/>
  <c r="A121" i="35" s="1"/>
  <c r="A124" i="35" s="1"/>
  <c r="A125" i="35" s="1"/>
  <c r="A127" i="35" s="1"/>
  <c r="A128" i="35" s="1"/>
  <c r="A130" i="35" s="1"/>
  <c r="A131" i="35" s="1"/>
  <c r="A133" i="35" s="1"/>
  <c r="A134" i="35" s="1"/>
  <c r="A135" i="35" s="1"/>
  <c r="A136" i="35" s="1"/>
  <c r="A139" i="35" s="1"/>
  <c r="A141" i="35" s="1"/>
  <c r="A142" i="35" s="1"/>
  <c r="A143" i="35" s="1"/>
  <c r="A146" i="35" s="1"/>
  <c r="A147" i="35" s="1"/>
  <c r="A148" i="35" s="1"/>
  <c r="A153" i="35" s="1"/>
  <c r="A154" i="35" s="1"/>
  <c r="A155" i="35" s="1"/>
  <c r="A156" i="35" s="1"/>
  <c r="A169" i="35" s="1"/>
  <c r="A170" i="35" s="1"/>
  <c r="A171" i="35" s="1"/>
  <c r="A172" i="35" s="1"/>
  <c r="A175" i="35" s="1"/>
  <c r="A176" i="35" s="1"/>
  <c r="A177" i="35" s="1"/>
  <c r="A178" i="35" s="1"/>
  <c r="A179" i="35" s="1"/>
  <c r="A182" i="35" s="1"/>
  <c r="A183" i="35" s="1"/>
  <c r="A184" i="35" s="1"/>
  <c r="A185" i="35" s="1"/>
  <c r="A186" i="35" s="1"/>
  <c r="A189" i="35" s="1"/>
  <c r="A190" i="35" s="1"/>
  <c r="A191" i="35" s="1"/>
  <c r="A192" i="35" s="1"/>
  <c r="A193" i="35" s="1"/>
  <c r="A196" i="35" s="1"/>
  <c r="A197" i="35" s="1"/>
  <c r="A198" i="35" s="1"/>
  <c r="A199" i="35" s="1"/>
  <c r="A202" i="35" s="1"/>
  <c r="A203" i="35" s="1"/>
  <c r="A204" i="35" s="1"/>
  <c r="A205" i="35" s="1"/>
  <c r="A206" i="35" s="1"/>
  <c r="A207" i="35" s="1"/>
  <c r="A208" i="35" s="1"/>
  <c r="A211" i="35" s="1"/>
  <c r="A212" i="35" s="1"/>
  <c r="A213" i="35" s="1"/>
  <c r="A214" i="35" s="1"/>
  <c r="A215" i="35" s="1"/>
  <c r="A216" i="35" s="1"/>
  <c r="A217" i="35" s="1"/>
  <c r="K542" i="34"/>
  <c r="O542" i="34" s="1"/>
  <c r="F43" i="33" s="1"/>
  <c r="K536" i="34"/>
  <c r="O536" i="34" s="1"/>
  <c r="K534" i="34"/>
  <c r="O534" i="34" s="1"/>
  <c r="K532" i="34"/>
  <c r="O532" i="34" s="1"/>
  <c r="K531" i="34"/>
  <c r="O531" i="34" s="1"/>
  <c r="K530" i="34"/>
  <c r="O530" i="34" s="1"/>
  <c r="K529" i="34"/>
  <c r="O529" i="34" s="1"/>
  <c r="K527" i="34"/>
  <c r="O527" i="34" s="1"/>
  <c r="K522" i="34"/>
  <c r="O522" i="34" s="1"/>
  <c r="K520" i="34"/>
  <c r="O520" i="34" s="1"/>
  <c r="K519" i="34"/>
  <c r="O519" i="34" s="1"/>
  <c r="K517" i="34"/>
  <c r="O517" i="34" s="1"/>
  <c r="Q517" i="34" s="1"/>
  <c r="K511" i="34"/>
  <c r="O511" i="34" s="1"/>
  <c r="K509" i="34"/>
  <c r="O509" i="34" s="1"/>
  <c r="K507" i="34"/>
  <c r="O507" i="34" s="1"/>
  <c r="K506" i="34"/>
  <c r="O506" i="34" s="1"/>
  <c r="K505" i="34"/>
  <c r="O505" i="34" s="1"/>
  <c r="K504" i="34"/>
  <c r="O504" i="34" s="1"/>
  <c r="K502" i="34"/>
  <c r="O502" i="34" s="1"/>
  <c r="K497" i="34"/>
  <c r="O497" i="34" s="1"/>
  <c r="K495" i="34"/>
  <c r="O495" i="34" s="1"/>
  <c r="K494" i="34"/>
  <c r="O494" i="34" s="1"/>
  <c r="K492" i="34"/>
  <c r="O492" i="34" s="1"/>
  <c r="K491" i="34"/>
  <c r="O491" i="34" s="1"/>
  <c r="K489" i="34"/>
  <c r="O489" i="34" s="1"/>
  <c r="K488" i="34"/>
  <c r="O488" i="34" s="1"/>
  <c r="K485" i="34"/>
  <c r="O485" i="34" s="1"/>
  <c r="Q485" i="34" s="1"/>
  <c r="K470" i="34"/>
  <c r="O470" i="34" s="1"/>
  <c r="K468" i="34"/>
  <c r="O468" i="34" s="1"/>
  <c r="K466" i="34"/>
  <c r="O466" i="34" s="1"/>
  <c r="K465" i="34"/>
  <c r="O465" i="34" s="1"/>
  <c r="K464" i="34"/>
  <c r="O464" i="34" s="1"/>
  <c r="K463" i="34"/>
  <c r="O463" i="34" s="1"/>
  <c r="K461" i="34"/>
  <c r="O461" i="34" s="1"/>
  <c r="K456" i="34"/>
  <c r="O456" i="34" s="1"/>
  <c r="K454" i="34"/>
  <c r="O454" i="34" s="1"/>
  <c r="K453" i="34"/>
  <c r="O453" i="34" s="1"/>
  <c r="K451" i="34"/>
  <c r="O451" i="34" s="1"/>
  <c r="K450" i="34"/>
  <c r="O450" i="34" s="1"/>
  <c r="K448" i="34"/>
  <c r="O448" i="34" s="1"/>
  <c r="K447" i="34"/>
  <c r="O447" i="34" s="1"/>
  <c r="K444" i="34"/>
  <c r="O444" i="34" s="1"/>
  <c r="K439" i="34"/>
  <c r="O439" i="34" s="1"/>
  <c r="Q439" i="34" s="1"/>
  <c r="K437" i="34"/>
  <c r="O437" i="34" s="1"/>
  <c r="Q437" i="34" s="1"/>
  <c r="G197" i="35" s="1"/>
  <c r="K197" i="35" s="1"/>
  <c r="K436" i="34"/>
  <c r="O436" i="34" s="1"/>
  <c r="Q436" i="34" s="1"/>
  <c r="G196" i="35" s="1"/>
  <c r="K431" i="34"/>
  <c r="O431" i="34" s="1"/>
  <c r="Q431" i="34" s="1"/>
  <c r="G192" i="35" s="1"/>
  <c r="K192" i="35" s="1"/>
  <c r="K429" i="34"/>
  <c r="O429" i="34" s="1"/>
  <c r="Q429" i="34" s="1"/>
  <c r="K427" i="34"/>
  <c r="O427" i="34" s="1"/>
  <c r="Q427" i="34" s="1"/>
  <c r="K424" i="34"/>
  <c r="O424" i="34" s="1"/>
  <c r="Q424" i="34" s="1"/>
  <c r="K422" i="34"/>
  <c r="O422" i="34" s="1"/>
  <c r="Q422" i="34" s="1"/>
  <c r="K421" i="34"/>
  <c r="O421" i="34" s="1"/>
  <c r="Q421" i="34" s="1"/>
  <c r="G189" i="35" s="1"/>
  <c r="K415" i="34"/>
  <c r="O415" i="34" s="1"/>
  <c r="Q415" i="34" s="1"/>
  <c r="G185" i="35" s="1"/>
  <c r="K185" i="35" s="1"/>
  <c r="K414" i="34"/>
  <c r="O414" i="34" s="1"/>
  <c r="Q414" i="34" s="1"/>
  <c r="K412" i="34"/>
  <c r="O412" i="34" s="1"/>
  <c r="Q412" i="34" s="1"/>
  <c r="K411" i="34"/>
  <c r="O411" i="34" s="1"/>
  <c r="Q411" i="34" s="1"/>
  <c r="K410" i="34"/>
  <c r="O410" i="34" s="1"/>
  <c r="Q410" i="34" s="1"/>
  <c r="K408" i="34"/>
  <c r="O408" i="34" s="1"/>
  <c r="Q408" i="34" s="1"/>
  <c r="K402" i="34"/>
  <c r="O402" i="34" s="1"/>
  <c r="Q402" i="34" s="1"/>
  <c r="K399" i="34"/>
  <c r="O399" i="34" s="1"/>
  <c r="Q399" i="34" s="1"/>
  <c r="K397" i="34"/>
  <c r="O397" i="34" s="1"/>
  <c r="Q397" i="34" s="1"/>
  <c r="K396" i="34"/>
  <c r="O396" i="34" s="1"/>
  <c r="K381" i="34"/>
  <c r="O381" i="34" s="1"/>
  <c r="Q381" i="34" s="1"/>
  <c r="K380" i="34"/>
  <c r="O380" i="34" s="1"/>
  <c r="Q380" i="34" s="1"/>
  <c r="K378" i="34"/>
  <c r="O378" i="34" s="1"/>
  <c r="Q378" i="34" s="1"/>
  <c r="K376" i="34"/>
  <c r="O376" i="34" s="1"/>
  <c r="Q376" i="34" s="1"/>
  <c r="K375" i="34"/>
  <c r="O375" i="34" s="1"/>
  <c r="Q375" i="34" s="1"/>
  <c r="K372" i="34"/>
  <c r="O372" i="34" s="1"/>
  <c r="Q372" i="34" s="1"/>
  <c r="K371" i="34"/>
  <c r="O371" i="34" s="1"/>
  <c r="Q371" i="34" s="1"/>
  <c r="M369" i="34"/>
  <c r="K368" i="34"/>
  <c r="O368" i="34" s="1"/>
  <c r="K367" i="34"/>
  <c r="O367" i="34" s="1"/>
  <c r="M365" i="34"/>
  <c r="K364" i="34"/>
  <c r="O364" i="34" s="1"/>
  <c r="K363" i="34"/>
  <c r="O363" i="34" s="1"/>
  <c r="K362" i="34"/>
  <c r="O362" i="34" s="1"/>
  <c r="K356" i="34"/>
  <c r="O356" i="34" s="1"/>
  <c r="Q356" i="34" s="1"/>
  <c r="G171" i="35" s="1"/>
  <c r="K171" i="35" s="1"/>
  <c r="K355" i="34"/>
  <c r="O355" i="34" s="1"/>
  <c r="Q355" i="34" s="1"/>
  <c r="G170" i="35" s="1"/>
  <c r="K170" i="35" s="1"/>
  <c r="M353" i="34"/>
  <c r="K352" i="34"/>
  <c r="O352" i="34" s="1"/>
  <c r="K351" i="34"/>
  <c r="O351" i="34" s="1"/>
  <c r="K350" i="34"/>
  <c r="O350" i="34" s="1"/>
  <c r="K349" i="34"/>
  <c r="O349" i="34" s="1"/>
  <c r="K347" i="34"/>
  <c r="O347" i="34" s="1"/>
  <c r="K342" i="34"/>
  <c r="O342" i="34" s="1"/>
  <c r="Q342" i="34" s="1"/>
  <c r="G155" i="35" s="1"/>
  <c r="K155" i="35" s="1"/>
  <c r="K341" i="34"/>
  <c r="O341" i="34" s="1"/>
  <c r="Q341" i="34" s="1"/>
  <c r="G154" i="35" s="1"/>
  <c r="K154" i="35" s="1"/>
  <c r="M339" i="34"/>
  <c r="K338" i="34"/>
  <c r="O338" i="34" s="1"/>
  <c r="K337" i="34"/>
  <c r="O337" i="34" s="1"/>
  <c r="K336" i="34"/>
  <c r="O336" i="34" s="1"/>
  <c r="K334" i="34"/>
  <c r="O334" i="34" s="1"/>
  <c r="K329" i="34"/>
  <c r="O329" i="34" s="1"/>
  <c r="Q329" i="34" s="1"/>
  <c r="K328" i="34"/>
  <c r="O328" i="34" s="1"/>
  <c r="Q328" i="34" s="1"/>
  <c r="K325" i="34"/>
  <c r="O325" i="34" s="1"/>
  <c r="Q325" i="34" s="1"/>
  <c r="K324" i="34"/>
  <c r="O324" i="34" s="1"/>
  <c r="Q324" i="34" s="1"/>
  <c r="K321" i="34"/>
  <c r="O321" i="34" s="1"/>
  <c r="Q321" i="34" s="1"/>
  <c r="K320" i="34"/>
  <c r="O320" i="34" s="1"/>
  <c r="Q320" i="34" s="1"/>
  <c r="K317" i="34"/>
  <c r="O317" i="34" s="1"/>
  <c r="Q317" i="34" s="1"/>
  <c r="K316" i="34"/>
  <c r="O316" i="34" s="1"/>
  <c r="Q316" i="34" s="1"/>
  <c r="K314" i="34"/>
  <c r="O314" i="34" s="1"/>
  <c r="Q314" i="34" s="1"/>
  <c r="G147" i="35" s="1"/>
  <c r="K147" i="35" s="1"/>
  <c r="K313" i="34"/>
  <c r="O313" i="34" s="1"/>
  <c r="K312" i="34"/>
  <c r="O312" i="34" s="1"/>
  <c r="M307" i="34"/>
  <c r="K306" i="34"/>
  <c r="O306" i="34" s="1"/>
  <c r="Q306" i="34" s="1"/>
  <c r="G142" i="35" s="1"/>
  <c r="K142" i="35" s="1"/>
  <c r="K305" i="34"/>
  <c r="O305" i="34" s="1"/>
  <c r="K303" i="34"/>
  <c r="O303" i="34" s="1"/>
  <c r="Q303" i="34" s="1"/>
  <c r="K301" i="34"/>
  <c r="O301" i="34" s="1"/>
  <c r="Q301" i="34" s="1"/>
  <c r="K300" i="34"/>
  <c r="O300" i="34" s="1"/>
  <c r="Q300" i="34" s="1"/>
  <c r="K298" i="34"/>
  <c r="O298" i="34" s="1"/>
  <c r="K297" i="34"/>
  <c r="O297" i="34" s="1"/>
  <c r="M283" i="34"/>
  <c r="K282" i="34"/>
  <c r="O282" i="34" s="1"/>
  <c r="Q282" i="34" s="1"/>
  <c r="G134" i="35" s="1"/>
  <c r="K134" i="35" s="1"/>
  <c r="K281" i="34"/>
  <c r="O281" i="34" s="1"/>
  <c r="Q281" i="34" s="1"/>
  <c r="G133" i="35" s="1"/>
  <c r="K133" i="35" s="1"/>
  <c r="M279" i="34"/>
  <c r="K278" i="34"/>
  <c r="O278" i="34" s="1"/>
  <c r="Q278" i="34" s="1"/>
  <c r="K277" i="34"/>
  <c r="O277" i="34" s="1"/>
  <c r="M274" i="34"/>
  <c r="K273" i="34"/>
  <c r="O273" i="34" s="1"/>
  <c r="Q273" i="34" s="1"/>
  <c r="K272" i="34"/>
  <c r="O272" i="34" s="1"/>
  <c r="M270" i="34"/>
  <c r="K269" i="34"/>
  <c r="O269" i="34" s="1"/>
  <c r="Q269" i="34" s="1"/>
  <c r="G131" i="35" s="1"/>
  <c r="K131" i="35" s="1"/>
  <c r="K268" i="34"/>
  <c r="O268" i="34" s="1"/>
  <c r="M265" i="34"/>
  <c r="K264" i="34"/>
  <c r="O264" i="34" s="1"/>
  <c r="Q264" i="34" s="1"/>
  <c r="G128" i="35" s="1"/>
  <c r="K128" i="35" s="1"/>
  <c r="K263" i="34"/>
  <c r="O263" i="34" s="1"/>
  <c r="K260" i="34"/>
  <c r="O260" i="34" s="1"/>
  <c r="Q260" i="34" s="1"/>
  <c r="K258" i="34"/>
  <c r="O258" i="34" s="1"/>
  <c r="Q258" i="34" s="1"/>
  <c r="M256" i="34"/>
  <c r="K255" i="34"/>
  <c r="O255" i="34" s="1"/>
  <c r="K254" i="34"/>
  <c r="O254" i="34" s="1"/>
  <c r="M252" i="34"/>
  <c r="K251" i="34"/>
  <c r="O251" i="34" s="1"/>
  <c r="K250" i="34"/>
  <c r="O250" i="34" s="1"/>
  <c r="K248" i="34"/>
  <c r="O248" i="34" s="1"/>
  <c r="M243" i="34"/>
  <c r="K242" i="34"/>
  <c r="O242" i="34" s="1"/>
  <c r="Q242" i="34" s="1"/>
  <c r="G120" i="35" s="1"/>
  <c r="K120" i="35" s="1"/>
  <c r="K241" i="34"/>
  <c r="O241" i="34" s="1"/>
  <c r="M239" i="34"/>
  <c r="K238" i="34"/>
  <c r="O238" i="34" s="1"/>
  <c r="Q238" i="34" s="1"/>
  <c r="G117" i="35" s="1"/>
  <c r="K117" i="35" s="1"/>
  <c r="K237" i="34"/>
  <c r="O237" i="34" s="1"/>
  <c r="M235" i="34"/>
  <c r="K234" i="34"/>
  <c r="O234" i="34" s="1"/>
  <c r="Q234" i="34" s="1"/>
  <c r="G114" i="35" s="1"/>
  <c r="K114" i="35" s="1"/>
  <c r="K233" i="34"/>
  <c r="O233" i="34" s="1"/>
  <c r="M231" i="34"/>
  <c r="K230" i="34"/>
  <c r="O230" i="34" s="1"/>
  <c r="K229" i="34"/>
  <c r="O229" i="34" s="1"/>
  <c r="K228" i="34"/>
  <c r="O228" i="34" s="1"/>
  <c r="K227" i="34"/>
  <c r="O227" i="34" s="1"/>
  <c r="K226" i="34"/>
  <c r="O226" i="34" s="1"/>
  <c r="K224" i="34"/>
  <c r="O224" i="34" s="1"/>
  <c r="M219" i="34"/>
  <c r="K218" i="34"/>
  <c r="O218" i="34" s="1"/>
  <c r="Q218" i="34" s="1"/>
  <c r="G107" i="35" s="1"/>
  <c r="K107" i="35" s="1"/>
  <c r="K217" i="34"/>
  <c r="O217" i="34" s="1"/>
  <c r="M215" i="34"/>
  <c r="K214" i="34"/>
  <c r="O214" i="34" s="1"/>
  <c r="Q214" i="34" s="1"/>
  <c r="G104" i="35" s="1"/>
  <c r="K104" i="35" s="1"/>
  <c r="K213" i="34"/>
  <c r="O213" i="34" s="1"/>
  <c r="M211" i="34"/>
  <c r="K210" i="34"/>
  <c r="O210" i="34" s="1"/>
  <c r="Q210" i="34" s="1"/>
  <c r="G101" i="35" s="1"/>
  <c r="K101" i="35" s="1"/>
  <c r="K209" i="34"/>
  <c r="O209" i="34" s="1"/>
  <c r="M207" i="34"/>
  <c r="K206" i="34"/>
  <c r="O206" i="34" s="1"/>
  <c r="K205" i="34"/>
  <c r="O205" i="34" s="1"/>
  <c r="K204" i="34"/>
  <c r="O204" i="34" s="1"/>
  <c r="K203" i="34"/>
  <c r="O203" i="34" s="1"/>
  <c r="K202" i="34"/>
  <c r="O202" i="34" s="1"/>
  <c r="K200" i="34"/>
  <c r="O200" i="34" s="1"/>
  <c r="K186" i="34"/>
  <c r="O186" i="34" s="1"/>
  <c r="Q186" i="34" s="1"/>
  <c r="K184" i="34"/>
  <c r="O184" i="34" s="1"/>
  <c r="Q184" i="34" s="1"/>
  <c r="G93" i="35" s="1"/>
  <c r="K93" i="35" s="1"/>
  <c r="K182" i="34"/>
  <c r="O182" i="34" s="1"/>
  <c r="Q182" i="34" s="1"/>
  <c r="G92" i="35" s="1"/>
  <c r="K92" i="35" s="1"/>
  <c r="K181" i="34"/>
  <c r="O181" i="34" s="1"/>
  <c r="Q181" i="34" s="1"/>
  <c r="G91" i="35" s="1"/>
  <c r="K91" i="35" s="1"/>
  <c r="K180" i="34"/>
  <c r="O180" i="34" s="1"/>
  <c r="Q180" i="34" s="1"/>
  <c r="K178" i="34"/>
  <c r="O178" i="34" s="1"/>
  <c r="Q178" i="34" s="1"/>
  <c r="K177" i="34"/>
  <c r="O177" i="34" s="1"/>
  <c r="Q177" i="34" s="1"/>
  <c r="M176" i="34"/>
  <c r="K176" i="34"/>
  <c r="K171" i="34"/>
  <c r="O171" i="34" s="1"/>
  <c r="Q171" i="34" s="1"/>
  <c r="K169" i="34"/>
  <c r="O169" i="34" s="1"/>
  <c r="Q169" i="34" s="1"/>
  <c r="G78" i="35" s="1"/>
  <c r="K78" i="35" s="1"/>
  <c r="K167" i="34"/>
  <c r="O167" i="34" s="1"/>
  <c r="Q167" i="34" s="1"/>
  <c r="G77" i="35" s="1"/>
  <c r="K77" i="35" s="1"/>
  <c r="K166" i="34"/>
  <c r="O166" i="34" s="1"/>
  <c r="Q166" i="34" s="1"/>
  <c r="G76" i="35" s="1"/>
  <c r="K76" i="35" s="1"/>
  <c r="K165" i="34"/>
  <c r="O165" i="34" s="1"/>
  <c r="Q165" i="34" s="1"/>
  <c r="M163" i="34"/>
  <c r="K162" i="34"/>
  <c r="O162" i="34" s="1"/>
  <c r="K161" i="34"/>
  <c r="O161" i="34" s="1"/>
  <c r="K159" i="34"/>
  <c r="O159" i="34" s="1"/>
  <c r="K158" i="34"/>
  <c r="O158" i="34" s="1"/>
  <c r="K153" i="34"/>
  <c r="O153" i="34" s="1"/>
  <c r="Q153" i="34" s="1"/>
  <c r="K151" i="34"/>
  <c r="O151" i="34" s="1"/>
  <c r="Q151" i="34" s="1"/>
  <c r="G70" i="35" s="1"/>
  <c r="K70" i="35" s="1"/>
  <c r="K149" i="34"/>
  <c r="O149" i="34" s="1"/>
  <c r="Q149" i="34" s="1"/>
  <c r="G69" i="35" s="1"/>
  <c r="K69" i="35" s="1"/>
  <c r="K148" i="34"/>
  <c r="O148" i="34" s="1"/>
  <c r="Q148" i="34" s="1"/>
  <c r="G68" i="35" s="1"/>
  <c r="K68" i="35" s="1"/>
  <c r="K147" i="34"/>
  <c r="O147" i="34" s="1"/>
  <c r="Q147" i="34" s="1"/>
  <c r="M145" i="34"/>
  <c r="K144" i="34"/>
  <c r="O144" i="34" s="1"/>
  <c r="K143" i="34"/>
  <c r="O143" i="34" s="1"/>
  <c r="K142" i="34"/>
  <c r="O142" i="34" s="1"/>
  <c r="K140" i="34"/>
  <c r="O140" i="34" s="1"/>
  <c r="K139" i="34"/>
  <c r="O139" i="34" s="1"/>
  <c r="K134" i="34"/>
  <c r="O134" i="34" s="1"/>
  <c r="Q134" i="34" s="1"/>
  <c r="K132" i="34"/>
  <c r="O132" i="34" s="1"/>
  <c r="Q132" i="34" s="1"/>
  <c r="G62" i="35" s="1"/>
  <c r="K62" i="35" s="1"/>
  <c r="K130" i="34"/>
  <c r="O130" i="34" s="1"/>
  <c r="Q130" i="34" s="1"/>
  <c r="G61" i="35" s="1"/>
  <c r="K61" i="35" s="1"/>
  <c r="K129" i="34"/>
  <c r="O129" i="34" s="1"/>
  <c r="Q129" i="34" s="1"/>
  <c r="G60" i="35" s="1"/>
  <c r="K60" i="35" s="1"/>
  <c r="K128" i="34"/>
  <c r="O128" i="34" s="1"/>
  <c r="Q128" i="34" s="1"/>
  <c r="M126" i="34"/>
  <c r="K125" i="34"/>
  <c r="O125" i="34" s="1"/>
  <c r="K124" i="34"/>
  <c r="O124" i="34" s="1"/>
  <c r="K123" i="34"/>
  <c r="O123" i="34" s="1"/>
  <c r="K121" i="34"/>
  <c r="O121" i="34" s="1"/>
  <c r="M118" i="34"/>
  <c r="K117" i="34"/>
  <c r="O117" i="34" s="1"/>
  <c r="K116" i="34"/>
  <c r="O116" i="34" s="1"/>
  <c r="K115" i="34"/>
  <c r="O115" i="34" s="1"/>
  <c r="K113" i="34"/>
  <c r="O113" i="34" s="1"/>
  <c r="K107" i="34"/>
  <c r="O107" i="34" s="1"/>
  <c r="Q107" i="34" s="1"/>
  <c r="K105" i="34"/>
  <c r="O105" i="34" s="1"/>
  <c r="K103" i="34"/>
  <c r="O103" i="34" s="1"/>
  <c r="K88" i="34"/>
  <c r="O88" i="34" s="1"/>
  <c r="Q88" i="34" s="1"/>
  <c r="G45" i="35" s="1"/>
  <c r="K45" i="35" s="1"/>
  <c r="K86" i="34"/>
  <c r="O86" i="34" s="1"/>
  <c r="Q86" i="34" s="1"/>
  <c r="G44" i="35" s="1"/>
  <c r="K44" i="35" s="1"/>
  <c r="K85" i="34"/>
  <c r="O85" i="34" s="1"/>
  <c r="Q85" i="34" s="1"/>
  <c r="G43" i="35" s="1"/>
  <c r="K43" i="35" s="1"/>
  <c r="K84" i="34"/>
  <c r="O84" i="34" s="1"/>
  <c r="Q84" i="34" s="1"/>
  <c r="M82" i="34"/>
  <c r="K81" i="34"/>
  <c r="O81" i="34" s="1"/>
  <c r="K80" i="34"/>
  <c r="O80" i="34" s="1"/>
  <c r="K78" i="34"/>
  <c r="O78" i="34" s="1"/>
  <c r="K77" i="34"/>
  <c r="O77" i="34" s="1"/>
  <c r="K72" i="34"/>
  <c r="O72" i="34" s="1"/>
  <c r="Q72" i="34" s="1"/>
  <c r="G37" i="35" s="1"/>
  <c r="K37" i="35" s="1"/>
  <c r="K70" i="34"/>
  <c r="O70" i="34" s="1"/>
  <c r="Q70" i="34" s="1"/>
  <c r="G36" i="35" s="1"/>
  <c r="K36" i="35" s="1"/>
  <c r="K69" i="34"/>
  <c r="O69" i="34" s="1"/>
  <c r="Q69" i="34" s="1"/>
  <c r="G35" i="35" s="1"/>
  <c r="K35" i="35" s="1"/>
  <c r="K68" i="34"/>
  <c r="O68" i="34" s="1"/>
  <c r="Q68" i="34" s="1"/>
  <c r="M66" i="34"/>
  <c r="K65" i="34"/>
  <c r="O65" i="34" s="1"/>
  <c r="K64" i="34"/>
  <c r="O64" i="34" s="1"/>
  <c r="K62" i="34"/>
  <c r="O62" i="34" s="1"/>
  <c r="K61" i="34"/>
  <c r="O61" i="34" s="1"/>
  <c r="K56" i="34"/>
  <c r="O56" i="34" s="1"/>
  <c r="Q56" i="34" s="1"/>
  <c r="G29" i="35" s="1"/>
  <c r="K29" i="35" s="1"/>
  <c r="K54" i="34"/>
  <c r="O54" i="34" s="1"/>
  <c r="Q54" i="34" s="1"/>
  <c r="G28" i="35" s="1"/>
  <c r="K28" i="35" s="1"/>
  <c r="K53" i="34"/>
  <c r="O53" i="34" s="1"/>
  <c r="Q53" i="34" s="1"/>
  <c r="G27" i="35" s="1"/>
  <c r="K27" i="35" s="1"/>
  <c r="K52" i="34"/>
  <c r="O52" i="34" s="1"/>
  <c r="Q52" i="34" s="1"/>
  <c r="K50" i="34"/>
  <c r="O50" i="34" s="1"/>
  <c r="Q50" i="34" s="1"/>
  <c r="G26" i="35" s="1"/>
  <c r="K26" i="35" s="1"/>
  <c r="K49" i="34"/>
  <c r="O49" i="34" s="1"/>
  <c r="K48" i="34"/>
  <c r="O48" i="34" s="1"/>
  <c r="K43" i="34"/>
  <c r="O43" i="34" s="1"/>
  <c r="Q43" i="34" s="1"/>
  <c r="G21" i="35" s="1"/>
  <c r="K21" i="35" s="1"/>
  <c r="K41" i="34"/>
  <c r="O41" i="34" s="1"/>
  <c r="Q41" i="34" s="1"/>
  <c r="G20" i="35" s="1"/>
  <c r="K20" i="35" s="1"/>
  <c r="K40" i="34"/>
  <c r="O40" i="34" s="1"/>
  <c r="Q40" i="34" s="1"/>
  <c r="G19" i="35" s="1"/>
  <c r="K19" i="35" s="1"/>
  <c r="K39" i="34"/>
  <c r="O39" i="34" s="1"/>
  <c r="Q39" i="34" s="1"/>
  <c r="M37" i="34"/>
  <c r="K36" i="34"/>
  <c r="O36" i="34" s="1"/>
  <c r="K35" i="34"/>
  <c r="O35" i="34" s="1"/>
  <c r="K34" i="34"/>
  <c r="O34" i="34" s="1"/>
  <c r="K33" i="34"/>
  <c r="O33" i="34" s="1"/>
  <c r="K32" i="34"/>
  <c r="O32" i="34" s="1"/>
  <c r="K31" i="34"/>
  <c r="O31" i="34" s="1"/>
  <c r="K29" i="34"/>
  <c r="O29" i="34" s="1"/>
  <c r="A29" i="34"/>
  <c r="A31" i="34" s="1"/>
  <c r="A32" i="34" s="1"/>
  <c r="A33" i="34" s="1"/>
  <c r="A34" i="34" s="1"/>
  <c r="A35" i="34" s="1"/>
  <c r="A36" i="34" s="1"/>
  <c r="A37" i="34" s="1"/>
  <c r="A39" i="34" s="1"/>
  <c r="A40" i="34" s="1"/>
  <c r="A41" i="34" s="1"/>
  <c r="A43" i="34" s="1"/>
  <c r="A45" i="34" s="1"/>
  <c r="A48" i="34" s="1"/>
  <c r="A49" i="34" s="1"/>
  <c r="A50" i="34" s="1"/>
  <c r="A52" i="34" s="1"/>
  <c r="A53" i="34" s="1"/>
  <c r="A54" i="34" s="1"/>
  <c r="A56" i="34" s="1"/>
  <c r="A58" i="34" s="1"/>
  <c r="A61" i="34" s="1"/>
  <c r="A62" i="34" s="1"/>
  <c r="A64" i="34" s="1"/>
  <c r="A65" i="34" s="1"/>
  <c r="A66" i="34" s="1"/>
  <c r="A68" i="34" s="1"/>
  <c r="A69" i="34" s="1"/>
  <c r="A70" i="34" s="1"/>
  <c r="A72" i="34" s="1"/>
  <c r="A74" i="34" s="1"/>
  <c r="A77" i="34" s="1"/>
  <c r="A78" i="34" s="1"/>
  <c r="A80" i="34" s="1"/>
  <c r="A81" i="34" s="1"/>
  <c r="A82" i="34" s="1"/>
  <c r="A84" i="34" s="1"/>
  <c r="A85" i="34" s="1"/>
  <c r="A86" i="34" s="1"/>
  <c r="A88" i="34" s="1"/>
  <c r="A90" i="34" s="1"/>
  <c r="A103" i="34" s="1"/>
  <c r="A105" i="34" s="1"/>
  <c r="A107" i="34" s="1"/>
  <c r="A109" i="34" s="1"/>
  <c r="A113" i="34" s="1"/>
  <c r="A115" i="34" s="1"/>
  <c r="A116" i="34" s="1"/>
  <c r="A117" i="34" s="1"/>
  <c r="A118" i="34" s="1"/>
  <c r="A121" i="34" s="1"/>
  <c r="A123" i="34" s="1"/>
  <c r="A124" i="34" s="1"/>
  <c r="A125" i="34" s="1"/>
  <c r="A126" i="34" s="1"/>
  <c r="A128" i="34" s="1"/>
  <c r="A129" i="34" s="1"/>
  <c r="A130" i="34" s="1"/>
  <c r="A132" i="34" s="1"/>
  <c r="A134" i="34" s="1"/>
  <c r="A136" i="34" s="1"/>
  <c r="A139" i="34" s="1"/>
  <c r="A140" i="34" s="1"/>
  <c r="A142" i="34" s="1"/>
  <c r="A143" i="34" s="1"/>
  <c r="A144" i="34" s="1"/>
  <c r="A145" i="34" s="1"/>
  <c r="A147" i="34" s="1"/>
  <c r="A148" i="34" s="1"/>
  <c r="A149" i="34" s="1"/>
  <c r="A151" i="34" s="1"/>
  <c r="A153" i="34" s="1"/>
  <c r="A155" i="34" s="1"/>
  <c r="A158" i="34" s="1"/>
  <c r="A159" i="34" s="1"/>
  <c r="A161" i="34" s="1"/>
  <c r="A162" i="34" s="1"/>
  <c r="A163" i="34" s="1"/>
  <c r="A165" i="34" s="1"/>
  <c r="A166" i="34" s="1"/>
  <c r="A167" i="34" s="1"/>
  <c r="A169" i="34" s="1"/>
  <c r="A171" i="34" s="1"/>
  <c r="A173" i="34" s="1"/>
  <c r="A176" i="34" s="1"/>
  <c r="A177" i="34" s="1"/>
  <c r="A178" i="34" s="1"/>
  <c r="A180" i="34" s="1"/>
  <c r="A181" i="34" s="1"/>
  <c r="A182" i="34" s="1"/>
  <c r="A184" i="34" s="1"/>
  <c r="A186" i="34" s="1"/>
  <c r="A188" i="34" s="1"/>
  <c r="A200" i="34" s="1"/>
  <c r="A202" i="34" s="1"/>
  <c r="A203" i="34" s="1"/>
  <c r="A204" i="34" s="1"/>
  <c r="A205" i="34" s="1"/>
  <c r="A206" i="34" s="1"/>
  <c r="A207" i="34" s="1"/>
  <c r="A209" i="34" s="1"/>
  <c r="A210" i="34" s="1"/>
  <c r="A211" i="34" s="1"/>
  <c r="A213" i="34" s="1"/>
  <c r="A214" i="34" s="1"/>
  <c r="A215" i="34" s="1"/>
  <c r="A217" i="34" s="1"/>
  <c r="A218" i="34" s="1"/>
  <c r="A219" i="34" s="1"/>
  <c r="A221" i="34" s="1"/>
  <c r="A224" i="34" s="1"/>
  <c r="A226" i="34" s="1"/>
  <c r="A227" i="34" s="1"/>
  <c r="A228" i="34" s="1"/>
  <c r="A229" i="34" s="1"/>
  <c r="A230" i="34" s="1"/>
  <c r="A231" i="34" s="1"/>
  <c r="A233" i="34" s="1"/>
  <c r="A234" i="34" s="1"/>
  <c r="A235" i="34" s="1"/>
  <c r="A237" i="34" s="1"/>
  <c r="A238" i="34" s="1"/>
  <c r="A239" i="34" s="1"/>
  <c r="A241" i="34" s="1"/>
  <c r="A242" i="34" s="1"/>
  <c r="A243" i="34" s="1"/>
  <c r="A245" i="34" s="1"/>
  <c r="A248" i="34" s="1"/>
  <c r="A250" i="34" s="1"/>
  <c r="A251" i="34" s="1"/>
  <c r="A252" i="34" s="1"/>
  <c r="A254" i="34" s="1"/>
  <c r="A255" i="34" s="1"/>
  <c r="A256" i="34" s="1"/>
  <c r="A258" i="34" s="1"/>
  <c r="A260" i="34" s="1"/>
  <c r="A263" i="34" s="1"/>
  <c r="A264" i="34" s="1"/>
  <c r="A265" i="34" s="1"/>
  <c r="A268" i="34" s="1"/>
  <c r="A269" i="34" s="1"/>
  <c r="A270" i="34" s="1"/>
  <c r="A272" i="34" s="1"/>
  <c r="A273" i="34" s="1"/>
  <c r="A274" i="34" s="1"/>
  <c r="A277" i="34" s="1"/>
  <c r="A278" i="34" s="1"/>
  <c r="A279" i="34" s="1"/>
  <c r="A281" i="34" s="1"/>
  <c r="A282" i="34" s="1"/>
  <c r="A283" i="34" s="1"/>
  <c r="A285" i="34" s="1"/>
  <c r="A297" i="34" s="1"/>
  <c r="A298" i="34" s="1"/>
  <c r="A300" i="34" s="1"/>
  <c r="A301" i="34" s="1"/>
  <c r="A303" i="34" s="1"/>
  <c r="A305" i="34" s="1"/>
  <c r="A306" i="34" s="1"/>
  <c r="A307" i="34" s="1"/>
  <c r="A309" i="34" s="1"/>
  <c r="A312" i="34" s="1"/>
  <c r="A313" i="34" s="1"/>
  <c r="A314" i="34" s="1"/>
  <c r="A316" i="34" s="1"/>
  <c r="A317" i="34" s="1"/>
  <c r="A320" i="34" s="1"/>
  <c r="A321" i="34" s="1"/>
  <c r="A324" i="34" s="1"/>
  <c r="A325" i="34" s="1"/>
  <c r="A328" i="34" s="1"/>
  <c r="A329" i="34" s="1"/>
  <c r="A331" i="34" s="1"/>
  <c r="A334" i="34" s="1"/>
  <c r="A336" i="34" s="1"/>
  <c r="A337" i="34" s="1"/>
  <c r="A338" i="34" s="1"/>
  <c r="A339" i="34" s="1"/>
  <c r="A341" i="34" s="1"/>
  <c r="A342" i="34" s="1"/>
  <c r="A344" i="34" s="1"/>
  <c r="A347" i="34" s="1"/>
  <c r="A349" i="34" s="1"/>
  <c r="A350" i="34" s="1"/>
  <c r="A351" i="34" s="1"/>
  <c r="A352" i="34" s="1"/>
  <c r="A353" i="34" s="1"/>
  <c r="A355" i="34" s="1"/>
  <c r="A356" i="34" s="1"/>
  <c r="A358" i="34" s="1"/>
  <c r="A362" i="34" s="1"/>
  <c r="A363" i="34" s="1"/>
  <c r="A364" i="34" s="1"/>
  <c r="A365" i="34" s="1"/>
  <c r="A367" i="34" s="1"/>
  <c r="A368" i="34" s="1"/>
  <c r="A369" i="34" s="1"/>
  <c r="A371" i="34" s="1"/>
  <c r="A372" i="34" s="1"/>
  <c r="A375" i="34" s="1"/>
  <c r="A376" i="34" s="1"/>
  <c r="A378" i="34" s="1"/>
  <c r="A380" i="34" s="1"/>
  <c r="A381" i="34" s="1"/>
  <c r="A383" i="34" s="1"/>
  <c r="A396" i="34" s="1"/>
  <c r="A397" i="34" s="1"/>
  <c r="A399" i="34" s="1"/>
  <c r="A402" i="34" s="1"/>
  <c r="A408" i="34" s="1"/>
  <c r="A410" i="34" s="1"/>
  <c r="A411" i="34" s="1"/>
  <c r="A412" i="34" s="1"/>
  <c r="A414" i="34" s="1"/>
  <c r="A415" i="34" s="1"/>
  <c r="A417" i="34" s="1"/>
  <c r="A421" i="34" s="1"/>
  <c r="A422" i="34" s="1"/>
  <c r="A424" i="34" s="1"/>
  <c r="A426" i="34" s="1"/>
  <c r="A427" i="34" s="1"/>
  <c r="A429" i="34" s="1"/>
  <c r="A431" i="34" s="1"/>
  <c r="A433" i="34" s="1"/>
  <c r="A436" i="34" s="1"/>
  <c r="A437" i="34" s="1"/>
  <c r="A439" i="34" s="1"/>
  <c r="A441" i="34" s="1"/>
  <c r="A444" i="34" s="1"/>
  <c r="A447" i="34" s="1"/>
  <c r="A448" i="34" s="1"/>
  <c r="A450" i="34" s="1"/>
  <c r="A451" i="34" s="1"/>
  <c r="A453" i="34" s="1"/>
  <c r="A454" i="34" s="1"/>
  <c r="A456" i="34" s="1"/>
  <c r="A457" i="34" s="1"/>
  <c r="A461" i="34" s="1"/>
  <c r="A463" i="34" s="1"/>
  <c r="A464" i="34" s="1"/>
  <c r="A465" i="34" s="1"/>
  <c r="A466" i="34" s="1"/>
  <c r="A468" i="34" s="1"/>
  <c r="A470" i="34" s="1"/>
  <c r="A471" i="34" s="1"/>
  <c r="A473" i="34" s="1"/>
  <c r="A485" i="34" s="1"/>
  <c r="A488" i="34" s="1"/>
  <c r="A489" i="34" s="1"/>
  <c r="A491" i="34" s="1"/>
  <c r="A492" i="34" s="1"/>
  <c r="A494" i="34" s="1"/>
  <c r="A495" i="34" s="1"/>
  <c r="A497" i="34" s="1"/>
  <c r="A498" i="34" s="1"/>
  <c r="A502" i="34" s="1"/>
  <c r="A504" i="34" s="1"/>
  <c r="A505" i="34" s="1"/>
  <c r="A506" i="34" s="1"/>
  <c r="A507" i="34" s="1"/>
  <c r="A509" i="34" s="1"/>
  <c r="A511" i="34" s="1"/>
  <c r="A512" i="34" s="1"/>
  <c r="A514" i="34" s="1"/>
  <c r="A517" i="34" s="1"/>
  <c r="A519" i="34" s="1"/>
  <c r="A520" i="34" s="1"/>
  <c r="A522" i="34" s="1"/>
  <c r="A523" i="34" s="1"/>
  <c r="A527" i="34" s="1"/>
  <c r="A529" i="34" s="1"/>
  <c r="A530" i="34" s="1"/>
  <c r="A531" i="34" s="1"/>
  <c r="A532" i="34" s="1"/>
  <c r="A534" i="34" s="1"/>
  <c r="A536" i="34" s="1"/>
  <c r="A537" i="34" s="1"/>
  <c r="A539" i="34" s="1"/>
  <c r="A542" i="34" s="1"/>
  <c r="K24" i="34"/>
  <c r="O24" i="34" s="1"/>
  <c r="Q24" i="34" s="1"/>
  <c r="G14" i="35" s="1"/>
  <c r="K14" i="35" s="1"/>
  <c r="K22" i="34"/>
  <c r="O22" i="34" s="1"/>
  <c r="Q22" i="34" s="1"/>
  <c r="G13" i="35" s="1"/>
  <c r="K13" i="35" s="1"/>
  <c r="K21" i="34"/>
  <c r="O21" i="34" s="1"/>
  <c r="Q21" i="34" s="1"/>
  <c r="G12" i="35" s="1"/>
  <c r="K12" i="35" s="1"/>
  <c r="K20" i="34"/>
  <c r="O20" i="34" s="1"/>
  <c r="Q20" i="34" s="1"/>
  <c r="M18" i="34"/>
  <c r="K17" i="34"/>
  <c r="O17" i="34" s="1"/>
  <c r="K16" i="34"/>
  <c r="O16" i="34" s="1"/>
  <c r="K15" i="34"/>
  <c r="O15" i="34" s="1"/>
  <c r="K14" i="34"/>
  <c r="O14" i="34" s="1"/>
  <c r="A14" i="34"/>
  <c r="A15" i="34" s="1"/>
  <c r="A16" i="34" s="1"/>
  <c r="A17" i="34" s="1"/>
  <c r="A18" i="34" s="1"/>
  <c r="A20" i="34" s="1"/>
  <c r="A21" i="34" s="1"/>
  <c r="A22" i="34" s="1"/>
  <c r="A24" i="34" s="1"/>
  <c r="K12" i="34"/>
  <c r="O12" i="34" s="1"/>
  <c r="D44" i="33"/>
  <c r="D31" i="33"/>
  <c r="D23" i="33"/>
  <c r="B14" i="33"/>
  <c r="G221" i="35" l="1"/>
  <c r="K221" i="35" s="1"/>
  <c r="G191" i="35"/>
  <c r="K191" i="35" s="1"/>
  <c r="Q163" i="34"/>
  <c r="G75" i="35" s="1"/>
  <c r="K75" i="35" s="1"/>
  <c r="Q78" i="34"/>
  <c r="G41" i="35" s="1"/>
  <c r="G204" i="35"/>
  <c r="K204" i="35" s="1"/>
  <c r="Q298" i="34"/>
  <c r="G139" i="35" s="1"/>
  <c r="O235" i="34"/>
  <c r="G190" i="35"/>
  <c r="K190" i="35" s="1"/>
  <c r="G203" i="35"/>
  <c r="K203" i="35" s="1"/>
  <c r="O353" i="34"/>
  <c r="Q353" i="34" s="1"/>
  <c r="G169" i="35" s="1"/>
  <c r="Q105" i="34"/>
  <c r="G49" i="35" s="1"/>
  <c r="Q140" i="34"/>
  <c r="G66" i="35" s="1"/>
  <c r="G184" i="35"/>
  <c r="K184" i="35" s="1"/>
  <c r="O270" i="34"/>
  <c r="Q268" i="34"/>
  <c r="G130" i="35" s="1"/>
  <c r="K130" i="35" s="1"/>
  <c r="Q237" i="34"/>
  <c r="G116" i="35" s="1"/>
  <c r="K116" i="35" s="1"/>
  <c r="O239" i="34"/>
  <c r="O211" i="34"/>
  <c r="Q209" i="34"/>
  <c r="G100" i="35" s="1"/>
  <c r="K100" i="35" s="1"/>
  <c r="Q263" i="34"/>
  <c r="G127" i="35" s="1"/>
  <c r="K127" i="35" s="1"/>
  <c r="O265" i="34"/>
  <c r="O37" i="34"/>
  <c r="Q37" i="34" s="1"/>
  <c r="Q45" i="34" s="1"/>
  <c r="F14" i="33" s="1"/>
  <c r="O58" i="34"/>
  <c r="Q62" i="34"/>
  <c r="O339" i="34"/>
  <c r="O344" i="34" s="1"/>
  <c r="G212" i="35"/>
  <c r="K212" i="35" s="1"/>
  <c r="O231" i="34"/>
  <c r="O245" i="34" s="1"/>
  <c r="Q498" i="34"/>
  <c r="O66" i="34"/>
  <c r="O126" i="34"/>
  <c r="O145" i="34"/>
  <c r="O176" i="34"/>
  <c r="O188" i="34" s="1"/>
  <c r="G178" i="35"/>
  <c r="K178" i="35" s="1"/>
  <c r="G202" i="35"/>
  <c r="K202" i="35" s="1"/>
  <c r="G213" i="35"/>
  <c r="K213" i="35" s="1"/>
  <c r="G215" i="35"/>
  <c r="O243" i="34"/>
  <c r="O163" i="34"/>
  <c r="Q241" i="34"/>
  <c r="G119" i="35" s="1"/>
  <c r="K119" i="35" s="1"/>
  <c r="Q444" i="34"/>
  <c r="Q126" i="34"/>
  <c r="G58" i="35" s="1"/>
  <c r="K58" i="35" s="1"/>
  <c r="O252" i="34"/>
  <c r="O365" i="34"/>
  <c r="Q523" i="34"/>
  <c r="Q313" i="34"/>
  <c r="G146" i="35" s="1"/>
  <c r="G207" i="35"/>
  <c r="Q272" i="34"/>
  <c r="O274" i="34"/>
  <c r="O307" i="34"/>
  <c r="Q305" i="34"/>
  <c r="G141" i="35" s="1"/>
  <c r="K141" i="35" s="1"/>
  <c r="Q396" i="34"/>
  <c r="O417" i="34"/>
  <c r="G206" i="35"/>
  <c r="O109" i="34"/>
  <c r="O155" i="34"/>
  <c r="G90" i="35"/>
  <c r="K90" i="35" s="1"/>
  <c r="Q217" i="34"/>
  <c r="G106" i="35" s="1"/>
  <c r="K106" i="35" s="1"/>
  <c r="O219" i="34"/>
  <c r="O283" i="34"/>
  <c r="G183" i="35"/>
  <c r="K183" i="35" s="1"/>
  <c r="O118" i="34"/>
  <c r="O173" i="34"/>
  <c r="Q159" i="34"/>
  <c r="Q252" i="34"/>
  <c r="O285" i="34"/>
  <c r="Q277" i="34"/>
  <c r="G135" i="35" s="1"/>
  <c r="K135" i="35" s="1"/>
  <c r="O279" i="34"/>
  <c r="Q49" i="34"/>
  <c r="Q145" i="34"/>
  <c r="G67" i="35" s="1"/>
  <c r="K67" i="35" s="1"/>
  <c r="O207" i="34"/>
  <c r="Q207" i="34" s="1"/>
  <c r="Q213" i="34"/>
  <c r="G103" i="35" s="1"/>
  <c r="K103" i="35" s="1"/>
  <c r="O215" i="34"/>
  <c r="K189" i="35"/>
  <c r="Q66" i="34"/>
  <c r="G34" i="35" s="1"/>
  <c r="K34" i="35" s="1"/>
  <c r="O433" i="34"/>
  <c r="G198" i="35"/>
  <c r="K198" i="35" s="1"/>
  <c r="Q441" i="34"/>
  <c r="F39" i="33" s="1"/>
  <c r="Q82" i="34"/>
  <c r="G42" i="35" s="1"/>
  <c r="K42" i="35" s="1"/>
  <c r="O82" i="34"/>
  <c r="Q256" i="34"/>
  <c r="G125" i="35" s="1"/>
  <c r="K125" i="35" s="1"/>
  <c r="O256" i="34"/>
  <c r="O18" i="34"/>
  <c r="Q18" i="34" s="1"/>
  <c r="O74" i="34"/>
  <c r="O90" i="34"/>
  <c r="Q118" i="34"/>
  <c r="O136" i="34"/>
  <c r="G89" i="35"/>
  <c r="Q188" i="34"/>
  <c r="F22" i="33" s="1"/>
  <c r="O309" i="34"/>
  <c r="O473" i="34"/>
  <c r="Q233" i="34"/>
  <c r="G113" i="35" s="1"/>
  <c r="K113" i="35" s="1"/>
  <c r="O383" i="34"/>
  <c r="Q365" i="34"/>
  <c r="O369" i="34"/>
  <c r="Q369" i="34"/>
  <c r="G176" i="35" s="1"/>
  <c r="K176" i="35" s="1"/>
  <c r="Q457" i="34"/>
  <c r="O514" i="34"/>
  <c r="O539" i="34"/>
  <c r="G222" i="35"/>
  <c r="B15" i="33"/>
  <c r="G216" i="35"/>
  <c r="G220" i="35"/>
  <c r="O331" i="34"/>
  <c r="O441" i="34"/>
  <c r="G223" i="35"/>
  <c r="G224" i="35"/>
  <c r="G177" i="35"/>
  <c r="K177" i="35" s="1"/>
  <c r="K196" i="35"/>
  <c r="Q537" i="34"/>
  <c r="G211" i="35"/>
  <c r="Q433" i="34"/>
  <c r="F38" i="33" s="1"/>
  <c r="G205" i="35"/>
  <c r="Q471" i="34"/>
  <c r="G228" i="35"/>
  <c r="K228" i="35" s="1"/>
  <c r="Q542" i="34"/>
  <c r="G214" i="35"/>
  <c r="Q512" i="34"/>
  <c r="G18" i="35" l="1"/>
  <c r="Q514" i="34"/>
  <c r="F41" i="33" s="1"/>
  <c r="Q539" i="34"/>
  <c r="F42" i="33" s="1"/>
  <c r="Q339" i="34"/>
  <c r="G153" i="35" s="1"/>
  <c r="G193" i="35"/>
  <c r="O358" i="34"/>
  <c r="Q358" i="34"/>
  <c r="F35" i="33" s="1"/>
  <c r="Q331" i="34"/>
  <c r="F30" i="33" s="1"/>
  <c r="Q109" i="34"/>
  <c r="F18" i="33" s="1"/>
  <c r="Q74" i="34"/>
  <c r="F16" i="33" s="1"/>
  <c r="G33" i="35"/>
  <c r="G38" i="35" s="1"/>
  <c r="O45" i="34"/>
  <c r="Q473" i="34"/>
  <c r="F40" i="33" s="1"/>
  <c r="Q231" i="34"/>
  <c r="Q245" i="34" s="1"/>
  <c r="F27" i="33" s="1"/>
  <c r="G199" i="35"/>
  <c r="K207" i="35"/>
  <c r="K216" i="35" s="1"/>
  <c r="K206" i="35"/>
  <c r="K223" i="35" s="1"/>
  <c r="Q26" i="34"/>
  <c r="G11" i="35"/>
  <c r="G143" i="35"/>
  <c r="K139" i="35"/>
  <c r="K205" i="35"/>
  <c r="G55" i="35"/>
  <c r="Q136" i="34"/>
  <c r="F19" i="33" s="1"/>
  <c r="G98" i="35"/>
  <c r="Q221" i="34"/>
  <c r="F26" i="33" s="1"/>
  <c r="O221" i="34"/>
  <c r="Q383" i="34"/>
  <c r="F36" i="33" s="1"/>
  <c r="G175" i="35"/>
  <c r="Q90" i="34"/>
  <c r="F17" i="33" s="1"/>
  <c r="G74" i="35"/>
  <c r="Q173" i="34"/>
  <c r="F21" i="33" s="1"/>
  <c r="G172" i="35"/>
  <c r="K169" i="35"/>
  <c r="K33" i="35"/>
  <c r="K41" i="35"/>
  <c r="G46" i="35"/>
  <c r="G208" i="35"/>
  <c r="K220" i="35"/>
  <c r="G225" i="35"/>
  <c r="Q155" i="34"/>
  <c r="F20" i="33" s="1"/>
  <c r="G182" i="35"/>
  <c r="Q417" i="34"/>
  <c r="F37" i="33" s="1"/>
  <c r="G51" i="35"/>
  <c r="K49" i="35"/>
  <c r="K66" i="35"/>
  <c r="G71" i="35"/>
  <c r="G94" i="35"/>
  <c r="K89" i="35"/>
  <c r="G22" i="35"/>
  <c r="K18" i="35"/>
  <c r="G25" i="35"/>
  <c r="Q58" i="34"/>
  <c r="F15" i="33" s="1"/>
  <c r="B16" i="33"/>
  <c r="G217" i="35"/>
  <c r="K211" i="35"/>
  <c r="K146" i="35"/>
  <c r="G148" i="35"/>
  <c r="G124" i="35"/>
  <c r="Q285" i="34"/>
  <c r="F28" i="33" s="1"/>
  <c r="Q309" i="34"/>
  <c r="F29" i="33" s="1"/>
  <c r="G111" i="35" l="1"/>
  <c r="Q344" i="34"/>
  <c r="F34" i="33" s="1"/>
  <c r="F44" i="33" s="1"/>
  <c r="F31" i="33"/>
  <c r="K224" i="35"/>
  <c r="K215" i="35"/>
  <c r="K222" i="35"/>
  <c r="K214" i="35"/>
  <c r="G63" i="35"/>
  <c r="K55" i="35"/>
  <c r="G136" i="35"/>
  <c r="K124" i="35"/>
  <c r="K98" i="35"/>
  <c r="G108" i="35"/>
  <c r="K11" i="35"/>
  <c r="G15" i="35"/>
  <c r="G30" i="35"/>
  <c r="K25" i="35"/>
  <c r="G156" i="35"/>
  <c r="K153" i="35"/>
  <c r="K74" i="35"/>
  <c r="G79" i="35"/>
  <c r="B17" i="33"/>
  <c r="G121" i="35"/>
  <c r="K111" i="35"/>
  <c r="G186" i="35"/>
  <c r="K182" i="35"/>
  <c r="G179" i="35"/>
  <c r="K175" i="35"/>
  <c r="O26" i="34"/>
  <c r="F13" i="33"/>
  <c r="F23" i="33" s="1"/>
  <c r="F46" i="33" l="1"/>
  <c r="B18" i="33"/>
  <c r="B19" i="33" l="1"/>
  <c r="B20" i="33"/>
  <c r="B21" i="33" l="1"/>
  <c r="B22" i="33" l="1"/>
  <c r="B23" i="33" l="1"/>
  <c r="B26" i="33" s="1"/>
  <c r="B27" i="33" s="1"/>
  <c r="B28" i="33" s="1"/>
  <c r="B29" i="33" s="1"/>
  <c r="B30" i="33" s="1"/>
  <c r="B31" i="33" s="1"/>
  <c r="B34" i="33" s="1"/>
  <c r="B35" i="33" s="1"/>
  <c r="B36" i="33" s="1"/>
  <c r="B37" i="33" s="1"/>
  <c r="B38" i="33" s="1"/>
  <c r="B39" i="33" s="1"/>
  <c r="B40" i="33" s="1"/>
  <c r="B41" i="33" s="1"/>
  <c r="B42" i="33" s="1"/>
  <c r="B43" i="33" s="1"/>
  <c r="B44" i="33" s="1"/>
  <c r="B46" i="33" s="1"/>
  <c r="F373" i="32" l="1"/>
  <c r="H373" i="32" s="1"/>
  <c r="F364" i="32"/>
  <c r="F365" i="32" s="1"/>
  <c r="F367" i="32" s="1"/>
  <c r="H367" i="32" s="1"/>
  <c r="F357" i="32"/>
  <c r="F318" i="32"/>
  <c r="H318" i="32" s="1"/>
  <c r="H310" i="32"/>
  <c r="H311" i="32" s="1"/>
  <c r="F310" i="32"/>
  <c r="F311" i="32" s="1"/>
  <c r="H305" i="32"/>
  <c r="F305" i="32"/>
  <c r="H295" i="32"/>
  <c r="H296" i="32" s="1"/>
  <c r="F295" i="32"/>
  <c r="F296" i="32" s="1"/>
  <c r="H289" i="32"/>
  <c r="F289" i="32"/>
  <c r="F253" i="32"/>
  <c r="F257" i="32" s="1"/>
  <c r="F261" i="32" s="1"/>
  <c r="F263" i="32" s="1"/>
  <c r="H263" i="32" s="1"/>
  <c r="F243" i="32"/>
  <c r="H243" i="32" s="1"/>
  <c r="F238" i="32"/>
  <c r="H238" i="32" s="1"/>
  <c r="F233" i="32"/>
  <c r="H233" i="32" s="1"/>
  <c r="H228" i="32"/>
  <c r="F210" i="32"/>
  <c r="H210" i="32" s="1"/>
  <c r="F205" i="32"/>
  <c r="H205" i="32" s="1"/>
  <c r="F200" i="32"/>
  <c r="H200" i="32" s="1"/>
  <c r="F195" i="32"/>
  <c r="H195" i="32" s="1"/>
  <c r="F190" i="32"/>
  <c r="H190" i="32" s="1"/>
  <c r="F185" i="32"/>
  <c r="H185" i="32" s="1"/>
  <c r="F180" i="32"/>
  <c r="H180" i="32" s="1"/>
  <c r="H175" i="32"/>
  <c r="H172" i="32"/>
  <c r="F167" i="32"/>
  <c r="H167" i="32" s="1"/>
  <c r="F144" i="32"/>
  <c r="H144" i="32" s="1"/>
  <c r="F139" i="32"/>
  <c r="H139" i="32" s="1"/>
  <c r="R138" i="32"/>
  <c r="R139" i="32" s="1"/>
  <c r="F134" i="32"/>
  <c r="H225" i="32" s="1"/>
  <c r="F70" i="32"/>
  <c r="F72" i="32" s="1"/>
  <c r="F54" i="32"/>
  <c r="H54" i="32" s="1"/>
  <c r="F345" i="32" s="1"/>
  <c r="F347" i="32" s="1"/>
  <c r="F349" i="32" s="1"/>
  <c r="H349" i="32" s="1"/>
  <c r="F48" i="32"/>
  <c r="H48" i="32" s="1"/>
  <c r="F43" i="32"/>
  <c r="H43" i="32" s="1"/>
  <c r="F37" i="32"/>
  <c r="H37" i="32" s="1"/>
  <c r="F31" i="32"/>
  <c r="H31" i="32" s="1"/>
  <c r="F25" i="32"/>
  <c r="H25" i="32" s="1"/>
  <c r="F15" i="32"/>
  <c r="F17" i="32" s="1"/>
  <c r="F18" i="32" s="1"/>
  <c r="H18" i="32" s="1"/>
  <c r="B14" i="32"/>
  <c r="B15" i="32" s="1"/>
  <c r="H134" i="32" l="1"/>
  <c r="F77" i="32"/>
  <c r="F78" i="32" s="1"/>
  <c r="H78" i="32" s="1"/>
  <c r="F83" i="32"/>
  <c r="F84" i="32" s="1"/>
  <c r="H84" i="32" s="1"/>
  <c r="H298" i="32"/>
  <c r="F313" i="32"/>
  <c r="H313" i="32"/>
  <c r="F298" i="32"/>
  <c r="H148" i="32"/>
  <c r="H152" i="32"/>
  <c r="F147" i="32"/>
  <c r="F148" i="32" s="1"/>
  <c r="F151" i="32"/>
  <c r="F152" i="32" s="1"/>
  <c r="F126" i="32"/>
  <c r="F127" i="32" s="1"/>
  <c r="H127" i="32" s="1"/>
  <c r="F121" i="32"/>
  <c r="F122" i="32" s="1"/>
  <c r="H122" i="32" s="1"/>
  <c r="B16" i="32"/>
  <c r="F340" i="32"/>
  <c r="F342" i="32" s="1"/>
  <c r="H342" i="32" s="1"/>
  <c r="F107" i="32"/>
  <c r="F108" i="32" s="1"/>
  <c r="H108" i="32" s="1"/>
  <c r="F352" i="32"/>
  <c r="F354" i="32" s="1"/>
  <c r="F359" i="32" s="1"/>
  <c r="H359" i="32" s="1"/>
  <c r="F101" i="32"/>
  <c r="F102" i="32" s="1"/>
  <c r="H102" i="32" s="1"/>
  <c r="F95" i="32"/>
  <c r="F96" i="32" s="1"/>
  <c r="H96" i="32" s="1"/>
  <c r="F89" i="32"/>
  <c r="F90" i="32" s="1"/>
  <c r="H90" i="32" s="1"/>
  <c r="B17" i="32" l="1"/>
  <c r="B18" i="32" s="1"/>
  <c r="B23" i="32" l="1"/>
  <c r="B24" i="32" l="1"/>
  <c r="B25" i="32" s="1"/>
  <c r="B28" i="32" l="1"/>
  <c r="B29" i="32" s="1"/>
  <c r="B30" i="32" s="1"/>
  <c r="B31" i="32" l="1"/>
  <c r="B34" i="32" l="1"/>
  <c r="B35" i="32" s="1"/>
  <c r="B36" i="32" s="1"/>
  <c r="B37" i="32" s="1"/>
  <c r="B40" i="32" s="1"/>
  <c r="B41" i="32" s="1"/>
  <c r="B42" i="32" s="1"/>
  <c r="B43" i="32" s="1"/>
  <c r="B46" i="32" s="1"/>
  <c r="B47" i="32" s="1"/>
  <c r="B48" i="32" l="1"/>
  <c r="B51" i="32" s="1"/>
  <c r="B52" i="32" s="1"/>
  <c r="B53" i="32" s="1"/>
  <c r="B54" i="32" s="1"/>
  <c r="B70" i="32" s="1"/>
  <c r="B71" i="32" s="1"/>
  <c r="B72" i="32" s="1"/>
  <c r="B75" i="32" s="1"/>
  <c r="B76" i="32" s="1"/>
  <c r="B77" i="32" s="1"/>
  <c r="B78" i="32" s="1"/>
  <c r="B81" i="32" s="1"/>
  <c r="B82" i="32" s="1"/>
  <c r="B83" i="32" s="1"/>
  <c r="B84" i="32" s="1"/>
  <c r="B87" i="32" s="1"/>
  <c r="B88" i="32" s="1"/>
  <c r="B89" i="32" s="1"/>
  <c r="B90" i="32" s="1"/>
  <c r="B93" i="32" s="1"/>
  <c r="B94" i="32" s="1"/>
  <c r="B95" i="32" s="1"/>
  <c r="B96" i="32" s="1"/>
  <c r="B99" i="32" s="1"/>
  <c r="B100" i="32" s="1"/>
  <c r="B101" i="32" s="1"/>
  <c r="B102" i="32" s="1"/>
  <c r="B105" i="32" s="1"/>
  <c r="B106" i="32" s="1"/>
  <c r="B107" i="32" s="1"/>
  <c r="B108" i="32" s="1"/>
  <c r="B120" i="32" s="1"/>
  <c r="B121" i="32" s="1"/>
  <c r="B122" i="32" s="1"/>
  <c r="B125" i="32" s="1"/>
  <c r="B126" i="32" s="1"/>
  <c r="B127" i="32" s="1"/>
  <c r="B132" i="32" s="1"/>
  <c r="B133" i="32" s="1"/>
  <c r="B134" i="32" s="1"/>
  <c r="D225" i="32" l="1"/>
  <c r="B137" i="32"/>
  <c r="B138" i="32" s="1"/>
  <c r="B139" i="32" s="1"/>
  <c r="B142" i="32" s="1"/>
  <c r="B143" i="32" s="1"/>
  <c r="B144" i="32" s="1"/>
  <c r="B147" i="32" s="1"/>
  <c r="B148" i="32" s="1"/>
  <c r="B151" i="32" s="1"/>
  <c r="B152" i="32" s="1"/>
  <c r="B166" i="32" s="1"/>
  <c r="B167" i="32" s="1"/>
  <c r="B172" i="32" s="1"/>
  <c r="B175" i="32" s="1"/>
  <c r="B178" i="32" s="1"/>
  <c r="B179" i="32" s="1"/>
  <c r="B180" i="32" s="1"/>
  <c r="B183" i="32" s="1"/>
  <c r="B184" i="32" s="1"/>
  <c r="B185" i="32" s="1"/>
  <c r="B188" i="32" s="1"/>
  <c r="B189" i="32" s="1"/>
  <c r="B190" i="32" s="1"/>
  <c r="B193" i="32" s="1"/>
  <c r="B194" i="32" s="1"/>
  <c r="B195" i="32" s="1"/>
  <c r="B198" i="32" s="1"/>
  <c r="B199" i="32" s="1"/>
  <c r="B200" i="32" s="1"/>
  <c r="B203" i="32" s="1"/>
  <c r="B204" i="32" s="1"/>
  <c r="B205" i="32" s="1"/>
  <c r="B208" i="32" s="1"/>
  <c r="B209" i="32" s="1"/>
  <c r="B210" i="32" s="1"/>
  <c r="B225" i="32" s="1"/>
  <c r="B228" i="32" s="1"/>
  <c r="B231" i="32" s="1"/>
  <c r="B232" i="32" l="1"/>
  <c r="B233" i="32" s="1"/>
  <c r="B236" i="32" s="1"/>
  <c r="B237" i="32" l="1"/>
  <c r="B238" i="32" s="1"/>
  <c r="B241" i="32" s="1"/>
  <c r="D233" i="32"/>
  <c r="B242" i="32" l="1"/>
  <c r="B243" i="32" s="1"/>
  <c r="B248" i="32" s="1"/>
  <c r="B251" i="32" s="1"/>
  <c r="D238" i="32"/>
  <c r="B252" i="32" l="1"/>
  <c r="B253" i="32" s="1"/>
  <c r="D243" i="32"/>
  <c r="B255" i="32" l="1"/>
  <c r="B256" i="32" s="1"/>
  <c r="B257" i="32" s="1"/>
  <c r="D253" i="32"/>
  <c r="B259" i="32" l="1"/>
  <c r="B261" i="32" s="1"/>
  <c r="B263" i="32" s="1"/>
  <c r="B287" i="32" s="1"/>
  <c r="B288" i="32" s="1"/>
  <c r="B289" i="32" s="1"/>
  <c r="B292" i="32" s="1"/>
  <c r="B293" i="32" s="1"/>
  <c r="B294" i="32" s="1"/>
  <c r="B295" i="32" s="1"/>
  <c r="B296" i="32" s="1"/>
  <c r="B298" i="32" s="1"/>
  <c r="B303" i="32" s="1"/>
  <c r="B304" i="32" s="1"/>
  <c r="B305" i="32" s="1"/>
  <c r="B308" i="32" s="1"/>
  <c r="B309" i="32" s="1"/>
  <c r="B310" i="32" s="1"/>
  <c r="B311" i="32" s="1"/>
  <c r="B313" i="32" s="1"/>
  <c r="B316" i="32" s="1"/>
  <c r="B317" i="32" s="1"/>
  <c r="B318" i="32" s="1"/>
  <c r="B340" i="32" s="1"/>
  <c r="D257" i="32"/>
  <c r="B341" i="32" l="1"/>
  <c r="B342" i="32" s="1"/>
  <c r="B345" i="32" s="1"/>
  <c r="D261" i="32"/>
  <c r="B346" i="32" l="1"/>
  <c r="B347" i="32" s="1"/>
  <c r="D342" i="32"/>
  <c r="B348" i="32" l="1"/>
  <c r="B349" i="32" s="1"/>
  <c r="B352" i="32" s="1"/>
  <c r="B353" i="32" s="1"/>
  <c r="B354" i="32" s="1"/>
  <c r="B355" i="32" s="1"/>
  <c r="B356" i="32" s="1"/>
  <c r="B357" i="32" s="1"/>
  <c r="B358" i="32" s="1"/>
  <c r="B359" i="32" s="1"/>
  <c r="B362" i="32" s="1"/>
  <c r="B363" i="32" s="1"/>
  <c r="B364" i="32" s="1"/>
  <c r="B365" i="32" s="1"/>
  <c r="D347" i="32"/>
  <c r="B366" i="32" l="1"/>
  <c r="B367" i="32" s="1"/>
  <c r="B370" i="32" s="1"/>
  <c r="D349" i="32"/>
  <c r="B371" i="32" l="1"/>
  <c r="B372" i="32" s="1"/>
  <c r="B373" i="32" s="1"/>
  <c r="D367" i="32"/>
  <c r="D373" i="32" l="1"/>
  <c r="A185" i="9" l="1"/>
  <c r="B109" i="4" l="1"/>
  <c r="M35" i="28" l="1"/>
  <c r="K35" i="28"/>
  <c r="I35" i="28"/>
  <c r="G35" i="28"/>
  <c r="E35" i="28"/>
  <c r="I33" i="28"/>
  <c r="M24" i="28"/>
  <c r="K24" i="28"/>
  <c r="I24" i="28"/>
  <c r="G24" i="28"/>
  <c r="E24" i="28"/>
  <c r="M18" i="28"/>
  <c r="M12" i="28"/>
  <c r="M13" i="28"/>
  <c r="M14" i="28"/>
  <c r="M15" i="28"/>
  <c r="M16" i="28"/>
  <c r="M17" i="28"/>
  <c r="M11" i="28"/>
  <c r="K18" i="28"/>
  <c r="E18" i="28"/>
  <c r="I18" i="28"/>
  <c r="G18" i="28"/>
  <c r="L309" i="6" l="1"/>
  <c r="L308" i="6"/>
  <c r="P308" i="6" l="1"/>
  <c r="J308" i="6"/>
  <c r="J309" i="6"/>
  <c r="P309" i="6"/>
  <c r="N584" i="6" l="1"/>
  <c r="J618" i="6" l="1"/>
  <c r="J617" i="6"/>
  <c r="D243" i="4" l="1"/>
  <c r="D218" i="4"/>
  <c r="D153" i="4"/>
  <c r="D106" i="4"/>
  <c r="D102" i="4"/>
  <c r="D98" i="4"/>
  <c r="D94" i="4"/>
  <c r="D90" i="4"/>
  <c r="D86" i="4"/>
  <c r="D82" i="4"/>
  <c r="D78" i="4"/>
  <c r="D74" i="4"/>
  <c r="T31" i="31" l="1"/>
  <c r="P58" i="31"/>
  <c r="N58" i="31"/>
  <c r="L58" i="31"/>
  <c r="J58" i="31"/>
  <c r="H58" i="31"/>
  <c r="J55" i="31"/>
  <c r="H55" i="31"/>
  <c r="J54" i="31"/>
  <c r="H54" i="31"/>
  <c r="J53" i="31"/>
  <c r="H53" i="31"/>
  <c r="J52" i="31"/>
  <c r="H52" i="31"/>
  <c r="J51" i="31"/>
  <c r="H51" i="31"/>
  <c r="P50" i="31"/>
  <c r="N50" i="31"/>
  <c r="L50" i="31"/>
  <c r="J50" i="31"/>
  <c r="H50" i="31"/>
  <c r="P49" i="31"/>
  <c r="N49" i="31"/>
  <c r="L49" i="31"/>
  <c r="J49" i="31"/>
  <c r="H49" i="31"/>
  <c r="P48" i="31"/>
  <c r="N48" i="31"/>
  <c r="L48" i="31"/>
  <c r="J48" i="31"/>
  <c r="H48" i="31"/>
  <c r="AL22" i="31"/>
  <c r="R22" i="31"/>
  <c r="P22" i="31"/>
  <c r="B13" i="31"/>
  <c r="AH58" i="31" l="1"/>
  <c r="AF58" i="31"/>
  <c r="AD58" i="31"/>
  <c r="AB58" i="31"/>
  <c r="Z58" i="31"/>
  <c r="AD50" i="31"/>
  <c r="Z50" i="31"/>
  <c r="AH50" i="31"/>
  <c r="J56" i="31"/>
  <c r="AB50" i="31"/>
  <c r="AF50" i="31"/>
  <c r="H56" i="31"/>
  <c r="B14" i="31"/>
  <c r="B15" i="31" l="1"/>
  <c r="B16" i="31" s="1"/>
  <c r="B17" i="31" l="1"/>
  <c r="B18" i="31" s="1"/>
  <c r="B19" i="31" l="1"/>
  <c r="B20" i="31" s="1"/>
  <c r="B21" i="31" s="1"/>
  <c r="B22" i="31" l="1"/>
  <c r="P197" i="6" l="1"/>
  <c r="B23" i="31"/>
  <c r="B26" i="31" s="1"/>
  <c r="P203" i="6"/>
  <c r="I13" i="26"/>
  <c r="K13" i="26" s="1"/>
  <c r="I30" i="26"/>
  <c r="G14" i="26"/>
  <c r="G31" i="26" l="1"/>
  <c r="I31" i="26"/>
  <c r="I14" i="26"/>
  <c r="K14" i="26" s="1"/>
  <c r="K30" i="26"/>
  <c r="B27" i="31"/>
  <c r="B28" i="31" s="1"/>
  <c r="K12" i="26"/>
  <c r="K29" i="26"/>
  <c r="G21" i="26"/>
  <c r="G23" i="26" s="1"/>
  <c r="AF96" i="30" l="1"/>
  <c r="K31" i="26"/>
  <c r="B29" i="31"/>
  <c r="B30" i="31" s="1"/>
  <c r="B31" i="31" s="1"/>
  <c r="B34" i="31" s="1"/>
  <c r="B35" i="31" s="1"/>
  <c r="B36" i="31" s="1"/>
  <c r="B37" i="31" s="1"/>
  <c r="B38" i="31" s="1"/>
  <c r="B39" i="31" s="1"/>
  <c r="B40" i="31" s="1"/>
  <c r="B41" i="31" s="1"/>
  <c r="B42" i="31" s="1"/>
  <c r="B43" i="31" s="1"/>
  <c r="B45" i="31" s="1"/>
  <c r="B48" i="31" s="1"/>
  <c r="B49" i="31" s="1"/>
  <c r="B50" i="31" s="1"/>
  <c r="B51" i="31" s="1"/>
  <c r="B52" i="31" s="1"/>
  <c r="B53" i="31" s="1"/>
  <c r="B54" i="31" s="1"/>
  <c r="B55" i="31" s="1"/>
  <c r="B56" i="31" s="1"/>
  <c r="B58" i="31" s="1"/>
  <c r="B60" i="31" s="1"/>
  <c r="A14" i="30" l="1"/>
  <c r="A15" i="30" s="1"/>
  <c r="A16" i="30" s="1"/>
  <c r="A17" i="30" l="1"/>
  <c r="A19" i="30" l="1"/>
  <c r="A20" i="30" l="1"/>
  <c r="A21" i="30" l="1"/>
  <c r="A22" i="30" l="1"/>
  <c r="A23" i="30"/>
  <c r="A24" i="30" s="1"/>
  <c r="A26" i="30" s="1"/>
  <c r="A27" i="30" l="1"/>
  <c r="A28" i="30" l="1"/>
  <c r="A30" i="30"/>
  <c r="A31" i="30" s="1"/>
  <c r="A15" i="6"/>
  <c r="A32" i="30" l="1"/>
  <c r="A33" i="30" s="1"/>
  <c r="A34" i="30" s="1"/>
  <c r="A36" i="30" s="1"/>
  <c r="A16" i="6"/>
  <c r="A17" i="6" s="1"/>
  <c r="J205" i="6" l="1"/>
  <c r="J204" i="6"/>
  <c r="J203" i="6"/>
  <c r="J199" i="6"/>
  <c r="J198" i="6"/>
  <c r="J197" i="6"/>
  <c r="U50" i="30" l="1"/>
  <c r="U49" i="30"/>
  <c r="T26" i="29"/>
  <c r="T25" i="29"/>
  <c r="T24" i="29"/>
  <c r="T23" i="29"/>
  <c r="A14" i="29"/>
  <c r="A15" i="29" s="1"/>
  <c r="A16" i="29" s="1"/>
  <c r="A17" i="29" s="1"/>
  <c r="A18" i="29" s="1"/>
  <c r="A19" i="29" s="1"/>
  <c r="A20" i="29" s="1"/>
  <c r="A21" i="29" s="1"/>
  <c r="A22" i="29" s="1"/>
  <c r="A23" i="29" s="1"/>
  <c r="A24" i="29" s="1"/>
  <c r="A25" i="29" s="1"/>
  <c r="A26" i="29" s="1"/>
  <c r="A28" i="29" s="1"/>
  <c r="A13" i="26" l="1"/>
  <c r="A14" i="26" s="1"/>
  <c r="A16" i="26" s="1"/>
  <c r="A17" i="26" s="1"/>
  <c r="A20" i="26" s="1"/>
  <c r="A21" i="26" s="1"/>
  <c r="A22" i="26" s="1"/>
  <c r="A23" i="26" s="1"/>
  <c r="A25" i="26" s="1"/>
  <c r="B69" i="4" l="1"/>
  <c r="B70" i="4" l="1"/>
  <c r="B73" i="4" s="1"/>
  <c r="B74" i="4" l="1"/>
  <c r="B77" i="4" s="1"/>
  <c r="B78" i="4" l="1"/>
  <c r="B81" i="4" l="1"/>
  <c r="B82" i="4" s="1"/>
  <c r="B85" i="4" s="1"/>
  <c r="B86" i="4" l="1"/>
  <c r="B89" i="4" s="1"/>
  <c r="B90" i="4" l="1"/>
  <c r="B93" i="4" s="1"/>
  <c r="B94" i="4" s="1"/>
  <c r="B97" i="4" l="1"/>
  <c r="B98" i="4" s="1"/>
  <c r="B101" i="4" s="1"/>
  <c r="B102" i="4" l="1"/>
  <c r="B105" i="4" s="1"/>
  <c r="B106" i="4" s="1"/>
  <c r="M24" i="19" l="1"/>
  <c r="M51" i="19" l="1"/>
  <c r="M53" i="19"/>
  <c r="M52" i="19"/>
  <c r="G60" i="19"/>
  <c r="E60" i="19"/>
  <c r="E55" i="24" l="1"/>
  <c r="E55" i="25"/>
  <c r="A11" i="21" l="1"/>
  <c r="A12" i="21" s="1"/>
  <c r="A13" i="21" s="1"/>
  <c r="A16" i="21" s="1"/>
  <c r="A17" i="21" s="1"/>
  <c r="A18" i="21" s="1"/>
  <c r="A19" i="21" s="1"/>
  <c r="A20" i="21" s="1"/>
  <c r="A21" i="21" s="1"/>
  <c r="A26" i="21" l="1"/>
  <c r="A29" i="21" s="1"/>
  <c r="A32" i="21" s="1"/>
  <c r="A33" i="21" s="1"/>
  <c r="A34" i="21" s="1"/>
  <c r="A35" i="21" s="1"/>
  <c r="A36" i="21" s="1"/>
  <c r="A38" i="21" s="1"/>
  <c r="A40" i="21" s="1"/>
  <c r="G24" i="21"/>
  <c r="R50" i="31" l="1"/>
  <c r="T58" i="7"/>
  <c r="X50" i="31" l="1"/>
  <c r="AL50" i="31" s="1"/>
  <c r="V50" i="31"/>
  <c r="J324" i="6" l="1"/>
  <c r="J323" i="6"/>
  <c r="T206" i="7" l="1"/>
  <c r="AJ206" i="7" s="1"/>
  <c r="AL206" i="7" s="1"/>
  <c r="AB204" i="7"/>
  <c r="X204" i="7"/>
  <c r="V204" i="7"/>
  <c r="J204" i="7"/>
  <c r="H204" i="7"/>
  <c r="T198" i="7"/>
  <c r="AJ198" i="7" s="1"/>
  <c r="AL198" i="7" s="1"/>
  <c r="H191" i="7"/>
  <c r="X191" i="7"/>
  <c r="V191" i="7"/>
  <c r="J191" i="7"/>
  <c r="AB179" i="7"/>
  <c r="X179" i="7"/>
  <c r="V179" i="7"/>
  <c r="J179" i="7"/>
  <c r="H179" i="7"/>
  <c r="AB171" i="7"/>
  <c r="X171" i="7"/>
  <c r="V171" i="7"/>
  <c r="J171" i="7"/>
  <c r="H171" i="7"/>
  <c r="AJ131" i="7"/>
  <c r="T130" i="7"/>
  <c r="AH128" i="7"/>
  <c r="AF128" i="7"/>
  <c r="AD128" i="7"/>
  <c r="AB128" i="7"/>
  <c r="X128" i="7"/>
  <c r="R128" i="7"/>
  <c r="P128" i="7"/>
  <c r="N128" i="7"/>
  <c r="J128" i="7"/>
  <c r="H128" i="7"/>
  <c r="AH115" i="7"/>
  <c r="AF115" i="7"/>
  <c r="AD115" i="7"/>
  <c r="R115" i="7"/>
  <c r="P115" i="7"/>
  <c r="N115" i="7"/>
  <c r="R103" i="7"/>
  <c r="AH103" i="7"/>
  <c r="AF103" i="7"/>
  <c r="AD103" i="7"/>
  <c r="P103" i="7"/>
  <c r="N103" i="7"/>
  <c r="AD95" i="7"/>
  <c r="P95" i="7"/>
  <c r="AH95" i="7"/>
  <c r="AF95" i="7"/>
  <c r="R95" i="7"/>
  <c r="N95" i="7"/>
  <c r="AJ59" i="7"/>
  <c r="AB56" i="7"/>
  <c r="X56" i="7"/>
  <c r="J56" i="7"/>
  <c r="H56" i="7"/>
  <c r="J41" i="31" l="1"/>
  <c r="N29" i="31"/>
  <c r="N30" i="31"/>
  <c r="J29" i="31"/>
  <c r="J42" i="31"/>
  <c r="P29" i="31"/>
  <c r="P30" i="31"/>
  <c r="AH117" i="7"/>
  <c r="AH132" i="7" s="1"/>
  <c r="AD117" i="7"/>
  <c r="AD132" i="7" s="1"/>
  <c r="X193" i="7"/>
  <c r="X208" i="7" s="1"/>
  <c r="H193" i="7"/>
  <c r="H208" i="7" s="1"/>
  <c r="J193" i="7"/>
  <c r="J208" i="7" s="1"/>
  <c r="V193" i="7"/>
  <c r="V208" i="7" s="1"/>
  <c r="AF117" i="7"/>
  <c r="AF132" i="7" s="1"/>
  <c r="N117" i="7"/>
  <c r="N132" i="7" s="1"/>
  <c r="R117" i="7"/>
  <c r="R132" i="7" s="1"/>
  <c r="P117" i="7"/>
  <c r="P132" i="7" s="1"/>
  <c r="AO33" i="7" l="1"/>
  <c r="AO32" i="7"/>
  <c r="AO25" i="7"/>
  <c r="AO24" i="7"/>
  <c r="AO22" i="7"/>
  <c r="L17" i="31" l="1"/>
  <c r="J17" i="31"/>
  <c r="P17" i="31"/>
  <c r="A15" i="11" l="1"/>
  <c r="A16" i="11" s="1"/>
  <c r="A17" i="11" s="1"/>
  <c r="A15" i="10"/>
  <c r="A16" i="10" s="1"/>
  <c r="A17" i="10" s="1"/>
  <c r="A18" i="10" s="1"/>
  <c r="A19" i="10" s="1"/>
  <c r="A21" i="10" s="1"/>
  <c r="A22" i="10" s="1"/>
  <c r="A25" i="10" s="1"/>
  <c r="A26" i="10" s="1"/>
  <c r="A27" i="10" s="1"/>
  <c r="A28" i="10" s="1"/>
  <c r="A29" i="10" s="1"/>
  <c r="A31" i="10" s="1"/>
  <c r="A32" i="10" s="1"/>
  <c r="A35" i="10" s="1"/>
  <c r="A36" i="10" s="1"/>
  <c r="A37" i="10" s="1"/>
  <c r="A38" i="10" s="1"/>
  <c r="A39" i="10" s="1"/>
  <c r="A41" i="10" s="1"/>
  <c r="A15" i="9"/>
  <c r="A16" i="9" s="1"/>
  <c r="A17" i="9" s="1"/>
  <c r="A18" i="9" s="1"/>
  <c r="A19" i="9" s="1"/>
  <c r="A21" i="9" s="1"/>
  <c r="A22" i="9" s="1"/>
  <c r="A23" i="9" s="1"/>
  <c r="A24" i="9" s="1"/>
  <c r="A27" i="9" s="1"/>
  <c r="A28" i="9" s="1"/>
  <c r="A29" i="9" s="1"/>
  <c r="A30" i="9" s="1"/>
  <c r="A31" i="9" s="1"/>
  <c r="A33" i="9" s="1"/>
  <c r="A34" i="9" s="1"/>
  <c r="A35" i="9" s="1"/>
  <c r="A36" i="9" s="1"/>
  <c r="A39" i="9" s="1"/>
  <c r="A40" i="9" s="1"/>
  <c r="A41" i="9" s="1"/>
  <c r="A42" i="9" s="1"/>
  <c r="A43" i="9" s="1"/>
  <c r="A45" i="9" s="1"/>
  <c r="A46" i="9" s="1"/>
  <c r="A47" i="9" s="1"/>
  <c r="A48" i="9" s="1"/>
  <c r="A51" i="9" s="1"/>
  <c r="A52" i="9" s="1"/>
  <c r="A53" i="9" s="1"/>
  <c r="A54" i="9" s="1"/>
  <c r="A55" i="9" s="1"/>
  <c r="A57" i="9" s="1"/>
  <c r="A58" i="9" s="1"/>
  <c r="A59" i="9" s="1"/>
  <c r="A60" i="9" s="1"/>
  <c r="A63" i="9" s="1"/>
  <c r="A64" i="9" s="1"/>
  <c r="A65" i="9" s="1"/>
  <c r="A66" i="9" s="1"/>
  <c r="A67" i="9" s="1"/>
  <c r="A69" i="9" s="1"/>
  <c r="A70" i="9" s="1"/>
  <c r="A71" i="9" s="1"/>
  <c r="A72" i="9" s="1"/>
  <c r="A75" i="9" s="1"/>
  <c r="A76" i="9" s="1"/>
  <c r="A77" i="9" s="1"/>
  <c r="A78" i="9" s="1"/>
  <c r="A79" i="9" s="1"/>
  <c r="A81" i="9" s="1"/>
  <c r="A82" i="9" s="1"/>
  <c r="A83" i="9" s="1"/>
  <c r="A84" i="9" s="1"/>
  <c r="A87" i="9" s="1"/>
  <c r="A88" i="9" s="1"/>
  <c r="A89" i="9" s="1"/>
  <c r="A90" i="9" s="1"/>
  <c r="A91" i="9" s="1"/>
  <c r="I29" i="8"/>
  <c r="A14" i="8" a="1"/>
  <c r="A14" i="8" s="1"/>
  <c r="N22" i="31"/>
  <c r="B13" i="7"/>
  <c r="A56" i="10" l="1"/>
  <c r="A57" i="10" s="1"/>
  <c r="A58" i="10" s="1"/>
  <c r="A59" i="10" s="1"/>
  <c r="A61" i="10" s="1"/>
  <c r="A62" i="10" s="1"/>
  <c r="A46" i="10" s="1"/>
  <c r="A47" i="10" s="1"/>
  <c r="A48" i="10" s="1"/>
  <c r="A49" i="10" s="1"/>
  <c r="A51" i="10" s="1"/>
  <c r="A52" i="10" s="1"/>
  <c r="A66" i="10" s="1"/>
  <c r="A67" i="10" s="1"/>
  <c r="A68" i="10" s="1"/>
  <c r="A69" i="10" s="1"/>
  <c r="A71" i="10" s="1"/>
  <c r="A72" i="10" s="1"/>
  <c r="A88" i="10" s="1"/>
  <c r="A89" i="10" s="1"/>
  <c r="A90" i="10" s="1"/>
  <c r="A91" i="10" s="1"/>
  <c r="A92" i="10" s="1"/>
  <c r="A94" i="10" s="1"/>
  <c r="A95" i="10" s="1"/>
  <c r="A98" i="10" s="1"/>
  <c r="A99" i="10" s="1"/>
  <c r="A100" i="10" s="1"/>
  <c r="A101" i="10" s="1"/>
  <c r="A102" i="10" s="1"/>
  <c r="A104" i="10" s="1"/>
  <c r="A105" i="10" s="1"/>
  <c r="A108" i="10" s="1"/>
  <c r="A109" i="10" s="1"/>
  <c r="A110" i="10" s="1"/>
  <c r="A111" i="10" s="1"/>
  <c r="A112" i="10" s="1"/>
  <c r="A114" i="10" s="1"/>
  <c r="A115" i="10" s="1"/>
  <c r="A116" i="10" s="1"/>
  <c r="A117" i="10" s="1"/>
  <c r="A120" i="10" s="1"/>
  <c r="A121" i="10" s="1"/>
  <c r="A122" i="10" s="1"/>
  <c r="A123" i="10" s="1"/>
  <c r="A124" i="10" s="1"/>
  <c r="A126" i="10" s="1"/>
  <c r="A127" i="10" s="1"/>
  <c r="A128" i="10" s="1"/>
  <c r="A129" i="10" s="1"/>
  <c r="A42" i="10"/>
  <c r="A93" i="9"/>
  <c r="A94" i="9" s="1"/>
  <c r="A95" i="9" s="1"/>
  <c r="A96" i="9" s="1"/>
  <c r="A113" i="9" s="1"/>
  <c r="A18" i="11"/>
  <c r="A20" i="11" s="1"/>
  <c r="A21" i="11" s="1"/>
  <c r="A24" i="11" s="1"/>
  <c r="A25" i="11" s="1"/>
  <c r="A26" i="11" s="1"/>
  <c r="M119" i="11"/>
  <c r="O119" i="11" s="1"/>
  <c r="Q119" i="11" s="1"/>
  <c r="M28" i="9"/>
  <c r="O28" i="9" s="1"/>
  <c r="M76" i="9"/>
  <c r="O76" i="9" s="1"/>
  <c r="M114" i="9"/>
  <c r="O114" i="9" s="1"/>
  <c r="M138" i="9"/>
  <c r="O138" i="9" s="1"/>
  <c r="M25" i="11"/>
  <c r="O25" i="11" s="1"/>
  <c r="Q25" i="11" s="1"/>
  <c r="M126" i="9"/>
  <c r="O126" i="9" s="1"/>
  <c r="M150" i="9"/>
  <c r="O150" i="9" s="1"/>
  <c r="M174" i="9"/>
  <c r="O174" i="9" s="1"/>
  <c r="M56" i="10"/>
  <c r="O56" i="10" s="1"/>
  <c r="M89" i="10"/>
  <c r="O89" i="10" s="1"/>
  <c r="M268" i="9"/>
  <c r="O268" i="9" s="1"/>
  <c r="M121" i="10"/>
  <c r="O121" i="10" s="1"/>
  <c r="I46" i="8"/>
  <c r="M244" i="9"/>
  <c r="O244" i="9" s="1"/>
  <c r="M101" i="11"/>
  <c r="O101" i="11" s="1"/>
  <c r="Q101" i="11" s="1"/>
  <c r="M175" i="11"/>
  <c r="O175" i="11" s="1"/>
  <c r="Q175" i="11" s="1"/>
  <c r="M70" i="11"/>
  <c r="O70" i="11" s="1"/>
  <c r="Q70" i="11" s="1"/>
  <c r="M34" i="11"/>
  <c r="O34" i="11" s="1"/>
  <c r="Q34" i="11" s="1"/>
  <c r="M166" i="11"/>
  <c r="O166" i="11" s="1"/>
  <c r="Q166" i="11" s="1"/>
  <c r="M16" i="10"/>
  <c r="O16" i="10" s="1"/>
  <c r="M66" i="10"/>
  <c r="O66" i="10" s="1"/>
  <c r="M46" i="10"/>
  <c r="O46" i="10" s="1"/>
  <c r="M36" i="10"/>
  <c r="O36" i="10" s="1"/>
  <c r="M26" i="10"/>
  <c r="O26" i="10" s="1"/>
  <c r="M232" i="9"/>
  <c r="O232" i="9" s="1"/>
  <c r="M61" i="11"/>
  <c r="O61" i="11" s="1"/>
  <c r="Q61" i="11" s="1"/>
  <c r="M52" i="11"/>
  <c r="O52" i="11" s="1"/>
  <c r="Q52" i="11" s="1"/>
  <c r="M88" i="9"/>
  <c r="O88" i="9" s="1"/>
  <c r="M16" i="11"/>
  <c r="O16" i="11" s="1"/>
  <c r="Q16" i="11" s="1"/>
  <c r="M43" i="11"/>
  <c r="O43" i="11" s="1"/>
  <c r="Q43" i="11" s="1"/>
  <c r="M110" i="11"/>
  <c r="O110" i="11" s="1"/>
  <c r="Q110" i="11" s="1"/>
  <c r="M208" i="9"/>
  <c r="O208" i="9" s="1"/>
  <c r="M256" i="9"/>
  <c r="O256" i="9" s="1"/>
  <c r="M92" i="11"/>
  <c r="O92" i="11" s="1"/>
  <c r="Q92" i="11" s="1"/>
  <c r="M16" i="9"/>
  <c r="O16" i="9" s="1"/>
  <c r="M40" i="9"/>
  <c r="O40" i="9" s="1"/>
  <c r="M186" i="9"/>
  <c r="O186" i="9" s="1"/>
  <c r="Q186" i="9" s="1"/>
  <c r="M99" i="10"/>
  <c r="O99" i="10" s="1"/>
  <c r="M109" i="10"/>
  <c r="O109" i="10" s="1"/>
  <c r="M144" i="11"/>
  <c r="O144" i="11" s="1"/>
  <c r="Q144" i="11" s="1"/>
  <c r="M202" i="11"/>
  <c r="O202" i="11" s="1"/>
  <c r="Q202" i="11" s="1"/>
  <c r="M220" i="9"/>
  <c r="O220" i="9" s="1"/>
  <c r="M52" i="9"/>
  <c r="O52" i="9" s="1"/>
  <c r="M64" i="9"/>
  <c r="O64" i="9" s="1"/>
  <c r="M162" i="9"/>
  <c r="O162" i="9" s="1"/>
  <c r="M184" i="11"/>
  <c r="O184" i="11" s="1"/>
  <c r="Q184" i="11" s="1"/>
  <c r="M193" i="11"/>
  <c r="O193" i="11" s="1"/>
  <c r="Q193" i="11" s="1"/>
  <c r="A15" i="8" a="1"/>
  <c r="A15" i="8" s="1"/>
  <c r="B14" i="7"/>
  <c r="A114" i="9" l="1"/>
  <c r="A115" i="9" s="1"/>
  <c r="A116" i="9" s="1"/>
  <c r="A117" i="9" s="1"/>
  <c r="A119" i="9" s="1"/>
  <c r="A120" i="9" s="1"/>
  <c r="A121" i="9" s="1"/>
  <c r="A122" i="9" s="1"/>
  <c r="A125" i="9" s="1"/>
  <c r="A126" i="9" s="1"/>
  <c r="A127" i="9" s="1"/>
  <c r="A128" i="9" s="1"/>
  <c r="A129" i="9" s="1"/>
  <c r="A131" i="9" s="1"/>
  <c r="A132" i="9" s="1"/>
  <c r="A133" i="9" s="1"/>
  <c r="A134" i="9" s="1"/>
  <c r="A137" i="9" s="1"/>
  <c r="A138" i="9" s="1"/>
  <c r="A139" i="9" s="1"/>
  <c r="A140" i="9" s="1"/>
  <c r="A141" i="9" s="1"/>
  <c r="A143" i="9" s="1"/>
  <c r="A144" i="9" s="1"/>
  <c r="A145" i="9" s="1"/>
  <c r="A146" i="9" s="1"/>
  <c r="A149" i="9" s="1"/>
  <c r="A150" i="9" s="1"/>
  <c r="A151" i="9" s="1"/>
  <c r="A152" i="9" s="1"/>
  <c r="A153" i="9" s="1"/>
  <c r="A155" i="9" s="1"/>
  <c r="A156" i="9" s="1"/>
  <c r="A157" i="9" s="1"/>
  <c r="A158" i="9" s="1"/>
  <c r="A161" i="9" s="1"/>
  <c r="A162" i="9" s="1"/>
  <c r="A163" i="9" s="1"/>
  <c r="A164" i="9" s="1"/>
  <c r="A165" i="9" s="1"/>
  <c r="A167" i="9" s="1"/>
  <c r="A168" i="9" s="1"/>
  <c r="A169" i="9" s="1"/>
  <c r="A170" i="9" s="1"/>
  <c r="A173" i="9" s="1"/>
  <c r="A174" i="9" s="1"/>
  <c r="A175" i="9" s="1"/>
  <c r="A176" i="9" s="1"/>
  <c r="A177" i="9" s="1"/>
  <c r="A179" i="9" s="1"/>
  <c r="A180" i="9" s="1"/>
  <c r="A181" i="9" s="1"/>
  <c r="A182" i="9" s="1"/>
  <c r="A186" i="9" s="1"/>
  <c r="A187" i="9" s="1"/>
  <c r="A188" i="9" s="1"/>
  <c r="A190" i="9" s="1"/>
  <c r="A191" i="9" s="1"/>
  <c r="A207" i="9" s="1"/>
  <c r="A208" i="9" s="1"/>
  <c r="A209" i="9" s="1"/>
  <c r="A210" i="9" s="1"/>
  <c r="A211" i="9" s="1"/>
  <c r="A213" i="9" s="1"/>
  <c r="A214" i="9" s="1"/>
  <c r="A215" i="9" s="1"/>
  <c r="A216" i="9" s="1"/>
  <c r="A219" i="9" s="1"/>
  <c r="A220" i="9" s="1"/>
  <c r="A221" i="9" s="1"/>
  <c r="A222" i="9" s="1"/>
  <c r="A223" i="9" s="1"/>
  <c r="A225" i="9" s="1"/>
  <c r="A226" i="9" s="1"/>
  <c r="A227" i="9" s="1"/>
  <c r="A228" i="9" s="1"/>
  <c r="A231" i="9" s="1"/>
  <c r="A232" i="9" s="1"/>
  <c r="A233" i="9" s="1"/>
  <c r="A234" i="9" s="1"/>
  <c r="A235" i="9" s="1"/>
  <c r="A237" i="9" s="1"/>
  <c r="A238" i="9" s="1"/>
  <c r="A239" i="9" s="1"/>
  <c r="A240" i="9" s="1"/>
  <c r="A243" i="9" s="1"/>
  <c r="A244" i="9" s="1"/>
  <c r="A245" i="9" s="1"/>
  <c r="A246" i="9" s="1"/>
  <c r="A247" i="9" s="1"/>
  <c r="A249" i="9" s="1"/>
  <c r="A250" i="9" s="1"/>
  <c r="A251" i="9" s="1"/>
  <c r="A252" i="9" s="1"/>
  <c r="A255" i="9" s="1"/>
  <c r="A256" i="9" s="1"/>
  <c r="A257" i="9" s="1"/>
  <c r="A258" i="9" s="1"/>
  <c r="A259" i="9" s="1"/>
  <c r="A261" i="9" s="1"/>
  <c r="A262" i="9" s="1"/>
  <c r="A263" i="9" s="1"/>
  <c r="A264" i="9" s="1"/>
  <c r="A267" i="9" s="1"/>
  <c r="A268" i="9" s="1"/>
  <c r="A269" i="9" s="1"/>
  <c r="A270" i="9" s="1"/>
  <c r="A271" i="9" s="1"/>
  <c r="A273" i="9" s="1"/>
  <c r="A274" i="9" s="1"/>
  <c r="A275" i="9" s="1"/>
  <c r="A276" i="9" s="1"/>
  <c r="A279" i="9" s="1"/>
  <c r="A280" i="9" s="1"/>
  <c r="A281" i="9" s="1"/>
  <c r="A282" i="9" s="1"/>
  <c r="A284" i="9" s="1"/>
  <c r="A285" i="9" s="1"/>
  <c r="A286" i="9" s="1"/>
  <c r="A287" i="9" s="1"/>
  <c r="A27" i="11"/>
  <c r="A29" i="11" s="1"/>
  <c r="A30" i="11" s="1"/>
  <c r="A33" i="11" s="1"/>
  <c r="A34" i="11" s="1"/>
  <c r="A16" i="8" a="1"/>
  <c r="A16" i="8" s="1"/>
  <c r="B15" i="7"/>
  <c r="A35" i="11" l="1"/>
  <c r="A36" i="11" s="1"/>
  <c r="A38" i="11" s="1"/>
  <c r="A39" i="11" s="1"/>
  <c r="A52" i="11" s="1"/>
  <c r="A17" i="8" a="1"/>
  <c r="A17" i="8" s="1"/>
  <c r="B16" i="7"/>
  <c r="A53" i="11" l="1"/>
  <c r="A54" i="11" s="1"/>
  <c r="A56" i="11" s="1"/>
  <c r="A57" i="11" s="1"/>
  <c r="A43" i="11" s="1"/>
  <c r="A44" i="11" s="1"/>
  <c r="A45" i="11" s="1"/>
  <c r="A47" i="11" s="1"/>
  <c r="A48" i="11" s="1"/>
  <c r="A61" i="11" s="1"/>
  <c r="B17" i="7"/>
  <c r="A20" i="8" a="1"/>
  <c r="A20" i="8" s="1"/>
  <c r="B18" i="7"/>
  <c r="A62" i="11" l="1"/>
  <c r="A63" i="11" s="1"/>
  <c r="A65" i="11" s="1"/>
  <c r="A66" i="11" s="1"/>
  <c r="A69" i="11" s="1"/>
  <c r="A70" i="11" s="1"/>
  <c r="A21" i="8" a="1"/>
  <c r="A21" i="8" s="1"/>
  <c r="B19" i="7"/>
  <c r="A71" i="11" l="1"/>
  <c r="A72" i="11" s="1"/>
  <c r="A74" i="11" s="1"/>
  <c r="A75" i="11" s="1"/>
  <c r="A91" i="11" s="1"/>
  <c r="A92" i="11" s="1"/>
  <c r="B20" i="7"/>
  <c r="A22" i="8" a="1"/>
  <c r="A22" i="8" s="1"/>
  <c r="B21" i="7"/>
  <c r="A93" i="11" l="1"/>
  <c r="A94" i="11" s="1"/>
  <c r="A96" i="11" s="1"/>
  <c r="A97" i="11" s="1"/>
  <c r="A100" i="11" s="1"/>
  <c r="A101" i="11" s="1"/>
  <c r="A23" i="8" a="1"/>
  <c r="A23" i="8" s="1"/>
  <c r="A26" i="8" s="1" a="1"/>
  <c r="A26" i="8" s="1"/>
  <c r="A27" i="8" s="1" a="1"/>
  <c r="A27" i="8" s="1"/>
  <c r="A28" i="8" s="1" a="1"/>
  <c r="A28" i="8" s="1"/>
  <c r="A29" i="8" s="1" a="1"/>
  <c r="A29" i="8" s="1"/>
  <c r="A30" i="8" s="1" a="1"/>
  <c r="A30" i="8" s="1"/>
  <c r="A31" i="8" s="1" a="1"/>
  <c r="A31" i="8" s="1"/>
  <c r="A32" i="8" s="1" a="1"/>
  <c r="A32" i="8" s="1"/>
  <c r="A35" i="8" s="1" a="1"/>
  <c r="A35" i="8" s="1"/>
  <c r="A36" i="8" s="1" a="1"/>
  <c r="A36" i="8" s="1"/>
  <c r="A37" i="8" s="1" a="1"/>
  <c r="A37" i="8" s="1"/>
  <c r="A38" i="8" s="1" a="1"/>
  <c r="A38" i="8" s="1"/>
  <c r="A39" i="8" s="1" a="1"/>
  <c r="A39" i="8" s="1"/>
  <c r="A40" i="8" s="1" a="1"/>
  <c r="A40" i="8" s="1"/>
  <c r="A43" i="8" s="1" a="1"/>
  <c r="A43" i="8" s="1"/>
  <c r="A44" i="8" s="1" a="1"/>
  <c r="A44" i="8" s="1"/>
  <c r="A45" i="8" s="1" a="1"/>
  <c r="A45" i="8" s="1"/>
  <c r="A46" i="8" s="1" a="1"/>
  <c r="A46" i="8" s="1"/>
  <c r="A48" i="8" s="1" a="1"/>
  <c r="A48" i="8" s="1"/>
  <c r="B22" i="7"/>
  <c r="A102" i="11" l="1"/>
  <c r="A103" i="11" s="1"/>
  <c r="A105" i="11" s="1"/>
  <c r="A106" i="11" s="1"/>
  <c r="A109" i="11" s="1"/>
  <c r="A110" i="11" s="1"/>
  <c r="B23" i="7"/>
  <c r="B26" i="7" s="1"/>
  <c r="B27" i="7" s="1"/>
  <c r="B28" i="7" s="1"/>
  <c r="B29" i="7" s="1"/>
  <c r="B30" i="7" s="1"/>
  <c r="B31" i="7" s="1"/>
  <c r="B34" i="7" s="1"/>
  <c r="B35" i="7" s="1"/>
  <c r="B36" i="7" s="1"/>
  <c r="B37" i="7" s="1"/>
  <c r="B38" i="7" s="1"/>
  <c r="A111" i="11" l="1"/>
  <c r="A112" i="11" s="1"/>
  <c r="A114" i="11" s="1"/>
  <c r="A115" i="11" s="1"/>
  <c r="A118" i="11" s="1"/>
  <c r="A119" i="11" s="1"/>
  <c r="B39" i="7"/>
  <c r="B40" i="7" s="1"/>
  <c r="B41" i="7" s="1"/>
  <c r="B42" i="7" s="1"/>
  <c r="B43" i="7" s="1"/>
  <c r="B45" i="7" s="1"/>
  <c r="B48" i="7" s="1"/>
  <c r="B49" i="7" s="1"/>
  <c r="B50" i="7" s="1"/>
  <c r="B51" i="7" s="1"/>
  <c r="B52" i="7" s="1"/>
  <c r="B53" i="7" s="1"/>
  <c r="B54" i="7" s="1"/>
  <c r="B55" i="7" s="1"/>
  <c r="B56" i="7" s="1"/>
  <c r="B58" i="7" s="1"/>
  <c r="B60" i="7" s="1"/>
  <c r="A120" i="11" l="1"/>
  <c r="A121" i="11" s="1"/>
  <c r="A123" i="11" s="1"/>
  <c r="A124" i="11" s="1"/>
  <c r="A127" i="11" s="1"/>
  <c r="A128" i="11" s="1"/>
  <c r="A129" i="11" s="1"/>
  <c r="A131" i="11" s="1"/>
  <c r="A132" i="11" s="1"/>
  <c r="A135" i="11" s="1"/>
  <c r="A136" i="11" s="1"/>
  <c r="A18" i="6"/>
  <c r="A19" i="6" l="1"/>
  <c r="A20" i="6" l="1"/>
  <c r="A22" i="6" l="1"/>
  <c r="A23" i="6" s="1"/>
  <c r="A24" i="6" l="1"/>
  <c r="A26" i="6" s="1"/>
  <c r="A29" i="6" s="1"/>
  <c r="A30" i="6" s="1"/>
  <c r="A31" i="6" s="1"/>
  <c r="A32" i="6" s="1"/>
  <c r="A33" i="6" l="1"/>
  <c r="A34" i="6" l="1"/>
  <c r="A35" i="6" s="1"/>
  <c r="A36" i="6" s="1"/>
  <c r="A38" i="6" l="1"/>
  <c r="A39" i="6" s="1"/>
  <c r="A40" i="6" s="1"/>
  <c r="A42" i="6" l="1"/>
  <c r="A45" i="6" l="1"/>
  <c r="A46" i="6" s="1"/>
  <c r="A48" i="6" s="1"/>
  <c r="A49" i="6" s="1"/>
  <c r="A50" i="6" l="1"/>
  <c r="A52" i="6" s="1"/>
  <c r="A53" i="6" s="1"/>
  <c r="A54" i="6" s="1"/>
  <c r="A73" i="6" s="1"/>
  <c r="A74" i="6" s="1"/>
  <c r="A76" i="6" s="1"/>
  <c r="A77" i="6" s="1"/>
  <c r="A79" i="6" s="1"/>
  <c r="A80" i="6" s="1"/>
  <c r="A81" i="6" s="1"/>
  <c r="A83" i="6" s="1"/>
  <c r="A86" i="6" l="1"/>
  <c r="A87" i="6" l="1"/>
  <c r="A89" i="6" s="1"/>
  <c r="J179" i="4"/>
  <c r="J130" i="4"/>
  <c r="I23" i="5"/>
  <c r="S22" i="5"/>
  <c r="S21" i="5"/>
  <c r="S20" i="5"/>
  <c r="A19" i="5"/>
  <c r="D45" i="4"/>
  <c r="D33" i="4"/>
  <c r="D25" i="4"/>
  <c r="B15" i="4"/>
  <c r="A90" i="6" l="1"/>
  <c r="S19" i="5"/>
  <c r="J69" i="4"/>
  <c r="O34" i="5"/>
  <c r="O32" i="5"/>
  <c r="O31" i="5"/>
  <c r="S31" i="5"/>
  <c r="S33" i="5"/>
  <c r="S43" i="5"/>
  <c r="O30" i="5"/>
  <c r="S34" i="5"/>
  <c r="O43" i="5"/>
  <c r="I45" i="5"/>
  <c r="S30" i="5"/>
  <c r="H45" i="5"/>
  <c r="O33" i="5"/>
  <c r="O42" i="5"/>
  <c r="S42" i="5"/>
  <c r="S32" i="5"/>
  <c r="U49" i="5"/>
  <c r="H35" i="5"/>
  <c r="S44" i="5"/>
  <c r="F45" i="4"/>
  <c r="F25" i="4"/>
  <c r="F33" i="4"/>
  <c r="S23" i="5"/>
  <c r="O44" i="5"/>
  <c r="I35" i="5"/>
  <c r="A20" i="5"/>
  <c r="A21" i="5" s="1"/>
  <c r="B16" i="4"/>
  <c r="A92" i="6" l="1"/>
  <c r="A93" i="6"/>
  <c r="A94" i="6" s="1"/>
  <c r="W32" i="5"/>
  <c r="W33" i="5"/>
  <c r="W31" i="5"/>
  <c r="W43" i="5"/>
  <c r="W34" i="5"/>
  <c r="W30" i="5"/>
  <c r="A22" i="5"/>
  <c r="W42" i="5"/>
  <c r="S35" i="5"/>
  <c r="F47" i="4"/>
  <c r="O35" i="5"/>
  <c r="S45" i="5"/>
  <c r="W44" i="5"/>
  <c r="O45" i="5"/>
  <c r="A23" i="5"/>
  <c r="B17" i="4"/>
  <c r="B18" i="4" s="1"/>
  <c r="W35" i="5" l="1"/>
  <c r="H130" i="4" s="1"/>
  <c r="A96" i="6"/>
  <c r="W45" i="5"/>
  <c r="H179" i="4" s="1"/>
  <c r="B19" i="4"/>
  <c r="B20" i="4" s="1"/>
  <c r="B21" i="4" s="1"/>
  <c r="A25" i="5"/>
  <c r="A99" i="6" l="1"/>
  <c r="A28" i="5"/>
  <c r="B22" i="4"/>
  <c r="A100" i="6" l="1"/>
  <c r="A30" i="5"/>
  <c r="A31" i="5" s="1"/>
  <c r="A32" i="5" s="1"/>
  <c r="B23" i="4"/>
  <c r="A103" i="6" l="1"/>
  <c r="A33" i="5"/>
  <c r="A34" i="5" s="1"/>
  <c r="B24" i="4"/>
  <c r="A106" i="6" l="1"/>
  <c r="A35" i="5"/>
  <c r="A37" i="5" s="1"/>
  <c r="A40" i="5" s="1"/>
  <c r="A42" i="5" s="1"/>
  <c r="A43" i="5" s="1"/>
  <c r="B25" i="4"/>
  <c r="B28" i="4" s="1"/>
  <c r="B29" i="4" s="1"/>
  <c r="B30" i="4" s="1"/>
  <c r="B31" i="4" s="1"/>
  <c r="B32" i="4" s="1"/>
  <c r="B33" i="4" s="1"/>
  <c r="B36" i="4" s="1"/>
  <c r="B37" i="4" s="1"/>
  <c r="B38" i="4" s="1"/>
  <c r="B39" i="4" s="1"/>
  <c r="B40" i="4" s="1"/>
  <c r="B41" i="4" s="1"/>
  <c r="B42" i="4" s="1"/>
  <c r="B43" i="4" s="1"/>
  <c r="B44" i="4" s="1"/>
  <c r="B45" i="4" s="1"/>
  <c r="B47" i="4" s="1"/>
  <c r="A107" i="6" l="1"/>
  <c r="A108" i="6" s="1"/>
  <c r="A44" i="5"/>
  <c r="A45" i="5" s="1"/>
  <c r="A47" i="5" s="1"/>
  <c r="A49" i="5" s="1"/>
  <c r="A112" i="6" l="1"/>
  <c r="A113" i="6" s="1"/>
  <c r="A114" i="6" s="1"/>
  <c r="A116" i="6" s="1"/>
  <c r="A117" i="6" s="1"/>
  <c r="A118" i="6" s="1"/>
  <c r="AB191" i="7"/>
  <c r="AB193" i="7" s="1"/>
  <c r="AB208" i="7" s="1"/>
  <c r="A120" i="6" l="1"/>
  <c r="A137" i="6" l="1"/>
  <c r="A138" i="6" s="1"/>
  <c r="A140" i="6" s="1"/>
  <c r="A141" i="6" l="1"/>
  <c r="A142" i="6" s="1"/>
  <c r="A144" i="6" s="1"/>
  <c r="A145" i="6" s="1"/>
  <c r="A146" i="6" s="1"/>
  <c r="A148" i="6" s="1"/>
  <c r="A151" i="6" s="1"/>
  <c r="A152" i="6" s="1"/>
  <c r="A154" i="6" s="1"/>
  <c r="A155" i="6" s="1"/>
  <c r="A157" i="6" s="1"/>
  <c r="A158" i="6" s="1"/>
  <c r="A159" i="6" s="1"/>
  <c r="A161" i="6" s="1"/>
  <c r="A164" i="6" s="1"/>
  <c r="A165" i="6" s="1"/>
  <c r="A166" i="6" s="1"/>
  <c r="A168" i="6" s="1"/>
  <c r="A169" i="6" s="1"/>
  <c r="A170" i="6" s="1"/>
  <c r="A172" i="6" s="1"/>
  <c r="A189" i="6" s="1"/>
  <c r="A190" i="6" s="1"/>
  <c r="A192" i="6" s="1"/>
  <c r="A193" i="6" s="1"/>
  <c r="A196" i="6" s="1"/>
  <c r="A197" i="6" s="1"/>
  <c r="A198" i="6" s="1"/>
  <c r="A199" i="6" s="1"/>
  <c r="A202" i="6" s="1"/>
  <c r="A203" i="6" s="1"/>
  <c r="A204" i="6" s="1"/>
  <c r="A205" i="6" s="1"/>
  <c r="A208" i="6" l="1"/>
  <c r="A209" i="6" s="1"/>
  <c r="A229" i="6" s="1"/>
  <c r="J164" i="6" l="1"/>
  <c r="J40" i="31" l="1"/>
  <c r="J22" i="31" l="1"/>
  <c r="T197" i="7" l="1"/>
  <c r="AJ197" i="7" s="1"/>
  <c r="AL197" i="7" s="1"/>
  <c r="T196" i="7" l="1"/>
  <c r="AJ196" i="7" l="1"/>
  <c r="AL196" i="7" s="1"/>
  <c r="T122" i="7" l="1"/>
  <c r="AJ122" i="7" s="1"/>
  <c r="AL122" i="7" s="1"/>
  <c r="T50" i="7" l="1"/>
  <c r="AJ50" i="7" s="1"/>
  <c r="AL50" i="7" l="1"/>
  <c r="AO50" i="7"/>
  <c r="G20" i="25" l="1"/>
  <c r="E20" i="25"/>
  <c r="E28" i="25" l="1"/>
  <c r="E43" i="25"/>
  <c r="E57" i="25" l="1"/>
  <c r="E25" i="19"/>
  <c r="E33" i="19"/>
  <c r="E48" i="19" l="1"/>
  <c r="E62" i="19" s="1"/>
  <c r="G29" i="21" l="1"/>
  <c r="A231" i="6" l="1"/>
  <c r="A232" i="6" l="1"/>
  <c r="A233" i="6" s="1"/>
  <c r="A234" i="6" l="1"/>
  <c r="A235" i="6" l="1"/>
  <c r="A237" i="6" l="1"/>
  <c r="A238" i="6" l="1"/>
  <c r="A240" i="6" s="1"/>
  <c r="A241" i="6" l="1"/>
  <c r="A243" i="6" s="1"/>
  <c r="A244" i="6" s="1"/>
  <c r="A247" i="6" s="1"/>
  <c r="A249" i="6" l="1"/>
  <c r="A250" i="6" s="1"/>
  <c r="A251" i="6" l="1"/>
  <c r="A252" i="6" s="1"/>
  <c r="A253" i="6" s="1"/>
  <c r="A255" i="6" s="1"/>
  <c r="A256" i="6" l="1"/>
  <c r="A258" i="6" s="1"/>
  <c r="A259" i="6" s="1"/>
  <c r="A261" i="6" s="1"/>
  <c r="A262" i="6" s="1"/>
  <c r="A265" i="6" s="1"/>
  <c r="A267" i="6" l="1"/>
  <c r="A268" i="6" s="1"/>
  <c r="A270" i="6" s="1"/>
  <c r="A271" i="6" s="1"/>
  <c r="A274" i="6" s="1"/>
  <c r="A275" i="6" s="1"/>
  <c r="A277" i="6" s="1"/>
  <c r="A278" i="6" s="1"/>
  <c r="A280" i="6" s="1"/>
  <c r="A281" i="6" s="1"/>
  <c r="A284" i="6" s="1"/>
  <c r="A285" i="6" s="1"/>
  <c r="A287" i="6" s="1"/>
  <c r="A288" i="6" s="1"/>
  <c r="A304" i="6" s="1"/>
  <c r="A305" i="6" s="1"/>
  <c r="A308" i="6" s="1"/>
  <c r="A309" i="6" s="1"/>
  <c r="G33" i="21"/>
  <c r="G36" i="21" l="1"/>
  <c r="G38" i="21" s="1"/>
  <c r="I35" i="21" l="1"/>
  <c r="E188" i="9" l="1"/>
  <c r="E43" i="9" l="1"/>
  <c r="E91" i="9"/>
  <c r="E79" i="9"/>
  <c r="E55" i="9"/>
  <c r="E117" i="9"/>
  <c r="E67" i="9"/>
  <c r="E165" i="9" l="1"/>
  <c r="E141" i="9"/>
  <c r="E177" i="9"/>
  <c r="E31" i="9"/>
  <c r="E129" i="9"/>
  <c r="E19" i="9"/>
  <c r="E153" i="9"/>
  <c r="J612" i="6" l="1"/>
  <c r="J613" i="6" l="1"/>
  <c r="A312" i="6" l="1"/>
  <c r="A313" i="6" l="1"/>
  <c r="A314" i="6" s="1"/>
  <c r="A317" i="6" l="1"/>
  <c r="A318" i="6" l="1"/>
  <c r="A320" i="6" l="1"/>
  <c r="A321" i="6" l="1"/>
  <c r="A323" i="6" l="1"/>
  <c r="A324" i="6" l="1"/>
  <c r="A327" i="6" s="1"/>
  <c r="A328" i="6" s="1"/>
  <c r="A330" i="6" l="1"/>
  <c r="A331" i="6" s="1"/>
  <c r="A348" i="6" l="1"/>
  <c r="A350" i="6" l="1"/>
  <c r="A351" i="6" s="1"/>
  <c r="A352" i="6" s="1"/>
  <c r="A354" i="6" s="1"/>
  <c r="A355" i="6" s="1"/>
  <c r="A358" i="6" s="1"/>
  <c r="A360" i="6" s="1"/>
  <c r="A361" i="6" s="1"/>
  <c r="A362" i="6" s="1"/>
  <c r="A363" i="6" s="1"/>
  <c r="A365" i="6" s="1"/>
  <c r="A366" i="6" s="1"/>
  <c r="A371" i="6" s="1"/>
  <c r="A372" i="6" s="1"/>
  <c r="A373" i="6" s="1"/>
  <c r="A375" i="6" s="1"/>
  <c r="A376" i="6" s="1"/>
  <c r="A378" i="6" s="1"/>
  <c r="A381" i="6" s="1"/>
  <c r="A382" i="6" s="1"/>
  <c r="A383" i="6" s="1"/>
  <c r="A385" i="6" s="1"/>
  <c r="A386" i="6" s="1"/>
  <c r="A403" i="6" s="1"/>
  <c r="A404" i="6" s="1"/>
  <c r="A407" i="6" s="1"/>
  <c r="A408" i="6" s="1"/>
  <c r="A410" i="6" s="1"/>
  <c r="A412" i="6" s="1"/>
  <c r="A413" i="6" s="1"/>
  <c r="A417" i="6" s="1"/>
  <c r="A418" i="6" s="1"/>
  <c r="A421" i="6" s="1"/>
  <c r="A423" i="6" s="1"/>
  <c r="A426" i="6" s="1"/>
  <c r="A427" i="6" s="1"/>
  <c r="A429" i="6" s="1"/>
  <c r="A448" i="6" s="1"/>
  <c r="A450" i="6" s="1"/>
  <c r="A451" i="6" s="1"/>
  <c r="A452" i="6" s="1"/>
  <c r="A453" i="6" s="1"/>
  <c r="A455" i="6" s="1"/>
  <c r="A456" i="6" s="1"/>
  <c r="A460" i="6" s="1"/>
  <c r="A461" i="6" s="1"/>
  <c r="A463" i="6" s="1"/>
  <c r="A464" i="6" s="1"/>
  <c r="A466" i="6" s="1"/>
  <c r="A467" i="6" s="1"/>
  <c r="A473" i="6" s="1"/>
  <c r="A475" i="6" s="1"/>
  <c r="A476" i="6" s="1"/>
  <c r="A477" i="6" s="1"/>
  <c r="A478" i="6" s="1"/>
  <c r="A480" i="6" s="1"/>
  <c r="A481" i="6" s="1"/>
  <c r="A485" i="6" s="1"/>
  <c r="A486" i="6" s="1"/>
  <c r="A488" i="6" s="1"/>
  <c r="A489" i="6" s="1"/>
  <c r="A491" i="6" s="1"/>
  <c r="A492" i="6" s="1"/>
  <c r="A511" i="6" s="1"/>
  <c r="A513" i="6" s="1"/>
  <c r="A514" i="6" s="1"/>
  <c r="A515" i="6" s="1"/>
  <c r="A516" i="6" s="1"/>
  <c r="A518" i="6" s="1"/>
  <c r="A519" i="6" s="1"/>
  <c r="A522" i="6" s="1"/>
  <c r="A523" i="6" s="1"/>
  <c r="A524" i="6" s="1"/>
  <c r="A525" i="6" s="1"/>
  <c r="A551" i="6" s="1"/>
  <c r="A552" i="6" s="1"/>
  <c r="A555" i="6" s="1"/>
  <c r="A556" i="6" s="1"/>
  <c r="A560" i="6" s="1"/>
  <c r="A561" i="6" s="1"/>
  <c r="A562" i="6" s="1"/>
  <c r="A563" i="6" s="1"/>
  <c r="A564" i="6" s="1"/>
  <c r="A567" i="6" s="1"/>
  <c r="A568" i="6" s="1"/>
  <c r="A571" i="6" s="1"/>
  <c r="A575" i="6" s="1"/>
  <c r="A576" i="6" s="1"/>
  <c r="A577" i="6" s="1"/>
  <c r="A578" i="6" s="1"/>
  <c r="A581" i="6" s="1"/>
  <c r="A582" i="6" s="1"/>
  <c r="A583" i="6" s="1"/>
  <c r="A584" i="6" s="1"/>
  <c r="A586" i="6" s="1"/>
  <c r="A587" i="6" s="1"/>
  <c r="A604" i="6" s="1"/>
  <c r="A606" i="6" s="1"/>
  <c r="A607" i="6" s="1"/>
  <c r="A608" i="6" s="1"/>
  <c r="A610" i="6" s="1"/>
  <c r="A611" i="6" s="1"/>
  <c r="A612" i="6" s="1"/>
  <c r="A613" i="6" s="1"/>
  <c r="A615" i="6" s="1"/>
  <c r="A616" i="6" s="1"/>
  <c r="A617" i="6" s="1"/>
  <c r="A618" i="6" s="1"/>
  <c r="A622" i="6" s="1"/>
  <c r="A623" i="6" s="1"/>
  <c r="A624" i="6" s="1"/>
  <c r="A625" i="6" s="1"/>
  <c r="A627" i="6" s="1"/>
  <c r="A628" i="6" s="1"/>
  <c r="A629" i="6" s="1"/>
  <c r="A630" i="6" s="1"/>
  <c r="A633" i="6" s="1"/>
  <c r="A636" i="6" s="1"/>
  <c r="A637" i="6" s="1"/>
  <c r="A638" i="6" s="1"/>
  <c r="A640" i="6" s="1"/>
  <c r="A641" i="6" s="1"/>
  <c r="A642" i="6" s="1"/>
  <c r="A643" i="6" s="1"/>
  <c r="A644" i="6" s="1"/>
  <c r="A645" i="6" s="1"/>
  <c r="A649" i="6" s="1"/>
  <c r="A650" i="6" s="1"/>
  <c r="A651" i="6" s="1"/>
  <c r="A652" i="6" s="1"/>
  <c r="A653" i="6" s="1"/>
  <c r="A654" i="6" s="1"/>
  <c r="A670" i="6" s="1"/>
  <c r="A671" i="6" s="1"/>
  <c r="A672" i="6" s="1"/>
  <c r="A673" i="6" s="1"/>
  <c r="A674" i="6" s="1"/>
  <c r="A675" i="6" s="1"/>
  <c r="A676" i="6" s="1"/>
  <c r="A677" i="6" s="1"/>
  <c r="A678" i="6" s="1"/>
  <c r="A679" i="6" s="1"/>
  <c r="A681" i="6" l="1"/>
  <c r="A685" i="6" s="1"/>
  <c r="A686" i="6" s="1"/>
  <c r="A687" i="6" s="1"/>
  <c r="A688" i="6" s="1"/>
  <c r="A689" i="6" s="1"/>
  <c r="A690" i="6" s="1"/>
  <c r="A691" i="6" s="1"/>
  <c r="A692" i="6" s="1"/>
  <c r="M56" i="19" l="1"/>
  <c r="M59" i="19"/>
  <c r="M54" i="19" l="1"/>
  <c r="I60" i="19" l="1"/>
  <c r="K60" i="19"/>
  <c r="M57" i="19"/>
  <c r="E55" i="22"/>
  <c r="M58" i="19"/>
  <c r="E55" i="23" l="1"/>
  <c r="M55" i="19"/>
  <c r="M60" i="19" s="1"/>
  <c r="A137" i="11" l="1"/>
  <c r="A139" i="11" s="1"/>
  <c r="A140" i="11" s="1"/>
  <c r="A143" i="11" s="1"/>
  <c r="A144" i="11" s="1"/>
  <c r="A145" i="11" s="1"/>
  <c r="A146" i="11" s="1"/>
  <c r="A148" i="11" s="1"/>
  <c r="A149" i="11" s="1"/>
  <c r="A165" i="11" s="1"/>
  <c r="A166" i="11" s="1"/>
  <c r="A167" i="11" s="1"/>
  <c r="A168" i="11" s="1"/>
  <c r="A170" i="11" s="1"/>
  <c r="A171" i="11" s="1"/>
  <c r="A174" i="11" s="1"/>
  <c r="A175" i="11" s="1"/>
  <c r="A176" i="11" s="1"/>
  <c r="A177" i="11" s="1"/>
  <c r="A179" i="11" s="1"/>
  <c r="A180" i="11" s="1"/>
  <c r="A183" i="11" s="1"/>
  <c r="A184" i="11" s="1"/>
  <c r="A185" i="11" s="1"/>
  <c r="A186" i="11" s="1"/>
  <c r="A188" i="11" s="1"/>
  <c r="A189" i="11" s="1"/>
  <c r="A192" i="11" s="1"/>
  <c r="A193" i="11" s="1"/>
  <c r="A194" i="11" s="1"/>
  <c r="A195" i="11" s="1"/>
  <c r="A197" i="11" s="1"/>
  <c r="A198" i="11" s="1"/>
  <c r="A201" i="11" s="1"/>
  <c r="A202" i="11" s="1"/>
  <c r="A203" i="11" s="1"/>
  <c r="A204" i="11" s="1"/>
  <c r="A206" i="11" s="1"/>
  <c r="A207" i="11" s="1"/>
  <c r="A210" i="11" s="1"/>
  <c r="A211" i="11" s="1"/>
  <c r="A212" i="11" s="1"/>
  <c r="A214" i="11" s="1"/>
  <c r="A215" i="11" s="1"/>
  <c r="K22" i="26" l="1"/>
  <c r="K39" i="26" l="1"/>
  <c r="G55" i="25" l="1"/>
  <c r="G55" i="24"/>
  <c r="M19" i="19" l="1"/>
  <c r="G25" i="19" l="1"/>
  <c r="G20" i="23" l="1"/>
  <c r="E20" i="24"/>
  <c r="E20" i="23"/>
  <c r="K25" i="19"/>
  <c r="G20" i="24" l="1"/>
  <c r="M18" i="19" l="1"/>
  <c r="M17" i="19"/>
  <c r="M21" i="19"/>
  <c r="M16" i="19"/>
  <c r="M23" i="19"/>
  <c r="M20" i="19"/>
  <c r="M22" i="19"/>
  <c r="M15" i="19" l="1"/>
  <c r="G20" i="22" l="1"/>
  <c r="I25" i="19"/>
  <c r="M14" i="19"/>
  <c r="M25" i="19" s="1"/>
  <c r="E20" i="22"/>
  <c r="G17" i="26" l="1"/>
  <c r="G25" i="26" s="1"/>
  <c r="G28" i="25" l="1"/>
  <c r="G43" i="25" l="1"/>
  <c r="G57" i="25" s="1"/>
  <c r="G38" i="26" l="1"/>
  <c r="G40" i="26" s="1"/>
  <c r="M47" i="19" l="1"/>
  <c r="M44" i="19" l="1"/>
  <c r="M31" i="19" l="1"/>
  <c r="M32" i="19" l="1"/>
  <c r="M45" i="19" l="1"/>
  <c r="M46" i="19"/>
  <c r="M37" i="19" l="1"/>
  <c r="G28" i="24"/>
  <c r="E28" i="24"/>
  <c r="M30" i="19"/>
  <c r="G33" i="19"/>
  <c r="M36" i="19" l="1"/>
  <c r="M38" i="19"/>
  <c r="M41" i="19" l="1"/>
  <c r="M43" i="19"/>
  <c r="M40" i="19" l="1"/>
  <c r="E43" i="23"/>
  <c r="K48" i="19"/>
  <c r="E43" i="22"/>
  <c r="M42" i="19"/>
  <c r="I48" i="19" l="1"/>
  <c r="G43" i="23"/>
  <c r="G43" i="22"/>
  <c r="G48" i="19"/>
  <c r="G62" i="19" s="1"/>
  <c r="G43" i="24" l="1"/>
  <c r="G57" i="24" s="1"/>
  <c r="E43" i="24"/>
  <c r="E57" i="24" s="1"/>
  <c r="M39" i="19"/>
  <c r="M48" i="19" s="1"/>
  <c r="K33" i="19" l="1"/>
  <c r="K62" i="19" s="1"/>
  <c r="G28" i="23"/>
  <c r="M28" i="19"/>
  <c r="E28" i="23"/>
  <c r="E57" i="23" s="1"/>
  <c r="G28" i="22" l="1"/>
  <c r="E28" i="22"/>
  <c r="E57" i="22" s="1"/>
  <c r="M29" i="19"/>
  <c r="M33" i="19" s="1"/>
  <c r="M62" i="19" s="1"/>
  <c r="I33" i="19"/>
  <c r="I62" i="19" s="1"/>
  <c r="I43" i="25" l="1"/>
  <c r="I20" i="25"/>
  <c r="I55" i="25"/>
  <c r="I28" i="25"/>
  <c r="I57" i="25" l="1"/>
  <c r="K55" i="25" l="1"/>
  <c r="M55" i="25"/>
  <c r="K43" i="25"/>
  <c r="M43" i="25"/>
  <c r="K20" i="26"/>
  <c r="I21" i="26"/>
  <c r="K28" i="25"/>
  <c r="M28" i="25"/>
  <c r="N28" i="29"/>
  <c r="P17" i="29" s="1"/>
  <c r="K20" i="25"/>
  <c r="M20" i="25"/>
  <c r="K36" i="30"/>
  <c r="M26" i="30" s="1"/>
  <c r="O60" i="19"/>
  <c r="P26" i="29" l="1"/>
  <c r="P15" i="29"/>
  <c r="P16" i="29"/>
  <c r="P23" i="29"/>
  <c r="P20" i="29"/>
  <c r="P22" i="29"/>
  <c r="P13" i="29"/>
  <c r="P21" i="29"/>
  <c r="P25" i="29"/>
  <c r="P24" i="29"/>
  <c r="M57" i="25"/>
  <c r="P14" i="29"/>
  <c r="K57" i="25"/>
  <c r="P19" i="29"/>
  <c r="K37" i="26"/>
  <c r="I38" i="26"/>
  <c r="K21" i="26"/>
  <c r="I23" i="26"/>
  <c r="K23" i="26" s="1"/>
  <c r="R28" i="29" s="1"/>
  <c r="R17" i="29" s="1"/>
  <c r="M27" i="30"/>
  <c r="O33" i="19"/>
  <c r="O25" i="19"/>
  <c r="O48" i="19"/>
  <c r="M21" i="30"/>
  <c r="M33" i="30"/>
  <c r="M14" i="30"/>
  <c r="M19" i="30"/>
  <c r="M22" i="30"/>
  <c r="M17" i="30"/>
  <c r="M24" i="30"/>
  <c r="M16" i="30"/>
  <c r="M20" i="30"/>
  <c r="M13" i="30"/>
  <c r="M15" i="30"/>
  <c r="M30" i="30"/>
  <c r="M34" i="30"/>
  <c r="M23" i="30"/>
  <c r="M31" i="30"/>
  <c r="M32" i="30"/>
  <c r="M28" i="30"/>
  <c r="R21" i="29" l="1"/>
  <c r="R22" i="29"/>
  <c r="R14" i="29"/>
  <c r="O62" i="19"/>
  <c r="P28" i="29"/>
  <c r="R13" i="29"/>
  <c r="R24" i="29"/>
  <c r="R15" i="29"/>
  <c r="R19" i="29"/>
  <c r="R23" i="29"/>
  <c r="R16" i="29"/>
  <c r="R20" i="29"/>
  <c r="R26" i="29"/>
  <c r="K38" i="26"/>
  <c r="I40" i="26"/>
  <c r="K40" i="26" s="1"/>
  <c r="O36" i="30" s="1"/>
  <c r="R25" i="29"/>
  <c r="M36" i="30"/>
  <c r="O32" i="30" l="1"/>
  <c r="O30" i="30"/>
  <c r="O34" i="30"/>
  <c r="O33" i="30"/>
  <c r="O28" i="30"/>
  <c r="O31" i="30"/>
  <c r="G55" i="22" l="1"/>
  <c r="G57" i="22" s="1"/>
  <c r="I57" i="22" s="1"/>
  <c r="I31" i="22" l="1"/>
  <c r="I32" i="22"/>
  <c r="K32" i="22" s="1"/>
  <c r="I51" i="22"/>
  <c r="K51" i="22" s="1"/>
  <c r="I38" i="22"/>
  <c r="K38" i="22" s="1"/>
  <c r="I9" i="22"/>
  <c r="I14" i="22"/>
  <c r="K14" i="22" s="1"/>
  <c r="I47" i="22"/>
  <c r="K47" i="22" s="1"/>
  <c r="I34" i="22"/>
  <c r="K34" i="22" s="1"/>
  <c r="I26" i="22"/>
  <c r="K26" i="22" s="1"/>
  <c r="I41" i="22"/>
  <c r="K41" i="22" s="1"/>
  <c r="I10" i="22"/>
  <c r="K10" i="22" s="1"/>
  <c r="I50" i="22"/>
  <c r="K50" i="22" s="1"/>
  <c r="I46" i="22"/>
  <c r="I33" i="22"/>
  <c r="K33" i="22" s="1"/>
  <c r="I53" i="22"/>
  <c r="K53" i="22" s="1"/>
  <c r="I52" i="22"/>
  <c r="K52" i="22" s="1"/>
  <c r="I49" i="22"/>
  <c r="K49" i="22" s="1"/>
  <c r="I39" i="22"/>
  <c r="K39" i="22" s="1"/>
  <c r="I16" i="22"/>
  <c r="K16" i="22" s="1"/>
  <c r="I23" i="22"/>
  <c r="I36" i="22"/>
  <c r="K36" i="22" s="1"/>
  <c r="I12" i="22"/>
  <c r="K12" i="22" s="1"/>
  <c r="I24" i="22"/>
  <c r="K24" i="22" s="1"/>
  <c r="I15" i="22"/>
  <c r="K15" i="22" s="1"/>
  <c r="I48" i="22"/>
  <c r="K48" i="22" s="1"/>
  <c r="I19" i="22"/>
  <c r="K19" i="22" s="1"/>
  <c r="I42" i="22"/>
  <c r="K42" i="22" s="1"/>
  <c r="I25" i="22"/>
  <c r="K25" i="22" s="1"/>
  <c r="I18" i="22"/>
  <c r="K18" i="22" s="1"/>
  <c r="I37" i="22"/>
  <c r="K37" i="22" s="1"/>
  <c r="I40" i="22"/>
  <c r="K40" i="22" s="1"/>
  <c r="I54" i="22"/>
  <c r="K54" i="22" s="1"/>
  <c r="I13" i="22"/>
  <c r="K13" i="22" s="1"/>
  <c r="I17" i="22"/>
  <c r="K17" i="22" s="1"/>
  <c r="I11" i="22"/>
  <c r="K11" i="22" s="1"/>
  <c r="I35" i="22"/>
  <c r="K35" i="22" s="1"/>
  <c r="I27" i="22"/>
  <c r="K27" i="22" s="1"/>
  <c r="K46" i="22" l="1"/>
  <c r="I55" i="22"/>
  <c r="K9" i="22"/>
  <c r="I20" i="22"/>
  <c r="I28" i="22"/>
  <c r="K23" i="22"/>
  <c r="I43" i="22"/>
  <c r="K31" i="22"/>
  <c r="G55" i="23"/>
  <c r="G57" i="23" s="1"/>
  <c r="K43" i="22" l="1"/>
  <c r="M43" i="22"/>
  <c r="K20" i="22"/>
  <c r="M20" i="22"/>
  <c r="K28" i="22"/>
  <c r="M28" i="22"/>
  <c r="M55" i="22"/>
  <c r="K55" i="22"/>
  <c r="G34" i="26" l="1"/>
  <c r="G42" i="26" s="1"/>
  <c r="G44" i="26" s="1"/>
  <c r="S60" i="19" l="1"/>
  <c r="S48" i="19" l="1"/>
  <c r="S25" i="19"/>
  <c r="S33" i="19"/>
  <c r="S62" i="19" l="1"/>
  <c r="G13" i="21" l="1"/>
  <c r="G26" i="21" s="1"/>
  <c r="I23" i="21"/>
  <c r="I18" i="21"/>
  <c r="E102" i="10" l="1"/>
  <c r="E212" i="11" l="1"/>
  <c r="E177" i="11" l="1"/>
  <c r="E168" i="11"/>
  <c r="E146" i="11"/>
  <c r="E103" i="11" l="1"/>
  <c r="E94" i="11" l="1"/>
  <c r="E45" i="11"/>
  <c r="E27" i="11"/>
  <c r="E129" i="11" l="1"/>
  <c r="E112" i="11"/>
  <c r="E121" i="11"/>
  <c r="E69" i="10"/>
  <c r="E92" i="10"/>
  <c r="E137" i="11"/>
  <c r="E124" i="10"/>
  <c r="E112" i="10"/>
  <c r="E63" i="11" l="1"/>
  <c r="E36" i="11"/>
  <c r="E54" i="11"/>
  <c r="E72" i="11"/>
  <c r="E18" i="11"/>
  <c r="E59" i="10" l="1"/>
  <c r="E49" i="10"/>
  <c r="E39" i="10"/>
  <c r="E29" i="10" l="1"/>
  <c r="E19" i="10" l="1"/>
  <c r="AD96" i="30" l="1"/>
  <c r="AH96" i="30" s="1"/>
  <c r="O100" i="10" l="1"/>
  <c r="Q100" i="10" s="1"/>
  <c r="L22" i="31" l="1"/>
  <c r="V22" i="31" l="1"/>
  <c r="J24" i="4" l="1"/>
  <c r="L24" i="4" s="1"/>
  <c r="U48" i="19" l="1"/>
  <c r="U60" i="19"/>
  <c r="U33" i="19"/>
  <c r="U25" i="19"/>
  <c r="U62" i="19" l="1"/>
  <c r="W40" i="19" l="1"/>
  <c r="W57" i="19"/>
  <c r="W59" i="19"/>
  <c r="W56" i="19"/>
  <c r="W54" i="19"/>
  <c r="W58" i="19"/>
  <c r="W43" i="19"/>
  <c r="W55" i="19"/>
  <c r="W47" i="19"/>
  <c r="W45" i="19"/>
  <c r="W46" i="19"/>
  <c r="W39" i="19"/>
  <c r="W52" i="19" l="1"/>
  <c r="W18" i="19"/>
  <c r="W19" i="19"/>
  <c r="W22" i="19"/>
  <c r="W42" i="19"/>
  <c r="W37" i="19"/>
  <c r="W32" i="19"/>
  <c r="W30" i="19"/>
  <c r="W41" i="19"/>
  <c r="W23" i="19"/>
  <c r="W21" i="19"/>
  <c r="W15" i="19"/>
  <c r="W17" i="19"/>
  <c r="W44" i="19"/>
  <c r="W38" i="19"/>
  <c r="W31" i="19"/>
  <c r="W16" i="19"/>
  <c r="W53" i="19"/>
  <c r="W20" i="19"/>
  <c r="W29" i="19"/>
  <c r="E36" i="30" l="1"/>
  <c r="G13" i="30" s="1"/>
  <c r="K16" i="26"/>
  <c r="I17" i="26"/>
  <c r="G19" i="30"/>
  <c r="I34" i="26"/>
  <c r="K33" i="26"/>
  <c r="D28" i="29"/>
  <c r="F13" i="29" s="1"/>
  <c r="K34" i="26" l="1"/>
  <c r="I42" i="26"/>
  <c r="F24" i="29"/>
  <c r="F16" i="29"/>
  <c r="F25" i="29"/>
  <c r="F15" i="29"/>
  <c r="F23" i="29"/>
  <c r="F17" i="29"/>
  <c r="F21" i="29"/>
  <c r="F22" i="29"/>
  <c r="F26" i="29"/>
  <c r="F19" i="29"/>
  <c r="F14" i="29"/>
  <c r="F18" i="29"/>
  <c r="F20" i="29"/>
  <c r="I25" i="26"/>
  <c r="K25" i="26" s="1"/>
  <c r="K17" i="26"/>
  <c r="G34" i="30"/>
  <c r="G27" i="30"/>
  <c r="G26" i="30"/>
  <c r="G31" i="30"/>
  <c r="G32" i="30"/>
  <c r="G33" i="30"/>
  <c r="G30" i="30"/>
  <c r="G28" i="30"/>
  <c r="G15" i="30"/>
  <c r="G16" i="30"/>
  <c r="G14" i="30"/>
  <c r="G22" i="30"/>
  <c r="G20" i="30"/>
  <c r="G24" i="30"/>
  <c r="G17" i="30"/>
  <c r="G21" i="30"/>
  <c r="G23" i="30"/>
  <c r="H28" i="29" l="1"/>
  <c r="H13" i="29" s="1"/>
  <c r="I36" i="30"/>
  <c r="I27" i="30" s="1"/>
  <c r="H16" i="29"/>
  <c r="H26" i="29"/>
  <c r="H24" i="29"/>
  <c r="H14" i="29"/>
  <c r="H25" i="29"/>
  <c r="H19" i="29"/>
  <c r="H17" i="29"/>
  <c r="G36" i="30"/>
  <c r="Q48" i="19"/>
  <c r="W36" i="19"/>
  <c r="W48" i="19" s="1"/>
  <c r="H22" i="29"/>
  <c r="H21" i="29"/>
  <c r="Q25" i="19"/>
  <c r="W14" i="19"/>
  <c r="W25" i="19" s="1"/>
  <c r="Q33" i="19"/>
  <c r="W28" i="19"/>
  <c r="W33" i="19" s="1"/>
  <c r="H20" i="29"/>
  <c r="H23" i="29"/>
  <c r="I44" i="26"/>
  <c r="K44" i="26" s="1"/>
  <c r="K42" i="26"/>
  <c r="Q60" i="19"/>
  <c r="W51" i="19"/>
  <c r="W60" i="19" s="1"/>
  <c r="F28" i="29"/>
  <c r="H18" i="29"/>
  <c r="H15" i="29"/>
  <c r="I31" i="30" l="1"/>
  <c r="Q31" i="30" s="1"/>
  <c r="I26" i="30"/>
  <c r="I30" i="30"/>
  <c r="I34" i="30"/>
  <c r="Q34" i="30" s="1"/>
  <c r="I28" i="30"/>
  <c r="W62" i="19"/>
  <c r="Q62" i="19"/>
  <c r="B129" i="4" l="1"/>
  <c r="B130" i="4" l="1"/>
  <c r="B136" i="4" l="1"/>
  <c r="B131" i="4"/>
  <c r="B135" i="4"/>
  <c r="B137" i="4" l="1"/>
  <c r="B138" i="4" l="1"/>
  <c r="B139" i="4" l="1"/>
  <c r="B140" i="4" l="1"/>
  <c r="B144" i="4"/>
  <c r="B145" i="4"/>
  <c r="B147" i="4" l="1"/>
  <c r="B148" i="4" l="1"/>
  <c r="B149" i="4" l="1"/>
  <c r="B152" i="4" l="1"/>
  <c r="B153" i="4"/>
  <c r="B156" i="4" s="1"/>
  <c r="B157" i="4" s="1"/>
  <c r="B158" i="4" s="1"/>
  <c r="B160" i="4"/>
  <c r="B178" i="4" s="1"/>
  <c r="B179" i="4" s="1"/>
  <c r="B180" i="4" s="1"/>
  <c r="B184" i="4" s="1"/>
  <c r="B185" i="4" s="1"/>
  <c r="B186" i="4" s="1"/>
  <c r="B187" i="4" s="1"/>
  <c r="B188" i="4" s="1"/>
  <c r="B192" i="4" s="1"/>
  <c r="B193" i="4" s="1"/>
  <c r="B194" i="4" s="1"/>
  <c r="B196" i="4" s="1"/>
  <c r="B197" i="4" s="1"/>
  <c r="B198" i="4" s="1"/>
  <c r="B202" i="4" s="1"/>
  <c r="B203" i="4" s="1"/>
  <c r="B205" i="4" s="1"/>
  <c r="B206" i="4" s="1"/>
  <c r="B210" i="4" s="1"/>
  <c r="B211" i="4" s="1"/>
  <c r="B213" i="4" s="1"/>
  <c r="B214" i="4" s="1"/>
  <c r="B217" i="4" s="1"/>
  <c r="B218" i="4" s="1"/>
  <c r="B223" i="4" s="1"/>
  <c r="B224" i="4" s="1"/>
  <c r="B227" i="4" s="1"/>
  <c r="B228" i="4" s="1"/>
  <c r="B233" i="4" s="1"/>
  <c r="B234" i="4" s="1"/>
  <c r="B237" i="4" s="1"/>
  <c r="B238" i="4" s="1"/>
  <c r="B242" i="4" s="1"/>
  <c r="B243" i="4" s="1"/>
  <c r="B245" i="4" s="1"/>
  <c r="E282" i="9" l="1"/>
  <c r="E223" i="9" l="1"/>
  <c r="E247" i="9"/>
  <c r="E259" i="9"/>
  <c r="E235" i="9"/>
  <c r="E271" i="9"/>
  <c r="E211" i="9"/>
  <c r="H556" i="6" l="1"/>
  <c r="T49" i="7" l="1"/>
  <c r="T121" i="7"/>
  <c r="T48" i="7" l="1"/>
  <c r="AF49" i="31"/>
  <c r="AB49" i="31"/>
  <c r="AH49" i="31"/>
  <c r="Z49" i="31"/>
  <c r="AD49" i="31"/>
  <c r="T120" i="7"/>
  <c r="Z48" i="31" l="1"/>
  <c r="AB48" i="31"/>
  <c r="AD48" i="31"/>
  <c r="AF48" i="31"/>
  <c r="AH48" i="31"/>
  <c r="I17" i="21" l="1"/>
  <c r="I11" i="21" l="1"/>
  <c r="E29" i="21" l="1"/>
  <c r="I29" i="21" s="1"/>
  <c r="I10" i="21"/>
  <c r="I12" i="21"/>
  <c r="I13" i="21" l="1"/>
  <c r="E13" i="21"/>
  <c r="I16" i="21"/>
  <c r="I57" i="23" l="1"/>
  <c r="I35" i="23" l="1"/>
  <c r="K35" i="23" s="1"/>
  <c r="I48" i="23"/>
  <c r="K48" i="23" s="1"/>
  <c r="I10" i="23"/>
  <c r="K10" i="23" s="1"/>
  <c r="I34" i="23"/>
  <c r="K34" i="23" s="1"/>
  <c r="I50" i="23"/>
  <c r="K50" i="23" s="1"/>
  <c r="I36" i="23"/>
  <c r="K36" i="23" s="1"/>
  <c r="I12" i="23"/>
  <c r="K12" i="23" s="1"/>
  <c r="I11" i="23"/>
  <c r="K11" i="23" s="1"/>
  <c r="I25" i="23"/>
  <c r="K25" i="23" s="1"/>
  <c r="I42" i="23"/>
  <c r="K42" i="23" s="1"/>
  <c r="I13" i="23"/>
  <c r="K13" i="23" s="1"/>
  <c r="I23" i="23"/>
  <c r="I26" i="23"/>
  <c r="K26" i="23" s="1"/>
  <c r="I52" i="23"/>
  <c r="K52" i="23" s="1"/>
  <c r="I19" i="23"/>
  <c r="K19" i="23" s="1"/>
  <c r="I37" i="23"/>
  <c r="K37" i="23" s="1"/>
  <c r="I14" i="23"/>
  <c r="K14" i="23" s="1"/>
  <c r="I27" i="23"/>
  <c r="K27" i="23" s="1"/>
  <c r="I33" i="23"/>
  <c r="K33" i="23" s="1"/>
  <c r="I32" i="23"/>
  <c r="K32" i="23" s="1"/>
  <c r="I18" i="23"/>
  <c r="K18" i="23" s="1"/>
  <c r="I40" i="23"/>
  <c r="K40" i="23" s="1"/>
  <c r="I47" i="23"/>
  <c r="K47" i="23" s="1"/>
  <c r="I16" i="23"/>
  <c r="K16" i="23" s="1"/>
  <c r="I53" i="23"/>
  <c r="K53" i="23" s="1"/>
  <c r="I51" i="23"/>
  <c r="K51" i="23" s="1"/>
  <c r="I41" i="23"/>
  <c r="K41" i="23" s="1"/>
  <c r="I24" i="23"/>
  <c r="K24" i="23" s="1"/>
  <c r="I17" i="23"/>
  <c r="K17" i="23" s="1"/>
  <c r="I31" i="23"/>
  <c r="I49" i="23"/>
  <c r="K49" i="23" s="1"/>
  <c r="I9" i="23"/>
  <c r="I46" i="23"/>
  <c r="I54" i="23"/>
  <c r="K54" i="23" s="1"/>
  <c r="I39" i="23"/>
  <c r="K39" i="23" s="1"/>
  <c r="I15" i="23"/>
  <c r="K15" i="23" s="1"/>
  <c r="I38" i="23"/>
  <c r="K38" i="23" s="1"/>
  <c r="K23" i="23" l="1"/>
  <c r="I28" i="23"/>
  <c r="K9" i="23"/>
  <c r="I20" i="23"/>
  <c r="K31" i="23"/>
  <c r="I43" i="23"/>
  <c r="K46" i="23"/>
  <c r="I55" i="23"/>
  <c r="M55" i="23" l="1"/>
  <c r="K55" i="23"/>
  <c r="K43" i="23"/>
  <c r="M43" i="23"/>
  <c r="M20" i="23"/>
  <c r="K20" i="23"/>
  <c r="K28" i="23"/>
  <c r="M28" i="23"/>
  <c r="I57" i="24" l="1"/>
  <c r="I25" i="24" l="1"/>
  <c r="K25" i="24" s="1"/>
  <c r="I37" i="24"/>
  <c r="K37" i="24" s="1"/>
  <c r="I9" i="24"/>
  <c r="I38" i="24"/>
  <c r="K38" i="24" s="1"/>
  <c r="I23" i="24"/>
  <c r="I24" i="24"/>
  <c r="K24" i="24" s="1"/>
  <c r="I49" i="24"/>
  <c r="K49" i="24" s="1"/>
  <c r="I35" i="24"/>
  <c r="K35" i="24" s="1"/>
  <c r="I39" i="24"/>
  <c r="K39" i="24" s="1"/>
  <c r="I19" i="24"/>
  <c r="K19" i="24" s="1"/>
  <c r="I46" i="24"/>
  <c r="I27" i="24"/>
  <c r="K27" i="24" s="1"/>
  <c r="I16" i="24"/>
  <c r="K16" i="24" s="1"/>
  <c r="I33" i="24"/>
  <c r="K33" i="24" s="1"/>
  <c r="I32" i="24"/>
  <c r="K32" i="24" s="1"/>
  <c r="I15" i="24"/>
  <c r="K15" i="24" s="1"/>
  <c r="I14" i="24"/>
  <c r="K14" i="24" s="1"/>
  <c r="I50" i="24"/>
  <c r="K50" i="24" s="1"/>
  <c r="I10" i="24"/>
  <c r="K10" i="24" s="1"/>
  <c r="I51" i="24"/>
  <c r="K51" i="24" s="1"/>
  <c r="I17" i="24"/>
  <c r="K17" i="24" s="1"/>
  <c r="I47" i="24"/>
  <c r="K47" i="24" s="1"/>
  <c r="I36" i="24"/>
  <c r="K36" i="24" s="1"/>
  <c r="I26" i="24"/>
  <c r="K26" i="24" s="1"/>
  <c r="I11" i="24"/>
  <c r="K11" i="24" s="1"/>
  <c r="I41" i="24"/>
  <c r="K41" i="24" s="1"/>
  <c r="I13" i="24"/>
  <c r="K13" i="24" s="1"/>
  <c r="I42" i="24"/>
  <c r="K42" i="24" s="1"/>
  <c r="I48" i="24"/>
  <c r="K48" i="24" s="1"/>
  <c r="I52" i="24"/>
  <c r="K52" i="24" s="1"/>
  <c r="I18" i="24"/>
  <c r="K18" i="24" s="1"/>
  <c r="I54" i="24"/>
  <c r="K54" i="24" s="1"/>
  <c r="I53" i="24"/>
  <c r="K53" i="24" s="1"/>
  <c r="I31" i="24"/>
  <c r="I12" i="24"/>
  <c r="K12" i="24" s="1"/>
  <c r="I40" i="24"/>
  <c r="K40" i="24" s="1"/>
  <c r="I34" i="24"/>
  <c r="K34" i="24" s="1"/>
  <c r="I28" i="24" l="1"/>
  <c r="K23" i="24"/>
  <c r="K46" i="24"/>
  <c r="I55" i="24"/>
  <c r="I20" i="24"/>
  <c r="K9" i="24"/>
  <c r="K31" i="24"/>
  <c r="I43" i="24"/>
  <c r="K20" i="24" l="1"/>
  <c r="M20" i="24"/>
  <c r="M28" i="24"/>
  <c r="K28" i="24"/>
  <c r="K43" i="24"/>
  <c r="M43" i="24"/>
  <c r="M55" i="24"/>
  <c r="K55" i="24"/>
  <c r="Q32" i="30" l="1"/>
  <c r="U32" i="30" s="1"/>
  <c r="U47" i="30" l="1"/>
  <c r="U46" i="30" l="1"/>
  <c r="U51" i="30" s="1"/>
  <c r="Q33" i="30" l="1"/>
  <c r="I24" i="30"/>
  <c r="I20" i="30"/>
  <c r="I14" i="30"/>
  <c r="I19" i="30"/>
  <c r="I23" i="30"/>
  <c r="I16" i="30"/>
  <c r="I17" i="30"/>
  <c r="I21" i="30"/>
  <c r="I15" i="30"/>
  <c r="I13" i="30"/>
  <c r="I22" i="30"/>
  <c r="I19" i="21" l="1"/>
  <c r="F206" i="4" l="1"/>
  <c r="F218" i="4"/>
  <c r="F149" i="4"/>
  <c r="F214" i="4"/>
  <c r="T15" i="29"/>
  <c r="V15" i="29" s="1"/>
  <c r="L15" i="29"/>
  <c r="G35" i="5"/>
  <c r="F198" i="4"/>
  <c r="F188" i="4"/>
  <c r="F129" i="4"/>
  <c r="T22" i="29"/>
  <c r="V22" i="29" s="1"/>
  <c r="L22" i="29"/>
  <c r="G45" i="5"/>
  <c r="F90" i="4"/>
  <c r="F178" i="4"/>
  <c r="F106" i="4"/>
  <c r="F153" i="4"/>
  <c r="F78" i="4"/>
  <c r="H21" i="5"/>
  <c r="O21" i="5" s="1"/>
  <c r="W21" i="5" s="1"/>
  <c r="F243" i="4"/>
  <c r="F238" i="4"/>
  <c r="H20" i="5"/>
  <c r="O20" i="5" s="1"/>
  <c r="W20" i="5" s="1"/>
  <c r="F68" i="4"/>
  <c r="H17" i="5"/>
  <c r="H22" i="5"/>
  <c r="O22" i="5" s="1"/>
  <c r="W22" i="5" s="1"/>
  <c r="F158" i="4"/>
  <c r="F228" i="4"/>
  <c r="F140" i="4"/>
  <c r="G23" i="5"/>
  <c r="H19" i="5"/>
  <c r="H23" i="5" l="1"/>
  <c r="O19" i="5"/>
  <c r="F69" i="4"/>
  <c r="F70" i="4" s="1"/>
  <c r="F179" i="4"/>
  <c r="F130" i="4"/>
  <c r="F131" i="4" l="1"/>
  <c r="O23" i="5"/>
  <c r="H69" i="4" s="1"/>
  <c r="W19" i="5"/>
  <c r="W23" i="5" s="1"/>
  <c r="F180" i="4"/>
  <c r="T17" i="29" l="1"/>
  <c r="V17" i="29" s="1"/>
  <c r="L17" i="29"/>
  <c r="T13" i="29"/>
  <c r="J28" i="29"/>
  <c r="L13" i="29"/>
  <c r="T14" i="29"/>
  <c r="V14" i="29" s="1"/>
  <c r="L14" i="29"/>
  <c r="T20" i="29"/>
  <c r="V20" i="29" s="1"/>
  <c r="L20" i="29"/>
  <c r="T16" i="29"/>
  <c r="V16" i="29" s="1"/>
  <c r="L16" i="29"/>
  <c r="T19" i="29"/>
  <c r="V19" i="29" s="1"/>
  <c r="L19" i="29"/>
  <c r="T21" i="29"/>
  <c r="V21" i="29" s="1"/>
  <c r="L21" i="29"/>
  <c r="T28" i="29" l="1"/>
  <c r="V13" i="29"/>
  <c r="F102" i="4" l="1"/>
  <c r="F98" i="4"/>
  <c r="F82" i="4" l="1"/>
  <c r="F74" i="4"/>
  <c r="F86" i="4"/>
  <c r="F94" i="4"/>
  <c r="J178" i="4" l="1"/>
  <c r="S40" i="5"/>
  <c r="S47" i="5" s="1"/>
  <c r="O40" i="5"/>
  <c r="O28" i="5"/>
  <c r="J129" i="4"/>
  <c r="S28" i="5"/>
  <c r="S37" i="5" s="1"/>
  <c r="J68" i="4"/>
  <c r="O17" i="5"/>
  <c r="S17" i="5"/>
  <c r="S25" i="5" s="1"/>
  <c r="W28" i="5" l="1"/>
  <c r="O37" i="5"/>
  <c r="W40" i="5"/>
  <c r="O47" i="5"/>
  <c r="S49" i="5"/>
  <c r="W17" i="5"/>
  <c r="W25" i="5" s="1"/>
  <c r="H68" i="4"/>
  <c r="O25" i="5"/>
  <c r="H70" i="4" l="1"/>
  <c r="J14" i="4"/>
  <c r="L14" i="4" s="1"/>
  <c r="H131" i="4"/>
  <c r="J28" i="4"/>
  <c r="L28" i="4" s="1"/>
  <c r="H178" i="4"/>
  <c r="W47" i="5"/>
  <c r="O49" i="5"/>
  <c r="J36" i="4"/>
  <c r="L36" i="4" s="1"/>
  <c r="H180" i="4"/>
  <c r="H129" i="4"/>
  <c r="W37" i="5"/>
  <c r="W49" i="5" l="1"/>
  <c r="J131" i="4"/>
  <c r="J70" i="4"/>
  <c r="J180" i="4"/>
  <c r="E34" i="21" l="1"/>
  <c r="I34" i="21" s="1"/>
  <c r="I22" i="21"/>
  <c r="E195" i="11" l="1"/>
  <c r="E186" i="11"/>
  <c r="E204" i="11"/>
  <c r="I21" i="21" l="1"/>
  <c r="I33" i="21" l="1"/>
  <c r="N204" i="7" l="1"/>
  <c r="N56" i="7" l="1"/>
  <c r="F204" i="7" l="1"/>
  <c r="T203" i="7" l="1"/>
  <c r="T201" i="7" l="1"/>
  <c r="T202" i="7"/>
  <c r="P204" i="7" l="1"/>
  <c r="T200" i="7"/>
  <c r="P56" i="7" l="1"/>
  <c r="R204" i="7"/>
  <c r="T199" i="7"/>
  <c r="T204" i="7" l="1"/>
  <c r="R56" i="7"/>
  <c r="L53" i="31" l="1"/>
  <c r="L52" i="31"/>
  <c r="L55" i="31"/>
  <c r="L51" i="31" l="1"/>
  <c r="L54" i="31"/>
  <c r="AD204" i="7"/>
  <c r="AD56" i="7" l="1"/>
  <c r="L56" i="31"/>
  <c r="P55" i="31" l="1"/>
  <c r="P53" i="31"/>
  <c r="P52" i="31" l="1"/>
  <c r="P51" i="31"/>
  <c r="AJ203" i="7"/>
  <c r="AL203" i="7" s="1"/>
  <c r="AJ201" i="7"/>
  <c r="AL201" i="7" s="1"/>
  <c r="AJ199" i="7" l="1"/>
  <c r="AJ200" i="7"/>
  <c r="AL200" i="7" s="1"/>
  <c r="N53" i="31"/>
  <c r="N55" i="31"/>
  <c r="N52" i="31" l="1"/>
  <c r="N51" i="31"/>
  <c r="AL199" i="7"/>
  <c r="J583" i="6" l="1"/>
  <c r="T126" i="7" l="1"/>
  <c r="J581" i="6"/>
  <c r="T54" i="7" l="1"/>
  <c r="T125" i="7"/>
  <c r="Z54" i="31" l="1"/>
  <c r="AB54" i="31"/>
  <c r="AD54" i="31"/>
  <c r="T124" i="7"/>
  <c r="T52" i="7" l="1"/>
  <c r="T53" i="7" l="1"/>
  <c r="AB52" i="31"/>
  <c r="Z52" i="31"/>
  <c r="AD52" i="31"/>
  <c r="AH52" i="31"/>
  <c r="AF52" i="31"/>
  <c r="AB53" i="31" l="1"/>
  <c r="Z53" i="31"/>
  <c r="AD53" i="31"/>
  <c r="AH53" i="31"/>
  <c r="AF53" i="31"/>
  <c r="T123" i="7" l="1"/>
  <c r="T51" i="7" l="1"/>
  <c r="Z51" i="31"/>
  <c r="AB51" i="31"/>
  <c r="AD51" i="31"/>
  <c r="AH51" i="31"/>
  <c r="AF51" i="31"/>
  <c r="T127" i="7" l="1"/>
  <c r="T128" i="7" s="1"/>
  <c r="F128" i="7"/>
  <c r="T55" i="7" l="1"/>
  <c r="F56" i="7"/>
  <c r="AB55" i="31"/>
  <c r="Z55" i="31"/>
  <c r="AD55" i="31"/>
  <c r="AH55" i="31"/>
  <c r="AF55" i="31"/>
  <c r="F56" i="31"/>
  <c r="AB56" i="31" l="1"/>
  <c r="Z56" i="31"/>
  <c r="AD56" i="31"/>
  <c r="T56" i="7"/>
  <c r="J615" i="6" l="1"/>
  <c r="J616" i="6" l="1"/>
  <c r="I22" i="8"/>
  <c r="J610" i="6"/>
  <c r="I16" i="8"/>
  <c r="I15" i="8" l="1"/>
  <c r="J611" i="6"/>
  <c r="I21" i="8"/>
  <c r="J525" i="6" l="1"/>
  <c r="P525" i="6"/>
  <c r="J492" i="6" l="1"/>
  <c r="J467" i="6" l="1"/>
  <c r="J456" i="6" l="1"/>
  <c r="J519" i="6"/>
  <c r="J481" i="6"/>
  <c r="H73" i="4" l="1"/>
  <c r="J15" i="4"/>
  <c r="L15" i="4" s="1"/>
  <c r="H74" i="4" l="1"/>
  <c r="J73" i="4"/>
  <c r="J74" i="4" s="1"/>
  <c r="J44" i="4" l="1"/>
  <c r="L44" i="4" s="1"/>
  <c r="H242" i="4"/>
  <c r="H228" i="4"/>
  <c r="J42" i="4"/>
  <c r="L42" i="4" s="1"/>
  <c r="J43" i="4"/>
  <c r="L43" i="4" s="1"/>
  <c r="H238" i="4"/>
  <c r="J238" i="4" l="1"/>
  <c r="J228" i="4"/>
  <c r="H243" i="4"/>
  <c r="J242" i="4"/>
  <c r="J243" i="4" s="1"/>
  <c r="J39" i="4" l="1"/>
  <c r="L39" i="4" s="1"/>
  <c r="H206" i="4"/>
  <c r="H214" i="4"/>
  <c r="J40" i="4"/>
  <c r="L40" i="4" s="1"/>
  <c r="J16" i="4"/>
  <c r="H77" i="4"/>
  <c r="H25" i="4"/>
  <c r="H97" i="4"/>
  <c r="J21" i="4"/>
  <c r="L21" i="4" s="1"/>
  <c r="H217" i="4"/>
  <c r="J41" i="4"/>
  <c r="L41" i="4" s="1"/>
  <c r="J19" i="4"/>
  <c r="L19" i="4" s="1"/>
  <c r="H89" i="4"/>
  <c r="J22" i="4"/>
  <c r="L22" i="4" s="1"/>
  <c r="H101" i="4"/>
  <c r="H188" i="4"/>
  <c r="J37" i="4"/>
  <c r="L37" i="4" s="1"/>
  <c r="H45" i="4"/>
  <c r="H81" i="4"/>
  <c r="J17" i="4"/>
  <c r="L17" i="4" s="1"/>
  <c r="J30" i="4"/>
  <c r="L30" i="4" s="1"/>
  <c r="H149" i="4"/>
  <c r="J38" i="4"/>
  <c r="L38" i="4" s="1"/>
  <c r="H198" i="4"/>
  <c r="J23" i="4"/>
  <c r="L23" i="4" s="1"/>
  <c r="H105" i="4"/>
  <c r="H158" i="4"/>
  <c r="J32" i="4"/>
  <c r="L32" i="4" s="1"/>
  <c r="J31" i="4"/>
  <c r="L31" i="4" s="1"/>
  <c r="H152" i="4"/>
  <c r="J18" i="4"/>
  <c r="L18" i="4" s="1"/>
  <c r="H85" i="4"/>
  <c r="H93" i="4"/>
  <c r="J20" i="4"/>
  <c r="L20" i="4" s="1"/>
  <c r="J29" i="4"/>
  <c r="L29" i="4" s="1"/>
  <c r="H140" i="4"/>
  <c r="H33" i="4"/>
  <c r="H98" i="4" l="1"/>
  <c r="J97" i="4"/>
  <c r="J98" i="4" s="1"/>
  <c r="J198" i="4"/>
  <c r="H102" i="4"/>
  <c r="J101" i="4"/>
  <c r="J102" i="4" s="1"/>
  <c r="H153" i="4"/>
  <c r="J152" i="4"/>
  <c r="J153" i="4" s="1"/>
  <c r="H78" i="4"/>
  <c r="J77" i="4"/>
  <c r="J78" i="4" s="1"/>
  <c r="H90" i="4"/>
  <c r="J89" i="4"/>
  <c r="J90" i="4" s="1"/>
  <c r="J25" i="4"/>
  <c r="L25" i="4" s="1"/>
  <c r="H47" i="4"/>
  <c r="J188" i="4"/>
  <c r="J33" i="4"/>
  <c r="L33" i="4" s="1"/>
  <c r="J140" i="4"/>
  <c r="H160" i="4"/>
  <c r="H156" i="4"/>
  <c r="J156" i="4" s="1"/>
  <c r="H157" i="4"/>
  <c r="J157" i="4" s="1"/>
  <c r="J158" i="4"/>
  <c r="J45" i="4"/>
  <c r="L45" i="4" s="1"/>
  <c r="H218" i="4"/>
  <c r="J217" i="4"/>
  <c r="J218" i="4" s="1"/>
  <c r="H245" i="4"/>
  <c r="J206" i="4"/>
  <c r="H86" i="4"/>
  <c r="J85" i="4"/>
  <c r="J86" i="4" s="1"/>
  <c r="J149" i="4"/>
  <c r="H82" i="4"/>
  <c r="J81" i="4"/>
  <c r="J82" i="4" s="1"/>
  <c r="J214" i="4"/>
  <c r="H106" i="4"/>
  <c r="J105" i="4"/>
  <c r="J106" i="4" s="1"/>
  <c r="H94" i="4"/>
  <c r="J93" i="4"/>
  <c r="J94" i="4" s="1"/>
  <c r="H109" i="4" l="1"/>
  <c r="J47" i="4"/>
  <c r="L47" i="4" s="1"/>
  <c r="P14" i="31" l="1"/>
  <c r="H95" i="7" l="1"/>
  <c r="H14" i="31" l="1"/>
  <c r="H17" i="31"/>
  <c r="H19" i="31" l="1"/>
  <c r="J95" i="7" l="1"/>
  <c r="H16" i="31"/>
  <c r="H20" i="31"/>
  <c r="J18" i="31"/>
  <c r="H15" i="31"/>
  <c r="J23" i="7" l="1"/>
  <c r="X95" i="7"/>
  <c r="H18" i="31"/>
  <c r="H13" i="31" l="1"/>
  <c r="H23" i="7" l="1"/>
  <c r="H12" i="31"/>
  <c r="H39" i="31" l="1"/>
  <c r="H42" i="31"/>
  <c r="H29" i="31" l="1"/>
  <c r="J145" i="4" l="1"/>
  <c r="T101" i="7"/>
  <c r="J144" i="4" l="1"/>
  <c r="H49" i="6" l="1"/>
  <c r="H50" i="6" s="1"/>
  <c r="T86" i="7"/>
  <c r="T89" i="7" l="1"/>
  <c r="T85" i="7"/>
  <c r="T93" i="7"/>
  <c r="T23" i="31" l="1"/>
  <c r="T84" i="7"/>
  <c r="T90" i="7"/>
  <c r="T45" i="31" l="1"/>
  <c r="AB18" i="31" l="1"/>
  <c r="Z18" i="31"/>
  <c r="Z19" i="31"/>
  <c r="AJ19" i="31"/>
  <c r="AH14" i="31"/>
  <c r="Z14" i="31"/>
  <c r="T88" i="7"/>
  <c r="T60" i="31"/>
  <c r="Z20" i="31"/>
  <c r="AJ20" i="31"/>
  <c r="Z13" i="31" l="1"/>
  <c r="T87" i="7"/>
  <c r="T95" i="7" s="1"/>
  <c r="F95" i="7"/>
  <c r="Z12" i="31"/>
  <c r="Z15" i="31" l="1"/>
  <c r="Z16" i="31"/>
  <c r="J137" i="4" l="1"/>
  <c r="J135" i="4"/>
  <c r="J139" i="4" l="1"/>
  <c r="J136" i="4"/>
  <c r="J138" i="4"/>
  <c r="J148" i="4"/>
  <c r="J147" i="4"/>
  <c r="AF29" i="31" l="1"/>
  <c r="AB29" i="31"/>
  <c r="AH29" i="31"/>
  <c r="Z29" i="31"/>
  <c r="AF30" i="31" l="1"/>
  <c r="AH30" i="31"/>
  <c r="X103" i="7"/>
  <c r="F191" i="7" l="1"/>
  <c r="F103" i="7" l="1"/>
  <c r="F179" i="7" l="1"/>
  <c r="F31" i="31" l="1"/>
  <c r="F31" i="7"/>
  <c r="J193" i="4" l="1"/>
  <c r="J192" i="4" l="1"/>
  <c r="J187" i="4"/>
  <c r="J184" i="4"/>
  <c r="J194" i="4"/>
  <c r="J186" i="4" l="1"/>
  <c r="J185" i="4"/>
  <c r="T114" i="7" l="1"/>
  <c r="J196" i="4"/>
  <c r="J197" i="4"/>
  <c r="Z39" i="31" l="1"/>
  <c r="AB40" i="31"/>
  <c r="F115" i="7" l="1"/>
  <c r="F117" i="7" s="1"/>
  <c r="F132" i="7" s="1"/>
  <c r="AB42" i="31"/>
  <c r="Z42" i="31"/>
  <c r="AB41" i="31"/>
  <c r="F43" i="31" l="1"/>
  <c r="F43" i="7"/>
  <c r="T163" i="7" l="1"/>
  <c r="T169" i="7" l="1"/>
  <c r="P18" i="31"/>
  <c r="AH18" i="31" s="1"/>
  <c r="T21" i="7"/>
  <c r="R171" i="7"/>
  <c r="T15" i="7"/>
  <c r="T162" i="7"/>
  <c r="N171" i="7" l="1"/>
  <c r="R23" i="7"/>
  <c r="AM2" i="7"/>
  <c r="T14" i="7"/>
  <c r="T13" i="7"/>
  <c r="T167" i="7"/>
  <c r="T166" i="7"/>
  <c r="T12" i="7"/>
  <c r="T160" i="7"/>
  <c r="T168" i="7"/>
  <c r="T161" i="7"/>
  <c r="T164" i="7"/>
  <c r="T16" i="7" l="1"/>
  <c r="P171" i="7"/>
  <c r="N23" i="7"/>
  <c r="P23" i="7"/>
  <c r="T165" i="7" l="1"/>
  <c r="T171" i="7" s="1"/>
  <c r="F171" i="7"/>
  <c r="F193" i="7" s="1"/>
  <c r="F208" i="7" s="1"/>
  <c r="T18" i="7"/>
  <c r="AH17" i="31" l="1"/>
  <c r="AD17" i="31"/>
  <c r="AB17" i="31"/>
  <c r="Z17" i="31"/>
  <c r="F23" i="31"/>
  <c r="T17" i="7"/>
  <c r="F23" i="7"/>
  <c r="F45" i="7" s="1"/>
  <c r="T23" i="7" l="1"/>
  <c r="F45" i="31"/>
  <c r="AJ23" i="31"/>
  <c r="F60" i="7"/>
  <c r="F60" i="31" l="1"/>
  <c r="AJ45" i="31"/>
  <c r="AJ60" i="31" l="1"/>
  <c r="T102" i="7" l="1"/>
  <c r="T111" i="7"/>
  <c r="J103" i="7" l="1"/>
  <c r="T30" i="7"/>
  <c r="J31" i="7" l="1"/>
  <c r="J115" i="7"/>
  <c r="J117" i="7" s="1"/>
  <c r="J132" i="7" s="1"/>
  <c r="J43" i="7" l="1"/>
  <c r="J45" i="7" s="1"/>
  <c r="J60" i="7" s="1"/>
  <c r="T190" i="7" l="1"/>
  <c r="T42" i="7" l="1"/>
  <c r="T187" i="7" l="1"/>
  <c r="T39" i="7" l="1"/>
  <c r="T177" i="7" l="1"/>
  <c r="T29" i="7" l="1"/>
  <c r="T178" i="7"/>
  <c r="T189" i="7" l="1"/>
  <c r="T188" i="7"/>
  <c r="T176" i="7" l="1"/>
  <c r="N179" i="7"/>
  <c r="T183" i="7"/>
  <c r="N31" i="7"/>
  <c r="T182" i="7" l="1"/>
  <c r="R191" i="7" l="1"/>
  <c r="P191" i="7"/>
  <c r="T186" i="7"/>
  <c r="T185" i="7" l="1"/>
  <c r="R43" i="7" l="1"/>
  <c r="T184" i="7"/>
  <c r="T191" i="7" s="1"/>
  <c r="N191" i="7"/>
  <c r="N193" i="7" s="1"/>
  <c r="N208" i="7" s="1"/>
  <c r="P43" i="7"/>
  <c r="N43" i="7" l="1"/>
  <c r="N45" i="7" s="1"/>
  <c r="N60" i="7" s="1"/>
  <c r="R31" i="7" l="1"/>
  <c r="R45" i="7" s="1"/>
  <c r="R60" i="7" s="1"/>
  <c r="R179" i="7"/>
  <c r="R193" i="7" s="1"/>
  <c r="R208" i="7" s="1"/>
  <c r="T174" i="7" l="1"/>
  <c r="T175" i="7"/>
  <c r="P31" i="7"/>
  <c r="P45" i="7" s="1"/>
  <c r="P60" i="7" s="1"/>
  <c r="T179" i="7" l="1"/>
  <c r="T193" i="7" s="1"/>
  <c r="T208" i="7" s="1"/>
  <c r="P179" i="7"/>
  <c r="P193" i="7" s="1"/>
  <c r="P208" i="7" s="1"/>
  <c r="AB103" i="7" l="1"/>
  <c r="J39" i="31"/>
  <c r="J19" i="31"/>
  <c r="J13" i="31"/>
  <c r="J30" i="31"/>
  <c r="AB30" i="31" s="1"/>
  <c r="J15" i="31"/>
  <c r="J20" i="31"/>
  <c r="J21" i="31"/>
  <c r="AB21" i="31" s="1"/>
  <c r="AB115" i="7"/>
  <c r="J14" i="31"/>
  <c r="AB19" i="31" l="1"/>
  <c r="AB20" i="31"/>
  <c r="AB39" i="31"/>
  <c r="AB95" i="7"/>
  <c r="AB117" i="7" s="1"/>
  <c r="AB132" i="7" s="1"/>
  <c r="AB14" i="31"/>
  <c r="AB15" i="31"/>
  <c r="AB13" i="31"/>
  <c r="J16" i="31"/>
  <c r="J35" i="31"/>
  <c r="AB35" i="31" s="1"/>
  <c r="J27" i="31"/>
  <c r="AB27" i="31" s="1"/>
  <c r="J28" i="31"/>
  <c r="AB28" i="31" s="1"/>
  <c r="J38" i="31"/>
  <c r="AB38" i="31" s="1"/>
  <c r="AB16" i="31" l="1"/>
  <c r="J26" i="31"/>
  <c r="AB31" i="7"/>
  <c r="AB23" i="7"/>
  <c r="J12" i="31"/>
  <c r="J34" i="31"/>
  <c r="J37" i="31"/>
  <c r="AB37" i="31" s="1"/>
  <c r="J36" i="31"/>
  <c r="AB36" i="31" s="1"/>
  <c r="AB34" i="31" l="1"/>
  <c r="J43" i="31"/>
  <c r="AB43" i="31" s="1"/>
  <c r="J31" i="31"/>
  <c r="AB31" i="31" s="1"/>
  <c r="AB26" i="31"/>
  <c r="AB12" i="31"/>
  <c r="J23" i="31"/>
  <c r="AB43" i="7"/>
  <c r="AB45" i="7" s="1"/>
  <c r="AB60" i="7" s="1"/>
  <c r="J45" i="31" l="1"/>
  <c r="AB23" i="31"/>
  <c r="AB45" i="31" l="1"/>
  <c r="J60" i="31"/>
  <c r="AB60" i="31" s="1"/>
  <c r="AJ165" i="7" l="1"/>
  <c r="AL165" i="7" s="1"/>
  <c r="N14" i="31" l="1"/>
  <c r="AF14" i="31" s="1"/>
  <c r="N39" i="31"/>
  <c r="AF39" i="31" s="1"/>
  <c r="N17" i="31"/>
  <c r="N21" i="31"/>
  <c r="AF21" i="31" s="1"/>
  <c r="AF191" i="7"/>
  <c r="AF179" i="7"/>
  <c r="AF17" i="31" l="1"/>
  <c r="N13" i="31"/>
  <c r="AF13" i="31" s="1"/>
  <c r="N38" i="31"/>
  <c r="AF38" i="31" s="1"/>
  <c r="N36" i="31"/>
  <c r="AF36" i="31" s="1"/>
  <c r="N15" i="31"/>
  <c r="AF15" i="31" s="1"/>
  <c r="AF171" i="7"/>
  <c r="AF193" i="7" s="1"/>
  <c r="N35" i="31"/>
  <c r="AF35" i="31" s="1"/>
  <c r="N42" i="31"/>
  <c r="AF42" i="31" s="1"/>
  <c r="N20" i="31"/>
  <c r="AF20" i="31" s="1"/>
  <c r="N27" i="31" l="1"/>
  <c r="AF27" i="31" s="1"/>
  <c r="N37" i="31"/>
  <c r="AF37" i="31" s="1"/>
  <c r="N41" i="31"/>
  <c r="AF41" i="31" s="1"/>
  <c r="N19" i="31"/>
  <c r="AF19" i="31" s="1"/>
  <c r="N16" i="31"/>
  <c r="AF16" i="31" s="1"/>
  <c r="N28" i="31"/>
  <c r="AF28" i="31" s="1"/>
  <c r="N40" i="31"/>
  <c r="AF40" i="31" s="1"/>
  <c r="N18" i="31"/>
  <c r="AF18" i="31" s="1"/>
  <c r="N12" i="31" l="1"/>
  <c r="AF23" i="7"/>
  <c r="N34" i="31"/>
  <c r="AF43" i="7"/>
  <c r="N43" i="31" l="1"/>
  <c r="AF43" i="31" s="1"/>
  <c r="AF34" i="31"/>
  <c r="AF31" i="7"/>
  <c r="AF45" i="7" s="1"/>
  <c r="N26" i="31"/>
  <c r="AF12" i="31"/>
  <c r="N23" i="31"/>
  <c r="AF23" i="31" l="1"/>
  <c r="AF26" i="31"/>
  <c r="N31" i="31"/>
  <c r="AF31" i="31" s="1"/>
  <c r="N45" i="31" l="1"/>
  <c r="AF45" i="31" l="1"/>
  <c r="T112" i="7" l="1"/>
  <c r="T113" i="7"/>
  <c r="T40" i="7" l="1"/>
  <c r="T41" i="7"/>
  <c r="J227" i="4" l="1"/>
  <c r="J224" i="4"/>
  <c r="J237" i="4"/>
  <c r="J234" i="4"/>
  <c r="J233" i="4" l="1"/>
  <c r="J223" i="4"/>
  <c r="H41" i="31" l="1"/>
  <c r="H40" i="31"/>
  <c r="Z40" i="31" l="1"/>
  <c r="Z41" i="31"/>
  <c r="T100" i="7" l="1"/>
  <c r="T28" i="7" l="1"/>
  <c r="T99" i="7"/>
  <c r="T107" i="7"/>
  <c r="T110" i="7"/>
  <c r="T106" i="7" l="1"/>
  <c r="T38" i="7"/>
  <c r="T35" i="7" l="1"/>
  <c r="H35" i="31"/>
  <c r="H34" i="31"/>
  <c r="T34" i="7"/>
  <c r="H27" i="31"/>
  <c r="T27" i="7"/>
  <c r="J210" i="4"/>
  <c r="Z34" i="31" l="1"/>
  <c r="J211" i="4"/>
  <c r="H103" i="7"/>
  <c r="T98" i="7"/>
  <c r="Z27" i="31"/>
  <c r="Z35" i="31"/>
  <c r="J213" i="4"/>
  <c r="T103" i="7" l="1"/>
  <c r="H26" i="31"/>
  <c r="H31" i="7"/>
  <c r="T26" i="7"/>
  <c r="T31" i="7" l="1"/>
  <c r="Z26" i="31"/>
  <c r="H38" i="31" l="1"/>
  <c r="Z38" i="31" l="1"/>
  <c r="T108" i="7" l="1"/>
  <c r="T109" i="7"/>
  <c r="H115" i="7" l="1"/>
  <c r="H117" i="7" s="1"/>
  <c r="H132" i="7" s="1"/>
  <c r="T115" i="7"/>
  <c r="T117" i="7" s="1"/>
  <c r="T132" i="7" s="1"/>
  <c r="T37" i="7"/>
  <c r="T36" i="7" l="1"/>
  <c r="H43" i="7"/>
  <c r="H45" i="7" s="1"/>
  <c r="H60" i="7" s="1"/>
  <c r="J205" i="4"/>
  <c r="J202" i="4"/>
  <c r="J203" i="4"/>
  <c r="T43" i="7" l="1"/>
  <c r="T45" i="7" s="1"/>
  <c r="T60" i="7" s="1"/>
  <c r="I20" i="21" l="1"/>
  <c r="I24" i="21" s="1"/>
  <c r="I26" i="21" s="1"/>
  <c r="E24" i="21"/>
  <c r="E26" i="21" s="1"/>
  <c r="I32" i="21" l="1"/>
  <c r="I36" i="21" s="1"/>
  <c r="I38" i="21" s="1"/>
  <c r="E36" i="21"/>
  <c r="E38" i="21" s="1"/>
  <c r="E40" i="21" s="1"/>
  <c r="I27" i="8" l="1"/>
  <c r="L190" i="6"/>
  <c r="L202" i="6"/>
  <c r="L196" i="6"/>
  <c r="I36" i="8"/>
  <c r="I28" i="8"/>
  <c r="I35" i="8"/>
  <c r="L189" i="6"/>
  <c r="I26" i="8"/>
  <c r="I37" i="8"/>
  <c r="X115" i="7"/>
  <c r="X117" i="7" s="1"/>
  <c r="X132" i="7" s="1"/>
  <c r="I30" i="8" l="1"/>
  <c r="I32" i="8" s="1"/>
  <c r="N202" i="6"/>
  <c r="P202" i="6" s="1"/>
  <c r="J202" i="6"/>
  <c r="N189" i="6"/>
  <c r="P189" i="6" s="1"/>
  <c r="J189" i="6"/>
  <c r="N190" i="6"/>
  <c r="P190" i="6" s="1"/>
  <c r="L193" i="6"/>
  <c r="J190" i="6"/>
  <c r="I38" i="8"/>
  <c r="I40" i="8" s="1"/>
  <c r="J196" i="6"/>
  <c r="N196" i="6"/>
  <c r="P196" i="6" s="1"/>
  <c r="H36" i="31"/>
  <c r="H37" i="31"/>
  <c r="N193" i="6" l="1"/>
  <c r="P193" i="6" s="1"/>
  <c r="J193" i="6"/>
  <c r="Z37" i="31"/>
  <c r="X43" i="7"/>
  <c r="Z36" i="31"/>
  <c r="H43" i="31"/>
  <c r="AJ124" i="7" l="1"/>
  <c r="AL124" i="7" s="1"/>
  <c r="J637" i="6"/>
  <c r="J638" i="6"/>
  <c r="AJ126" i="7"/>
  <c r="AL126" i="7" s="1"/>
  <c r="AJ127" i="7"/>
  <c r="AL127" i="7" s="1"/>
  <c r="J606" i="6"/>
  <c r="R53" i="31"/>
  <c r="AJ53" i="7"/>
  <c r="R54" i="31"/>
  <c r="X54" i="31" s="1"/>
  <c r="AJ125" i="7"/>
  <c r="AL125" i="7" s="1"/>
  <c r="AJ121" i="7"/>
  <c r="AL121" i="7" s="1"/>
  <c r="Z43" i="31"/>
  <c r="J677" i="6" l="1"/>
  <c r="J678" i="6"/>
  <c r="J636" i="6"/>
  <c r="AJ55" i="7"/>
  <c r="R55" i="31"/>
  <c r="AL53" i="7"/>
  <c r="AO53" i="7"/>
  <c r="J679" i="6"/>
  <c r="X53" i="31"/>
  <c r="AL53" i="31" s="1"/>
  <c r="V53" i="31"/>
  <c r="J551" i="6"/>
  <c r="AJ120" i="7"/>
  <c r="J633" i="6"/>
  <c r="J607" i="6"/>
  <c r="J604" i="6"/>
  <c r="R49" i="31"/>
  <c r="AJ49" i="7"/>
  <c r="J627" i="6"/>
  <c r="J582" i="6"/>
  <c r="J564" i="6"/>
  <c r="I14" i="8"/>
  <c r="I17" i="8" s="1"/>
  <c r="I20" i="8"/>
  <c r="I23" i="8" s="1"/>
  <c r="J608" i="6"/>
  <c r="I48" i="8" l="1"/>
  <c r="J651" i="6"/>
  <c r="N651" i="6"/>
  <c r="J654" i="6"/>
  <c r="N654" i="6"/>
  <c r="J691" i="6"/>
  <c r="J629" i="6"/>
  <c r="N629" i="6"/>
  <c r="N627" i="6" s="1"/>
  <c r="P627" i="6" s="1"/>
  <c r="L556" i="6"/>
  <c r="J555" i="6"/>
  <c r="J552" i="6"/>
  <c r="X55" i="31"/>
  <c r="AL55" i="31" s="1"/>
  <c r="V55" i="31"/>
  <c r="AJ130" i="7"/>
  <c r="AJ58" i="7"/>
  <c r="AL49" i="7"/>
  <c r="AO49" i="7"/>
  <c r="AL55" i="7"/>
  <c r="AO55" i="7"/>
  <c r="J628" i="6"/>
  <c r="J623" i="6"/>
  <c r="X49" i="31"/>
  <c r="AL49" i="31" s="1"/>
  <c r="V49" i="31"/>
  <c r="J692" i="6"/>
  <c r="J622" i="6"/>
  <c r="J652" i="6"/>
  <c r="N652" i="6"/>
  <c r="AL120" i="7"/>
  <c r="J653" i="6"/>
  <c r="N653" i="6"/>
  <c r="J625" i="6" l="1"/>
  <c r="N625" i="6"/>
  <c r="N623" i="6" s="1"/>
  <c r="P623" i="6" s="1"/>
  <c r="N650" i="6"/>
  <c r="J650" i="6"/>
  <c r="J690" i="6"/>
  <c r="N649" i="6"/>
  <c r="J649" i="6"/>
  <c r="N624" i="6"/>
  <c r="N622" i="6" s="1"/>
  <c r="P622" i="6" s="1"/>
  <c r="J624" i="6"/>
  <c r="J587" i="6"/>
  <c r="AN58" i="7"/>
  <c r="AO58" i="7" s="1"/>
  <c r="V58" i="7"/>
  <c r="R58" i="31" s="1"/>
  <c r="AL58" i="7"/>
  <c r="AL130" i="7"/>
  <c r="V130" i="7"/>
  <c r="J630" i="6"/>
  <c r="N630" i="6"/>
  <c r="N628" i="6" s="1"/>
  <c r="P628" i="6" s="1"/>
  <c r="J556" i="6"/>
  <c r="N556" i="6"/>
  <c r="N586" i="6" l="1"/>
  <c r="N587" i="6" s="1"/>
  <c r="J586" i="6"/>
  <c r="V58" i="31"/>
  <c r="X58" i="31"/>
  <c r="AL58" i="31" s="1"/>
  <c r="R48" i="31"/>
  <c r="AJ48" i="7"/>
  <c r="AJ52" i="7"/>
  <c r="R52" i="31"/>
  <c r="X52" i="31" l="1"/>
  <c r="AL52" i="31" s="1"/>
  <c r="V52" i="31"/>
  <c r="AO52" i="7"/>
  <c r="AL52" i="7"/>
  <c r="AO48" i="7"/>
  <c r="AL48" i="7"/>
  <c r="V48" i="31"/>
  <c r="X48" i="31"/>
  <c r="AL48" i="31" s="1"/>
  <c r="J376" i="6" l="1"/>
  <c r="H28" i="31"/>
  <c r="H21" i="31"/>
  <c r="X23" i="7"/>
  <c r="J281" i="6"/>
  <c r="AJ93" i="7"/>
  <c r="AL93" i="7" s="1"/>
  <c r="H30" i="31"/>
  <c r="AJ91" i="7"/>
  <c r="AL91" i="7" s="1"/>
  <c r="AJ107" i="7"/>
  <c r="AL107" i="7" s="1"/>
  <c r="AJ101" i="7"/>
  <c r="AL101" i="7" s="1"/>
  <c r="AJ92" i="7"/>
  <c r="AL92" i="7" s="1"/>
  <c r="AJ102" i="7"/>
  <c r="AL102" i="7" s="1"/>
  <c r="AJ111" i="7"/>
  <c r="AL111" i="7" s="1"/>
  <c r="AJ86" i="7"/>
  <c r="AL86" i="7" s="1"/>
  <c r="AJ110" i="7"/>
  <c r="AL110" i="7" s="1"/>
  <c r="AJ87" i="7"/>
  <c r="AL87" i="7" s="1"/>
  <c r="AJ88" i="7"/>
  <c r="AL88" i="7" s="1"/>
  <c r="AJ85" i="7"/>
  <c r="AL85" i="7" s="1"/>
  <c r="AJ89" i="7"/>
  <c r="AL89" i="7" s="1"/>
  <c r="J671" i="6" l="1"/>
  <c r="J317" i="6"/>
  <c r="J321" i="6"/>
  <c r="X31" i="7"/>
  <c r="X45" i="7" s="1"/>
  <c r="X60" i="7" s="1"/>
  <c r="Z28" i="31"/>
  <c r="H31" i="31"/>
  <c r="J320" i="6"/>
  <c r="J318" i="6"/>
  <c r="AJ106" i="7"/>
  <c r="AJ84" i="7"/>
  <c r="Z30" i="31"/>
  <c r="Z21" i="31"/>
  <c r="H23" i="31"/>
  <c r="AJ109" i="7"/>
  <c r="AL109" i="7" s="1"/>
  <c r="AJ114" i="7"/>
  <c r="AL114" i="7" s="1"/>
  <c r="AJ99" i="7"/>
  <c r="AL99" i="7" s="1"/>
  <c r="AJ90" i="7"/>
  <c r="AL90" i="7" s="1"/>
  <c r="AJ100" i="7"/>
  <c r="AL100" i="7" s="1"/>
  <c r="AJ112" i="7"/>
  <c r="AL112" i="7" s="1"/>
  <c r="AJ108" i="7"/>
  <c r="AL108" i="7" s="1"/>
  <c r="AJ113" i="7"/>
  <c r="AL113" i="7" s="1"/>
  <c r="J562" i="6" l="1"/>
  <c r="J676" i="6"/>
  <c r="J673" i="6"/>
  <c r="J563" i="6"/>
  <c r="J560" i="6"/>
  <c r="L571" i="6"/>
  <c r="J672" i="6"/>
  <c r="J561" i="6"/>
  <c r="J674" i="6"/>
  <c r="J675" i="6"/>
  <c r="R20" i="31"/>
  <c r="X20" i="31" s="1"/>
  <c r="V103" i="7"/>
  <c r="AJ98" i="7"/>
  <c r="R21" i="31"/>
  <c r="X21" i="31" s="1"/>
  <c r="H45" i="31"/>
  <c r="Z23" i="31"/>
  <c r="R38" i="31"/>
  <c r="X38" i="31" s="1"/>
  <c r="R12" i="31"/>
  <c r="R39" i="31"/>
  <c r="X39" i="31" s="1"/>
  <c r="AL84" i="7"/>
  <c r="AJ95" i="7"/>
  <c r="Z31" i="31"/>
  <c r="N50" i="6"/>
  <c r="N49" i="6"/>
  <c r="R30" i="31"/>
  <c r="X30" i="31" s="1"/>
  <c r="N209" i="6"/>
  <c r="V95" i="7"/>
  <c r="R17" i="31"/>
  <c r="AJ17" i="7"/>
  <c r="AL17" i="7" s="1"/>
  <c r="R29" i="31"/>
  <c r="X29" i="31" s="1"/>
  <c r="R15" i="31"/>
  <c r="X15" i="31" s="1"/>
  <c r="R35" i="31"/>
  <c r="X35" i="31" s="1"/>
  <c r="R13" i="31"/>
  <c r="X13" i="31" s="1"/>
  <c r="AJ115" i="7"/>
  <c r="AL115" i="7" s="1"/>
  <c r="AL106" i="7"/>
  <c r="R34" i="31"/>
  <c r="V115" i="7"/>
  <c r="J137" i="6"/>
  <c r="R19" i="31"/>
  <c r="X19" i="31" s="1"/>
  <c r="R14" i="31"/>
  <c r="X14" i="31" s="1"/>
  <c r="J280" i="6"/>
  <c r="J688" i="6" l="1"/>
  <c r="J685" i="6"/>
  <c r="J689" i="6"/>
  <c r="J686" i="6"/>
  <c r="J571" i="6"/>
  <c r="N571" i="6"/>
  <c r="V43" i="7"/>
  <c r="V117" i="7"/>
  <c r="J331" i="6"/>
  <c r="J423" i="6"/>
  <c r="R37" i="31"/>
  <c r="X37" i="31" s="1"/>
  <c r="J366" i="6"/>
  <c r="J523" i="6"/>
  <c r="R26" i="31"/>
  <c r="V31" i="7"/>
  <c r="J86" i="6"/>
  <c r="J284" i="6"/>
  <c r="J312" i="6"/>
  <c r="AJ103" i="7"/>
  <c r="AL103" i="7" s="1"/>
  <c r="AL98" i="7"/>
  <c r="J146" i="6"/>
  <c r="AO17" i="7"/>
  <c r="J476" i="6"/>
  <c r="J518" i="6"/>
  <c r="J327" i="6"/>
  <c r="X17" i="31"/>
  <c r="AL17" i="31" s="1"/>
  <c r="V17" i="31"/>
  <c r="X12" i="31"/>
  <c r="R16" i="31"/>
  <c r="X16" i="31" s="1"/>
  <c r="J455" i="6"/>
  <c r="J144" i="6"/>
  <c r="X34" i="31"/>
  <c r="R18" i="31"/>
  <c r="X18" i="31" s="1"/>
  <c r="J15" i="6"/>
  <c r="R41" i="31"/>
  <c r="X41" i="31" s="1"/>
  <c r="J165" i="6"/>
  <c r="AL95" i="7"/>
  <c r="J138" i="6"/>
  <c r="R40" i="31"/>
  <c r="X40" i="31" s="1"/>
  <c r="H60" i="31"/>
  <c r="Z45" i="31"/>
  <c r="R28" i="31"/>
  <c r="X28" i="31" s="1"/>
  <c r="R36" i="31"/>
  <c r="X36" i="31" s="1"/>
  <c r="J330" i="6"/>
  <c r="R42" i="31"/>
  <c r="X42" i="31" s="1"/>
  <c r="R27" i="31"/>
  <c r="X27" i="31" s="1"/>
  <c r="J514" i="6"/>
  <c r="J145" i="6"/>
  <c r="J148" i="6"/>
  <c r="V23" i="7"/>
  <c r="V45" i="7" s="1"/>
  <c r="J687" i="6" l="1"/>
  <c r="J578" i="6"/>
  <c r="N578" i="6"/>
  <c r="AJ123" i="7"/>
  <c r="V128" i="7"/>
  <c r="V132" i="7"/>
  <c r="AJ117" i="7"/>
  <c r="R23" i="31"/>
  <c r="J96" i="6"/>
  <c r="J94" i="6"/>
  <c r="J429" i="6"/>
  <c r="J170" i="6"/>
  <c r="J74" i="6"/>
  <c r="J46" i="6"/>
  <c r="J26" i="6"/>
  <c r="J524" i="6"/>
  <c r="J161" i="6"/>
  <c r="J29" i="6"/>
  <c r="J23" i="6"/>
  <c r="J81" i="6"/>
  <c r="J304" i="6"/>
  <c r="J486" i="6"/>
  <c r="J151" i="6"/>
  <c r="J100" i="6"/>
  <c r="L192" i="6"/>
  <c r="J385" i="6"/>
  <c r="J460" i="6"/>
  <c r="J287" i="6"/>
  <c r="Z60" i="31"/>
  <c r="J42" i="6"/>
  <c r="J261" i="6"/>
  <c r="J159" i="6"/>
  <c r="J93" i="6"/>
  <c r="J371" i="6"/>
  <c r="R31" i="31"/>
  <c r="X31" i="31" s="1"/>
  <c r="X26" i="31"/>
  <c r="J485" i="6"/>
  <c r="J267" i="6"/>
  <c r="J229" i="6"/>
  <c r="J275" i="6"/>
  <c r="J480" i="6"/>
  <c r="J464" i="6"/>
  <c r="J268" i="6"/>
  <c r="J265" i="6"/>
  <c r="J313" i="6"/>
  <c r="J52" i="6"/>
  <c r="J274" i="6"/>
  <c r="J152" i="6"/>
  <c r="J448" i="6"/>
  <c r="J463" i="6"/>
  <c r="J172" i="6"/>
  <c r="J511" i="6"/>
  <c r="J489" i="6"/>
  <c r="J38" i="6"/>
  <c r="X23" i="31"/>
  <c r="J403" i="6"/>
  <c r="J158" i="6"/>
  <c r="J24" i="6"/>
  <c r="J451" i="6"/>
  <c r="J45" i="6"/>
  <c r="J386" i="6"/>
  <c r="J117" i="6"/>
  <c r="J54" i="6"/>
  <c r="J103" i="6"/>
  <c r="J488" i="6"/>
  <c r="J417" i="6"/>
  <c r="J39" i="6"/>
  <c r="J412" i="6"/>
  <c r="J407" i="6"/>
  <c r="J87" i="6"/>
  <c r="J53" i="6"/>
  <c r="J461" i="6"/>
  <c r="J373" i="6"/>
  <c r="J22" i="6"/>
  <c r="J358" i="6"/>
  <c r="J426" i="6"/>
  <c r="J413" i="6"/>
  <c r="J73" i="6"/>
  <c r="J381" i="6"/>
  <c r="J80" i="6"/>
  <c r="J169" i="6"/>
  <c r="R43" i="31"/>
  <c r="X43" i="31" s="1"/>
  <c r="J477" i="6"/>
  <c r="J478" i="6"/>
  <c r="J157" i="6"/>
  <c r="J247" i="6"/>
  <c r="J355" i="6"/>
  <c r="J83" i="6"/>
  <c r="J244" i="6"/>
  <c r="J116" i="6"/>
  <c r="J79" i="6"/>
  <c r="J92" i="6"/>
  <c r="J118" i="6"/>
  <c r="J56" i="6"/>
  <c r="J120" i="6"/>
  <c r="J40" i="6"/>
  <c r="J99" i="6"/>
  <c r="J348" i="6"/>
  <c r="AL117" i="7"/>
  <c r="J466" i="6"/>
  <c r="J372" i="6"/>
  <c r="J383" i="6"/>
  <c r="J262" i="6"/>
  <c r="J491" i="6"/>
  <c r="J243" i="6"/>
  <c r="J473" i="6"/>
  <c r="J168" i="6"/>
  <c r="J522" i="6"/>
  <c r="J288" i="6"/>
  <c r="AO117" i="7"/>
  <c r="J576" i="6" l="1"/>
  <c r="N576" i="6"/>
  <c r="R51" i="31"/>
  <c r="AJ51" i="7"/>
  <c r="V56" i="7"/>
  <c r="V60" i="7" s="1"/>
  <c r="AL123" i="7"/>
  <c r="AJ128" i="7"/>
  <c r="J575" i="6"/>
  <c r="N575" i="6"/>
  <c r="M122" i="10"/>
  <c r="O122" i="10" s="1"/>
  <c r="Q122" i="10" s="1"/>
  <c r="M110" i="10"/>
  <c r="O110" i="10" s="1"/>
  <c r="Q110" i="10" s="1"/>
  <c r="J452" i="6"/>
  <c r="J515" i="6"/>
  <c r="R45" i="31"/>
  <c r="J516" i="6"/>
  <c r="J453" i="6"/>
  <c r="J192" i="6"/>
  <c r="N192" i="6"/>
  <c r="P192" i="6" s="1"/>
  <c r="J577" i="6" l="1"/>
  <c r="N577" i="6"/>
  <c r="AL51" i="7"/>
  <c r="AO51" i="7"/>
  <c r="AL128" i="7"/>
  <c r="AJ132" i="7"/>
  <c r="X51" i="31"/>
  <c r="AL51" i="31" s="1"/>
  <c r="V51" i="31"/>
  <c r="R56" i="31"/>
  <c r="X56" i="31" s="1"/>
  <c r="R60" i="31"/>
  <c r="X60" i="31" s="1"/>
  <c r="X45" i="31"/>
  <c r="AL132" i="7" l="1"/>
  <c r="M210" i="9"/>
  <c r="O210" i="9" s="1"/>
  <c r="Q210" i="9" s="1"/>
  <c r="M221" i="9" l="1"/>
  <c r="O221" i="9" s="1"/>
  <c r="Q221" i="9" s="1"/>
  <c r="M222" i="9"/>
  <c r="O222" i="9" s="1"/>
  <c r="Q222" i="9" s="1"/>
  <c r="M234" i="9"/>
  <c r="O234" i="9" s="1"/>
  <c r="Q234" i="9" s="1"/>
  <c r="M281" i="9"/>
  <c r="Q281" i="9" s="1"/>
  <c r="M233" i="9"/>
  <c r="O233" i="9" s="1"/>
  <c r="Q233" i="9" s="1"/>
  <c r="M211" i="11"/>
  <c r="Q211" i="11" s="1"/>
  <c r="E214" i="11"/>
  <c r="M209" i="9"/>
  <c r="O209" i="9" s="1"/>
  <c r="Q209" i="9" s="1"/>
  <c r="M280" i="9"/>
  <c r="Q280" i="9" s="1"/>
  <c r="I214" i="11"/>
  <c r="I212" i="11"/>
  <c r="M210" i="11"/>
  <c r="M30" i="9" l="1"/>
  <c r="O30" i="9" s="1"/>
  <c r="Q30" i="9" s="1"/>
  <c r="M176" i="9"/>
  <c r="O176" i="9" s="1"/>
  <c r="Q176" i="9" s="1"/>
  <c r="M203" i="11"/>
  <c r="O203" i="11" s="1"/>
  <c r="Q203" i="11" s="1"/>
  <c r="E206" i="11"/>
  <c r="E29" i="11"/>
  <c r="M26" i="11"/>
  <c r="O26" i="11" s="1"/>
  <c r="Q26" i="11" s="1"/>
  <c r="M38" i="10"/>
  <c r="O38" i="10" s="1"/>
  <c r="Q38" i="10" s="1"/>
  <c r="E41" i="10"/>
  <c r="M167" i="11"/>
  <c r="O167" i="11" s="1"/>
  <c r="Q167" i="11" s="1"/>
  <c r="E170" i="11"/>
  <c r="M139" i="9"/>
  <c r="O139" i="9" s="1"/>
  <c r="Q139" i="9" s="1"/>
  <c r="M78" i="9"/>
  <c r="O78" i="9" s="1"/>
  <c r="Q78" i="9" s="1"/>
  <c r="M77" i="9"/>
  <c r="O77" i="9" s="1"/>
  <c r="Q77" i="9" s="1"/>
  <c r="M140" i="9"/>
  <c r="O140" i="9" s="1"/>
  <c r="Q140" i="9" s="1"/>
  <c r="M163" i="9"/>
  <c r="O163" i="9" s="1"/>
  <c r="Q163" i="9" s="1"/>
  <c r="E21" i="10"/>
  <c r="M18" i="10"/>
  <c r="O18" i="10" s="1"/>
  <c r="Q18" i="10" s="1"/>
  <c r="M28" i="10"/>
  <c r="O28" i="10" s="1"/>
  <c r="Q28" i="10" s="1"/>
  <c r="E31" i="10"/>
  <c r="E179" i="11"/>
  <c r="M176" i="11"/>
  <c r="O176" i="11" s="1"/>
  <c r="Q176" i="11" s="1"/>
  <c r="M66" i="9"/>
  <c r="O66" i="9" s="1"/>
  <c r="Q66" i="9" s="1"/>
  <c r="M17" i="9"/>
  <c r="O17" i="9" s="1"/>
  <c r="Q17" i="9" s="1"/>
  <c r="E47" i="11"/>
  <c r="M44" i="11"/>
  <c r="O44" i="11" s="1"/>
  <c r="Q44" i="11" s="1"/>
  <c r="M29" i="9"/>
  <c r="O29" i="9" s="1"/>
  <c r="Q29" i="9" s="1"/>
  <c r="M246" i="9"/>
  <c r="O246" i="9" s="1"/>
  <c r="Q246" i="9" s="1"/>
  <c r="M175" i="9"/>
  <c r="O175" i="9" s="1"/>
  <c r="Q175" i="9" s="1"/>
  <c r="M164" i="9"/>
  <c r="O164" i="9" s="1"/>
  <c r="Q164" i="9" s="1"/>
  <c r="M18" i="9"/>
  <c r="O18" i="9" s="1"/>
  <c r="Q18" i="9" s="1"/>
  <c r="M54" i="9"/>
  <c r="O54" i="9" s="1"/>
  <c r="Q54" i="9" s="1"/>
  <c r="M194" i="11"/>
  <c r="O194" i="11" s="1"/>
  <c r="Q194" i="11" s="1"/>
  <c r="E197" i="11"/>
  <c r="E74" i="11"/>
  <c r="M71" i="11"/>
  <c r="O71" i="11" s="1"/>
  <c r="Q71" i="11" s="1"/>
  <c r="M115" i="9"/>
  <c r="O115" i="9" s="1"/>
  <c r="Q115" i="9" s="1"/>
  <c r="M269" i="9"/>
  <c r="O269" i="9" s="1"/>
  <c r="Q269" i="9" s="1"/>
  <c r="M245" i="9"/>
  <c r="O245" i="9" s="1"/>
  <c r="Q245" i="9" s="1"/>
  <c r="M151" i="9"/>
  <c r="O151" i="9" s="1"/>
  <c r="Q151" i="9" s="1"/>
  <c r="M53" i="9"/>
  <c r="O53" i="9" s="1"/>
  <c r="Q53" i="9" s="1"/>
  <c r="M270" i="9"/>
  <c r="O270" i="9" s="1"/>
  <c r="Q270" i="9" s="1"/>
  <c r="M258" i="9"/>
  <c r="O258" i="9" s="1"/>
  <c r="Q258" i="9" s="1"/>
  <c r="M128" i="9"/>
  <c r="O128" i="9" s="1"/>
  <c r="Q128" i="9" s="1"/>
  <c r="M48" i="10"/>
  <c r="O48" i="10" s="1"/>
  <c r="Q48" i="10" s="1"/>
  <c r="E51" i="10"/>
  <c r="M41" i="9"/>
  <c r="O41" i="9" s="1"/>
  <c r="Q41" i="9" s="1"/>
  <c r="M111" i="11"/>
  <c r="O111" i="11" s="1"/>
  <c r="Q111" i="11" s="1"/>
  <c r="E114" i="11"/>
  <c r="M42" i="9"/>
  <c r="O42" i="9" s="1"/>
  <c r="Q42" i="9" s="1"/>
  <c r="M89" i="9"/>
  <c r="O89" i="9" s="1"/>
  <c r="Q89" i="9" s="1"/>
  <c r="E65" i="11"/>
  <c r="M62" i="11"/>
  <c r="O62" i="11" s="1"/>
  <c r="Q62" i="11" s="1"/>
  <c r="M187" i="9"/>
  <c r="M257" i="9"/>
  <c r="O257" i="9" s="1"/>
  <c r="Q257" i="9" s="1"/>
  <c r="M90" i="9"/>
  <c r="O90" i="9" s="1"/>
  <c r="Q90" i="9" s="1"/>
  <c r="M65" i="9"/>
  <c r="O65" i="9" s="1"/>
  <c r="Q65" i="9" s="1"/>
  <c r="M127" i="9"/>
  <c r="O127" i="9" s="1"/>
  <c r="Q127" i="9" s="1"/>
  <c r="M145" i="11"/>
  <c r="O145" i="11" s="1"/>
  <c r="Q145" i="11" s="1"/>
  <c r="E148" i="11"/>
  <c r="M53" i="11"/>
  <c r="O53" i="11" s="1"/>
  <c r="Q53" i="11" s="1"/>
  <c r="E56" i="11"/>
  <c r="M17" i="11"/>
  <c r="O17" i="11" s="1"/>
  <c r="Q17" i="11" s="1"/>
  <c r="E20" i="11"/>
  <c r="M185" i="11"/>
  <c r="O185" i="11" s="1"/>
  <c r="Q185" i="11" s="1"/>
  <c r="E188" i="11"/>
  <c r="E105" i="11"/>
  <c r="M102" i="11"/>
  <c r="O102" i="11" s="1"/>
  <c r="Q102" i="11" s="1"/>
  <c r="M128" i="11"/>
  <c r="Q128" i="11" s="1"/>
  <c r="E131" i="11"/>
  <c r="M116" i="9"/>
  <c r="O116" i="9" s="1"/>
  <c r="Q116" i="9" s="1"/>
  <c r="E38" i="11"/>
  <c r="M35" i="11"/>
  <c r="O35" i="11" s="1"/>
  <c r="Q35" i="11" s="1"/>
  <c r="M93" i="11"/>
  <c r="O93" i="11" s="1"/>
  <c r="Q93" i="11" s="1"/>
  <c r="E96" i="11"/>
  <c r="M136" i="11"/>
  <c r="Q136" i="11" s="1"/>
  <c r="E139" i="11"/>
  <c r="M152" i="9"/>
  <c r="O152" i="9" s="1"/>
  <c r="Q152" i="9" s="1"/>
  <c r="M58" i="10"/>
  <c r="O58" i="10" s="1"/>
  <c r="Q58" i="10" s="1"/>
  <c r="E61" i="10"/>
  <c r="E123" i="11"/>
  <c r="M120" i="11"/>
  <c r="O120" i="11" s="1"/>
  <c r="Q120" i="11" s="1"/>
  <c r="M212" i="11"/>
  <c r="Q212" i="11" s="1"/>
  <c r="M214" i="11"/>
  <c r="Q214" i="11" s="1"/>
  <c r="Q210" i="11"/>
  <c r="P39" i="31"/>
  <c r="AH39" i="31" s="1"/>
  <c r="P21" i="31"/>
  <c r="AH21" i="31" s="1"/>
  <c r="AH191" i="7"/>
  <c r="AH179" i="7"/>
  <c r="O187" i="9" l="1"/>
  <c r="Q187" i="9" s="1"/>
  <c r="M185" i="9"/>
  <c r="I188" i="9"/>
  <c r="E104" i="10"/>
  <c r="M101" i="10"/>
  <c r="O101" i="10" s="1"/>
  <c r="Q101" i="10" s="1"/>
  <c r="E71" i="10"/>
  <c r="M68" i="10"/>
  <c r="O68" i="10" s="1"/>
  <c r="Q68" i="10" s="1"/>
  <c r="E94" i="10"/>
  <c r="M91" i="10"/>
  <c r="O91" i="10" s="1"/>
  <c r="Q91" i="10" s="1"/>
  <c r="I146" i="11"/>
  <c r="M143" i="11"/>
  <c r="I148" i="11"/>
  <c r="I206" i="11"/>
  <c r="I204" i="11"/>
  <c r="M201" i="11"/>
  <c r="I168" i="11"/>
  <c r="I170" i="11"/>
  <c r="M165" i="11"/>
  <c r="I188" i="11"/>
  <c r="M183" i="11"/>
  <c r="I186" i="11"/>
  <c r="I177" i="11"/>
  <c r="I179" i="11"/>
  <c r="M174" i="11"/>
  <c r="I195" i="11"/>
  <c r="I197" i="11"/>
  <c r="M192" i="11"/>
  <c r="P41" i="31"/>
  <c r="AH41" i="31" s="1"/>
  <c r="P37" i="31"/>
  <c r="AH37" i="31" s="1"/>
  <c r="P16" i="31"/>
  <c r="AH16" i="31" s="1"/>
  <c r="P13" i="31"/>
  <c r="AH13" i="31" s="1"/>
  <c r="P15" i="31"/>
  <c r="AH15" i="31" s="1"/>
  <c r="P35" i="31"/>
  <c r="AH35" i="31" s="1"/>
  <c r="P42" i="31"/>
  <c r="AH42" i="31" s="1"/>
  <c r="P36" i="31"/>
  <c r="AH36" i="31" s="1"/>
  <c r="P20" i="31"/>
  <c r="AH20" i="31" s="1"/>
  <c r="P40" i="31"/>
  <c r="AH40" i="31" s="1"/>
  <c r="P19" i="31"/>
  <c r="AH19" i="31" s="1"/>
  <c r="P38" i="31"/>
  <c r="AH38" i="31" s="1"/>
  <c r="AH171" i="7"/>
  <c r="AH193" i="7" s="1"/>
  <c r="G116" i="10" l="1"/>
  <c r="G114" i="10"/>
  <c r="E128" i="10"/>
  <c r="M123" i="10"/>
  <c r="O123" i="10" s="1"/>
  <c r="Q123" i="10" s="1"/>
  <c r="E126" i="10"/>
  <c r="O185" i="9"/>
  <c r="Q185" i="9" s="1"/>
  <c r="M188" i="9"/>
  <c r="O188" i="9" s="1"/>
  <c r="G128" i="10"/>
  <c r="G126" i="10"/>
  <c r="Q188" i="9"/>
  <c r="M111" i="10"/>
  <c r="O111" i="10" s="1"/>
  <c r="Q111" i="10" s="1"/>
  <c r="E114" i="10"/>
  <c r="E116" i="10"/>
  <c r="O183" i="11"/>
  <c r="Q183" i="11" s="1"/>
  <c r="M186" i="11"/>
  <c r="M188" i="11"/>
  <c r="M148" i="11"/>
  <c r="O143" i="11"/>
  <c r="Q143" i="11" s="1"/>
  <c r="M146" i="11"/>
  <c r="M168" i="11"/>
  <c r="M170" i="11"/>
  <c r="O165" i="11"/>
  <c r="Q165" i="11" s="1"/>
  <c r="O201" i="11"/>
  <c r="Q201" i="11" s="1"/>
  <c r="M204" i="11"/>
  <c r="M206" i="11"/>
  <c r="O192" i="11"/>
  <c r="Q192" i="11" s="1"/>
  <c r="M195" i="11"/>
  <c r="M197" i="11"/>
  <c r="O174" i="11"/>
  <c r="Q174" i="11" s="1"/>
  <c r="M177" i="11"/>
  <c r="M179" i="11"/>
  <c r="P27" i="31"/>
  <c r="AH27" i="31" s="1"/>
  <c r="P28" i="31"/>
  <c r="AH28" i="31" s="1"/>
  <c r="Q177" i="11" l="1"/>
  <c r="O177" i="11"/>
  <c r="O148" i="11"/>
  <c r="Q148" i="11"/>
  <c r="O197" i="11"/>
  <c r="Q197" i="11"/>
  <c r="Q195" i="11"/>
  <c r="O195" i="11"/>
  <c r="O170" i="11"/>
  <c r="Q170" i="11"/>
  <c r="O168" i="11"/>
  <c r="Q168" i="11"/>
  <c r="O188" i="11"/>
  <c r="Q188" i="11"/>
  <c r="Q206" i="11"/>
  <c r="O206" i="11"/>
  <c r="Q186" i="11"/>
  <c r="O186" i="11"/>
  <c r="O204" i="11"/>
  <c r="Q204" i="11"/>
  <c r="O146" i="11"/>
  <c r="Q146" i="11"/>
  <c r="O179" i="11"/>
  <c r="Q179" i="11"/>
  <c r="P34" i="31" l="1"/>
  <c r="AH43" i="7"/>
  <c r="J256" i="6"/>
  <c r="J255" i="6"/>
  <c r="J328" i="6"/>
  <c r="P12" i="31"/>
  <c r="AH23" i="7"/>
  <c r="J258" i="6"/>
  <c r="J278" i="6"/>
  <c r="J285" i="6"/>
  <c r="J277" i="6"/>
  <c r="J259" i="6"/>
  <c r="P26" i="31" l="1"/>
  <c r="AH31" i="7"/>
  <c r="AH45" i="7" s="1"/>
  <c r="AH12" i="31"/>
  <c r="P23" i="31"/>
  <c r="AH34" i="31"/>
  <c r="P43" i="31"/>
  <c r="AH43" i="31" s="1"/>
  <c r="AJ190" i="7"/>
  <c r="AL190" i="7" s="1"/>
  <c r="AJ188" i="7"/>
  <c r="AL188" i="7" s="1"/>
  <c r="AJ189" i="7"/>
  <c r="AL189" i="7" s="1"/>
  <c r="J238" i="6" l="1"/>
  <c r="J241" i="6"/>
  <c r="AH23" i="31"/>
  <c r="AH26" i="31"/>
  <c r="P31" i="31"/>
  <c r="AH31" i="31" s="1"/>
  <c r="J354" i="6"/>
  <c r="J240" i="6"/>
  <c r="J237" i="6"/>
  <c r="AJ183" i="7"/>
  <c r="AL183" i="7" s="1"/>
  <c r="AJ178" i="7"/>
  <c r="AL178" i="7" s="1"/>
  <c r="AJ176" i="7"/>
  <c r="AL176" i="7" s="1"/>
  <c r="AJ185" i="7"/>
  <c r="AL185" i="7" s="1"/>
  <c r="AJ177" i="7"/>
  <c r="AL177" i="7" s="1"/>
  <c r="AJ166" i="7"/>
  <c r="AL166" i="7" s="1"/>
  <c r="AJ175" i="7"/>
  <c r="AL175" i="7" s="1"/>
  <c r="P45" i="31" l="1"/>
  <c r="AJ167" i="7"/>
  <c r="AL167" i="7" s="1"/>
  <c r="AJ186" i="7"/>
  <c r="AL186" i="7" s="1"/>
  <c r="AJ163" i="7"/>
  <c r="AL163" i="7" s="1"/>
  <c r="AJ169" i="7"/>
  <c r="AL169" i="7" s="1"/>
  <c r="AJ184" i="7"/>
  <c r="AL184" i="7" s="1"/>
  <c r="AJ164" i="7"/>
  <c r="AL164" i="7" s="1"/>
  <c r="AJ187" i="7"/>
  <c r="AL187" i="7" s="1"/>
  <c r="AJ168" i="7"/>
  <c r="AL168" i="7" s="1"/>
  <c r="AJ162" i="7"/>
  <c r="AL162" i="7" s="1"/>
  <c r="AJ161" i="7"/>
  <c r="AL161" i="7" s="1"/>
  <c r="L40" i="31" l="1"/>
  <c r="AJ40" i="7"/>
  <c r="AL40" i="7" s="1"/>
  <c r="AH45" i="31"/>
  <c r="M47" i="10" l="1"/>
  <c r="O47" i="10" s="1"/>
  <c r="Q47" i="10" s="1"/>
  <c r="M57" i="10"/>
  <c r="O57" i="10" s="1"/>
  <c r="Q57" i="10" s="1"/>
  <c r="M90" i="10"/>
  <c r="O90" i="10" s="1"/>
  <c r="Q90" i="10" s="1"/>
  <c r="M37" i="10"/>
  <c r="O37" i="10" s="1"/>
  <c r="Q37" i="10" s="1"/>
  <c r="M67" i="10"/>
  <c r="O67" i="10" s="1"/>
  <c r="Q67" i="10" s="1"/>
  <c r="L21" i="31"/>
  <c r="AJ21" i="7"/>
  <c r="AL21" i="7" s="1"/>
  <c r="L14" i="31"/>
  <c r="AJ14" i="7"/>
  <c r="AL14" i="7" s="1"/>
  <c r="L41" i="31"/>
  <c r="AJ41" i="7"/>
  <c r="AL41" i="7" s="1"/>
  <c r="AD179" i="7"/>
  <c r="AJ174" i="7"/>
  <c r="L42" i="31"/>
  <c r="AJ42" i="7"/>
  <c r="AL42" i="7" s="1"/>
  <c r="L39" i="31"/>
  <c r="AJ39" i="7"/>
  <c r="AL39" i="7" s="1"/>
  <c r="AD191" i="7"/>
  <c r="AJ182" i="7"/>
  <c r="AD40" i="31"/>
  <c r="AL40" i="31" s="1"/>
  <c r="V40" i="31"/>
  <c r="AO40" i="7" l="1"/>
  <c r="AD14" i="31"/>
  <c r="AL14" i="31" s="1"/>
  <c r="V14" i="31"/>
  <c r="L27" i="31"/>
  <c r="AJ27" i="7"/>
  <c r="AL27" i="7" s="1"/>
  <c r="L20" i="31"/>
  <c r="AJ20" i="7"/>
  <c r="AL20" i="7" s="1"/>
  <c r="L35" i="31"/>
  <c r="AJ35" i="7"/>
  <c r="AL35" i="7" s="1"/>
  <c r="AL182" i="7"/>
  <c r="AJ191" i="7"/>
  <c r="AL191" i="7" s="1"/>
  <c r="AJ179" i="7"/>
  <c r="AL179" i="7" s="1"/>
  <c r="AL174" i="7"/>
  <c r="J421" i="6"/>
  <c r="AO21" i="7"/>
  <c r="AD171" i="7"/>
  <c r="AD193" i="7" s="1"/>
  <c r="AD208" i="7" s="1"/>
  <c r="AJ160" i="7"/>
  <c r="AO39" i="7"/>
  <c r="L28" i="31"/>
  <c r="AJ28" i="7"/>
  <c r="AL28" i="7" s="1"/>
  <c r="L38" i="31"/>
  <c r="AJ38" i="7"/>
  <c r="AL38" i="7" s="1"/>
  <c r="L30" i="31"/>
  <c r="AJ30" i="7"/>
  <c r="AL30" i="7" s="1"/>
  <c r="AD39" i="31"/>
  <c r="AL39" i="31" s="1"/>
  <c r="V39" i="31"/>
  <c r="P50" i="6"/>
  <c r="P49" i="6"/>
  <c r="L36" i="31"/>
  <c r="AJ36" i="7"/>
  <c r="AL36" i="7" s="1"/>
  <c r="L15" i="31"/>
  <c r="AJ15" i="7"/>
  <c r="AL15" i="7" s="1"/>
  <c r="L13" i="31"/>
  <c r="AJ13" i="7"/>
  <c r="AL13" i="7" s="1"/>
  <c r="AO14" i="7"/>
  <c r="L29" i="31"/>
  <c r="AJ29" i="7"/>
  <c r="AL29" i="7" s="1"/>
  <c r="AD42" i="31"/>
  <c r="AL42" i="31" s="1"/>
  <c r="V42" i="31"/>
  <c r="AD41" i="31"/>
  <c r="AL41" i="31" s="1"/>
  <c r="V41" i="31"/>
  <c r="AD21" i="31"/>
  <c r="AL21" i="31" s="1"/>
  <c r="V21" i="31"/>
  <c r="J382" i="6" l="1"/>
  <c r="M27" i="10"/>
  <c r="O27" i="10" s="1"/>
  <c r="Q27" i="10" s="1"/>
  <c r="M17" i="10"/>
  <c r="O17" i="10" s="1"/>
  <c r="Q17" i="10" s="1"/>
  <c r="AO13" i="7"/>
  <c r="AD30" i="31"/>
  <c r="AL30" i="31" s="1"/>
  <c r="V30" i="31"/>
  <c r="J166" i="6"/>
  <c r="J112" i="6"/>
  <c r="AO28" i="7"/>
  <c r="AD15" i="31"/>
  <c r="AL15" i="31" s="1"/>
  <c r="V15" i="31"/>
  <c r="J427" i="6"/>
  <c r="J404" i="6"/>
  <c r="AD27" i="31"/>
  <c r="AL27" i="31" s="1"/>
  <c r="V27" i="31"/>
  <c r="L37" i="31"/>
  <c r="AJ37" i="7"/>
  <c r="AL37" i="7" s="1"/>
  <c r="J48" i="6"/>
  <c r="L49" i="6"/>
  <c r="AO30" i="7"/>
  <c r="L19" i="31"/>
  <c r="AJ19" i="7"/>
  <c r="AL19" i="7" s="1"/>
  <c r="AO38" i="7"/>
  <c r="J114" i="6"/>
  <c r="AJ171" i="7"/>
  <c r="AL160" i="7"/>
  <c r="P209" i="6"/>
  <c r="J365" i="6"/>
  <c r="AD13" i="31"/>
  <c r="AL13" i="31" s="1"/>
  <c r="V13" i="31"/>
  <c r="AD20" i="31"/>
  <c r="AL20" i="31" s="1"/>
  <c r="V20" i="31"/>
  <c r="L16" i="31"/>
  <c r="AJ16" i="7"/>
  <c r="AL16" i="7" s="1"/>
  <c r="J113" i="6"/>
  <c r="AD36" i="31"/>
  <c r="AL36" i="31" s="1"/>
  <c r="V36" i="31"/>
  <c r="AD38" i="31"/>
  <c r="AL38" i="31" s="1"/>
  <c r="V38" i="31"/>
  <c r="AD28" i="31"/>
  <c r="AL28" i="31" s="1"/>
  <c r="V28" i="31"/>
  <c r="AO15" i="7"/>
  <c r="AD29" i="31"/>
  <c r="AL29" i="31" s="1"/>
  <c r="V29" i="31"/>
  <c r="AD35" i="31"/>
  <c r="AL35" i="31" s="1"/>
  <c r="V35" i="31"/>
  <c r="L18" i="31"/>
  <c r="AJ18" i="7"/>
  <c r="AL18" i="7" s="1"/>
  <c r="J408" i="6"/>
  <c r="AO29" i="7"/>
  <c r="AD23" i="7" l="1"/>
  <c r="L12" i="31"/>
  <c r="AJ12" i="7"/>
  <c r="J250" i="6"/>
  <c r="J90" i="6"/>
  <c r="AD16" i="31"/>
  <c r="AL16" i="31" s="1"/>
  <c r="V16" i="31"/>
  <c r="J106" i="6"/>
  <c r="AO27" i="7"/>
  <c r="AO19" i="7"/>
  <c r="L34" i="31"/>
  <c r="AD43" i="7"/>
  <c r="AJ34" i="7"/>
  <c r="J253" i="6"/>
  <c r="J418" i="6"/>
  <c r="J251" i="6"/>
  <c r="J271" i="6"/>
  <c r="AO18" i="7"/>
  <c r="J360" i="6"/>
  <c r="J35" i="6"/>
  <c r="J141" i="6"/>
  <c r="J270" i="6"/>
  <c r="J31" i="6"/>
  <c r="L209" i="6"/>
  <c r="J209" i="6" s="1"/>
  <c r="J155" i="6"/>
  <c r="J107" i="6"/>
  <c r="J375" i="6"/>
  <c r="J363" i="6"/>
  <c r="J34" i="6"/>
  <c r="J142" i="6"/>
  <c r="AJ193" i="7"/>
  <c r="AL171" i="7"/>
  <c r="J140" i="6"/>
  <c r="AO35" i="7"/>
  <c r="J89" i="6"/>
  <c r="J32" i="6"/>
  <c r="J314" i="6"/>
  <c r="J36" i="6"/>
  <c r="J49" i="6"/>
  <c r="L50" i="6"/>
  <c r="J361" i="6"/>
  <c r="J76" i="6"/>
  <c r="AO20" i="7"/>
  <c r="AO16" i="7"/>
  <c r="J33" i="6"/>
  <c r="AD19" i="31"/>
  <c r="AL19" i="31" s="1"/>
  <c r="V19" i="31"/>
  <c r="AD37" i="31"/>
  <c r="AL37" i="31" s="1"/>
  <c r="V37" i="31"/>
  <c r="J108" i="6"/>
  <c r="AO37" i="7"/>
  <c r="AD31" i="7"/>
  <c r="L26" i="31"/>
  <c r="AJ26" i="7"/>
  <c r="J77" i="6"/>
  <c r="AD18" i="31"/>
  <c r="AL18" i="31" s="1"/>
  <c r="V18" i="31"/>
  <c r="J249" i="6"/>
  <c r="J362" i="6"/>
  <c r="J154" i="6"/>
  <c r="J252" i="6"/>
  <c r="AL193" i="7" l="1"/>
  <c r="AJ43" i="7"/>
  <c r="AL43" i="7" s="1"/>
  <c r="AL34" i="7"/>
  <c r="AD34" i="31"/>
  <c r="AL34" i="31" s="1"/>
  <c r="L43" i="31"/>
  <c r="V34" i="31"/>
  <c r="AO36" i="7"/>
  <c r="J50" i="6"/>
  <c r="AL12" i="7"/>
  <c r="AJ23" i="7"/>
  <c r="AJ31" i="7"/>
  <c r="AL26" i="7"/>
  <c r="AD12" i="31"/>
  <c r="AL12" i="31" s="1"/>
  <c r="L23" i="31"/>
  <c r="V12" i="31"/>
  <c r="AN31" i="7"/>
  <c r="L31" i="31"/>
  <c r="AD26" i="31"/>
  <c r="AL26" i="31" s="1"/>
  <c r="V26" i="31"/>
  <c r="AD45" i="7"/>
  <c r="AD60" i="7" s="1"/>
  <c r="AO26" i="7" l="1"/>
  <c r="J233" i="6"/>
  <c r="J19" i="6"/>
  <c r="AO31" i="7"/>
  <c r="AL31" i="7"/>
  <c r="J20" i="6"/>
  <c r="J231" i="6"/>
  <c r="J17" i="6"/>
  <c r="J351" i="6"/>
  <c r="J350" i="6"/>
  <c r="J352" i="6"/>
  <c r="AD43" i="31"/>
  <c r="AL43" i="31" s="1"/>
  <c r="V43" i="31"/>
  <c r="AD31" i="31"/>
  <c r="AL31" i="31" s="1"/>
  <c r="V31" i="31"/>
  <c r="J18" i="6"/>
  <c r="AO12" i="7"/>
  <c r="J234" i="6"/>
  <c r="L45" i="31"/>
  <c r="AD23" i="31"/>
  <c r="AL23" i="31" s="1"/>
  <c r="V23" i="31"/>
  <c r="AL23" i="7"/>
  <c r="AJ45" i="7"/>
  <c r="J235" i="6"/>
  <c r="J232" i="6"/>
  <c r="AO23" i="7"/>
  <c r="I102" i="10" l="1"/>
  <c r="I104" i="10"/>
  <c r="AL45" i="7"/>
  <c r="AO193" i="7"/>
  <c r="AN43" i="7"/>
  <c r="AN45" i="7" s="1"/>
  <c r="AO34" i="7"/>
  <c r="L60" i="31"/>
  <c r="AD45" i="31"/>
  <c r="AL45" i="31" s="1"/>
  <c r="V45" i="31"/>
  <c r="M104" i="10" l="1"/>
  <c r="M102" i="10"/>
  <c r="AD60" i="31"/>
  <c r="M279" i="9" l="1"/>
  <c r="I282" i="9"/>
  <c r="M75" i="9" l="1"/>
  <c r="I79" i="9"/>
  <c r="M87" i="9"/>
  <c r="I91" i="9"/>
  <c r="Q279" i="9"/>
  <c r="Q282" i="9"/>
  <c r="M282" i="9"/>
  <c r="I117" i="9"/>
  <c r="M113" i="9"/>
  <c r="M207" i="9"/>
  <c r="I211" i="9"/>
  <c r="I259" i="9" l="1"/>
  <c r="M255" i="9"/>
  <c r="I247" i="9"/>
  <c r="M243" i="9"/>
  <c r="I141" i="9"/>
  <c r="M137" i="9"/>
  <c r="O87" i="9"/>
  <c r="Q87" i="9" s="1"/>
  <c r="Q91" i="9"/>
  <c r="M91" i="9"/>
  <c r="O91" i="9" s="1"/>
  <c r="I177" i="9"/>
  <c r="M173" i="9"/>
  <c r="M267" i="9"/>
  <c r="I271" i="9"/>
  <c r="Q79" i="9"/>
  <c r="O75" i="9"/>
  <c r="Q75" i="9" s="1"/>
  <c r="M79" i="9"/>
  <c r="O79" i="9" s="1"/>
  <c r="I55" i="9"/>
  <c r="M51" i="9"/>
  <c r="M211" i="9"/>
  <c r="O211" i="9" s="1"/>
  <c r="O207" i="9"/>
  <c r="Q207" i="9" s="1"/>
  <c r="Q211" i="9"/>
  <c r="M161" i="9"/>
  <c r="I165" i="9"/>
  <c r="I43" i="9"/>
  <c r="M39" i="9"/>
  <c r="I223" i="9"/>
  <c r="M219" i="9"/>
  <c r="I153" i="9"/>
  <c r="M149" i="9"/>
  <c r="I235" i="9"/>
  <c r="M231" i="9"/>
  <c r="M117" i="9"/>
  <c r="O117" i="9" s="1"/>
  <c r="O113" i="9"/>
  <c r="Q113" i="9" s="1"/>
  <c r="Q117" i="9"/>
  <c r="M63" i="9"/>
  <c r="I67" i="9"/>
  <c r="M125" i="9"/>
  <c r="I129" i="9"/>
  <c r="M43" i="9" l="1"/>
  <c r="O43" i="9" s="1"/>
  <c r="O39" i="9"/>
  <c r="Q39" i="9" s="1"/>
  <c r="Q43" i="9"/>
  <c r="Q129" i="9"/>
  <c r="M129" i="9"/>
  <c r="O129" i="9" s="1"/>
  <c r="O125" i="9"/>
  <c r="Q125" i="9" s="1"/>
  <c r="Q67" i="9"/>
  <c r="M67" i="9"/>
  <c r="O67" i="9" s="1"/>
  <c r="O63" i="9"/>
  <c r="Q63" i="9" s="1"/>
  <c r="Q165" i="9"/>
  <c r="M165" i="9"/>
  <c r="O165" i="9" s="1"/>
  <c r="O161" i="9"/>
  <c r="Q161" i="9" s="1"/>
  <c r="Q55" i="9"/>
  <c r="O51" i="9"/>
  <c r="Q51" i="9" s="1"/>
  <c r="M55" i="9"/>
  <c r="O55" i="9" s="1"/>
  <c r="M223" i="9"/>
  <c r="O223" i="9" s="1"/>
  <c r="O219" i="9"/>
  <c r="Q219" i="9" s="1"/>
  <c r="Q223" i="9"/>
  <c r="O255" i="9"/>
  <c r="Q255" i="9" s="1"/>
  <c r="Q259" i="9"/>
  <c r="M259" i="9"/>
  <c r="O259" i="9" s="1"/>
  <c r="M235" i="9"/>
  <c r="O235" i="9" s="1"/>
  <c r="Q235" i="9"/>
  <c r="O231" i="9"/>
  <c r="Q231" i="9" s="1"/>
  <c r="O149" i="9"/>
  <c r="Q149" i="9" s="1"/>
  <c r="Q153" i="9"/>
  <c r="M153" i="9"/>
  <c r="O153" i="9" s="1"/>
  <c r="O137" i="9"/>
  <c r="Q137" i="9" s="1"/>
  <c r="Q141" i="9"/>
  <c r="M141" i="9"/>
  <c r="O141" i="9" s="1"/>
  <c r="O243" i="9"/>
  <c r="Q243" i="9" s="1"/>
  <c r="M247" i="9"/>
  <c r="O247" i="9" s="1"/>
  <c r="Q247" i="9"/>
  <c r="M271" i="9"/>
  <c r="O271" i="9" s="1"/>
  <c r="O267" i="9"/>
  <c r="Q267" i="9" s="1"/>
  <c r="Q271" i="9"/>
  <c r="Q177" i="9"/>
  <c r="O173" i="9"/>
  <c r="Q173" i="9" s="1"/>
  <c r="M177" i="9"/>
  <c r="O177" i="9" s="1"/>
  <c r="I31" i="9" l="1"/>
  <c r="M27" i="9"/>
  <c r="M15" i="9"/>
  <c r="I19" i="9"/>
  <c r="J475" i="6"/>
  <c r="O15" i="9" l="1"/>
  <c r="Q15" i="9" s="1"/>
  <c r="M19" i="9"/>
  <c r="O19" i="9" s="1"/>
  <c r="Q19" i="9"/>
  <c r="M31" i="9"/>
  <c r="O31" i="9" s="1"/>
  <c r="Q31" i="9"/>
  <c r="O27" i="9"/>
  <c r="Q27" i="9" s="1"/>
  <c r="J450" i="6"/>
  <c r="J513" i="6"/>
  <c r="AF204" i="7" l="1"/>
  <c r="AF208" i="7" s="1"/>
  <c r="U26" i="30"/>
  <c r="O26" i="30"/>
  <c r="O27" i="30"/>
  <c r="U27" i="30"/>
  <c r="O20" i="30" l="1"/>
  <c r="Q20" i="30" s="1"/>
  <c r="U20" i="30" s="1"/>
  <c r="O13" i="30"/>
  <c r="Q13" i="30" s="1"/>
  <c r="O23" i="30"/>
  <c r="Q23" i="30" s="1"/>
  <c r="U23" i="30" s="1"/>
  <c r="O22" i="30"/>
  <c r="Q22" i="30" s="1"/>
  <c r="U22" i="30" s="1"/>
  <c r="O16" i="30"/>
  <c r="Q16" i="30" s="1"/>
  <c r="U16" i="30" s="1"/>
  <c r="O15" i="30"/>
  <c r="Q15" i="30" s="1"/>
  <c r="U15" i="30" s="1"/>
  <c r="O21" i="30"/>
  <c r="Q21" i="30" s="1"/>
  <c r="U21" i="30" s="1"/>
  <c r="O14" i="30"/>
  <c r="Q14" i="30" s="1"/>
  <c r="U14" i="30" s="1"/>
  <c r="O19" i="30"/>
  <c r="Q19" i="30" s="1"/>
  <c r="U19" i="30" s="1"/>
  <c r="O24" i="30"/>
  <c r="Q24" i="30" s="1"/>
  <c r="U24" i="30" s="1"/>
  <c r="O17" i="30"/>
  <c r="Q17" i="30" s="1"/>
  <c r="U17" i="30" s="1"/>
  <c r="N54" i="31"/>
  <c r="AF56" i="7"/>
  <c r="AF60" i="7" s="1"/>
  <c r="U13" i="30" l="1"/>
  <c r="Q36" i="30"/>
  <c r="AF54" i="31"/>
  <c r="N56" i="31"/>
  <c r="AH204" i="7"/>
  <c r="AH208" i="7" s="1"/>
  <c r="AJ202" i="7"/>
  <c r="P54" i="31" l="1"/>
  <c r="AH56" i="7"/>
  <c r="AH60" i="7" s="1"/>
  <c r="AJ54" i="7"/>
  <c r="AF56" i="31"/>
  <c r="N60" i="31"/>
  <c r="AL202" i="7"/>
  <c r="AJ204" i="7"/>
  <c r="J410" i="6" l="1"/>
  <c r="P410" i="6"/>
  <c r="AH54" i="31"/>
  <c r="AL54" i="31" s="1"/>
  <c r="P56" i="31"/>
  <c r="V54" i="31"/>
  <c r="AF60" i="31"/>
  <c r="AN56" i="7"/>
  <c r="AL54" i="7"/>
  <c r="AJ56" i="7"/>
  <c r="AL204" i="7"/>
  <c r="AJ208" i="7"/>
  <c r="AO204" i="7"/>
  <c r="J378" i="6" l="1"/>
  <c r="AO54" i="7"/>
  <c r="AL208" i="7"/>
  <c r="AN212" i="7"/>
  <c r="AN60" i="7"/>
  <c r="AH56" i="31"/>
  <c r="AL56" i="31" s="1"/>
  <c r="P60" i="31"/>
  <c r="V56" i="31"/>
  <c r="AL56" i="7"/>
  <c r="AJ60" i="7"/>
  <c r="AL60" i="7" l="1"/>
  <c r="AH60" i="31"/>
  <c r="AL60" i="31" s="1"/>
  <c r="V60" i="31"/>
  <c r="M100" i="11" l="1"/>
  <c r="I105" i="11"/>
  <c r="I103" i="11"/>
  <c r="K128" i="10"/>
  <c r="M91" i="11"/>
  <c r="I96" i="11"/>
  <c r="I94" i="11"/>
  <c r="I131" i="11" l="1"/>
  <c r="I129" i="11"/>
  <c r="M127" i="11"/>
  <c r="M51" i="11"/>
  <c r="I56" i="11"/>
  <c r="I38" i="11"/>
  <c r="M33" i="11"/>
  <c r="K116" i="10"/>
  <c r="K114" i="10"/>
  <c r="I128" i="10"/>
  <c r="M128" i="10" s="1"/>
  <c r="I126" i="10"/>
  <c r="M120" i="10"/>
  <c r="I124" i="10"/>
  <c r="I139" i="11"/>
  <c r="I137" i="11"/>
  <c r="M135" i="11"/>
  <c r="M103" i="11"/>
  <c r="O100" i="11"/>
  <c r="Q100" i="11" s="1"/>
  <c r="M105" i="11"/>
  <c r="M35" i="10"/>
  <c r="I39" i="10"/>
  <c r="I41" i="10"/>
  <c r="I47" i="11"/>
  <c r="M42" i="11"/>
  <c r="I114" i="10"/>
  <c r="I116" i="10"/>
  <c r="M116" i="10" s="1"/>
  <c r="M108" i="10"/>
  <c r="I112" i="10"/>
  <c r="O91" i="11"/>
  <c r="Q91" i="11" s="1"/>
  <c r="M94" i="11"/>
  <c r="M96" i="11"/>
  <c r="O105" i="11" l="1"/>
  <c r="Q105" i="11"/>
  <c r="M126" i="10"/>
  <c r="O120" i="10"/>
  <c r="Q120" i="10" s="1"/>
  <c r="Q124" i="10"/>
  <c r="M124" i="10"/>
  <c r="O124" i="10" s="1"/>
  <c r="I29" i="11"/>
  <c r="M24" i="11"/>
  <c r="I59" i="10"/>
  <c r="I61" i="10"/>
  <c r="M55" i="10"/>
  <c r="M65" i="10"/>
  <c r="I71" i="10"/>
  <c r="I69" i="10"/>
  <c r="Q103" i="11"/>
  <c r="O103" i="11"/>
  <c r="Q128" i="10"/>
  <c r="O128" i="10"/>
  <c r="M15" i="10"/>
  <c r="I19" i="10"/>
  <c r="I21" i="10"/>
  <c r="Q135" i="11"/>
  <c r="M139" i="11"/>
  <c r="Q139" i="11" s="1"/>
  <c r="M137" i="11"/>
  <c r="Q137" i="11" s="1"/>
  <c r="Q94" i="11"/>
  <c r="O94" i="11"/>
  <c r="O116" i="10"/>
  <c r="Q116" i="10"/>
  <c r="M131" i="11"/>
  <c r="Q131" i="11" s="1"/>
  <c r="Q127" i="11"/>
  <c r="M129" i="11"/>
  <c r="Q129" i="11" s="1"/>
  <c r="M41" i="10"/>
  <c r="O35" i="10"/>
  <c r="Q35" i="10" s="1"/>
  <c r="Q39" i="10"/>
  <c r="M39" i="10"/>
  <c r="O39" i="10" s="1"/>
  <c r="O108" i="10"/>
  <c r="Q108" i="10" s="1"/>
  <c r="M114" i="10"/>
  <c r="Q112" i="10"/>
  <c r="M112" i="10"/>
  <c r="O112" i="10" s="1"/>
  <c r="I112" i="11"/>
  <c r="M109" i="11"/>
  <c r="I114" i="11"/>
  <c r="I65" i="11"/>
  <c r="M60" i="11"/>
  <c r="I49" i="10"/>
  <c r="I51" i="10"/>
  <c r="M45" i="10"/>
  <c r="O96" i="11"/>
  <c r="Q96" i="11"/>
  <c r="I74" i="11"/>
  <c r="M69" i="11"/>
  <c r="I94" i="10"/>
  <c r="I92" i="10"/>
  <c r="M88" i="10"/>
  <c r="I29" i="10"/>
  <c r="M25" i="10"/>
  <c r="I31" i="10"/>
  <c r="O42" i="11"/>
  <c r="Q42" i="11" s="1"/>
  <c r="M45" i="11"/>
  <c r="M47" i="11"/>
  <c r="I20" i="11"/>
  <c r="M15" i="11"/>
  <c r="I121" i="11"/>
  <c r="M118" i="11"/>
  <c r="I123" i="11"/>
  <c r="O33" i="11"/>
  <c r="Q33" i="11" s="1"/>
  <c r="M36" i="11"/>
  <c r="M38" i="11"/>
  <c r="M56" i="11"/>
  <c r="O51" i="11"/>
  <c r="Q51" i="11" s="1"/>
  <c r="M54" i="11"/>
  <c r="Q54" i="11" l="1"/>
  <c r="O54" i="11"/>
  <c r="O126" i="10"/>
  <c r="Q126" i="10"/>
  <c r="Q56" i="11"/>
  <c r="O56" i="11"/>
  <c r="Q41" i="10"/>
  <c r="O41" i="10"/>
  <c r="Q38" i="11"/>
  <c r="O38" i="11"/>
  <c r="O24" i="11"/>
  <c r="Q24" i="11" s="1"/>
  <c r="M29" i="11"/>
  <c r="M27" i="11"/>
  <c r="O15" i="10"/>
  <c r="Q15" i="10" s="1"/>
  <c r="M19" i="10"/>
  <c r="O19" i="10" s="1"/>
  <c r="M21" i="10"/>
  <c r="Q19" i="10"/>
  <c r="M92" i="10"/>
  <c r="O92" i="10" s="1"/>
  <c r="Q92" i="10"/>
  <c r="O88" i="10"/>
  <c r="Q88" i="10" s="1"/>
  <c r="M94" i="10"/>
  <c r="O25" i="10"/>
  <c r="Q25" i="10" s="1"/>
  <c r="M29" i="10"/>
  <c r="O29" i="10" s="1"/>
  <c r="Q29" i="10"/>
  <c r="M31" i="10"/>
  <c r="O114" i="10"/>
  <c r="Q114" i="10"/>
  <c r="M71" i="10"/>
  <c r="M69" i="10"/>
  <c r="O69" i="10" s="1"/>
  <c r="O65" i="10"/>
  <c r="Q65" i="10" s="1"/>
  <c r="Q69" i="10"/>
  <c r="O47" i="11"/>
  <c r="Q47" i="11"/>
  <c r="Q45" i="11"/>
  <c r="O45" i="11"/>
  <c r="O36" i="11"/>
  <c r="Q36" i="11"/>
  <c r="M20" i="11"/>
  <c r="M18" i="11"/>
  <c r="O15" i="11"/>
  <c r="Q15" i="11" s="1"/>
  <c r="M74" i="11"/>
  <c r="O69" i="11"/>
  <c r="Q69" i="11" s="1"/>
  <c r="M72" i="11"/>
  <c r="Q59" i="10"/>
  <c r="M59" i="10"/>
  <c r="O59" i="10" s="1"/>
  <c r="O55" i="10"/>
  <c r="Q55" i="10" s="1"/>
  <c r="M61" i="10"/>
  <c r="Q49" i="10"/>
  <c r="M51" i="10"/>
  <c r="O45" i="10"/>
  <c r="Q45" i="10" s="1"/>
  <c r="M49" i="10"/>
  <c r="O49" i="10" s="1"/>
  <c r="O118" i="11"/>
  <c r="Q118" i="11" s="1"/>
  <c r="M123" i="11"/>
  <c r="M121" i="11"/>
  <c r="O60" i="11"/>
  <c r="Q60" i="11" s="1"/>
  <c r="M65" i="11"/>
  <c r="M63" i="11"/>
  <c r="O109" i="11"/>
  <c r="Q109" i="11" s="1"/>
  <c r="M112" i="11"/>
  <c r="M114" i="11"/>
  <c r="Q31" i="10" l="1"/>
  <c r="O31" i="10"/>
  <c r="O61" i="10"/>
  <c r="Q61" i="10"/>
  <c r="O65" i="11"/>
  <c r="Q65" i="11"/>
  <c r="Q27" i="11"/>
  <c r="O27" i="11"/>
  <c r="O18" i="11"/>
  <c r="Q18" i="11"/>
  <c r="O21" i="10"/>
  <c r="Q21" i="10"/>
  <c r="O29" i="11"/>
  <c r="Q29" i="11"/>
  <c r="O123" i="11"/>
  <c r="Q123" i="11"/>
  <c r="Q20" i="11"/>
  <c r="O20" i="11"/>
  <c r="Q114" i="11"/>
  <c r="O114" i="11"/>
  <c r="Q94" i="10"/>
  <c r="O94" i="10"/>
  <c r="O112" i="11"/>
  <c r="Q112" i="11"/>
  <c r="Q121" i="11"/>
  <c r="O121" i="11"/>
  <c r="O71" i="10"/>
  <c r="Q71" i="10"/>
  <c r="O72" i="11"/>
  <c r="Q72" i="11"/>
  <c r="O63" i="11"/>
  <c r="Q63" i="11"/>
  <c r="Q51" i="10"/>
  <c r="O51" i="10"/>
  <c r="Q74" i="11"/>
  <c r="O74"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<sst xmlns="http://schemas.openxmlformats.org/spreadsheetml/2006/main" count="10737" uniqueCount="1648">
  <si>
    <t>Derivation of Change in Costs from Weighted Average Reference Price</t>
  </si>
  <si>
    <t>Line</t>
  </si>
  <si>
    <t>No.</t>
  </si>
  <si>
    <t>Particulars</t>
  </si>
  <si>
    <t>Units</t>
  </si>
  <si>
    <t>Current Approved</t>
  </si>
  <si>
    <t>Proposed</t>
  </si>
  <si>
    <t>Change in Costs</t>
  </si>
  <si>
    <t>(a)</t>
  </si>
  <si>
    <t>(b)</t>
  </si>
  <si>
    <t>(c) = (b - a)</t>
  </si>
  <si>
    <t>EGD Rate Zone</t>
  </si>
  <si>
    <t>Change in Gas Cost related costs:</t>
  </si>
  <si>
    <t>April 2022 QRAM - Reference Price (1)</t>
  </si>
  <si>
    <r>
      <t>($/10</t>
    </r>
    <r>
      <rPr>
        <vertAlign val="superscript"/>
        <sz val="10"/>
        <rFont val="Arial"/>
        <family val="2"/>
      </rPr>
      <t>3</t>
    </r>
    <r>
      <rPr>
        <sz val="10"/>
        <rFont val="Arial"/>
        <family val="2"/>
      </rPr>
      <t>m</t>
    </r>
    <r>
      <rPr>
        <vertAlign val="superscript"/>
        <sz val="10"/>
        <rFont val="Arial"/>
        <family val="2"/>
      </rPr>
      <t>3</t>
    </r>
    <r>
      <rPr>
        <sz val="10"/>
        <rFont val="Arial"/>
        <family val="2"/>
      </rPr>
      <t>)</t>
    </r>
  </si>
  <si>
    <t>April 2024 QRAM - Reference Price (2)</t>
  </si>
  <si>
    <t xml:space="preserve">   Change in Reference Price  (line 2 - line 1)</t>
  </si>
  <si>
    <t>2024 UFG/Fuel/Own Use Volumes (3)</t>
  </si>
  <si>
    <r>
      <t>(10</t>
    </r>
    <r>
      <rPr>
        <vertAlign val="superscript"/>
        <sz val="10"/>
        <rFont val="Arial"/>
        <family val="2"/>
      </rPr>
      <t>3</t>
    </r>
    <r>
      <rPr>
        <sz val="10"/>
        <rFont val="Arial"/>
        <family val="2"/>
      </rPr>
      <t>m</t>
    </r>
    <r>
      <rPr>
        <vertAlign val="superscript"/>
        <sz val="10"/>
        <rFont val="Arial"/>
        <family val="2"/>
      </rPr>
      <t>3</t>
    </r>
    <r>
      <rPr>
        <sz val="10"/>
        <rFont val="Arial"/>
        <family val="2"/>
      </rPr>
      <t>)</t>
    </r>
  </si>
  <si>
    <t>Amount for Recovery - UFG/Fuel/Own Use  (line 3 x line 4)</t>
  </si>
  <si>
    <t>($000s)</t>
  </si>
  <si>
    <t>Change in Delivery Related Costs:</t>
  </si>
  <si>
    <t xml:space="preserve">   2024 Average Gas in Storage Volumes (4)</t>
  </si>
  <si>
    <t xml:space="preserve">   Revaluation of Gas in Storage  (line 3 x line 6)</t>
  </si>
  <si>
    <t xml:space="preserve">   Gross Rate of Return (5)</t>
  </si>
  <si>
    <t xml:space="preserve">   Amount for Recovery - Gas in Storage  (line 7 x line 8)</t>
  </si>
  <si>
    <t>Total EGD Rate Zone (line 5 + line 9)</t>
  </si>
  <si>
    <t>Union Rate Zone</t>
  </si>
  <si>
    <t>April 2022 QRAM - Reference Price (6)</t>
  </si>
  <si>
    <t>April 2024 QRAM - Reference Price (7)</t>
  </si>
  <si>
    <t xml:space="preserve">   Change in Reference Price  (line 12 - line 11)</t>
  </si>
  <si>
    <t>2024 UFG/Fuel/Own Use Volumes (8)</t>
  </si>
  <si>
    <t>Amount for Recovery - UFG/Fuel/Own Use  (line 13 x line 14)</t>
  </si>
  <si>
    <t xml:space="preserve">   2024 Average Gas in Storage Volumes (9)</t>
  </si>
  <si>
    <t xml:space="preserve">   Revaluation of Gas in Storage  (line 13 x line 16)</t>
  </si>
  <si>
    <t xml:space="preserve">   Amount for Recovery - Gas in Storage  (line 17 x line 18)</t>
  </si>
  <si>
    <t>Total Union Rate Zones (line 15 + line 19)</t>
  </si>
  <si>
    <t>Total (line 10 + line 20)</t>
  </si>
  <si>
    <t xml:space="preserve"> </t>
  </si>
  <si>
    <t>Notes:</t>
  </si>
  <si>
    <t>(1)</t>
  </si>
  <si>
    <t>April 2022 QRAM PGVA reference price as per EB-2022-0089, Exhibit C, Tab 1, Schedule 1, column 3, line 13 and weighted average reference price as per Exhibit 4, Tab 2, Schedule 2, Attachment 3.</t>
  </si>
  <si>
    <t>(2)</t>
  </si>
  <si>
    <t>April 2024 QRAM PGVA reference price as per EB-2024-0093, Exhibit C, Tab 1, Schedule 1, column 3, line 13 and weighted average reference price as per p.4, column (e), line 19.</t>
  </si>
  <si>
    <t>(3)</t>
  </si>
  <si>
    <t>Working Papers, Schedule 23, sum of pp.3-5, column (b) and (d), line 12, excluding customer supplied fuel.</t>
  </si>
  <si>
    <t>(4)</t>
  </si>
  <si>
    <t>Working Papers, Schedule 23, p.2, column (b) and (d), line 12.</t>
  </si>
  <si>
    <t>(5)</t>
  </si>
  <si>
    <t>OEB-approved gross rate of return and proposed rate of return per Working Papers, Schedule 9, column (d), line 6, updated for tax.</t>
  </si>
  <si>
    <t>(6)</t>
  </si>
  <si>
    <t>April 2022 QRAM Dawn reference price as per EB-2022-0089, Exhibit E, Tab 2, Schedule 1, column (c),  line 1 and weighted average reference price as per Exhibit 4, Tab 2, Schedule 2, Attachment 3.</t>
  </si>
  <si>
    <t>(7)</t>
  </si>
  <si>
    <t>April 2024 QRAM PGVA reference price as per EB-2024-0093, Exhibit E, Tab 2, Schedule 1, column (c),  line 1 and weighted average reference price as per p.4, column (e), line 19.</t>
  </si>
  <si>
    <t>(8)</t>
  </si>
  <si>
    <t>Working Papers, Schedule 23, sum of pp.3-5, column (b) and (d), sum of lines 18, 19-27, excluding customer supplied fuel.</t>
  </si>
  <si>
    <t>(9)</t>
  </si>
  <si>
    <t>Working Papers, Schedule 23, p.2, column (b) and (d), sum of lines 18, 31, and 41.</t>
  </si>
  <si>
    <t>Derivation of EGD Rate Zone Unit Rate Changes by Rate Class</t>
  </si>
  <si>
    <t>UUF/Fuel and Own Use Gas</t>
  </si>
  <si>
    <t>Gas in Storage Carrying Costs</t>
  </si>
  <si>
    <t xml:space="preserve">2024 UUF/Fuel/ Own Use </t>
  </si>
  <si>
    <t>Allocation</t>
  </si>
  <si>
    <t>Amount for</t>
  </si>
  <si>
    <t xml:space="preserve">2024 Distribution </t>
  </si>
  <si>
    <t>Distribution</t>
  </si>
  <si>
    <t xml:space="preserve">Gas in Storage </t>
  </si>
  <si>
    <t>Load Balancing</t>
  </si>
  <si>
    <t>Volumes (1)</t>
  </si>
  <si>
    <t>Factor</t>
  </si>
  <si>
    <t>Recovery (2)</t>
  </si>
  <si>
    <t>Volume (3)</t>
  </si>
  <si>
    <t xml:space="preserve">Unit Rate Change </t>
  </si>
  <si>
    <t>Volumes (4)</t>
  </si>
  <si>
    <t>Recovery (5)</t>
  </si>
  <si>
    <t>Rate Class</t>
  </si>
  <si>
    <t>(%)</t>
  </si>
  <si>
    <r>
      <t>(cents/m</t>
    </r>
    <r>
      <rPr>
        <vertAlign val="superscript"/>
        <sz val="10"/>
        <rFont val="Arial"/>
        <family val="2"/>
      </rPr>
      <t>3</t>
    </r>
    <r>
      <rPr>
        <sz val="10"/>
        <rFont val="Arial"/>
        <family val="2"/>
      </rPr>
      <t>)</t>
    </r>
  </si>
  <si>
    <t>(c) = (a * b)</t>
  </si>
  <si>
    <t>(d)</t>
  </si>
  <si>
    <t>(e) = (c / d)</t>
  </si>
  <si>
    <t>(f)</t>
  </si>
  <si>
    <t>(g)</t>
  </si>
  <si>
    <t>(h) = (f * g)</t>
  </si>
  <si>
    <t>(i)</t>
  </si>
  <si>
    <t>(j) = (h / i)</t>
  </si>
  <si>
    <t xml:space="preserve">   Rate 1</t>
  </si>
  <si>
    <t xml:space="preserve">   Rate 6</t>
  </si>
  <si>
    <t xml:space="preserve">   Rate 100</t>
  </si>
  <si>
    <t xml:space="preserve">   Rate 110</t>
  </si>
  <si>
    <t xml:space="preserve">   Rate 115</t>
  </si>
  <si>
    <t xml:space="preserve">   Rate 125</t>
  </si>
  <si>
    <t xml:space="preserve">   Rate 135</t>
  </si>
  <si>
    <t xml:space="preserve">   Rate 145</t>
  </si>
  <si>
    <t xml:space="preserve">   Rate 170</t>
  </si>
  <si>
    <t xml:space="preserve">   Rate 200</t>
  </si>
  <si>
    <t xml:space="preserve">   Rate 300</t>
  </si>
  <si>
    <t xml:space="preserve">   Rate 331</t>
  </si>
  <si>
    <t xml:space="preserve">   Rate 332</t>
  </si>
  <si>
    <t xml:space="preserve">   Rate 401</t>
  </si>
  <si>
    <t>Total</t>
  </si>
  <si>
    <t>P.1, column (b), line 4.</t>
  </si>
  <si>
    <t>P.1, column (c), line 5.</t>
  </si>
  <si>
    <t>Working Papers, Schedule 19, pp.1-5, column (a).</t>
  </si>
  <si>
    <t>P.1, column (b), line 6.</t>
  </si>
  <si>
    <t>P.1, column (c), line 9.</t>
  </si>
  <si>
    <t>Derivation of Union Rate Zone Unit Rate Changes by Rate Class</t>
  </si>
  <si>
    <t>Fuel, UFG, and Own Use</t>
  </si>
  <si>
    <t>Total Gas Cost Change to</t>
  </si>
  <si>
    <t>Unit Rate</t>
  </si>
  <si>
    <t>Volumes (3)</t>
  </si>
  <si>
    <t>Recovery (4)</t>
  </si>
  <si>
    <t>Distribution Rates</t>
  </si>
  <si>
    <t>Distribution Volume (5)</t>
  </si>
  <si>
    <t>Change (6)</t>
  </si>
  <si>
    <t>(e)</t>
  </si>
  <si>
    <t>(f) = (d * e)</t>
  </si>
  <si>
    <t>(g) = (c + f)</t>
  </si>
  <si>
    <t>(h)</t>
  </si>
  <si>
    <t>(i) = (g / h)</t>
  </si>
  <si>
    <t xml:space="preserve">   Rate 01</t>
  </si>
  <si>
    <t xml:space="preserve">   Rate 10</t>
  </si>
  <si>
    <t xml:space="preserve">   Rate 20</t>
  </si>
  <si>
    <t xml:space="preserve">   Rate 25</t>
  </si>
  <si>
    <t xml:space="preserve">   Rate M1</t>
  </si>
  <si>
    <t xml:space="preserve">   Rate M2</t>
  </si>
  <si>
    <t xml:space="preserve">   Rate M4</t>
  </si>
  <si>
    <t xml:space="preserve">   Rate M5</t>
  </si>
  <si>
    <t xml:space="preserve">   Rate M7</t>
  </si>
  <si>
    <t xml:space="preserve">   Rate M9</t>
  </si>
  <si>
    <t>(GJ)</t>
  </si>
  <si>
    <t>($/GJ)</t>
  </si>
  <si>
    <t xml:space="preserve">   Rate T1 </t>
  </si>
  <si>
    <t xml:space="preserve">   Rate T2</t>
  </si>
  <si>
    <t xml:space="preserve">   Rate T3</t>
  </si>
  <si>
    <t xml:space="preserve">   Rate C1</t>
  </si>
  <si>
    <t xml:space="preserve">   Rate M12</t>
  </si>
  <si>
    <t xml:space="preserve">   Rate M13</t>
  </si>
  <si>
    <t xml:space="preserve">   Rate M16</t>
  </si>
  <si>
    <t>(6)(7)</t>
  </si>
  <si>
    <t xml:space="preserve">   Rate M17</t>
  </si>
  <si>
    <t>P.1, column (b), line 14.</t>
  </si>
  <si>
    <t>Rate changes for M16 is broken down into four paths.</t>
  </si>
  <si>
    <t>P.1, column (c), line 15.</t>
  </si>
  <si>
    <t>P.1, column (b), line 16.</t>
  </si>
  <si>
    <t>M16 Storage Transportation Service</t>
  </si>
  <si>
    <t>P.1, column (c), line 19.</t>
  </si>
  <si>
    <t>Billing Units</t>
  </si>
  <si>
    <t>Rate Change</t>
  </si>
  <si>
    <t>Cost Recovery</t>
  </si>
  <si>
    <t>Working Papers, Exhibit 19, pp.6-16, column (a).</t>
  </si>
  <si>
    <t>(GJs)</t>
  </si>
  <si>
    <t xml:space="preserve">Utility providing deliverability rate changes for Rates T1, T2, and T3 are based on proposed Dawn Reference Price. Utility Supplied Fuel (USF) rate changes for Rates M13 and M16 are based on the 2024 Fuel Ratios and proposed Dawn Reference Price. Changes in Utility-supplied fuel rates for Rates M13 and M16 are presented at Appendix A. </t>
  </si>
  <si>
    <t>Charges West of Dawn:</t>
  </si>
  <si>
    <t>Fuel &amp; UFG to Dawn</t>
  </si>
  <si>
    <t>Fuel &amp; UFG to Pool</t>
  </si>
  <si>
    <t>Charges East of Dawn:</t>
  </si>
  <si>
    <t>Total Rate M16</t>
  </si>
  <si>
    <t>Derivation of Total Amount for Recovery/Refund</t>
  </si>
  <si>
    <t>2024 Rate Adjustment Rider for the Period from January 1, 2024 to April 30, 2024</t>
  </si>
  <si>
    <t>Total Amount for</t>
  </si>
  <si>
    <t>Recovery/Refund (1)</t>
  </si>
  <si>
    <t>Rate 1</t>
  </si>
  <si>
    <t>Rate 6</t>
  </si>
  <si>
    <t>Rate 100</t>
  </si>
  <si>
    <t>Rate 110</t>
  </si>
  <si>
    <t>Rate 115</t>
  </si>
  <si>
    <t>Rate 125</t>
  </si>
  <si>
    <t>Rate 135</t>
  </si>
  <si>
    <t>Rate 145</t>
  </si>
  <si>
    <t>Rate 170</t>
  </si>
  <si>
    <t>Rate 200</t>
  </si>
  <si>
    <t>Union North Rate Zone</t>
  </si>
  <si>
    <t>Rate 01</t>
  </si>
  <si>
    <t>Rate 10</t>
  </si>
  <si>
    <t>Rate 20</t>
  </si>
  <si>
    <t>Rate 25</t>
  </si>
  <si>
    <t>Union South Rate Zone</t>
  </si>
  <si>
    <t>Rate M1</t>
  </si>
  <si>
    <t>Rate M2</t>
  </si>
  <si>
    <t>Rate M4</t>
  </si>
  <si>
    <t>Rate M5</t>
  </si>
  <si>
    <t>Rate M7</t>
  </si>
  <si>
    <t>Rate M9</t>
  </si>
  <si>
    <t>Rate T1</t>
  </si>
  <si>
    <t>Rate T2</t>
  </si>
  <si>
    <t>Rate T3</t>
  </si>
  <si>
    <t>PDCI</t>
  </si>
  <si>
    <t xml:space="preserve">Total </t>
  </si>
  <si>
    <t>Note:</t>
  </si>
  <si>
    <t>Pp.2-7, column (f).</t>
  </si>
  <si>
    <t>Derivation of Total Amount for Recovery/(Refund)</t>
  </si>
  <si>
    <t xml:space="preserve">Revenue </t>
  </si>
  <si>
    <t>Forecast Billing Units</t>
  </si>
  <si>
    <t>Variance</t>
  </si>
  <si>
    <t>Recovery/(Refund)</t>
  </si>
  <si>
    <t>Rates (1)</t>
  </si>
  <si>
    <t>Rates (2)</t>
  </si>
  <si>
    <t>Jan. 1 - Apr. 30, 2024</t>
  </si>
  <si>
    <t xml:space="preserve">(e) = (c x d) </t>
  </si>
  <si>
    <t>Monthly Customer Charge</t>
  </si>
  <si>
    <t>$</t>
  </si>
  <si>
    <t>Delivery Charge - Commodity</t>
  </si>
  <si>
    <t>First     30 m³</t>
  </si>
  <si>
    <t>cents/m³</t>
  </si>
  <si>
    <t>Next     55 m³</t>
  </si>
  <si>
    <t>Next     85 m³</t>
  </si>
  <si>
    <t>Over    170 m³</t>
  </si>
  <si>
    <t>Gas Supply Load Balancing Charge</t>
  </si>
  <si>
    <t xml:space="preserve">Gas Supply Transportation Charge </t>
  </si>
  <si>
    <t xml:space="preserve">Gas Supply Transportation Dawn Charge </t>
  </si>
  <si>
    <t>Gas Supply Commodity Charge</t>
  </si>
  <si>
    <t>Total Rate 1</t>
  </si>
  <si>
    <t xml:space="preserve">Rate 6 </t>
  </si>
  <si>
    <t>First     500 m³</t>
  </si>
  <si>
    <t>Next     1,050 m³</t>
  </si>
  <si>
    <t>Next     4,500 m³</t>
  </si>
  <si>
    <t>Next     7,000 m³</t>
  </si>
  <si>
    <t>Next     15,250 m³</t>
  </si>
  <si>
    <t>Over     28,300 m³</t>
  </si>
  <si>
    <t>Total Rate 6</t>
  </si>
  <si>
    <t>Delivery Charge - Contract Demand</t>
  </si>
  <si>
    <t>cents/m³/d</t>
  </si>
  <si>
    <t>Total Rate 100</t>
  </si>
  <si>
    <t xml:space="preserve">   First     1,000,000 m³</t>
  </si>
  <si>
    <t xml:space="preserve">   Over     1,000,000 m³</t>
  </si>
  <si>
    <t>Total Rate 110</t>
  </si>
  <si>
    <t>Total Rate 115</t>
  </si>
  <si>
    <t>2024 Rate Adjustment Rider for the Period from January 1, 2024 to April 30, 2024 (Continued)</t>
  </si>
  <si>
    <t>Customer Supplied Fuel (UFG)</t>
  </si>
  <si>
    <t>Total Rate 125</t>
  </si>
  <si>
    <t>Winter</t>
  </si>
  <si>
    <t xml:space="preserve">  Monthly Customer Charge</t>
  </si>
  <si>
    <t xml:space="preserve">  Delivery Charge - Commodity</t>
  </si>
  <si>
    <t xml:space="preserve">     First     14,000 m³</t>
  </si>
  <si>
    <t xml:space="preserve">     Next     28,000 m³</t>
  </si>
  <si>
    <t xml:space="preserve">     Over     42,000 m³</t>
  </si>
  <si>
    <t>Summer</t>
  </si>
  <si>
    <t>Seasonal Credits</t>
  </si>
  <si>
    <t>Total Rate 135</t>
  </si>
  <si>
    <t xml:space="preserve">   First     14,000 m³</t>
  </si>
  <si>
    <t xml:space="preserve">   Next     28,000 m³</t>
  </si>
  <si>
    <t xml:space="preserve">   Over     42,000 m³</t>
  </si>
  <si>
    <t>Total Rate 145</t>
  </si>
  <si>
    <t>Total Rate 170</t>
  </si>
  <si>
    <t>Total Rate 200</t>
  </si>
  <si>
    <t xml:space="preserve">Rate 01 </t>
  </si>
  <si>
    <t>First     100 m³</t>
  </si>
  <si>
    <t>Next     200 m³</t>
  </si>
  <si>
    <t>Next     500 m³</t>
  </si>
  <si>
    <t>Over     1,000 m³</t>
  </si>
  <si>
    <t>Gas Supply Transportation Charge - North West</t>
  </si>
  <si>
    <t>Gas Supply Transportation Charge - North East</t>
  </si>
  <si>
    <t>Gas Supply Storage Charge - North West</t>
  </si>
  <si>
    <t>Gas Supply Storage Charge - North East</t>
  </si>
  <si>
    <t>Gas Supply Storage Charge</t>
  </si>
  <si>
    <t>Gas Supply Commodity Charge - North West</t>
  </si>
  <si>
    <t>Gas Supply Commodity Charge - North East</t>
  </si>
  <si>
    <t xml:space="preserve">Gas Supply Commodity Charge </t>
  </si>
  <si>
    <t>Total Rate 01</t>
  </si>
  <si>
    <t xml:space="preserve">Rate 10 </t>
  </si>
  <si>
    <t>First     1,000 m³</t>
  </si>
  <si>
    <t>Next     9,000 m³</t>
  </si>
  <si>
    <t>Next     20,000 m³</t>
  </si>
  <si>
    <t>Next     70,000 m³</t>
  </si>
  <si>
    <t>Over     100,000 m³</t>
  </si>
  <si>
    <t>Gas Supply Transportation Charge</t>
  </si>
  <si>
    <t>Total Rate 10</t>
  </si>
  <si>
    <t xml:space="preserve">Rate 20 </t>
  </si>
  <si>
    <t>First        70,000 m³</t>
  </si>
  <si>
    <t>All over    70,000 m³</t>
  </si>
  <si>
    <t>First        852,000 m³</t>
  </si>
  <si>
    <t>All over    852,000 m³</t>
  </si>
  <si>
    <t>MAV</t>
  </si>
  <si>
    <t>Monthly Transportation Account Charge</t>
  </si>
  <si>
    <t xml:space="preserve">Gas Supply Demand Charge </t>
  </si>
  <si>
    <t>North West</t>
  </si>
  <si>
    <t>North East</t>
  </si>
  <si>
    <t xml:space="preserve">Commodity Transportation </t>
  </si>
  <si>
    <t xml:space="preserve">   Charge 1 </t>
  </si>
  <si>
    <t xml:space="preserve">  Charge 1 </t>
  </si>
  <si>
    <t xml:space="preserve">  Charge 2  </t>
  </si>
  <si>
    <t>Bundled (T-Service) Storage Service Charges</t>
  </si>
  <si>
    <t>Storage Demand</t>
  </si>
  <si>
    <t>$/GJ/d</t>
  </si>
  <si>
    <t>Storage Commodity</t>
  </si>
  <si>
    <t>$/GJ</t>
  </si>
  <si>
    <t xml:space="preserve">Total Rate 20 </t>
  </si>
  <si>
    <t xml:space="preserve">Rate 25 </t>
  </si>
  <si>
    <t>Delivery Charge - Commodity (average)</t>
  </si>
  <si>
    <t>Total Rate 25</t>
  </si>
  <si>
    <t xml:space="preserve">Rate 100 </t>
  </si>
  <si>
    <t xml:space="preserve">Rate M1 </t>
  </si>
  <si>
    <t>First           100 m³</t>
  </si>
  <si>
    <t>Next           150 m³</t>
  </si>
  <si>
    <t>All over       250 m³</t>
  </si>
  <si>
    <t>Storage Charge</t>
  </si>
  <si>
    <t>Total Rate M1</t>
  </si>
  <si>
    <t xml:space="preserve">Rate M2 </t>
  </si>
  <si>
    <t>First         1,000 m³</t>
  </si>
  <si>
    <t>Next         6,000 m³</t>
  </si>
  <si>
    <t>Next         13,000 m³</t>
  </si>
  <si>
    <t>All over     20,000 m³</t>
  </si>
  <si>
    <t xml:space="preserve">Total Rate M2 </t>
  </si>
  <si>
    <t>First        8,450 m³</t>
  </si>
  <si>
    <t>Next        19,700 m³</t>
  </si>
  <si>
    <t>All over    28,150 m³</t>
  </si>
  <si>
    <t>First Block</t>
  </si>
  <si>
    <t>All remaining use</t>
  </si>
  <si>
    <t>Firm MAV</t>
  </si>
  <si>
    <t>Unauthorized Overrun</t>
  </si>
  <si>
    <t>Interruptible contracts</t>
  </si>
  <si>
    <t xml:space="preserve">Monthly Customer Charge </t>
  </si>
  <si>
    <t>Interruptible MAV</t>
  </si>
  <si>
    <t xml:space="preserve">MAV Gas Supply </t>
  </si>
  <si>
    <t>Total Rate M4</t>
  </si>
  <si>
    <t>Firm contracts</t>
  </si>
  <si>
    <t>2,400 m³ to 17,000 m³</t>
  </si>
  <si>
    <t>17,000 m³ to 30,000 m³</t>
  </si>
  <si>
    <t>30,000 m³ to 50,000 m³</t>
  </si>
  <si>
    <t>50,000 m³ to 60,000 m³</t>
  </si>
  <si>
    <t>Days Use Discount - 75 days</t>
  </si>
  <si>
    <t>Days Use Discount - up to 275 days</t>
  </si>
  <si>
    <t>Total Rate M5A</t>
  </si>
  <si>
    <t>Firm Contracts</t>
  </si>
  <si>
    <t>Interruptible / Seasonal Contracts</t>
  </si>
  <si>
    <t>Total Rate M7</t>
  </si>
  <si>
    <t>Total Rate M9</t>
  </si>
  <si>
    <t>Monthly Customer Charges</t>
  </si>
  <si>
    <t>Transportation Service Charges</t>
  </si>
  <si>
    <t>Transportation Contract Demand</t>
  </si>
  <si>
    <t>First     28,150 m³</t>
  </si>
  <si>
    <t>Next     112,720 m³</t>
  </si>
  <si>
    <t>Transportation Commodity</t>
  </si>
  <si>
    <t>Firm Volumes</t>
  </si>
  <si>
    <t>Interruptible Volumes (average)</t>
  </si>
  <si>
    <t>IT MAV</t>
  </si>
  <si>
    <t>Customer Supplied Fuel - Transportation</t>
  </si>
  <si>
    <t>Total Transportation</t>
  </si>
  <si>
    <t>Storage Service Charges</t>
  </si>
  <si>
    <t>Monthly Demand Charges:</t>
  </si>
  <si>
    <t>Firm Space</t>
  </si>
  <si>
    <t>Firm Injection/Withdrawal Right</t>
  </si>
  <si>
    <t>Utility provides deliverability inventory</t>
  </si>
  <si>
    <t>Customer provides deliverability inventory</t>
  </si>
  <si>
    <t>Firm incremental injection</t>
  </si>
  <si>
    <t xml:space="preserve">Interruptible withdrawal </t>
  </si>
  <si>
    <t>Commodity</t>
  </si>
  <si>
    <t>Customer Supplied Fuel - Storage</t>
  </si>
  <si>
    <t>Total Storage</t>
  </si>
  <si>
    <t>Total Rate T1</t>
  </si>
  <si>
    <t>First           140,870 m³</t>
  </si>
  <si>
    <t>All Over      140,870 m³</t>
  </si>
  <si>
    <t>Monthly Demand Charges</t>
  </si>
  <si>
    <t>Total Rate T2</t>
  </si>
  <si>
    <t>Total Rate T3</t>
  </si>
  <si>
    <t>Parkway Delivery Commitment Incentive</t>
  </si>
  <si>
    <t xml:space="preserve">(1) </t>
  </si>
  <si>
    <t>Working Papers, Schedule 20, pp.1-13, column (a)</t>
  </si>
  <si>
    <t>Working Papers, Schedule 20, pp.1-13, column (c)</t>
  </si>
  <si>
    <t xml:space="preserve">Calculation of 2024 Sales Service and Direct Purchase Bill Impacts for Typical Customers </t>
  </si>
  <si>
    <t>EB-2024-0093 - Current Approved  (2)</t>
  </si>
  <si>
    <t>EB-2022-0200 - 2024 Proposed</t>
  </si>
  <si>
    <t>Bill Impact</t>
  </si>
  <si>
    <t>Total Bill</t>
  </si>
  <si>
    <t>Including Federal</t>
  </si>
  <si>
    <t xml:space="preserve">Excluding Federal </t>
  </si>
  <si>
    <t>Change</t>
  </si>
  <si>
    <t>Carbon Charge</t>
  </si>
  <si>
    <t>($)</t>
  </si>
  <si>
    <t>(c)</t>
  </si>
  <si>
    <t>(e) = (c - a)</t>
  </si>
  <si>
    <t>(f) = (e / a)</t>
  </si>
  <si>
    <t>Rate 1 - Small Customer</t>
  </si>
  <si>
    <r>
      <t>Annual Volume 2,400 m</t>
    </r>
    <r>
      <rPr>
        <vertAlign val="superscript"/>
        <sz val="10"/>
        <rFont val="Arial"/>
        <family val="2"/>
      </rPr>
      <t xml:space="preserve">3 </t>
    </r>
  </si>
  <si>
    <t>Delivery Charges</t>
  </si>
  <si>
    <t>Federal Carbon Charge</t>
  </si>
  <si>
    <t>Gas Supply Transportation</t>
  </si>
  <si>
    <t>Gas Supply Commodity</t>
  </si>
  <si>
    <t>Total Bill - Sales Service</t>
  </si>
  <si>
    <t>Total Bill - Bundled Direct Purchase WTS</t>
  </si>
  <si>
    <t xml:space="preserve">   Bundled Direct Purchase Impact WTS</t>
  </si>
  <si>
    <t>Total Bill - Bundled Direct Purchase DTS</t>
  </si>
  <si>
    <t xml:space="preserve">   Bundled Direct Purchase Impact DTS</t>
  </si>
  <si>
    <t>Rate 1 - Large Customer</t>
  </si>
  <si>
    <r>
      <t>Annual Volume 5,048 m</t>
    </r>
    <r>
      <rPr>
        <vertAlign val="superscript"/>
        <sz val="10"/>
        <rFont val="Arial"/>
        <family val="2"/>
      </rPr>
      <t xml:space="preserve">3 </t>
    </r>
  </si>
  <si>
    <t>Rate 6 - Small Customer</t>
  </si>
  <si>
    <t>Rate 6 - Average Customer</t>
  </si>
  <si>
    <r>
      <t>Annual Volume 22,606 m</t>
    </r>
    <r>
      <rPr>
        <vertAlign val="superscript"/>
        <sz val="10"/>
        <rFont val="Arial"/>
        <family val="2"/>
      </rPr>
      <t xml:space="preserve">3 </t>
    </r>
  </si>
  <si>
    <t>Rate 6 - Large Customer</t>
  </si>
  <si>
    <r>
      <t>Annual Volume 339,124 m</t>
    </r>
    <r>
      <rPr>
        <vertAlign val="superscript"/>
        <sz val="10"/>
        <rFont val="Arial"/>
        <family val="2"/>
      </rPr>
      <t xml:space="preserve">3 </t>
    </r>
  </si>
  <si>
    <t>Rate 100 - Small Customer</t>
  </si>
  <si>
    <r>
      <t>Contract Demand 2,993 m</t>
    </r>
    <r>
      <rPr>
        <vertAlign val="superscript"/>
        <sz val="10"/>
        <rFont val="Arial"/>
        <family val="2"/>
      </rPr>
      <t>3</t>
    </r>
    <r>
      <rPr>
        <sz val="10"/>
        <rFont val="Arial"/>
        <family val="2"/>
      </rPr>
      <t xml:space="preserve"> Annual Volume 339,188 m</t>
    </r>
    <r>
      <rPr>
        <vertAlign val="superscript"/>
        <sz val="10"/>
        <rFont val="Arial"/>
        <family val="2"/>
      </rPr>
      <t xml:space="preserve">3 </t>
    </r>
  </si>
  <si>
    <t>Rate 100 - Average Customer</t>
  </si>
  <si>
    <r>
      <t>Contract Demand 15,000 m</t>
    </r>
    <r>
      <rPr>
        <vertAlign val="superscript"/>
        <sz val="10"/>
        <rFont val="Arial"/>
        <family val="2"/>
      </rPr>
      <t>3</t>
    </r>
    <r>
      <rPr>
        <sz val="10"/>
        <rFont val="Arial"/>
        <family val="2"/>
      </rPr>
      <t xml:space="preserve"> Annual Volume 598,567 m</t>
    </r>
    <r>
      <rPr>
        <vertAlign val="superscript"/>
        <sz val="10"/>
        <rFont val="Arial"/>
        <family val="2"/>
      </rPr>
      <t xml:space="preserve">3 </t>
    </r>
  </si>
  <si>
    <t>Calculation of 2024 Sales Service and Direct Purchase Bill Impacts for Typical Customers (Continued)</t>
  </si>
  <si>
    <t>Rate 100 - Large Customer</t>
  </si>
  <si>
    <t xml:space="preserve">Contract Demand 30,000 m3 Annual Volume 1,500,000 m3 </t>
  </si>
  <si>
    <t>Rate 110 - Small Customer</t>
  </si>
  <si>
    <r>
      <t>Contract Demand 3,292 m</t>
    </r>
    <r>
      <rPr>
        <vertAlign val="superscript"/>
        <sz val="10"/>
        <rFont val="Arial"/>
        <family val="2"/>
      </rPr>
      <t>3</t>
    </r>
    <r>
      <rPr>
        <sz val="10"/>
        <rFont val="Arial"/>
        <family val="2"/>
      </rPr>
      <t xml:space="preserve"> Annual Volume 598,568 m</t>
    </r>
    <r>
      <rPr>
        <vertAlign val="superscript"/>
        <sz val="10"/>
        <rFont val="Arial"/>
        <family val="2"/>
      </rPr>
      <t xml:space="preserve">3 </t>
    </r>
  </si>
  <si>
    <t>Rate 110 - Average Customer</t>
  </si>
  <si>
    <r>
      <t>Contract Demand 36,413 m</t>
    </r>
    <r>
      <rPr>
        <vertAlign val="superscript"/>
        <sz val="10"/>
        <rFont val="Arial"/>
        <family val="2"/>
      </rPr>
      <t>3</t>
    </r>
    <r>
      <rPr>
        <sz val="10"/>
        <rFont val="Arial"/>
        <family val="2"/>
      </rPr>
      <t xml:space="preserve"> Annual Volume 9,976,120 m</t>
    </r>
    <r>
      <rPr>
        <vertAlign val="superscript"/>
        <sz val="10"/>
        <rFont val="Arial"/>
        <family val="2"/>
      </rPr>
      <t xml:space="preserve">3 </t>
    </r>
  </si>
  <si>
    <t>Rate 110 - Large Customer</t>
  </si>
  <si>
    <r>
      <t>Contract Demand 53,871 m</t>
    </r>
    <r>
      <rPr>
        <vertAlign val="superscript"/>
        <sz val="10"/>
        <rFont val="Arial"/>
        <family val="2"/>
      </rPr>
      <t>3</t>
    </r>
    <r>
      <rPr>
        <sz val="10"/>
        <rFont val="Arial"/>
        <family val="2"/>
      </rPr>
      <t xml:space="preserve"> Annual Volume 9,976,121 m</t>
    </r>
    <r>
      <rPr>
        <vertAlign val="superscript"/>
        <sz val="10"/>
        <rFont val="Arial"/>
        <family val="2"/>
      </rPr>
      <t xml:space="preserve">3 </t>
    </r>
  </si>
  <si>
    <t>Rate 115 - Small Customer</t>
  </si>
  <si>
    <r>
      <t>Contract Demand 15,300 m</t>
    </r>
    <r>
      <rPr>
        <vertAlign val="superscript"/>
        <sz val="10"/>
        <rFont val="Arial"/>
        <family val="2"/>
      </rPr>
      <t>3</t>
    </r>
    <r>
      <rPr>
        <sz val="10"/>
        <rFont val="Arial"/>
        <family val="2"/>
      </rPr>
      <t xml:space="preserve"> Annual Volume 4,471,609 m</t>
    </r>
    <r>
      <rPr>
        <vertAlign val="superscript"/>
        <sz val="10"/>
        <rFont val="Arial"/>
        <family val="2"/>
      </rPr>
      <t xml:space="preserve">3 </t>
    </r>
  </si>
  <si>
    <t>Rate 115 - Large Customer</t>
  </si>
  <si>
    <r>
      <t>Contract Demand 238,928 m</t>
    </r>
    <r>
      <rPr>
        <vertAlign val="superscript"/>
        <sz val="10"/>
        <rFont val="Arial"/>
        <family val="2"/>
      </rPr>
      <t>3</t>
    </r>
    <r>
      <rPr>
        <sz val="10"/>
        <rFont val="Arial"/>
        <family val="2"/>
      </rPr>
      <t xml:space="preserve"> Annual Volume 69,832,850 m</t>
    </r>
    <r>
      <rPr>
        <vertAlign val="superscript"/>
        <sz val="10"/>
        <rFont val="Arial"/>
        <family val="2"/>
      </rPr>
      <t xml:space="preserve">3 </t>
    </r>
  </si>
  <si>
    <t>Rate 125 - Average Customer</t>
  </si>
  <si>
    <r>
      <t>Contract Demand 2,315,000 m</t>
    </r>
    <r>
      <rPr>
        <vertAlign val="superscript"/>
        <sz val="10"/>
        <rFont val="Arial"/>
        <family val="2"/>
      </rPr>
      <t>3</t>
    </r>
    <r>
      <rPr>
        <sz val="10"/>
        <rFont val="Arial"/>
        <family val="2"/>
      </rPr>
      <t xml:space="preserve"> Annual Volume 206,000,000 m</t>
    </r>
    <r>
      <rPr>
        <vertAlign val="superscript"/>
        <sz val="10"/>
        <rFont val="Arial"/>
        <family val="2"/>
      </rPr>
      <t xml:space="preserve">3 </t>
    </r>
  </si>
  <si>
    <t>Total Bill - Bundled Direct Purchase</t>
  </si>
  <si>
    <t xml:space="preserve">   Bundled Direct Purchase Impact</t>
  </si>
  <si>
    <t>Rate 135 - Average Customer</t>
  </si>
  <si>
    <t xml:space="preserve">Annual Volume 598,567 m3 </t>
  </si>
  <si>
    <t>Rate 145 - Small Customer</t>
  </si>
  <si>
    <t>Rate 145 - Large Customer</t>
  </si>
  <si>
    <r>
      <t>Contract Demand 4,489 m</t>
    </r>
    <r>
      <rPr>
        <vertAlign val="superscript"/>
        <sz val="10"/>
        <rFont val="Arial"/>
        <family val="2"/>
      </rPr>
      <t>3</t>
    </r>
    <r>
      <rPr>
        <sz val="10"/>
        <rFont val="Arial"/>
        <family val="2"/>
      </rPr>
      <t xml:space="preserve"> Annual Volume 598,567 m</t>
    </r>
    <r>
      <rPr>
        <vertAlign val="superscript"/>
        <sz val="10"/>
        <rFont val="Arial"/>
        <family val="2"/>
      </rPr>
      <t xml:space="preserve">3 </t>
    </r>
  </si>
  <si>
    <t>Rate 170 - Small Customer</t>
  </si>
  <si>
    <t>Rate 170 - Average Customer</t>
  </si>
  <si>
    <t>Rate 170 - Large Customer</t>
  </si>
  <si>
    <r>
      <t>Contract Demand 255,089 m</t>
    </r>
    <r>
      <rPr>
        <vertAlign val="superscript"/>
        <sz val="10"/>
        <rFont val="Arial"/>
        <family val="2"/>
      </rPr>
      <t>3</t>
    </r>
    <r>
      <rPr>
        <sz val="10"/>
        <rFont val="Arial"/>
        <family val="2"/>
      </rPr>
      <t xml:space="preserve"> Annual Volume 69,832,850 m</t>
    </r>
    <r>
      <rPr>
        <vertAlign val="superscript"/>
        <sz val="10"/>
        <rFont val="Arial"/>
        <family val="2"/>
      </rPr>
      <t xml:space="preserve">3 </t>
    </r>
  </si>
  <si>
    <r>
      <t>Rate 200 - Average Customer</t>
    </r>
    <r>
      <rPr>
        <sz val="10"/>
        <rFont val="Arial"/>
        <family val="2"/>
      </rPr>
      <t xml:space="preserve">  (1)</t>
    </r>
  </si>
  <si>
    <r>
      <t>Contract Demand 1,252,000 m</t>
    </r>
    <r>
      <rPr>
        <vertAlign val="superscript"/>
        <sz val="10"/>
        <rFont val="Arial"/>
        <family val="2"/>
      </rPr>
      <t>3</t>
    </r>
    <r>
      <rPr>
        <sz val="10"/>
        <rFont val="Arial"/>
        <family val="2"/>
      </rPr>
      <t xml:space="preserve"> Annual Volume 140,305,600 m</t>
    </r>
    <r>
      <rPr>
        <vertAlign val="superscript"/>
        <sz val="10"/>
        <rFont val="Arial"/>
        <family val="2"/>
      </rPr>
      <t xml:space="preserve">3 </t>
    </r>
  </si>
  <si>
    <t>Rate 200 customers are not charged the Federal Carbon Charge.</t>
  </si>
  <si>
    <t>EB-2024-0093, Application and Evidence, filed March 8, 2024, Exhibit D, Tab 1, Appendix A.</t>
  </si>
  <si>
    <t>Union North Rate Zone (1)</t>
  </si>
  <si>
    <t>Rate 01 - Small Customer</t>
  </si>
  <si>
    <r>
      <t>Annual Volume 2,200 m</t>
    </r>
    <r>
      <rPr>
        <vertAlign val="superscript"/>
        <sz val="10"/>
        <rFont val="Arial"/>
        <family val="2"/>
      </rPr>
      <t xml:space="preserve">3 </t>
    </r>
  </si>
  <si>
    <t>Rate 01 - Large Customer</t>
  </si>
  <si>
    <r>
      <t>Annual Volume 40,000 m</t>
    </r>
    <r>
      <rPr>
        <vertAlign val="superscript"/>
        <sz val="10"/>
        <rFont val="Arial"/>
        <family val="2"/>
      </rPr>
      <t xml:space="preserve">3 </t>
    </r>
  </si>
  <si>
    <t>Rate 10 - Small Customer</t>
  </si>
  <si>
    <r>
      <t>Annual Volume 60,000 m</t>
    </r>
    <r>
      <rPr>
        <vertAlign val="superscript"/>
        <sz val="10"/>
        <rFont val="Arial"/>
        <family val="2"/>
      </rPr>
      <t xml:space="preserve">3 </t>
    </r>
  </si>
  <si>
    <t>Rate 10 - Average Customer</t>
  </si>
  <si>
    <r>
      <t>Annual Volume 93,000 m</t>
    </r>
    <r>
      <rPr>
        <vertAlign val="superscript"/>
        <sz val="10"/>
        <rFont val="Arial"/>
        <family val="2"/>
      </rPr>
      <t xml:space="preserve">3 </t>
    </r>
  </si>
  <si>
    <t>Rate 10 - Large Customer</t>
  </si>
  <si>
    <r>
      <t>Annual Volume 250,000 m</t>
    </r>
    <r>
      <rPr>
        <vertAlign val="superscript"/>
        <sz val="10"/>
        <rFont val="Arial"/>
        <family val="2"/>
      </rPr>
      <t xml:space="preserve">3 </t>
    </r>
  </si>
  <si>
    <t>Rate 20 - Small Customer</t>
  </si>
  <si>
    <r>
      <t>Contract Demand 14,000m</t>
    </r>
    <r>
      <rPr>
        <vertAlign val="superscript"/>
        <sz val="10"/>
        <rFont val="Arial"/>
        <family val="2"/>
      </rPr>
      <t>3</t>
    </r>
    <r>
      <rPr>
        <sz val="10"/>
        <rFont val="Arial"/>
        <family val="2"/>
      </rPr>
      <t xml:space="preserve">  Annual Volume 3,000,000 m</t>
    </r>
    <r>
      <rPr>
        <vertAlign val="superscript"/>
        <sz val="10"/>
        <rFont val="Arial"/>
        <family val="2"/>
      </rPr>
      <t xml:space="preserve">3 </t>
    </r>
  </si>
  <si>
    <t>Calculation of 2024 Sales Service and Direct Purchase Bill Impacts for Typical Customers</t>
  </si>
  <si>
    <t>Rate 20 - Large Customer</t>
  </si>
  <si>
    <r>
      <t>Contract Demand 60,000 m</t>
    </r>
    <r>
      <rPr>
        <vertAlign val="superscript"/>
        <sz val="10"/>
        <rFont val="Arial"/>
        <family val="2"/>
      </rPr>
      <t>3</t>
    </r>
    <r>
      <rPr>
        <sz val="10"/>
        <rFont val="Arial"/>
        <family val="2"/>
      </rPr>
      <t xml:space="preserve"> Annual Volume 15,000,000 m</t>
    </r>
    <r>
      <rPr>
        <vertAlign val="superscript"/>
        <sz val="10"/>
        <rFont val="Arial"/>
        <family val="2"/>
      </rPr>
      <t xml:space="preserve">3 </t>
    </r>
  </si>
  <si>
    <t>Rate 25 - Average Customer</t>
  </si>
  <si>
    <r>
      <t>Annual Volume 2,275,000 m</t>
    </r>
    <r>
      <rPr>
        <vertAlign val="superscript"/>
        <sz val="10"/>
        <rFont val="Arial"/>
        <family val="2"/>
      </rPr>
      <t xml:space="preserve">3 </t>
    </r>
  </si>
  <si>
    <r>
      <t>Contract Demand 100,000 m</t>
    </r>
    <r>
      <rPr>
        <vertAlign val="superscript"/>
        <sz val="10"/>
        <rFont val="Arial"/>
        <family val="2"/>
      </rPr>
      <t>3</t>
    </r>
    <r>
      <rPr>
        <sz val="10"/>
        <rFont val="Arial"/>
        <family val="2"/>
      </rPr>
      <t xml:space="preserve"> Annual Volume 27,000,000 m</t>
    </r>
    <r>
      <rPr>
        <vertAlign val="superscript"/>
        <sz val="10"/>
        <rFont val="Arial"/>
        <family val="2"/>
      </rPr>
      <t xml:space="preserve">3 </t>
    </r>
  </si>
  <si>
    <t>Total Bill - Unbundled Direct Purchase</t>
  </si>
  <si>
    <t xml:space="preserve">   Unbundled Direct Purchase Impact</t>
  </si>
  <si>
    <r>
      <t>Contract Demand 850,000 m</t>
    </r>
    <r>
      <rPr>
        <vertAlign val="superscript"/>
        <sz val="10"/>
        <rFont val="Arial"/>
        <family val="2"/>
      </rPr>
      <t>3</t>
    </r>
    <r>
      <rPr>
        <sz val="10"/>
        <rFont val="Arial"/>
        <family val="2"/>
      </rPr>
      <t xml:space="preserve"> Annual Volume 240,000,000 m</t>
    </r>
    <r>
      <rPr>
        <vertAlign val="superscript"/>
        <sz val="10"/>
        <rFont val="Arial"/>
        <family val="2"/>
      </rPr>
      <t xml:space="preserve">3 </t>
    </r>
  </si>
  <si>
    <t>Gas Supply charges based on Union North East Zone.</t>
  </si>
  <si>
    <t xml:space="preserve">(2) </t>
  </si>
  <si>
    <t>EB-2024-0093, Application and Evidence, filed March 8, 2024, Exhibit D, Tab 2, Appendix A.</t>
  </si>
  <si>
    <t>DSM Budget Allocation by Rate Class</t>
  </si>
  <si>
    <t>DSM Budget (1)</t>
  </si>
  <si>
    <t>DSM Budget (2)</t>
  </si>
  <si>
    <t>Particulars ($000s)</t>
  </si>
  <si>
    <t>(d) = (c / a)</t>
  </si>
  <si>
    <t>Rate 300</t>
  </si>
  <si>
    <t xml:space="preserve">Rate M4 </t>
  </si>
  <si>
    <t>The 2023 DSM Budget included in 2023 Rates (EB-2022-0133).</t>
  </si>
  <si>
    <t>Exhibit 7, Tab 2, Schedule 1, Attachment 12, pp.11-13, lines 21 and 23, updated March 8, 2023. This budget has since been updated for the OEB-approved annual budget escalation methodology whereby the full 2023 budget approved as part of the DSM Framework proceeding (EB-2021-0002) is increased annually by inflation plus an additional 3% for all program related costs.</t>
  </si>
  <si>
    <t>Derivation of 2024 DSM Unit Rates</t>
  </si>
  <si>
    <t>2024 Forecast</t>
  </si>
  <si>
    <t>2024 DSM</t>
  </si>
  <si>
    <t>Usage (1)</t>
  </si>
  <si>
    <t>Budget (2)</t>
  </si>
  <si>
    <t xml:space="preserve"> Rate</t>
  </si>
  <si>
    <t>(10³m³)</t>
  </si>
  <si>
    <t>(cents/m³)</t>
  </si>
  <si>
    <t>Total EGD Rate Zone</t>
  </si>
  <si>
    <t>Derivation of 2024 DSM Unit Rates (Continued)</t>
  </si>
  <si>
    <t>First      1,000 m³</t>
  </si>
  <si>
    <t>Next      9,000 m³</t>
  </si>
  <si>
    <t>Next      20,000 m³</t>
  </si>
  <si>
    <t>Next      70,000 m³</t>
  </si>
  <si>
    <t>Over      100,000 m³</t>
  </si>
  <si>
    <t>Total Rate 20</t>
  </si>
  <si>
    <t>Total Union North Rate Zone</t>
  </si>
  <si>
    <t>First              1,000 m³</t>
  </si>
  <si>
    <t>Next              6,000 m³</t>
  </si>
  <si>
    <t>Next              13,000 m³</t>
  </si>
  <si>
    <t>All over          20,000 m³</t>
  </si>
  <si>
    <t>Total Rate M2</t>
  </si>
  <si>
    <t>First           8,450 m³</t>
  </si>
  <si>
    <t>Next          19,700 m³</t>
  </si>
  <si>
    <t>All over       28,150 m³</t>
  </si>
  <si>
    <t>Interruptible Contracts</t>
  </si>
  <si>
    <t>Total Rate M5</t>
  </si>
  <si>
    <t>First            28,150 m³</t>
  </si>
  <si>
    <t>Next            112,720 m³</t>
  </si>
  <si>
    <t>First            140,870 m³</t>
  </si>
  <si>
    <t>All Over       140,870 m³</t>
  </si>
  <si>
    <t>Total Union South Rate Zone</t>
  </si>
  <si>
    <t>Working Papers, Schedule 19, column (b).</t>
  </si>
  <si>
    <t>P.1, column (b).</t>
  </si>
  <si>
    <t>Summary of Proposed Revenue Change by Rate Class</t>
  </si>
  <si>
    <t>Total Revenue</t>
  </si>
  <si>
    <t>Current</t>
  </si>
  <si>
    <t>Adjustments to 2023 Base Rates</t>
  </si>
  <si>
    <t>Adjustments to 2024 Base Rates</t>
  </si>
  <si>
    <t>Approved</t>
  </si>
  <si>
    <t>Gas In</t>
  </si>
  <si>
    <t>Own Use</t>
  </si>
  <si>
    <t>Compressor</t>
  </si>
  <si>
    <t>Base</t>
  </si>
  <si>
    <t>Revenue</t>
  </si>
  <si>
    <t>Revenue (1)</t>
  </si>
  <si>
    <t>DSM (2)</t>
  </si>
  <si>
    <t>Storage (3)</t>
  </si>
  <si>
    <t>Gas (3)</t>
  </si>
  <si>
    <t>UFG (3)</t>
  </si>
  <si>
    <t>Fuel (3)</t>
  </si>
  <si>
    <t>Deficiency (4)</t>
  </si>
  <si>
    <t xml:space="preserve"> DSM (5)</t>
  </si>
  <si>
    <t>Revenue (6)</t>
  </si>
  <si>
    <t>Change %</t>
  </si>
  <si>
    <t>(g)=(a)-sum(b:f)</t>
  </si>
  <si>
    <t>(h) = (g) x 2.7%</t>
  </si>
  <si>
    <t>(j)</t>
  </si>
  <si>
    <t>(k)</t>
  </si>
  <si>
    <t>(l)</t>
  </si>
  <si>
    <t>(m)</t>
  </si>
  <si>
    <t>(n)=sum(g:m)</t>
  </si>
  <si>
    <t>(o)=(n)-(a)/(a)</t>
  </si>
  <si>
    <t>check</t>
  </si>
  <si>
    <t>Total In-franchise</t>
  </si>
  <si>
    <t>Ex-franchise</t>
  </si>
  <si>
    <t>Rate 331</t>
  </si>
  <si>
    <t>Rate 332</t>
  </si>
  <si>
    <t>Rate 401</t>
  </si>
  <si>
    <t>Rate M12/C1 Dawn-Parkway</t>
  </si>
  <si>
    <t>Rate C1</t>
  </si>
  <si>
    <t>Rate M13/GPA</t>
  </si>
  <si>
    <t>Rate M16</t>
  </si>
  <si>
    <t>Rate M17</t>
  </si>
  <si>
    <t>Total Ex-franchise</t>
  </si>
  <si>
    <t>Non-Utility Cross Charge</t>
  </si>
  <si>
    <t>Working Papers, Schedule 19, pp.1-17, column (c).</t>
  </si>
  <si>
    <t xml:space="preserve">2023 DSM revenue based on 2023 DSM unit rates, as per EB-2022-0133 applied to 2024 billing determinants. </t>
  </si>
  <si>
    <t xml:space="preserve">(3) </t>
  </si>
  <si>
    <t>Working Papers, Schedule 23, p.1, columns (a-d), (f-i).</t>
  </si>
  <si>
    <t xml:space="preserve">(4) </t>
  </si>
  <si>
    <t>Calculated based on revenue deficiency proportional impact of 2.7%, as per Working Papers, Schedule 17, column (a), line 22, applied to base revenue in column (g).</t>
  </si>
  <si>
    <t xml:space="preserve">(5) </t>
  </si>
  <si>
    <t>Working Papers, Schedule 22, p.1, column (b).</t>
  </si>
  <si>
    <t xml:space="preserve">(6) </t>
  </si>
  <si>
    <t>Total proposed revenue per Working Papers, Schedule 16,  p.1, column (i), line 14 - line 3.</t>
  </si>
  <si>
    <t xml:space="preserve">Summary of Proposed Revenue Change by Rate Class </t>
  </si>
  <si>
    <t>Total Delivery Revenue</t>
  </si>
  <si>
    <t>Inventory (3)</t>
  </si>
  <si>
    <t>(g)=(a)-(b to f)</t>
  </si>
  <si>
    <t>Working Papers, Schedule 19, pp.18-34, column (c).</t>
  </si>
  <si>
    <t>Total proposed revenue per Working Papers, Schedule 16,  p.1, column (g), line 14 - line 3.</t>
  </si>
  <si>
    <t>Total Gas Supply</t>
  </si>
  <si>
    <t>:</t>
  </si>
  <si>
    <t>Working Papers, Schedule 19, pp.35-51, column (c).</t>
  </si>
  <si>
    <t>Total proposed revenue per Working Papers, Schedule 16,  p.1, column (h), line 14 - line 3.</t>
  </si>
  <si>
    <t>Deferral and Variance Accounts</t>
  </si>
  <si>
    <t>Actual and Forecast Balances Proposed for Disposition</t>
  </si>
  <si>
    <t>Particulars ($ millions)</t>
  </si>
  <si>
    <t xml:space="preserve">Account No. </t>
  </si>
  <si>
    <t>Period</t>
  </si>
  <si>
    <t>Principal</t>
  </si>
  <si>
    <t>Interest</t>
  </si>
  <si>
    <t>Total (1)</t>
  </si>
  <si>
    <t>(c) = (a + b)</t>
  </si>
  <si>
    <t>APCDA - Unamortized Pre-17 Pension Actuarial Losses</t>
  </si>
  <si>
    <t>179-120</t>
  </si>
  <si>
    <t>APCDA - Other</t>
  </si>
  <si>
    <t>Subtotal</t>
  </si>
  <si>
    <t>APCDA - Total</t>
  </si>
  <si>
    <t>TVDA - Integration Capital Additions</t>
  </si>
  <si>
    <t>179-383</t>
  </si>
  <si>
    <t>ICMDA - EGD Rate Zone</t>
  </si>
  <si>
    <t>179-500</t>
  </si>
  <si>
    <t>ICMDA - Union Rate Zones</t>
  </si>
  <si>
    <t>179-159</t>
  </si>
  <si>
    <t>ICMDA - Total</t>
  </si>
  <si>
    <t>Combined</t>
  </si>
  <si>
    <t>RNGISVA</t>
  </si>
  <si>
    <t>179-12</t>
  </si>
  <si>
    <t>COVID-19DA</t>
  </si>
  <si>
    <t>179-384</t>
  </si>
  <si>
    <t>TIACDA - Unamortized Balance</t>
  </si>
  <si>
    <t>179-02</t>
  </si>
  <si>
    <t xml:space="preserve">Transitional Pension Balance </t>
  </si>
  <si>
    <t>Total of Balances Proposed for Clearance</t>
  </si>
  <si>
    <t>Balances at December 31, 2023.</t>
  </si>
  <si>
    <t>Actual and Forecast Balances Proposed for Disposition by Rate Zone</t>
  </si>
  <si>
    <t>APCDA</t>
  </si>
  <si>
    <t xml:space="preserve">    Capitalization vs. Expense</t>
  </si>
  <si>
    <t xml:space="preserve">    Interest During Construction</t>
  </si>
  <si>
    <t xml:space="preserve">    Depreciation Expense</t>
  </si>
  <si>
    <t xml:space="preserve">    Overhead Capitalization</t>
  </si>
  <si>
    <t xml:space="preserve">    Amortized Gas Supply Storage and Transportation Costs</t>
  </si>
  <si>
    <t xml:space="preserve">    Pension &amp; OPEB Expense</t>
  </si>
  <si>
    <t>Total APCDA</t>
  </si>
  <si>
    <t>ICMDA</t>
  </si>
  <si>
    <t xml:space="preserve">    NPS 20 Don River Replacement Project</t>
  </si>
  <si>
    <t xml:space="preserve">    NPS 20 Cherry to Bathurst Replacement Project</t>
  </si>
  <si>
    <t>Total ICMDA</t>
  </si>
  <si>
    <t>Union Rate Zones</t>
  </si>
  <si>
    <t xml:space="preserve">    Kingsville Transmission Reinforcement Project</t>
  </si>
  <si>
    <t xml:space="preserve">    Windsor Line Replacement Project</t>
  </si>
  <si>
    <t xml:space="preserve">    London Lines Replacement Project</t>
  </si>
  <si>
    <t>Total Union Rate Zones</t>
  </si>
  <si>
    <t>Allocation of Deferral &amp; Variance Account Balances - EGD Rate Zone</t>
  </si>
  <si>
    <t>Allocator</t>
  </si>
  <si>
    <t>Line
No.</t>
  </si>
  <si>
    <t>APCDA, COVID-19DA,</t>
  </si>
  <si>
    <t xml:space="preserve">Amortized Gas </t>
  </si>
  <si>
    <t>Rate</t>
  </si>
  <si>
    <t>High Pressure</t>
  </si>
  <si>
    <t>Storage</t>
  </si>
  <si>
    <t xml:space="preserve"> TIACDA and Transitional</t>
  </si>
  <si>
    <t>Supply Storage and</t>
  </si>
  <si>
    <t>Base (1)</t>
  </si>
  <si>
    <t>&gt;4" Diameter (2)</t>
  </si>
  <si>
    <t>Deliverability (3)</t>
  </si>
  <si>
    <t>Pension Balance</t>
  </si>
  <si>
    <t xml:space="preserve"> Transportation Costs</t>
  </si>
  <si>
    <t xml:space="preserve">Particulars </t>
  </si>
  <si>
    <r>
      <t>(10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/d)</t>
    </r>
  </si>
  <si>
    <r>
      <t>(10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t>
    </r>
  </si>
  <si>
    <t>(g) = (d + e + f)</t>
  </si>
  <si>
    <t xml:space="preserve">EB-2017-0086, Exhibit G2, Tab 5, Schedule 1, line 8, columns (2-14). </t>
  </si>
  <si>
    <t>EB-2017-0086, Exhibit G2, Tab 6, Schedule 3, p.1, line 2.1, columns (2-14).</t>
  </si>
  <si>
    <t>EB-2017-0086, Exhibit G2, Tab 6, Schedule 3, p.1, line 3.1, columns (2-14).</t>
  </si>
  <si>
    <t>P.2, column (c), line 7 - line 5 + line 11 + line 12 + line 13. Allocated using column (a).</t>
  </si>
  <si>
    <t>P.2, column (c), line 10. Allocated using column (b).</t>
  </si>
  <si>
    <t>P.2, column (c), line 5. Allocated using column (c).</t>
  </si>
  <si>
    <t>Allocation of Deferral &amp; Variance Account Balances - Union Rate Zones</t>
  </si>
  <si>
    <t>Allocators</t>
  </si>
  <si>
    <t>Kingsville</t>
  </si>
  <si>
    <t>Other</t>
  </si>
  <si>
    <t>Transmission</t>
  </si>
  <si>
    <t>Windsor Line</t>
  </si>
  <si>
    <t>London Lines</t>
  </si>
  <si>
    <t>and</t>
  </si>
  <si>
    <t>Reinforcement</t>
  </si>
  <si>
    <t>Replacement</t>
  </si>
  <si>
    <t>Demand (2)</t>
  </si>
  <si>
    <t>Demand (3)</t>
  </si>
  <si>
    <t>Demand (4)</t>
  </si>
  <si>
    <t>Project</t>
  </si>
  <si>
    <t>(i) = (e+f+g+h)</t>
  </si>
  <si>
    <t xml:space="preserve">   Rate M4 (F)</t>
  </si>
  <si>
    <t xml:space="preserve">   Rate M4 (I)</t>
  </si>
  <si>
    <t xml:space="preserve">   Rate M7 (F)</t>
  </si>
  <si>
    <t xml:space="preserve">   Rate M7 (I)</t>
  </si>
  <si>
    <t xml:space="preserve">   Rate T1 (F)</t>
  </si>
  <si>
    <t xml:space="preserve">   Rate T1 (I)</t>
  </si>
  <si>
    <t xml:space="preserve">   Rate T2 (F)</t>
  </si>
  <si>
    <t xml:space="preserve">   Rate T2 (I)</t>
  </si>
  <si>
    <t>Ex-Franchise</t>
  </si>
  <si>
    <t xml:space="preserve">   Rate C1 (F)</t>
  </si>
  <si>
    <t xml:space="preserve">   Rate C1 (I)</t>
  </si>
  <si>
    <t>Total Ex-Franchise</t>
  </si>
  <si>
    <t>EB-2011-0210, Exhibit G3, Tab 2, Schedule 2, updated.</t>
  </si>
  <si>
    <t>EB-2018-0305, Exhibit M1, Tab 1, Appendix C, column (a), updated.</t>
  </si>
  <si>
    <t>EB-2019-0194, Exhibit B, Tab 2, Schedule 1, Appendix F, p.2, column (a), updated.</t>
  </si>
  <si>
    <t>EB-2020-0181, Exhibit B, Tab 2, Schedule 1, Appendix F, column (a), updated.</t>
  </si>
  <si>
    <t>P.2, column (c), line 21 + line 26. Allocated using column (a).</t>
  </si>
  <si>
    <t>P.2, column (c), line 22. Allocated using column (b).</t>
  </si>
  <si>
    <t>P.2, column (c), line 23. Allocated using column (c).</t>
  </si>
  <si>
    <t>P.2, column (c), line 24. Allocated using column (d).</t>
  </si>
  <si>
    <t>Deferral &amp; Variance Account Balance Disposition Unit Rates</t>
  </si>
  <si>
    <t>Account</t>
  </si>
  <si>
    <t xml:space="preserve">Balance for </t>
  </si>
  <si>
    <t>Forecast</t>
  </si>
  <si>
    <t>Disposition (1) (2)</t>
  </si>
  <si>
    <t>Usage (3)</t>
  </si>
  <si>
    <t>Billing</t>
  </si>
  <si>
    <t xml:space="preserve">for </t>
  </si>
  <si>
    <t>Disposition</t>
  </si>
  <si>
    <t>(d) = (a / b x 100)</t>
  </si>
  <si>
    <t>10³m³</t>
  </si>
  <si>
    <t>10³m³/d</t>
  </si>
  <si>
    <t xml:space="preserve">   Rate M5 (I)</t>
  </si>
  <si>
    <t>Union Ex-Franchise</t>
  </si>
  <si>
    <t>P.3, column (g) for EGD Rate Zone.</t>
  </si>
  <si>
    <t>P.4, column (i) for Union Rate Zones.</t>
  </si>
  <si>
    <t xml:space="preserve">2024 forecast usage from May 1, 2024 to December 31, 2024. </t>
  </si>
  <si>
    <t>Derivation of Proposed Rates and Revenue by Rate Class</t>
  </si>
  <si>
    <t>Current Approved Revenue</t>
  </si>
  <si>
    <t>2024 Proposed Revenue</t>
  </si>
  <si>
    <t xml:space="preserve">2024 
Forecast </t>
  </si>
  <si>
    <t>Gas in Storage (3)</t>
  </si>
  <si>
    <t>Own Use Gas (3)</t>
  </si>
  <si>
    <t>Compressor Fuel (3)</t>
  </si>
  <si>
    <t>Base Revenue</t>
  </si>
  <si>
    <t>Revenue Deficiency (4)</t>
  </si>
  <si>
    <t>Revenue (8)</t>
  </si>
  <si>
    <t>Rates</t>
  </si>
  <si>
    <t>Revenue (Deficiency) / Sufficiency</t>
  </si>
  <si>
    <t>Rate 
Change</t>
  </si>
  <si>
    <t>Usage</t>
  </si>
  <si>
    <t>(i) = (c)-sum(d:h)</t>
  </si>
  <si>
    <t>(j) = (i) x 2.7%</t>
  </si>
  <si>
    <t>(n)</t>
  </si>
  <si>
    <t>(o)</t>
  </si>
  <si>
    <t>(p) =sum (i:o)</t>
  </si>
  <si>
    <t>(q)</t>
  </si>
  <si>
    <t>(r) = (p - c)</t>
  </si>
  <si>
    <t>(s) = (q - b) / (b)</t>
  </si>
  <si>
    <t xml:space="preserve">    Monthly Customer Charge</t>
  </si>
  <si>
    <t>bills</t>
  </si>
  <si>
    <t xml:space="preserve">    Delivery Charge - Commodity</t>
  </si>
  <si>
    <t xml:space="preserve">        First     30 m³</t>
  </si>
  <si>
    <t xml:space="preserve">        Next     55 m³</t>
  </si>
  <si>
    <t xml:space="preserve">        Next     85 m³</t>
  </si>
  <si>
    <t xml:space="preserve">        Over     170 m³</t>
  </si>
  <si>
    <t xml:space="preserve">    Total Delivery</t>
  </si>
  <si>
    <t xml:space="preserve">        Gas Supply Load Balancing</t>
  </si>
  <si>
    <t xml:space="preserve">    Gas Supply Transportation Charge</t>
  </si>
  <si>
    <t xml:space="preserve">        Gas Supply Transportation Charge</t>
  </si>
  <si>
    <t xml:space="preserve">        Gas Supply Transportation Dawn Charge</t>
  </si>
  <si>
    <t xml:space="preserve">    Gas Supply Commodity Charge</t>
  </si>
  <si>
    <t xml:space="preserve">    Total Rate 1</t>
  </si>
  <si>
    <t xml:space="preserve">        First      500 m³</t>
  </si>
  <si>
    <t xml:space="preserve">        Next      1,050 m³</t>
  </si>
  <si>
    <t xml:space="preserve">        Next      4,500 m³</t>
  </si>
  <si>
    <t xml:space="preserve">        Next      7,000 m³</t>
  </si>
  <si>
    <t xml:space="preserve">        Next      15,250 m³</t>
  </si>
  <si>
    <t xml:space="preserve">        Over      28,300 m³</t>
  </si>
  <si>
    <t xml:space="preserve">    Total Rate 6</t>
  </si>
  <si>
    <t>Derivation of Proposed Rates and Revenue by Rate Class (Continued)</t>
  </si>
  <si>
    <t>(p) =sum(i:o)</t>
  </si>
  <si>
    <t xml:space="preserve">    Delivery Charge - Contract Demand</t>
  </si>
  <si>
    <t xml:space="preserve">    Total Rate 100</t>
  </si>
  <si>
    <t xml:space="preserve">         First            1,000,000 m³</t>
  </si>
  <si>
    <t xml:space="preserve">         For all over   1,000,000 m³</t>
  </si>
  <si>
    <t xml:space="preserve">         Gas Supply Load Balancing</t>
  </si>
  <si>
    <t xml:space="preserve">         Gas Supply Transportation Charge</t>
  </si>
  <si>
    <t xml:space="preserve">         Gas Supply Transportation Dawn Charge</t>
  </si>
  <si>
    <t xml:space="preserve">    Total Rate 110</t>
  </si>
  <si>
    <t xml:space="preserve">    Total Rate 115</t>
  </si>
  <si>
    <t xml:space="preserve">    Customer Supplied Fuel (UFG)</t>
  </si>
  <si>
    <t xml:space="preserve">    Total Rate 125</t>
  </si>
  <si>
    <t xml:space="preserve">    Winter</t>
  </si>
  <si>
    <t xml:space="preserve">       First              14,000 m³</t>
  </si>
  <si>
    <t xml:space="preserve">       Next              28,000 m³</t>
  </si>
  <si>
    <t xml:space="preserve">       For all over     42,000 m³</t>
  </si>
  <si>
    <t xml:space="preserve">    Summer</t>
  </si>
  <si>
    <t xml:space="preserve">    Seasonal Credits</t>
  </si>
  <si>
    <t xml:space="preserve">    Total Rate 135</t>
  </si>
  <si>
    <t xml:space="preserve">    Seasonal Credits - 16 Hours</t>
  </si>
  <si>
    <t xml:space="preserve">    Seasonal Credits - 72 Hours</t>
  </si>
  <si>
    <t xml:space="preserve">     Total Rate 145</t>
  </si>
  <si>
    <t xml:space="preserve">     Total Rate 170</t>
  </si>
  <si>
    <t xml:space="preserve">    Total Rate 200</t>
  </si>
  <si>
    <t xml:space="preserve">        First     100 m³</t>
  </si>
  <si>
    <t xml:space="preserve">        Next     200 m³</t>
  </si>
  <si>
    <t xml:space="preserve">        Next     200 m³ </t>
  </si>
  <si>
    <t xml:space="preserve">        Next     500 m³</t>
  </si>
  <si>
    <t xml:space="preserve">        Over     1,000 m³ </t>
  </si>
  <si>
    <t xml:space="preserve">        North West</t>
  </si>
  <si>
    <t xml:space="preserve">        North East</t>
  </si>
  <si>
    <t xml:space="preserve">    Gas Supply Storage Charge</t>
  </si>
  <si>
    <t xml:space="preserve">    Storage Commodity Charge</t>
  </si>
  <si>
    <t xml:space="preserve">    Total Rate 01</t>
  </si>
  <si>
    <t xml:space="preserve">        First     1,000 m³</t>
  </si>
  <si>
    <t xml:space="preserve">        Next     9,000 m³</t>
  </si>
  <si>
    <t xml:space="preserve">        Next     20,000 m³</t>
  </si>
  <si>
    <t xml:space="preserve">        Next     70,000 m³</t>
  </si>
  <si>
    <t xml:space="preserve">        Over     100,000 m³</t>
  </si>
  <si>
    <t xml:space="preserve">    Total Rate 10</t>
  </si>
  <si>
    <t xml:space="preserve">         First        70,000 m³</t>
  </si>
  <si>
    <t xml:space="preserve">         All over    70,000 m³</t>
  </si>
  <si>
    <t xml:space="preserve">         First        852,000 m³</t>
  </si>
  <si>
    <t xml:space="preserve">         All over    852,000 m³</t>
  </si>
  <si>
    <t xml:space="preserve">    MAV Charge</t>
  </si>
  <si>
    <t>Transportation Account Charge</t>
  </si>
  <si>
    <t xml:space="preserve">Commodity Transportation Charge 1 </t>
  </si>
  <si>
    <t xml:space="preserve">Commodity Transportation Charge 2  </t>
  </si>
  <si>
    <t>Gas Supply Transportation Charges</t>
  </si>
  <si>
    <t xml:space="preserve">        Storage Demand ($/GJ)</t>
  </si>
  <si>
    <t>GJ/d</t>
  </si>
  <si>
    <t xml:space="preserve">        Storage Commodity ($/GJ)</t>
  </si>
  <si>
    <t>GJ</t>
  </si>
  <si>
    <t>MAV (average)</t>
  </si>
  <si>
    <t>Total Delivery</t>
  </si>
  <si>
    <t xml:space="preserve">         North West</t>
  </si>
  <si>
    <t xml:space="preserve">         North East</t>
  </si>
  <si>
    <t>MAV Charge</t>
  </si>
  <si>
    <t xml:space="preserve">          North West</t>
  </si>
  <si>
    <t xml:space="preserve">          North East</t>
  </si>
  <si>
    <t xml:space="preserve">          Storage Demand ($/GJ)</t>
  </si>
  <si>
    <t xml:space="preserve">          Storage Commodity ($/GJ)</t>
  </si>
  <si>
    <t xml:space="preserve">        First            100 m³</t>
  </si>
  <si>
    <t xml:space="preserve">        Next            150 m³</t>
  </si>
  <si>
    <t xml:space="preserve">        All over        250 m³</t>
  </si>
  <si>
    <t xml:space="preserve">    Storage Charge</t>
  </si>
  <si>
    <t xml:space="preserve">     Total Rate M1</t>
  </si>
  <si>
    <t xml:space="preserve">        First           1,000 m³</t>
  </si>
  <si>
    <t xml:space="preserve">        Next           6,000 m³</t>
  </si>
  <si>
    <t xml:space="preserve">        Next           13,000 m³</t>
  </si>
  <si>
    <t xml:space="preserve">        All over       20,000 m³</t>
  </si>
  <si>
    <t xml:space="preserve">    Total Rate M2</t>
  </si>
  <si>
    <t xml:space="preserve">        First          8,450 m³</t>
  </si>
  <si>
    <t xml:space="preserve">        Next          19,700 m³</t>
  </si>
  <si>
    <t xml:space="preserve">        All over      28,150 m³</t>
  </si>
  <si>
    <t xml:space="preserve">        First Block</t>
  </si>
  <si>
    <t xml:space="preserve">        All remaining use</t>
  </si>
  <si>
    <t xml:space="preserve">        Firm MAV</t>
  </si>
  <si>
    <t xml:space="preserve">        Unauthorized Overrun</t>
  </si>
  <si>
    <t xml:space="preserve">    Total Delivery - Firm</t>
  </si>
  <si>
    <t xml:space="preserve">    Interruptible Contracts</t>
  </si>
  <si>
    <t xml:space="preserve">        Monthly Customer Charge</t>
  </si>
  <si>
    <t xml:space="preserve">        Delivery Charge - Commodity</t>
  </si>
  <si>
    <t xml:space="preserve">        Interruptible MAV</t>
  </si>
  <si>
    <t xml:space="preserve">    Total Delivery - Interruptible</t>
  </si>
  <si>
    <t xml:space="preserve">    Gas Supply MAV</t>
  </si>
  <si>
    <t xml:space="preserve">    Total Rate M4</t>
  </si>
  <si>
    <t xml:space="preserve">    Delivery Charge - Commodity (average)</t>
  </si>
  <si>
    <t xml:space="preserve">    Interruptible MAV</t>
  </si>
  <si>
    <t xml:space="preserve">    Days Use Discount - 75 days</t>
  </si>
  <si>
    <t xml:space="preserve">    Days Use Discount - up to 275 days</t>
  </si>
  <si>
    <t xml:space="preserve">    Firm Contracts</t>
  </si>
  <si>
    <t xml:space="preserve">        Delivery Charge - Contract Demand</t>
  </si>
  <si>
    <t xml:space="preserve">    Total Rate M5</t>
  </si>
  <si>
    <t xml:space="preserve">  Firm MAV</t>
  </si>
  <si>
    <t xml:space="preserve">        Delivery Charge - Commodity (average)</t>
  </si>
  <si>
    <t xml:space="preserve">        Interruptible MAV (average)</t>
  </si>
  <si>
    <t xml:space="preserve">    Total Rate M7</t>
  </si>
  <si>
    <t xml:space="preserve">    Total Rate M9</t>
  </si>
  <si>
    <t>Meter/mth</t>
  </si>
  <si>
    <r>
      <t xml:space="preserve">    Transportation Service Charge (cents/m</t>
    </r>
    <r>
      <rPr>
        <vertAlign val="superscript"/>
        <sz val="10"/>
        <rFont val="Arial"/>
        <family val="2"/>
      </rPr>
      <t>3</t>
    </r>
    <r>
      <rPr>
        <sz val="10"/>
        <rFont val="Arial"/>
        <family val="2"/>
      </rPr>
      <t>)</t>
    </r>
  </si>
  <si>
    <t xml:space="preserve">        Transportation Contract Demand</t>
  </si>
  <si>
    <t xml:space="preserve">            First     28,150 m³</t>
  </si>
  <si>
    <t>10³m³/d/mth</t>
  </si>
  <si>
    <t xml:space="preserve">            Next     112,720 m³</t>
  </si>
  <si>
    <t xml:space="preserve">        Transportation Commodity</t>
  </si>
  <si>
    <t xml:space="preserve">            Firm Volumes</t>
  </si>
  <si>
    <t xml:space="preserve">            Interruptible Volumes (average)</t>
  </si>
  <si>
    <t xml:space="preserve">        MAV - Firm</t>
  </si>
  <si>
    <t xml:space="preserve">        MAV - Interruptible (average)</t>
  </si>
  <si>
    <t xml:space="preserve">        Customer Supplied Fuel - Transportation</t>
  </si>
  <si>
    <t xml:space="preserve">    Total Transportation</t>
  </si>
  <si>
    <t xml:space="preserve">    Storage Service Charges ($/GJ's)</t>
  </si>
  <si>
    <t xml:space="preserve">        Monthly Demand Charges:</t>
  </si>
  <si>
    <t xml:space="preserve">            Firm Space</t>
  </si>
  <si>
    <t>GJ/d/mth</t>
  </si>
  <si>
    <t xml:space="preserve">        Firm Injection/Withdrawal Right</t>
  </si>
  <si>
    <t xml:space="preserve">            Utility provides deliverability inventory</t>
  </si>
  <si>
    <t xml:space="preserve">            Customer provides deliverability inventory</t>
  </si>
  <si>
    <t xml:space="preserve">            Firm incremental injection</t>
  </si>
  <si>
    <t xml:space="preserve">            Interruptible withdrawal </t>
  </si>
  <si>
    <t xml:space="preserve">        Commodity:</t>
  </si>
  <si>
    <t xml:space="preserve">            Commodity</t>
  </si>
  <si>
    <t xml:space="preserve">        Customer Supplied Fuel - Storage</t>
  </si>
  <si>
    <t xml:space="preserve">    Total Storage</t>
  </si>
  <si>
    <t xml:space="preserve">    Total Rate T1</t>
  </si>
  <si>
    <t xml:space="preserve">            First           140,870 m³</t>
  </si>
  <si>
    <t xml:space="preserve">            All Over      140,870 m³</t>
  </si>
  <si>
    <t xml:space="preserve">    Total Rate T2</t>
  </si>
  <si>
    <t xml:space="preserve">    Total Rate T3</t>
  </si>
  <si>
    <t xml:space="preserve">    Tecumseh Transportation Service</t>
  </si>
  <si>
    <t xml:space="preserve">            Firm Demand Charge</t>
  </si>
  <si>
    <t xml:space="preserve">            Interruptible Charge</t>
  </si>
  <si>
    <t>Total Rate 331</t>
  </si>
  <si>
    <t xml:space="preserve">    Firm Demand Charge </t>
  </si>
  <si>
    <t>Total Rate 332</t>
  </si>
  <si>
    <t>Rate 401 (5)</t>
  </si>
  <si>
    <t xml:space="preserve">    Service Fee</t>
  </si>
  <si>
    <t>Rate M12/C1 Dawn to Parkway</t>
  </si>
  <si>
    <t xml:space="preserve">    Rate M12 Demand Charges</t>
  </si>
  <si>
    <t xml:space="preserve">        Dawn to Parkway</t>
  </si>
  <si>
    <t xml:space="preserve">             - F24-T</t>
  </si>
  <si>
    <t xml:space="preserve">        Dawn to Kirkwall</t>
  </si>
  <si>
    <t xml:space="preserve">        Kirkwall to Parkway</t>
  </si>
  <si>
    <t xml:space="preserve">        M12-X </t>
  </si>
  <si>
    <t xml:space="preserve">             - Between Dawn, Kirkwall and Parkway</t>
  </si>
  <si>
    <t xml:space="preserve">    Rate C1 Dawn Parkway Demand Charges</t>
  </si>
  <si>
    <t xml:space="preserve">        Dawn to Parkway </t>
  </si>
  <si>
    <t xml:space="preserve">        Parkway to Dawn/Kirkwall </t>
  </si>
  <si>
    <t xml:space="preserve">        Kirkwall to Dawn</t>
  </si>
  <si>
    <t xml:space="preserve">    Rate M12 Commodity Charges</t>
  </si>
  <si>
    <t xml:space="preserve">        Easterly</t>
  </si>
  <si>
    <t xml:space="preserve">        Westerly</t>
  </si>
  <si>
    <t xml:space="preserve">    Rate C1 Dawn Parkway Commodity Charges</t>
  </si>
  <si>
    <t>Total Rate M12/C1 Dawn Parkway</t>
  </si>
  <si>
    <t xml:space="preserve">    Firm Demand Charges</t>
  </si>
  <si>
    <t>Between St.Clair &amp; Dawn, Ojibway &amp;    Dawn, and Bluewater &amp; Dawn</t>
  </si>
  <si>
    <t>GJ/mth</t>
  </si>
  <si>
    <t xml:space="preserve">         Dawn to Dawn-Vector</t>
  </si>
  <si>
    <t xml:space="preserve">         Dawn to Dawn-TCPL</t>
  </si>
  <si>
    <t xml:space="preserve">     Commodity Charges</t>
  </si>
  <si>
    <t xml:space="preserve">         Easterly</t>
  </si>
  <si>
    <t xml:space="preserve">                  Dawn to Dawn TCPL</t>
  </si>
  <si>
    <t xml:space="preserve">                  Dawn to Dawn Vector</t>
  </si>
  <si>
    <t xml:space="preserve">                  Ojibway to Dawn </t>
  </si>
  <si>
    <t xml:space="preserve">                  Bluewater to Dawn </t>
  </si>
  <si>
    <t xml:space="preserve">            Westerly</t>
  </si>
  <si>
    <t xml:space="preserve">                  Parkway to Kirkwall</t>
  </si>
  <si>
    <t xml:space="preserve">                  Kirkwall to Dawn</t>
  </si>
  <si>
    <t>Short-term Transportation</t>
  </si>
  <si>
    <t>Short-term Transportation - Utility Providing Fuel</t>
  </si>
  <si>
    <t>Rate M13</t>
  </si>
  <si>
    <t xml:space="preserve">    Monthly Fixed Charge</t>
  </si>
  <si>
    <t xml:space="preserve">    Transmission Commodity Charge</t>
  </si>
  <si>
    <t xml:space="preserve">    Commodity - Utility Providing Fuel</t>
  </si>
  <si>
    <t xml:space="preserve">    Commodity - Providing Own Fuel</t>
  </si>
  <si>
    <t xml:space="preserve">     Monthly Fixed Charge - Ontario Producers (5)</t>
  </si>
  <si>
    <t xml:space="preserve">    Charges West of Dawn</t>
  </si>
  <si>
    <t xml:space="preserve">          Firm Demand Charge</t>
  </si>
  <si>
    <t xml:space="preserve">          Utility Providing Fuel to Dawn</t>
  </si>
  <si>
    <t xml:space="preserve">          Utility Providing Fuel to Pool</t>
  </si>
  <si>
    <t xml:space="preserve">          Providing Own Fuel to Dawn</t>
  </si>
  <si>
    <t xml:space="preserve">          Providing Own Fuel to Pool</t>
  </si>
  <si>
    <t xml:space="preserve">    Charges East of Dawn</t>
  </si>
  <si>
    <t>Rate M17 Wholesale Transportation Service</t>
  </si>
  <si>
    <t xml:space="preserve">            Dawn to Delivery Area</t>
  </si>
  <si>
    <t xml:space="preserve">            Kirkwall to Delivery Area or Dawn</t>
  </si>
  <si>
    <t xml:space="preserve">            Parkway (TCPL) to Delivery Area or Dawn</t>
  </si>
  <si>
    <t xml:space="preserve">    Commodity Charges</t>
  </si>
  <si>
    <t xml:space="preserve">              Commodity</t>
  </si>
  <si>
    <t>Total Rate M17</t>
  </si>
  <si>
    <t>Non-Utility Cross Charge (5) (6)</t>
  </si>
  <si>
    <t/>
  </si>
  <si>
    <t>Total  (7)</t>
  </si>
  <si>
    <t>EB-2022-0133, Exhibit D, Tab 1, Appendix A for the EGD rate zone; and Exhibit D, Tab 2, Appendix A for the Union rate zone.</t>
  </si>
  <si>
    <t>Calculated based on revenue deficiency proportional impact of 2.7%, as per Working Papers, Schedule 17, column (a), line 22, applied to base revenue in column (i).</t>
  </si>
  <si>
    <t>Not subject to escalation.</t>
  </si>
  <si>
    <t>Working Papers, Schedule 25, column (c), line 26.</t>
  </si>
  <si>
    <t>2024 total deficency as per Working Papers, Schedule 16, column (i), line 15.</t>
  </si>
  <si>
    <t>Total proposed revenue per Working Papers, Schedule 16,  p.1, column (i), line 14.</t>
  </si>
  <si>
    <t>Delivery Revenue</t>
  </si>
  <si>
    <t>2024 Proposed  Revenue</t>
  </si>
  <si>
    <t>(f) = (c)-sum(d:e)</t>
  </si>
  <si>
    <t>(g) = (f) x 2.7%</t>
  </si>
  <si>
    <t>(j) = sum(f:i)</t>
  </si>
  <si>
    <t>(l) = (j - c)</t>
  </si>
  <si>
    <t>(m) = (k-b)/(b)</t>
  </si>
  <si>
    <t xml:space="preserve">        First     500 m³</t>
  </si>
  <si>
    <t xml:space="preserve">        Next     1,050 m³</t>
  </si>
  <si>
    <t xml:space="preserve">        Next     4,500 m³</t>
  </si>
  <si>
    <t xml:space="preserve">        Next     7,000 m³</t>
  </si>
  <si>
    <t xml:space="preserve">        Next     15,250 m³</t>
  </si>
  <si>
    <t xml:space="preserve">        Over     28,300 m³</t>
  </si>
  <si>
    <t xml:space="preserve">Delivery Revenue </t>
  </si>
  <si>
    <t xml:space="preserve">        First            1,000,000 m³</t>
  </si>
  <si>
    <t xml:space="preserve">        For all over   1,000,000 m³</t>
  </si>
  <si>
    <t xml:space="preserve">        Over    100,000 m³</t>
  </si>
  <si>
    <t xml:space="preserve">        First              100 m³</t>
  </si>
  <si>
    <t xml:space="preserve">        Next              150 m³</t>
  </si>
  <si>
    <t xml:space="preserve">        All over          250 m³</t>
  </si>
  <si>
    <t xml:space="preserve">        Next         19,700 m³</t>
  </si>
  <si>
    <t xml:space="preserve">        All over     28,150 m³</t>
  </si>
  <si>
    <t xml:space="preserve">            First      28,150 m³</t>
  </si>
  <si>
    <t>-</t>
  </si>
  <si>
    <t>Total (7)</t>
  </si>
  <si>
    <t>Working Papers, Schedule 23, p.1, columns (a) and (f).</t>
  </si>
  <si>
    <t>Calculated based on revenue deficiency proportional impact of 2.7%, as per Working Papers, Schedule 17, column (a), line 22, applied to base revenue in column (f).</t>
  </si>
  <si>
    <t>2024 total delivery deficiency can be found at Schedule 16, column (g), line 15.</t>
  </si>
  <si>
    <t>Total proposed revenue per Working Papers, Schedule 16,  p.1, column (g), line 14.</t>
  </si>
  <si>
    <t>Gas Supply Revenue</t>
  </si>
  <si>
    <t>Own Use Gas (2)</t>
  </si>
  <si>
    <t>UFG (2)</t>
  </si>
  <si>
    <t>Compressor Fuel (2)</t>
  </si>
  <si>
    <t xml:space="preserve">Base Revenue </t>
  </si>
  <si>
    <t>(g)=(c)-sum(d:f)</t>
  </si>
  <si>
    <t>(k) = sum(g:j)</t>
  </si>
  <si>
    <t>(m) = (k - c)</t>
  </si>
  <si>
    <t>(n) = (l - b) / (b)</t>
  </si>
  <si>
    <t xml:space="preserve">Gas Supply Revenue </t>
  </si>
  <si>
    <t xml:space="preserve">        Load Balancing</t>
  </si>
  <si>
    <t xml:space="preserve">        First           1,000,000 m³</t>
  </si>
  <si>
    <t xml:space="preserve">        For all over  1,000,000 m³</t>
  </si>
  <si>
    <t xml:space="preserve">        First         8,450 m³</t>
  </si>
  <si>
    <t xml:space="preserve">            Next      112,720 m³</t>
  </si>
  <si>
    <t>Rate 401 (3)</t>
  </si>
  <si>
    <t>Non-Utility Cross Charge (3) (4)</t>
  </si>
  <si>
    <t>Total (5)</t>
  </si>
  <si>
    <t>EB-2022-0133 Application, June 30, 2022, Exhibit D, Tab 1, Appendix A for the EGD rate zone; and Exhibit D, Tab 2, Appendix A for the Union rate zone.</t>
  </si>
  <si>
    <t>Working Papers, Schedule 23, pg.1, columns (b), (c), (d), (g), (h), and (i).</t>
  </si>
  <si>
    <t>2024 gas cost deficiency can be found at Schedule 16, column (h), line 15.</t>
  </si>
  <si>
    <t>Total proposed revenue per Working Papers, Schedule 16,  p.1, column (h), line 14.</t>
  </si>
  <si>
    <t>2024 Adjusted Revenue Requirement and Revenue (Deficiency)/Sufficiency</t>
  </si>
  <si>
    <t>Per Working Papers, Schedule 12</t>
  </si>
  <si>
    <t>Adjustments</t>
  </si>
  <si>
    <t>2024 Adjusted</t>
  </si>
  <si>
    <t>Delivery</t>
  </si>
  <si>
    <t>Gas Costs</t>
  </si>
  <si>
    <t>(f) = (d + e)</t>
  </si>
  <si>
    <t>(g) = (a + d)</t>
  </si>
  <si>
    <t>(h) = (b + e)</t>
  </si>
  <si>
    <t>(i) = (g + h)</t>
  </si>
  <si>
    <t>Revenue at Existing Rates</t>
  </si>
  <si>
    <t>Gas Sales and Distribution</t>
  </si>
  <si>
    <t>Transportation</t>
  </si>
  <si>
    <t>(1)(2)</t>
  </si>
  <si>
    <t>Other Income</t>
  </si>
  <si>
    <t>Total Operating Revenue</t>
  </si>
  <si>
    <t>Revenue Requirement</t>
  </si>
  <si>
    <t>Cost of Gas</t>
  </si>
  <si>
    <t>Operation and Maintenance</t>
  </si>
  <si>
    <t>Depreciation and Amortization Expense</t>
  </si>
  <si>
    <t>Fixed Financing Costs</t>
  </si>
  <si>
    <t>Municipal and Other Taxes</t>
  </si>
  <si>
    <t>Total Operating Costs</t>
  </si>
  <si>
    <t>Cost of Capital</t>
  </si>
  <si>
    <t>Income Taxes</t>
  </si>
  <si>
    <t>Taxes on (Deficiency)/Sufficiency</t>
  </si>
  <si>
    <t>Total Revenue Requirement</t>
  </si>
  <si>
    <t>Gross (Deficiency)/Sufficiency</t>
  </si>
  <si>
    <t xml:space="preserve">Notes: </t>
  </si>
  <si>
    <t>Reclassify gas supply optimization revenue.</t>
  </si>
  <si>
    <t>PDCI cost reduction of $0.6 million resulting from update to PDCI unit rate</t>
  </si>
  <si>
    <t>Transportation revenue - deduct gas supply optimization revenue</t>
  </si>
  <si>
    <t>decrease from $0.173/GJ from $0.166/GJ applied to the 2024 forecast</t>
  </si>
  <si>
    <t>Other income - add gas supply optimization revenue</t>
  </si>
  <si>
    <t>PDCI volumes of 79 PJ.</t>
  </si>
  <si>
    <t>Reclassify community expansion SES/TCS and RNG station charge revenue.</t>
  </si>
  <si>
    <t>Gas sales and distribution revenue - deduct SES/TCS</t>
  </si>
  <si>
    <t>Transportation revenue - deduct RNG station charges</t>
  </si>
  <si>
    <t>Other income - add SES/TCS, RNG station charges</t>
  </si>
  <si>
    <t>Reclassify customer supplied fuel (CSF).</t>
  </si>
  <si>
    <t>Gas sales and distribution revenue - add CSF</t>
  </si>
  <si>
    <t>Transportation revenue - add CSF</t>
  </si>
  <si>
    <t>Cost of Gas - add CSF</t>
  </si>
  <si>
    <t>Derivation of 2024 Revenue Deficiency Proportional Impact</t>
  </si>
  <si>
    <t>Adjusted 2024 Revenue for Proportional Impact</t>
  </si>
  <si>
    <t>Revenue at Existing Rates (1)</t>
  </si>
  <si>
    <t>Other Revenue</t>
  </si>
  <si>
    <t>Total Revenue at Existing Rates</t>
  </si>
  <si>
    <t>Revenue Excluded</t>
  </si>
  <si>
    <t>Other Revenue (2)</t>
  </si>
  <si>
    <t>Rate M13/GPA Station Charges (3)</t>
  </si>
  <si>
    <t>Rate 401 Revenue (3)</t>
  </si>
  <si>
    <t>Ex-Franchise Short-Term Transportation (3)</t>
  </si>
  <si>
    <t>DSM (4)</t>
  </si>
  <si>
    <t>Gas Costs (4)</t>
  </si>
  <si>
    <t>Rate 145 and Rate 170 rate adjustment (5)</t>
  </si>
  <si>
    <t>Non-Utility Cross Charge (6)</t>
  </si>
  <si>
    <t>Total Revenue Excluded</t>
  </si>
  <si>
    <t>Total Adjusted 2024 Revenue for Proportional Impact</t>
  </si>
  <si>
    <t>Revenue Deficiency Proportional Impact</t>
  </si>
  <si>
    <t>2024 Revenue Deficiency (7)</t>
  </si>
  <si>
    <t>Revenue Deficiency Adjustments</t>
  </si>
  <si>
    <t>Total Revenue Deficiency Adjustments</t>
  </si>
  <si>
    <t>Remaining Revenue Deficiency</t>
  </si>
  <si>
    <t>Revenue Deficiency Proportional Impact (line 21 / line 14)</t>
  </si>
  <si>
    <t>Working Papers, Schedule 16, columns (g-i), lines 1-4.</t>
  </si>
  <si>
    <t>Line 3.</t>
  </si>
  <si>
    <t xml:space="preserve">Working Papers, Schedule 19, column (c), lines 366, 361, 330 and 358. Revenue based on service and/or negotiated charges not subject to proportional revenue deficiency impact. Rate M13/GPA station charges excluded per Settlement Proposal. </t>
  </si>
  <si>
    <t>2023 and 2024 base rate adjustments to remove current approved revenue for DSM and gas costs, as per Working Papers, Schedule 18, p. 1, columns (b-c) and p. 4 columns (b-c), line 40.</t>
  </si>
  <si>
    <t xml:space="preserve">Rate adjustment to adjust negative delivery blocked rates resulting from change in DSM costs. </t>
  </si>
  <si>
    <t>Update to non-utility cross charge revenue per Working Papers, Schedule 18, p. 1, line 39 and Working Papers, Schedule 25.</t>
  </si>
  <si>
    <t>Working Papers, Schedule 16, columns (g-i), line 15.</t>
  </si>
  <si>
    <t>Summary of Current vs. Proposed Revenue Change by Rate Class</t>
  </si>
  <si>
    <t>Revenue Change ($000s)</t>
  </si>
  <si>
    <t>Revenue Change (%)</t>
  </si>
  <si>
    <t>Base Rate</t>
  </si>
  <si>
    <t>Total Change</t>
  </si>
  <si>
    <t>Gas (4)</t>
  </si>
  <si>
    <t>UFG (5)</t>
  </si>
  <si>
    <t>Fuel (6)</t>
  </si>
  <si>
    <t>Deficiency (7)</t>
  </si>
  <si>
    <t>Adjustment (8)</t>
  </si>
  <si>
    <t>In Revenue</t>
  </si>
  <si>
    <t>Deficiency</t>
  </si>
  <si>
    <t xml:space="preserve"> DSM</t>
  </si>
  <si>
    <t xml:space="preserve">Storage </t>
  </si>
  <si>
    <t xml:space="preserve">Gas </t>
  </si>
  <si>
    <t xml:space="preserve">UFG </t>
  </si>
  <si>
    <t xml:space="preserve">Fuel </t>
  </si>
  <si>
    <t>Adjustment</t>
  </si>
  <si>
    <t>(i)=sum(b:h)</t>
  </si>
  <si>
    <t>(j) = (g / a)</t>
  </si>
  <si>
    <t>(k) = (b / a)</t>
  </si>
  <si>
    <t>(l) = (c / a)</t>
  </si>
  <si>
    <t>(m) = (d / a)</t>
  </si>
  <si>
    <t>(n) = (e / a)</t>
  </si>
  <si>
    <t>(o) = (f / a)</t>
  </si>
  <si>
    <t>(p) = (h / a)</t>
  </si>
  <si>
    <t>(q)=sum(j:p)</t>
  </si>
  <si>
    <t>P.1, column (a).</t>
  </si>
  <si>
    <t>P.1, columns (i) less (d).</t>
  </si>
  <si>
    <t xml:space="preserve">P.1, columns (j) less (c). </t>
  </si>
  <si>
    <t>P.1, columns (k) less (d).</t>
  </si>
  <si>
    <t>P.1, columns (l) less (e).</t>
  </si>
  <si>
    <t>P.1, columns (m) less (f).</t>
  </si>
  <si>
    <t xml:space="preserve">(7) </t>
  </si>
  <si>
    <t>P.1, column (h).</t>
  </si>
  <si>
    <t xml:space="preserve">(8) </t>
  </si>
  <si>
    <t>Working Papers, Schedule 19, p.21 and p.22, columns (d) less (c), line 90 and line 104.</t>
  </si>
  <si>
    <t>Summary of Proposed Rate Change by Rate Class - Phase 1 Decision</t>
  </si>
  <si>
    <t>Proposed Unit Rate Components</t>
  </si>
  <si>
    <t>Phase 1 Decision</t>
  </si>
  <si>
    <t>Change (2)</t>
  </si>
  <si>
    <t>Rates (3)</t>
  </si>
  <si>
    <t>Gas Cost</t>
  </si>
  <si>
    <t xml:space="preserve">(a) </t>
  </si>
  <si>
    <t xml:space="preserve">(b) = (c - a) </t>
  </si>
  <si>
    <t xml:space="preserve">(c) </t>
  </si>
  <si>
    <r>
      <t xml:space="preserve">   First      30 m</t>
    </r>
    <r>
      <rPr>
        <vertAlign val="superscript"/>
        <sz val="10"/>
        <rFont val="Arial"/>
        <family val="2"/>
      </rPr>
      <t>3</t>
    </r>
  </si>
  <si>
    <r>
      <t xml:space="preserve">   Next      55 m</t>
    </r>
    <r>
      <rPr>
        <vertAlign val="superscript"/>
        <sz val="10"/>
        <rFont val="Arial"/>
        <family val="2"/>
      </rPr>
      <t>3</t>
    </r>
  </si>
  <si>
    <r>
      <t xml:space="preserve">   Next      85 m</t>
    </r>
    <r>
      <rPr>
        <vertAlign val="superscript"/>
        <sz val="10"/>
        <rFont val="Arial"/>
        <family val="2"/>
      </rPr>
      <t>3</t>
    </r>
  </si>
  <si>
    <r>
      <t xml:space="preserve">   Over      170 m</t>
    </r>
    <r>
      <rPr>
        <vertAlign val="superscript"/>
        <sz val="10"/>
        <rFont val="Arial"/>
        <family val="2"/>
      </rPr>
      <t>3</t>
    </r>
  </si>
  <si>
    <t>Gas Supply Transportation Dawn Charge</t>
  </si>
  <si>
    <r>
      <t xml:space="preserve">   First     500 m</t>
    </r>
    <r>
      <rPr>
        <vertAlign val="superscript"/>
        <sz val="10"/>
        <rFont val="Arial"/>
        <family val="2"/>
      </rPr>
      <t>3</t>
    </r>
  </si>
  <si>
    <r>
      <t xml:space="preserve">   Next     1,050 m</t>
    </r>
    <r>
      <rPr>
        <vertAlign val="superscript"/>
        <sz val="10"/>
        <rFont val="Arial"/>
        <family val="2"/>
      </rPr>
      <t>3</t>
    </r>
  </si>
  <si>
    <r>
      <t xml:space="preserve">   Next     4,500 m</t>
    </r>
    <r>
      <rPr>
        <vertAlign val="superscript"/>
        <sz val="10"/>
        <rFont val="Arial"/>
        <family val="2"/>
      </rPr>
      <t>3</t>
    </r>
  </si>
  <si>
    <r>
      <t xml:space="preserve">   Next     7,000 m</t>
    </r>
    <r>
      <rPr>
        <vertAlign val="superscript"/>
        <sz val="10"/>
        <rFont val="Arial"/>
        <family val="2"/>
      </rPr>
      <t>3</t>
    </r>
  </si>
  <si>
    <r>
      <t xml:space="preserve">   Next     15,250 m</t>
    </r>
    <r>
      <rPr>
        <vertAlign val="superscript"/>
        <sz val="10"/>
        <rFont val="Arial"/>
        <family val="2"/>
      </rPr>
      <t>3</t>
    </r>
  </si>
  <si>
    <r>
      <t xml:space="preserve">   Over     28,300 m</t>
    </r>
    <r>
      <rPr>
        <vertAlign val="superscript"/>
        <sz val="10"/>
        <rFont val="Arial"/>
        <family val="2"/>
      </rPr>
      <t>3</t>
    </r>
  </si>
  <si>
    <t>Monthy Customer Charge</t>
  </si>
  <si>
    <r>
      <t xml:space="preserve">   First     14,000 m</t>
    </r>
    <r>
      <rPr>
        <vertAlign val="superscript"/>
        <sz val="10"/>
        <color theme="1"/>
        <rFont val="Arial"/>
        <family val="2"/>
      </rPr>
      <t>3</t>
    </r>
  </si>
  <si>
    <r>
      <t xml:space="preserve">   Next     28,000 m</t>
    </r>
    <r>
      <rPr>
        <vertAlign val="superscript"/>
        <sz val="10"/>
        <rFont val="Arial"/>
        <family val="2"/>
      </rPr>
      <t>3</t>
    </r>
  </si>
  <si>
    <r>
      <t xml:space="preserve">   Over     42,000 m</t>
    </r>
    <r>
      <rPr>
        <vertAlign val="superscript"/>
        <sz val="10"/>
        <rFont val="Arial"/>
        <family val="2"/>
      </rPr>
      <t>3</t>
    </r>
  </si>
  <si>
    <t>Summary of Proposed Rate Change by Rate Class - Phase 1 Decision (Continued)</t>
  </si>
  <si>
    <r>
      <t xml:space="preserve">   First     1,000,000 m</t>
    </r>
    <r>
      <rPr>
        <vertAlign val="superscript"/>
        <sz val="10"/>
        <color theme="1"/>
        <rFont val="Arial"/>
        <family val="2"/>
      </rPr>
      <t>3</t>
    </r>
  </si>
  <si>
    <r>
      <t xml:space="preserve">   Over     1,000,000 m</t>
    </r>
    <r>
      <rPr>
        <vertAlign val="superscript"/>
        <sz val="10"/>
        <rFont val="Arial"/>
        <family val="2"/>
      </rPr>
      <t>3</t>
    </r>
  </si>
  <si>
    <r>
      <t xml:space="preserve">   First     14,000  m</t>
    </r>
    <r>
      <rPr>
        <vertAlign val="superscript"/>
        <sz val="10"/>
        <color theme="1"/>
        <rFont val="Arial"/>
        <family val="2"/>
      </rPr>
      <t xml:space="preserve">3 </t>
    </r>
    <r>
      <rPr>
        <sz val="10"/>
        <color theme="1"/>
        <rFont val="Arial"/>
        <family val="2"/>
      </rPr>
      <t xml:space="preserve">             </t>
    </r>
  </si>
  <si>
    <r>
      <t xml:space="preserve">   First   1,000,000 m</t>
    </r>
    <r>
      <rPr>
        <vertAlign val="superscript"/>
        <sz val="10"/>
        <color theme="1"/>
        <rFont val="Arial"/>
        <family val="2"/>
      </rPr>
      <t>3</t>
    </r>
  </si>
  <si>
    <r>
      <t xml:space="preserve">   Over   1,000,000 m</t>
    </r>
    <r>
      <rPr>
        <vertAlign val="superscript"/>
        <sz val="10"/>
        <rFont val="Arial"/>
        <family val="2"/>
      </rPr>
      <t>3</t>
    </r>
  </si>
  <si>
    <t>Interruptible Service</t>
  </si>
  <si>
    <t>Minimum Delivery Charge</t>
  </si>
  <si>
    <t>cents/m³/mth</t>
  </si>
  <si>
    <t>Maximum Delivery Charge</t>
  </si>
  <si>
    <t>Rate 315</t>
  </si>
  <si>
    <t>Space Demand Charge</t>
  </si>
  <si>
    <t>Deliverability Demand Charge</t>
  </si>
  <si>
    <t>Injection &amp; Withdrawal Charge</t>
  </si>
  <si>
    <t>Rate 316</t>
  </si>
  <si>
    <t>Rate 320</t>
  </si>
  <si>
    <t>Backstop</t>
  </si>
  <si>
    <t xml:space="preserve">   All Gas Sold  </t>
  </si>
  <si>
    <r>
      <t xml:space="preserve">   First      100 m</t>
    </r>
    <r>
      <rPr>
        <vertAlign val="superscript"/>
        <sz val="10"/>
        <color theme="1"/>
        <rFont val="Arial"/>
        <family val="2"/>
      </rPr>
      <t>3</t>
    </r>
  </si>
  <si>
    <r>
      <t xml:space="preserve">   Next      200 m</t>
    </r>
    <r>
      <rPr>
        <vertAlign val="superscript"/>
        <sz val="10"/>
        <rFont val="Arial"/>
        <family val="2"/>
      </rPr>
      <t>3</t>
    </r>
  </si>
  <si>
    <r>
      <t xml:space="preserve">   Next      500 m</t>
    </r>
    <r>
      <rPr>
        <vertAlign val="superscript"/>
        <sz val="10"/>
        <rFont val="Arial"/>
        <family val="2"/>
      </rPr>
      <t>3</t>
    </r>
  </si>
  <si>
    <r>
      <t xml:space="preserve">   Over      1,000 m</t>
    </r>
    <r>
      <rPr>
        <vertAlign val="superscript"/>
        <sz val="10"/>
        <rFont val="Arial"/>
        <family val="2"/>
      </rPr>
      <t>3</t>
    </r>
  </si>
  <si>
    <r>
      <t xml:space="preserve">   First      1,000 m</t>
    </r>
    <r>
      <rPr>
        <vertAlign val="superscript"/>
        <sz val="10"/>
        <color theme="1"/>
        <rFont val="Arial"/>
        <family val="2"/>
      </rPr>
      <t>3</t>
    </r>
  </si>
  <si>
    <r>
      <t xml:space="preserve">   Next      9,000 m</t>
    </r>
    <r>
      <rPr>
        <vertAlign val="superscript"/>
        <sz val="10"/>
        <rFont val="Arial"/>
        <family val="2"/>
      </rPr>
      <t>3</t>
    </r>
  </si>
  <si>
    <r>
      <t xml:space="preserve">   Next      20,000 m</t>
    </r>
    <r>
      <rPr>
        <vertAlign val="superscript"/>
        <sz val="10"/>
        <rFont val="Arial"/>
        <family val="2"/>
      </rPr>
      <t>3</t>
    </r>
  </si>
  <si>
    <r>
      <t xml:space="preserve">   Next      70,000 m</t>
    </r>
    <r>
      <rPr>
        <vertAlign val="superscript"/>
        <sz val="10"/>
        <rFont val="Arial"/>
        <family val="2"/>
      </rPr>
      <t>3</t>
    </r>
  </si>
  <si>
    <r>
      <t xml:space="preserve">   Over      100,000 m</t>
    </r>
    <r>
      <rPr>
        <vertAlign val="superscript"/>
        <sz val="10"/>
        <rFont val="Arial"/>
        <family val="2"/>
      </rPr>
      <t>3</t>
    </r>
  </si>
  <si>
    <r>
      <t xml:space="preserve">   First        70,000 m</t>
    </r>
    <r>
      <rPr>
        <vertAlign val="superscript"/>
        <sz val="10"/>
        <color theme="1"/>
        <rFont val="Arial"/>
        <family val="2"/>
      </rPr>
      <t>3</t>
    </r>
    <r>
      <rPr>
        <sz val="10"/>
        <color theme="1"/>
        <rFont val="Arial"/>
        <family val="2"/>
      </rPr>
      <t xml:space="preserve">     </t>
    </r>
  </si>
  <si>
    <r>
      <t xml:space="preserve">   All over    70,000 m</t>
    </r>
    <r>
      <rPr>
        <vertAlign val="superscript"/>
        <sz val="10"/>
        <rFont val="Arial"/>
        <family val="2"/>
      </rPr>
      <t>3</t>
    </r>
  </si>
  <si>
    <r>
      <t xml:space="preserve">   First       852,000 m</t>
    </r>
    <r>
      <rPr>
        <vertAlign val="superscript"/>
        <sz val="10"/>
        <color theme="1"/>
        <rFont val="Arial"/>
        <family val="2"/>
      </rPr>
      <t>3</t>
    </r>
  </si>
  <si>
    <r>
      <t xml:space="preserve">   All over   852,000 m</t>
    </r>
    <r>
      <rPr>
        <vertAlign val="superscript"/>
        <sz val="10"/>
        <rFont val="Arial"/>
        <family val="2"/>
      </rPr>
      <t>3</t>
    </r>
  </si>
  <si>
    <t xml:space="preserve">Commodity Transportation 1 </t>
  </si>
  <si>
    <t xml:space="preserve">Commodity Transportation 2  </t>
  </si>
  <si>
    <t>Delivery Charge - Commodity (maximum)</t>
  </si>
  <si>
    <t>Gas Supply Charge - All Union North Rate Zones</t>
  </si>
  <si>
    <t xml:space="preserve">       Minimum</t>
  </si>
  <si>
    <t xml:space="preserve">       Maximum</t>
  </si>
  <si>
    <t xml:space="preserve">Commodity Transportation 1  </t>
  </si>
  <si>
    <t xml:space="preserve">Commodity Transportation 2   </t>
  </si>
  <si>
    <t>Bundled (T-Service) Storage Service</t>
  </si>
  <si>
    <r>
      <t xml:space="preserve">   First        100 m</t>
    </r>
    <r>
      <rPr>
        <vertAlign val="superscript"/>
        <sz val="10"/>
        <color theme="1"/>
        <rFont val="Arial"/>
        <family val="2"/>
      </rPr>
      <t>3</t>
    </r>
  </si>
  <si>
    <r>
      <t xml:space="preserve">   Next        150 m</t>
    </r>
    <r>
      <rPr>
        <vertAlign val="superscript"/>
        <sz val="10"/>
        <rFont val="Arial"/>
        <family val="2"/>
      </rPr>
      <t>3</t>
    </r>
  </si>
  <si>
    <r>
      <t xml:space="preserve">   All over     250 m</t>
    </r>
    <r>
      <rPr>
        <vertAlign val="superscript"/>
        <sz val="10"/>
        <rFont val="Arial"/>
        <family val="2"/>
      </rPr>
      <t>3</t>
    </r>
  </si>
  <si>
    <r>
      <t xml:space="preserve">   First         1,000 m</t>
    </r>
    <r>
      <rPr>
        <vertAlign val="superscript"/>
        <sz val="10"/>
        <color theme="1"/>
        <rFont val="Arial"/>
        <family val="2"/>
      </rPr>
      <t>3</t>
    </r>
  </si>
  <si>
    <r>
      <t xml:space="preserve">   Next         6,000 m</t>
    </r>
    <r>
      <rPr>
        <vertAlign val="superscript"/>
        <sz val="10"/>
        <rFont val="Arial"/>
        <family val="2"/>
      </rPr>
      <t>3</t>
    </r>
  </si>
  <si>
    <r>
      <t xml:space="preserve">   Next         13,000 m</t>
    </r>
    <r>
      <rPr>
        <vertAlign val="superscript"/>
        <sz val="10"/>
        <rFont val="Arial"/>
        <family val="2"/>
      </rPr>
      <t>3</t>
    </r>
  </si>
  <si>
    <r>
      <t xml:space="preserve">   All over     20,000 m</t>
    </r>
    <r>
      <rPr>
        <vertAlign val="superscript"/>
        <sz val="10"/>
        <rFont val="Arial"/>
        <family val="2"/>
      </rPr>
      <t>3</t>
    </r>
  </si>
  <si>
    <r>
      <t xml:space="preserve">   First          8,450 m</t>
    </r>
    <r>
      <rPr>
        <vertAlign val="superscript"/>
        <sz val="10"/>
        <rFont val="Arial"/>
        <family val="2"/>
      </rPr>
      <t>3</t>
    </r>
  </si>
  <si>
    <r>
      <t xml:space="preserve">   Next         19,700 m</t>
    </r>
    <r>
      <rPr>
        <vertAlign val="superscript"/>
        <sz val="10"/>
        <rFont val="Arial"/>
        <family val="2"/>
      </rPr>
      <t>3</t>
    </r>
  </si>
  <si>
    <r>
      <t xml:space="preserve">   All over     28,150 m</t>
    </r>
    <r>
      <rPr>
        <vertAlign val="superscript"/>
        <sz val="10"/>
        <rFont val="Arial"/>
        <family val="2"/>
      </rPr>
      <t>3</t>
    </r>
  </si>
  <si>
    <t xml:space="preserve">   First Block</t>
  </si>
  <si>
    <t xml:space="preserve">   All remaining use</t>
  </si>
  <si>
    <t>Delivery Commodity Charge (Avg Price)</t>
  </si>
  <si>
    <t xml:space="preserve"> Firm Contracts</t>
  </si>
  <si>
    <t>Commodity:</t>
  </si>
  <si>
    <t>Storage Fuel Ratio - CSF</t>
  </si>
  <si>
    <t>%</t>
  </si>
  <si>
    <t xml:space="preserve">Transportation </t>
  </si>
  <si>
    <t>Demand</t>
  </si>
  <si>
    <t>First          28,150 m³</t>
  </si>
  <si>
    <t>Next         112,720 m³</t>
  </si>
  <si>
    <t>Firm Volumes - Customer Provides</t>
  </si>
  <si>
    <t>Interruptible Volumes - Customer Provides</t>
  </si>
  <si>
    <t>Monthly Charges</t>
  </si>
  <si>
    <t>Transportation Fuel Ratio - CSF</t>
  </si>
  <si>
    <t xml:space="preserve"> Storage</t>
  </si>
  <si>
    <t>Commodity - Customer Provides</t>
  </si>
  <si>
    <t>Monthly Demand Charge - Firm</t>
  </si>
  <si>
    <t>Commodity Charge - Interruptible</t>
  </si>
  <si>
    <t>Monthly Demand Charge</t>
  </si>
  <si>
    <t>Authorized Overrun</t>
  </si>
  <si>
    <t>Rate M12</t>
  </si>
  <si>
    <t xml:space="preserve">Dawn to Parkway  </t>
  </si>
  <si>
    <t>Dawn to Kirkwall</t>
  </si>
  <si>
    <t>Kirkwall to Parkway</t>
  </si>
  <si>
    <t>M12-X - Dawn, Kirkwall and Parkway</t>
  </si>
  <si>
    <t>F24-T</t>
  </si>
  <si>
    <t>Commodity Charges:</t>
  </si>
  <si>
    <t xml:space="preserve">   Easterly</t>
  </si>
  <si>
    <t>Note</t>
  </si>
  <si>
    <t xml:space="preserve">   Westerly</t>
  </si>
  <si>
    <t xml:space="preserve"> Limited Firm/Interruptible</t>
  </si>
  <si>
    <t xml:space="preserve"> Monthly Demand Charges - Maximum</t>
  </si>
  <si>
    <t xml:space="preserve"> Authorized Overrun - Shipper Supplied Fuel</t>
  </si>
  <si>
    <t>Transportation Commodity Charges</t>
  </si>
  <si>
    <t>Monthly Fixed Charge per Customer Station</t>
  </si>
  <si>
    <t>Transmission Commodity Charge to Dawn</t>
  </si>
  <si>
    <t>Commodity Charge - Utility Supplied Fuel</t>
  </si>
  <si>
    <t>Commodity Charge - Shipper Supplied Fuel</t>
  </si>
  <si>
    <t>Authorized Overrun - Utility Supplied Fuel</t>
  </si>
  <si>
    <t>Authorized Overrun - Shipper supplied fuel</t>
  </si>
  <si>
    <t>Monthly Fixed Charge</t>
  </si>
  <si>
    <t>East of Dawn</t>
  </si>
  <si>
    <t>West of Dawn</t>
  </si>
  <si>
    <t>Transportation Fuel Charges to Dawn:</t>
  </si>
  <si>
    <t>East of Dawn - Utility Supplied Fuel</t>
  </si>
  <si>
    <t>West of Dawn - Utility Supplied Fuel</t>
  </si>
  <si>
    <t>East of Dawn - Shipper supplied fuel</t>
  </si>
  <si>
    <t>West of Dawn - Shipper supplied fuel</t>
  </si>
  <si>
    <t>Transportation Fuel Charges to Pools:</t>
  </si>
  <si>
    <t>Firm Transportation</t>
  </si>
  <si>
    <t>Dawn to Delivery Area</t>
  </si>
  <si>
    <t>Kirkwall to Delivery Area or Dawn</t>
  </si>
  <si>
    <t>Parkway (TCPL) to Delivery Area or Dawn</t>
  </si>
  <si>
    <t>Commodity Charges</t>
  </si>
  <si>
    <t xml:space="preserve">    Dawn to Delivery Area (Nov. 1 - Mar. 31)</t>
  </si>
  <si>
    <t xml:space="preserve">    Dawn to Delivery Area (Apr. 1 - Oct. 31)</t>
  </si>
  <si>
    <t xml:space="preserve">    Kirkwall to Delivery Area or Dawn (Nov. 1 - Mar. 31)</t>
  </si>
  <si>
    <t xml:space="preserve">    Kirkwall to Delivery Area or Dawn (Apr. 1 - Oct. 31)</t>
  </si>
  <si>
    <t xml:space="preserve">    Parkway (TCPL) to Delivery Area or Dawn (Nov. 1 - Mar. 31)</t>
  </si>
  <si>
    <t xml:space="preserve">    Parkway (TCPL) to Delivery Area or Dawn (Apr. 1 - Oct. 31)</t>
  </si>
  <si>
    <t>Transmission Commodity Charges</t>
  </si>
  <si>
    <t>Dawn to Delivery Area (Nov. 1 - Mar. 31)</t>
  </si>
  <si>
    <t>Dawn to Delivery Area (Apr. 1 - Oct. 31)</t>
  </si>
  <si>
    <t>Kirkwall to Delivery Area or Dawn (Nov. 1 - Mar. 31)</t>
  </si>
  <si>
    <t>Kirkwall to Delivery Area or Dawn (Apr. 1 - Oct. 31)</t>
  </si>
  <si>
    <t>Parkway (TCPL) to Delivery Area or Dawn (Nov. 1 - Mar. 31)</t>
  </si>
  <si>
    <t>Parkway (TCPL) to Delivery Area or Dawn (Apr. 1 - Oct. 31)</t>
  </si>
  <si>
    <t>Dawn to Parkway</t>
  </si>
  <si>
    <t>Parkway to Dawn</t>
  </si>
  <si>
    <t>Parkway to Kirkwall</t>
  </si>
  <si>
    <t>Kirkwall to Dawn</t>
  </si>
  <si>
    <t>Between St. Clair / Bluewater / Ojibway &amp; Dawn</t>
  </si>
  <si>
    <t>Dawn to Dawn-Vector</t>
  </si>
  <si>
    <t>Dawn to Dawn-TCPL</t>
  </si>
  <si>
    <t xml:space="preserve">Dawn to Kirkwall </t>
  </si>
  <si>
    <t xml:space="preserve">Kirkwall to Dawn </t>
  </si>
  <si>
    <t>Parkway to Kirkwall / Dawn</t>
  </si>
  <si>
    <t>Proposed rate change for Phase 1 Decision, as per Appendix A, column (b).</t>
  </si>
  <si>
    <t>Proposed rates based on April 2022 QRAM prior to April 2024 QRAM Update. Total 2024 proposed rates are provided at Appendix A, column (e).</t>
  </si>
  <si>
    <t>Monthly fuel rates and fuel and comodity ratios per Rate M12 Schedule B.</t>
  </si>
  <si>
    <t>Plus shipper supplied fuel per rate schedule.</t>
  </si>
  <si>
    <t>Calculation of Supplemental Service Charges</t>
  </si>
  <si>
    <t>Gas Supply Administration Charge</t>
  </si>
  <si>
    <t>EB-2022-0133 Gas Supply Admin Charge (1)</t>
  </si>
  <si>
    <r>
      <t>Forecast Sales Volumes (10</t>
    </r>
    <r>
      <rPr>
        <vertAlign val="superscript"/>
        <sz val="10"/>
        <rFont val="Arial"/>
        <family val="2"/>
      </rPr>
      <t>3</t>
    </r>
    <r>
      <rPr>
        <sz val="10"/>
        <rFont val="Arial"/>
        <family val="2"/>
      </rPr>
      <t>m</t>
    </r>
    <r>
      <rPr>
        <vertAlign val="superscript"/>
        <sz val="10"/>
        <rFont val="Arial"/>
        <family val="2"/>
      </rPr>
      <t>3</t>
    </r>
    <r>
      <rPr>
        <sz val="10"/>
        <rFont val="Arial"/>
        <family val="2"/>
      </rPr>
      <t>) (2)</t>
    </r>
  </si>
  <si>
    <t>EB-2022-0133 Gas Supply Administration Costs at 2024 Forecast</t>
  </si>
  <si>
    <t>Deficiency Escalation (%) (3)</t>
  </si>
  <si>
    <t>2024 Gas Supply Admin Costs</t>
  </si>
  <si>
    <t>Gas Supply Admin Charge Unit Rate (line 5 / line 2 x 100)</t>
  </si>
  <si>
    <t>Semi-Unbundled Transportation Fuel Ratios</t>
  </si>
  <si>
    <t>Rate 125 Transportation Fuel Ratio</t>
  </si>
  <si>
    <t>EB-2022-0133 Transportation Fuel Ratio</t>
  </si>
  <si>
    <t>2024 UFG Change (4)</t>
  </si>
  <si>
    <t>2024 Rate 125 Transportation Fuel Ratio</t>
  </si>
  <si>
    <t xml:space="preserve">                                                                                                                                                                                                                                                                                                                                                                                                                                                                                                                                                                                                                                                                                                                                                                                                                                                                                                                                                                                                                                                                                                                                                                                                                                                                                                                                                                                                                                                                                                                                                                                                                                                                                                                                                                                                                                                                                                                                                                                                                                                                                                                                                                                                                                                                                                                                                                                                                                                                                                                                                                                                                                                                                                                                                                                                                                                                                                                                                                                                                                                                                                                                                                                                                                                                                                                                                                                                                                                                                                                                                                                                                                                                                                                                                                                                                                                                                                                                                                                                                                                                                                                                                                                                                                                                                                                                                                                                                                                                                                                                                                                                                                                                                                                       </t>
  </si>
  <si>
    <t>Rate T1 Transportation Fuel Ratio</t>
  </si>
  <si>
    <t>2024 CSF and Own Use Change (5)</t>
  </si>
  <si>
    <t>2024 Rate T1 Transportation Fuel Ratio</t>
  </si>
  <si>
    <t>Rate T2 Transportation Fuel Ratio</t>
  </si>
  <si>
    <t>2024 Rate T2 Transportation Fuel Ratio</t>
  </si>
  <si>
    <t>Rate T3 Transportation Fuel Ratio</t>
  </si>
  <si>
    <t>2024 Rate T3 Transportation Fuel Ratio</t>
  </si>
  <si>
    <t>Rate 315 and Rate 316 Storage Fuel Ratio</t>
  </si>
  <si>
    <t>EB-2022-0133 Fuel Ratio</t>
  </si>
  <si>
    <t>2024 CSF Change (5)</t>
  </si>
  <si>
    <t>2024 Rate 315 and Rate 316 Storage Fuel Ratio</t>
  </si>
  <si>
    <t>T1, T2 and T3 Storage Fuel Ratio</t>
  </si>
  <si>
    <t>2024 T1, T2 and T3 Storage Fuel Ratio</t>
  </si>
  <si>
    <t>Calculation of Supplemental Service Charges (Continued)</t>
  </si>
  <si>
    <t>Minimum Bill Charges</t>
  </si>
  <si>
    <t>Variable Rate for EGD Minimum Bill Charges</t>
  </si>
  <si>
    <t xml:space="preserve"> UFG Volume 103m3</t>
  </si>
  <si>
    <r>
      <t>April 1, 2024 Weighted Average Reference Price ($/10</t>
    </r>
    <r>
      <rPr>
        <vertAlign val="superscript"/>
        <sz val="10"/>
        <rFont val="Arial"/>
        <family val="2"/>
      </rPr>
      <t>3</t>
    </r>
    <r>
      <rPr>
        <sz val="10"/>
        <rFont val="Arial"/>
        <family val="2"/>
      </rPr>
      <t>m</t>
    </r>
    <r>
      <rPr>
        <vertAlign val="superscript"/>
        <sz val="10"/>
        <rFont val="Arial"/>
        <family val="2"/>
      </rPr>
      <t>3</t>
    </r>
    <r>
      <rPr>
        <sz val="10"/>
        <rFont val="Arial"/>
        <family val="2"/>
      </rPr>
      <t>)</t>
    </r>
  </si>
  <si>
    <t xml:space="preserve">       2024 UFG Costs ($000s)</t>
  </si>
  <si>
    <r>
      <t xml:space="preserve">       2024 Delivery Volumes 10</t>
    </r>
    <r>
      <rPr>
        <vertAlign val="superscript"/>
        <sz val="10"/>
        <rFont val="Arial"/>
        <family val="2"/>
      </rPr>
      <t>3</t>
    </r>
    <r>
      <rPr>
        <sz val="10"/>
        <rFont val="Arial"/>
        <family val="2"/>
      </rPr>
      <t>m</t>
    </r>
    <r>
      <rPr>
        <vertAlign val="superscript"/>
        <sz val="10"/>
        <rFont val="Arial"/>
        <family val="2"/>
      </rPr>
      <t>3</t>
    </r>
  </si>
  <si>
    <r>
      <t>Distribution Loss Unit Rate cents/m</t>
    </r>
    <r>
      <rPr>
        <sz val="9"/>
        <rFont val="Arial"/>
        <family val="2"/>
      </rPr>
      <t>3</t>
    </r>
    <r>
      <rPr>
        <sz val="10"/>
        <rFont val="Arial"/>
        <family val="2"/>
      </rPr>
      <t xml:space="preserve"> (line 31 / line 32 x 100) </t>
    </r>
  </si>
  <si>
    <t>Rate 110 Minimum Bill Charge</t>
  </si>
  <si>
    <t>Delivery Commodity Charge (Tier 1)</t>
  </si>
  <si>
    <t>Gas Supply Transportation Charge + Gas Supply Load Balancing Charge</t>
  </si>
  <si>
    <t>Less: Distribution Loss Unit Rate (line 33)</t>
  </si>
  <si>
    <t>Rate 115 Minimum Bill Charge</t>
  </si>
  <si>
    <t>Rate 135 Minimum Bill Charge</t>
  </si>
  <si>
    <t>Delivery Commodity Charge (Average Tier 1)</t>
  </si>
  <si>
    <t>Rate 145 Minimum Bill Charge</t>
  </si>
  <si>
    <t>Rate 170 Minimum Bill Charge</t>
  </si>
  <si>
    <t>Rate 200 Minimum Bill Charge</t>
  </si>
  <si>
    <t>Delivery Commodity Charge</t>
  </si>
  <si>
    <t>Minimum Bill Charges (Continued)</t>
  </si>
  <si>
    <t>Rate M4 Firm Minimum Annual Delivery Commodity Charge</t>
  </si>
  <si>
    <t>Gas Supply Admin Charge (line 6)</t>
  </si>
  <si>
    <t>Minimum Annual Delivery Commodity Charge</t>
  </si>
  <si>
    <t>M4/M5 Interruptible Minimum Annual Delivery Commodity Charge</t>
  </si>
  <si>
    <t>Rate M5 Interruptible Delivery Commodity Charge (average)</t>
  </si>
  <si>
    <t>Maximum Charges</t>
  </si>
  <si>
    <t>Rate 25 Interruptible</t>
  </si>
  <si>
    <t>Average Rate 10 Delivery Charge</t>
  </si>
  <si>
    <t>Percent of Average Rate 10 Delivery Charge</t>
  </si>
  <si>
    <t>Rate 25 Maximum Interruptible Delivery Commodity Charge (line 64 x line 65)</t>
  </si>
  <si>
    <t>Recalculate at each RO during IR</t>
  </si>
  <si>
    <t>Rate M7 Interruptible</t>
  </si>
  <si>
    <t>Firm Volume</t>
  </si>
  <si>
    <t>Firm Demand Commoditized at 22.86%</t>
  </si>
  <si>
    <t>Firm Demand</t>
  </si>
  <si>
    <t>Firm Delivery Commodity Charge</t>
  </si>
  <si>
    <t>Load Factor</t>
  </si>
  <si>
    <t>Rate M7 Maximum Interruptible Charge</t>
  </si>
  <si>
    <t>70% of Load Factor</t>
  </si>
  <si>
    <t>Rate M7 Seasonal</t>
  </si>
  <si>
    <t>Current Approved Maximum</t>
  </si>
  <si>
    <t>Rate M7 Interruptible/Seasonal Average Rate Change</t>
  </si>
  <si>
    <t>Rate M7 Maximum Seasonal Charge</t>
  </si>
  <si>
    <t>Rate T1 Interruptible</t>
  </si>
  <si>
    <t>Equal to Rate M7 Maximum Interruptible Charge (line 69)</t>
  </si>
  <si>
    <t>Rate T1 Maximum Interruptible Charge</t>
  </si>
  <si>
    <t>Rate T2 Interruptible</t>
  </si>
  <si>
    <t>Rate T2 Maximum Interruptible Charge</t>
  </si>
  <si>
    <t>Authorized Overrun Charges</t>
  </si>
  <si>
    <t>Rate 125 Authorized Overrun Charge</t>
  </si>
  <si>
    <t>Delivery Demand Charge - Commoditized at 100% Load Factor (7)</t>
  </si>
  <si>
    <t>Rate 135 - Seasonal Overrun Charges</t>
  </si>
  <si>
    <t>December and March</t>
  </si>
  <si>
    <t xml:space="preserve">Winter Delivery Commodity Charge (Tier 1) + </t>
  </si>
  <si>
    <t>Gas Supply Western Transportation Charge x 2</t>
  </si>
  <si>
    <t>January and February</t>
  </si>
  <si>
    <t>Gas Supply Western Transportation Charge x 5</t>
  </si>
  <si>
    <t>R20/100 Authorized Storage Overrun</t>
  </si>
  <si>
    <t>Storage Demand Charge - Commoditized at 100% Load Factor (7)</t>
  </si>
  <si>
    <t>Storage Commodity Charge</t>
  </si>
  <si>
    <t>R20/100 Authorized Storage Overrun Charge ($/GJ)</t>
  </si>
  <si>
    <t>Rate M4 Firm Authorized Overrun Charge</t>
  </si>
  <si>
    <t>Firm Demand Charge (Tier 1) - Commoditized at 100% Load Factor (7)</t>
  </si>
  <si>
    <t>Firm Delivery Commodity Charge (Tier 1)</t>
  </si>
  <si>
    <t>Rate M4 Authorized Overrun Charge</t>
  </si>
  <si>
    <t>Rate M9 Authorized Overrun Charge</t>
  </si>
  <si>
    <t>Rate T1/T2/T3 Authorized Injection/Withdrawal Storage Overrun Charge</t>
  </si>
  <si>
    <t>Injection/Withdrawal Demand Charge, Commoditized at 100% Load Factor (7)</t>
  </si>
  <si>
    <t>Rate T1/T2/T3 Authorized Injection/Withdrawal Overrun Charge ($/GJ)</t>
  </si>
  <si>
    <t>Rate T1 Firm Authorized Transportation Overrun Charge</t>
  </si>
  <si>
    <t>Transportation Demand Charge (Tier 1) - Commoditized at 100% Load Factor (7)</t>
  </si>
  <si>
    <t>Transportation Commodity Charge</t>
  </si>
  <si>
    <t>Rate T2 Firm Authorized Transportation Overrun Charge</t>
  </si>
  <si>
    <t>Rate T3 Firm Authorized Transportation Overrun Charge</t>
  </si>
  <si>
    <t>Transportation Demand Charge - Commoditized at 100% Load Factor (7)</t>
  </si>
  <si>
    <t>Unauthorized Overrun Charges</t>
  </si>
  <si>
    <t>Rates M4, M5, M7 Unauthorized Delivery Overrun</t>
  </si>
  <si>
    <t xml:space="preserve">Rate M1 Delivery Charge (Tier 1) + Storage Charge </t>
  </si>
  <si>
    <t>Rates T1, T2 Unauthorized Injections/Withdrawals</t>
  </si>
  <si>
    <t>Heat Value Conversion (GJ/10³m³)</t>
  </si>
  <si>
    <t>Rate T3 Unauthorized Injections/Withdrawals</t>
  </si>
  <si>
    <r>
      <t>Historical Rate (cents/m</t>
    </r>
    <r>
      <rPr>
        <vertAlign val="superscript"/>
        <sz val="10"/>
        <rFont val="Arial"/>
        <family val="2"/>
      </rPr>
      <t>3</t>
    </r>
    <r>
      <rPr>
        <sz val="10"/>
        <rFont val="Arial"/>
        <family val="2"/>
      </rPr>
      <t>)</t>
    </r>
  </si>
  <si>
    <t>Unauthorized Overrun Non-Compliance</t>
  </si>
  <si>
    <t>Historical Rate ($/GJ)</t>
  </si>
  <si>
    <t xml:space="preserve">Rate T1, Rate T2 &amp; Rate T3 Annual Firm Injection/Withdrawal Right </t>
  </si>
  <si>
    <t>Customer provides deliverability Inventory Rate</t>
  </si>
  <si>
    <t>Inventory Carrying Costs</t>
  </si>
  <si>
    <t>Space</t>
  </si>
  <si>
    <t>Inventory Percentage</t>
  </si>
  <si>
    <t>Dawn Price as per EB-2024-0093 at the Harmonized Reference Price</t>
  </si>
  <si>
    <t>ICC %</t>
  </si>
  <si>
    <t>Deliverability Demand Allocation Units</t>
  </si>
  <si>
    <t>Utility provides deliverability Inventory as per EB-2024-0093 (line 113 + line 121)</t>
  </si>
  <si>
    <r>
      <t>cents/m</t>
    </r>
    <r>
      <rPr>
        <vertAlign val="superscript"/>
        <sz val="10"/>
        <rFont val="Arial"/>
        <family val="2"/>
      </rPr>
      <t>3</t>
    </r>
  </si>
  <si>
    <t>Commissioning and Decommissioning Charges</t>
  </si>
  <si>
    <t>Union</t>
  </si>
  <si>
    <t>Rate 20 - at 50% Load Factor</t>
  </si>
  <si>
    <t>Delivery Commissioning and Decommissioning Charge</t>
  </si>
  <si>
    <t>Delivery Demand Charge (Tier 1) - Commoditized at 50% Load Factor</t>
  </si>
  <si>
    <t>Gas Supply Commissioning and Decommissioning Charge</t>
  </si>
  <si>
    <t>Gas Supply Demand Charge - Commoditized at 50% Load Factor</t>
  </si>
  <si>
    <t>Gas Supply Transportation - Gas Cost Adjustment</t>
  </si>
  <si>
    <t>Line 127 + Line 128 x (4/5)</t>
  </si>
  <si>
    <t>Gas Supply Commissioning and Decommissioning Charge (Line 126 + Line 129)</t>
  </si>
  <si>
    <t>Total Rate 20 Commissioning and Decommissioning Charge (Line 125 + Line 130)</t>
  </si>
  <si>
    <t>Rate 100 - at 70% Load Factor</t>
  </si>
  <si>
    <t>Delivery Demand Charge - Commoditized at 70% Load Factor</t>
  </si>
  <si>
    <t>Gas Supply Demand Charge - Commoditized at 70% Load Factor</t>
  </si>
  <si>
    <t>Line 135 + Line 136 x (3/7)</t>
  </si>
  <si>
    <t>Gas Supply Commissioning and Decommissioning Charge (line 135 + line 137)</t>
  </si>
  <si>
    <t>Total Rate 100 Commissioning and Decommissioning Charge (Line 134 + Line 138)</t>
  </si>
  <si>
    <t>Rate M7 - at 32.66% Load Factor</t>
  </si>
  <si>
    <t>Delivery Demand Charge - Commoditized at 32.66% Load Factor</t>
  </si>
  <si>
    <t>Rate M7 Delivery Commissioning and Decommissioning Charge</t>
  </si>
  <si>
    <t>Union Rate Zones IFT and EFT Charges ($/GJ)</t>
  </si>
  <si>
    <t>From: South BT  To: South BT / T1 / T2 / T3; or</t>
  </si>
  <si>
    <t>From: North West BT  To: North West BT; or</t>
  </si>
  <si>
    <t>From: North East BT  To: South BT / T1 / T2 / T3 / North East BT / North West BT; or</t>
  </si>
  <si>
    <t>From: South BT  To: North East BT or North West BT; or</t>
  </si>
  <si>
    <t>From: South BT To: Ex-Franchise; or</t>
  </si>
  <si>
    <t>From: North East BT To: Ex-Franchise</t>
  </si>
  <si>
    <t>Rate T1/T2/T3 Storage Withdrawal Fuel Ratio</t>
  </si>
  <si>
    <t>Weighted Average Reference Price ($/GJ) (6)</t>
  </si>
  <si>
    <t>From: North West BT  To: South BT / T1 / T2 / T3 / North East BT</t>
  </si>
  <si>
    <t>Empress-Union Parkway Belt 100% LF Toll</t>
  </si>
  <si>
    <t>From: North West BT To: Ex-Franchise</t>
  </si>
  <si>
    <t>Storage Withdrawal Charge (line 151 x line 152)</t>
  </si>
  <si>
    <t>Rate M12 Parkway to Dawn Fuel Ratio (7)</t>
  </si>
  <si>
    <t>Parkway to Dawn Commodity (line 154 x line 155)</t>
  </si>
  <si>
    <t>Empress to Union Parkway Belt - Commoditized at 100% Load Factor (7)</t>
  </si>
  <si>
    <t>Total (line 153 + line 156 + line 157)</t>
  </si>
  <si>
    <t>Failure to Deliver</t>
  </si>
  <si>
    <t>Rate M1 Delivery Commodity Charge (Tier 1) and Storage Rate</t>
  </si>
  <si>
    <t>Rate M1 Facility Carbon Charge</t>
  </si>
  <si>
    <t>Failure to Deliver Adjustment</t>
  </si>
  <si>
    <r>
      <t>Failure to Deliver Charge (cents/m</t>
    </r>
    <r>
      <rPr>
        <vertAlign val="superscript"/>
        <sz val="10"/>
        <rFont val="Arial"/>
        <family val="2"/>
      </rPr>
      <t>3</t>
    </r>
    <r>
      <rPr>
        <sz val="10"/>
        <rFont val="Arial"/>
        <family val="2"/>
      </rPr>
      <t>)</t>
    </r>
  </si>
  <si>
    <t>Parkway Delivery Commitment Incentive ("PDCI") (12)</t>
  </si>
  <si>
    <t>Rate M12 Dawn to Parkway Demand Charge - Commoditized at 100% Load Factor (7)</t>
  </si>
  <si>
    <t xml:space="preserve">Rate M12 Average Dawn to Parkway (TCPL / EGT) Fuel Rate </t>
  </si>
  <si>
    <t xml:space="preserve">Rate M12 Dawn to Parkway Facility Carbon Charge </t>
  </si>
  <si>
    <t>EB-2022-0133, Exhibit D, Tab 2, Schedule 8, p.2,  line 6.</t>
  </si>
  <si>
    <t>Total Union rate zone sales service volumes as provided at Working Papers, Schedule 19, column (a).</t>
  </si>
  <si>
    <t>Working Papers, Schedule 17, line 22.</t>
  </si>
  <si>
    <t>UFG increase of 22% as per Working Papers, Schedule 23, p.4.</t>
  </si>
  <si>
    <t>Compressor fuel decrease of -1% as per Working Papers, Schedule 23, p.5, plus inclusion of own use gas as per Working Papers, Schedule 23, p.3. for Rate T1, T2 and Rate T3 transportation fuel ratios.</t>
  </si>
  <si>
    <t>Weighted average reference price of $5.309/GJ based on April 2022 QRAM as per Exhibit 4, Tab 2, Schedule 2, Attachment 3.</t>
  </si>
  <si>
    <t>Commoditized demand rate at 100% load factor is equal to the respective demand rate multiplied by 12 and divided by 365.</t>
  </si>
  <si>
    <t>Annual average of Parkway-Dawn M12-X Westerly Fuel Rate.</t>
  </si>
  <si>
    <t>EB-2022-0133, Exhibit D, Tab 2, Rate Order, Appendix B, Rate M12 Rate Schedule C, p. 1, average of Dawn to Parkway (TCPL / EGT) monthly fuel ratio at Oct. 1, 2023  QRAM Dawn Reference WACOG.</t>
  </si>
  <si>
    <t>Revenue Proof of 2024 DSM Uniform Residential Unit Rates</t>
  </si>
  <si>
    <t>2024 Forecast Usage</t>
  </si>
  <si>
    <t>Residential</t>
  </si>
  <si>
    <t>Non-Residential</t>
  </si>
  <si>
    <t>Proposed Unit</t>
  </si>
  <si>
    <t>DSM</t>
  </si>
  <si>
    <t>Non-</t>
  </si>
  <si>
    <t>Budget</t>
  </si>
  <si>
    <t xml:space="preserve">Budget </t>
  </si>
  <si>
    <t>(f) = (b*d)/100</t>
  </si>
  <si>
    <t>(h) = (c*d)/100</t>
  </si>
  <si>
    <t>(j) = (f+h)</t>
  </si>
  <si>
    <t>Rate 1 - EGD Rate Zone</t>
  </si>
  <si>
    <t>Over     170 m³</t>
  </si>
  <si>
    <t>Rate 01 - Union North Rate Zone</t>
  </si>
  <si>
    <t>Rate M1 - Union South Rate Zone</t>
  </si>
  <si>
    <t>First        100 m³</t>
  </si>
  <si>
    <t>Next        150 m³</t>
  </si>
  <si>
    <t>All over    250 m³</t>
  </si>
  <si>
    <t>Working Papers, Schedule 19, column (a).</t>
  </si>
  <si>
    <t xml:space="preserve"> P.1, column (b).</t>
  </si>
  <si>
    <t>Summary of Current Approved and 2024 Forecast Cost of Gas Revenue by Rate Class</t>
  </si>
  <si>
    <t>Based on Weighted Average Reference Price at April 1, 2022</t>
  </si>
  <si>
    <t>Current Approved Revenue (1)</t>
  </si>
  <si>
    <t>2024 Forecast Revenue (2)</t>
  </si>
  <si>
    <t>Rate Class ($000s)</t>
  </si>
  <si>
    <t>Gas in Storage</t>
  </si>
  <si>
    <t>Own Use Gas</t>
  </si>
  <si>
    <t>UFG</t>
  </si>
  <si>
    <t>Compressor Fuel</t>
  </si>
  <si>
    <t xml:space="preserve">   Rate M5 (F)</t>
  </si>
  <si>
    <t xml:space="preserve">   Rate T1</t>
  </si>
  <si>
    <t xml:space="preserve">   Rate T2 </t>
  </si>
  <si>
    <t>Pp.2-5, column (a).</t>
  </si>
  <si>
    <t>Pp.2-5, column (e).</t>
  </si>
  <si>
    <t>Derivation of 2024 Gas in Storage Revenue by Rate Class</t>
  </si>
  <si>
    <t>Current Approved (1)</t>
  </si>
  <si>
    <t>Proportional</t>
  </si>
  <si>
    <t>Volumes</t>
  </si>
  <si>
    <t>Revenue (4)</t>
  </si>
  <si>
    <r>
      <t>10</t>
    </r>
    <r>
      <rPr>
        <vertAlign val="superscript"/>
        <sz val="10"/>
        <color theme="1"/>
        <rFont val="Arial"/>
        <family val="2"/>
      </rPr>
      <t>3</t>
    </r>
    <r>
      <rPr>
        <sz val="10"/>
        <color theme="1"/>
        <rFont val="Arial"/>
        <family val="2"/>
      </rPr>
      <t>m</t>
    </r>
    <r>
      <rPr>
        <vertAlign val="superscript"/>
        <sz val="10"/>
        <color theme="1"/>
        <rFont val="Arial"/>
        <family val="2"/>
      </rPr>
      <t>3</t>
    </r>
  </si>
  <si>
    <t>(b) = (a) / Ref Price / RoR x 1000</t>
  </si>
  <si>
    <t>(c) = (b) x 12%</t>
  </si>
  <si>
    <t>(d) = (a) + (b)</t>
  </si>
  <si>
    <t>(e) = (d) x 207.493 x 7.34% / 1000</t>
  </si>
  <si>
    <r>
      <t>Return on gas in storage working capital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as per EB-2022-0089, Exhibit E, Tab 2, Schedule 1, column (c),  line 1 and 2013 approved gross rate of return of 8.48% for the Union rate zones and April 2022 QRAM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as per EB-2022-0089, Exhibit C, Tab 1, Schedule 1, column 3, line 13 and 2018 approved gross rate of return of 7.38% for the EGD rate zones.</t>
    </r>
  </si>
  <si>
    <t>Proportional gas in storage volume increase by 12% based on gas in storage volume recovered in current approved rates (column (b), line 42) and the 2024 forecast gas in storage volume (column (d), line 42) .</t>
  </si>
  <si>
    <t>Total 2024 forecast volumes per Working Papers, Schedule 4, column (a), line 14.</t>
  </si>
  <si>
    <r>
      <t>2024 forecast return on gas in storage working capital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 and 2024 gross rate of return of 7.34%.</t>
    </r>
  </si>
  <si>
    <t>Derivation of 2024 Own Use Gas Revenue by Rate Class</t>
  </si>
  <si>
    <t>2024 Forecast (3)</t>
  </si>
  <si>
    <t>(b) = (a) / Ref Price x 1000</t>
  </si>
  <si>
    <t>(c) = (b) x -7%</t>
  </si>
  <si>
    <t>(e) = (d) x 207.493 / 1000</t>
  </si>
  <si>
    <r>
      <t>Own use gas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 .</t>
    </r>
  </si>
  <si>
    <t>Proportional own use gas volume decrease by 7% based on own use volume recovered in current approved rates (column (b), line 42) and the 2024 forecast own use volume (column (d), line 42) .</t>
  </si>
  <si>
    <r>
      <t>2024 forecast own use gas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</si>
  <si>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Derivation of 2024 UFG Revenue by Rate Class</t>
  </si>
  <si>
    <t>(c) = (b) x 22%</t>
  </si>
  <si>
    <r>
      <t>UFG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 Customer supplied fuel volumes included based on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at on April 2022 QRAM as per Exhibit 4, Tab 2, Schedule 2, Attachment 3.</t>
    </r>
  </si>
  <si>
    <t>Proportional UFG volume increase by 22% based on UFG volumes recovered in current approved rates (column (b), line 42) and the 2024 forecast UFG volumes (column (d), line 42) .</t>
  </si>
  <si>
    <r>
      <t>2024 forecast UFG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</si>
  <si>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Derivation of 2024 Compressor Fuel Revenue by Rate Class</t>
  </si>
  <si>
    <t>(c) = (b) x -1%</t>
  </si>
  <si>
    <r>
      <t>Compressor fuel revenue included in current approved rates based on April 2022 QRAM Dawn Reference Price of $206.123/10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Union rate zones as per EB-2022-0089, Exhibit E, Tab 2, Schedule 1, column (c),  line 1 and PGVA Reference Price of $231.041/10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for the EGD rate zones as per EB-2022-0089, Exhibit C, Tab 1, Schedule 1, column 3, line 13. Customer supplied fuel volumes included based on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at April 2022 QRAM as per Exhibit 4, Tab 2, Schedule 2, Attachment 3.</t>
    </r>
  </si>
  <si>
    <t>Proportional compressor fuel volume decrease by 1% based on compressor fuel volumes recovered in current approved rates (column (b), line 42)  and the 2024 forecast compressor fuel volumes (column (d), line 42) .</t>
  </si>
  <si>
    <r>
      <t>2024 forecast compressor fuel revenue using weighted average reference price of $207.493/10</t>
    </r>
    <r>
      <rPr>
        <vertAlign val="superscript"/>
        <sz val="10"/>
        <color theme="1"/>
        <rFont val="Arial"/>
        <family val="2"/>
      </rPr>
      <t>3</t>
    </r>
    <r>
      <rPr>
        <sz val="10"/>
        <color theme="1"/>
        <rFont val="Arial"/>
        <family val="2"/>
      </rPr>
      <t>m</t>
    </r>
    <r>
      <rPr>
        <vertAlign val="superscript"/>
        <sz val="10"/>
        <color theme="1"/>
        <rFont val="Arial"/>
        <family val="2"/>
      </rPr>
      <t>3</t>
    </r>
    <r>
      <rPr>
        <sz val="10"/>
        <color theme="1"/>
        <rFont val="Arial"/>
        <family val="2"/>
      </rPr>
      <t xml:space="preserve"> based on April 2022 QRAM as per Exhibit 4, Tab 2, Schedule 2, Attachment 3.</t>
    </r>
  </si>
  <si>
    <t>EB-2024-0094- Current Approved  (2)</t>
  </si>
  <si>
    <t>Rate M1 - Small Customer</t>
  </si>
  <si>
    <t>Rate M1 - Large Customer</t>
  </si>
  <si>
    <t>Rate M2 - Small Customer</t>
  </si>
  <si>
    <t>Rate M2 - Average Customer</t>
  </si>
  <si>
    <r>
      <t>Annual Volume 73,000 m</t>
    </r>
    <r>
      <rPr>
        <vertAlign val="superscript"/>
        <sz val="10"/>
        <rFont val="Arial"/>
        <family val="2"/>
      </rPr>
      <t xml:space="preserve">3 </t>
    </r>
  </si>
  <si>
    <t>Rate M2 - Large Customer</t>
  </si>
  <si>
    <t>Rate M4 - Small Customer</t>
  </si>
  <si>
    <r>
      <t>Contract Demand 4,800 m</t>
    </r>
    <r>
      <rPr>
        <vertAlign val="superscript"/>
        <sz val="10"/>
        <rFont val="Arial"/>
        <family val="2"/>
      </rPr>
      <t>3</t>
    </r>
    <r>
      <rPr>
        <sz val="10"/>
        <rFont val="Arial"/>
        <family val="2"/>
      </rPr>
      <t xml:space="preserve"> Annual Volume 875,000 m</t>
    </r>
    <r>
      <rPr>
        <vertAlign val="superscript"/>
        <sz val="10"/>
        <rFont val="Arial"/>
        <family val="2"/>
      </rPr>
      <t xml:space="preserve">3 </t>
    </r>
  </si>
  <si>
    <t>Rate M4 - Large Customer</t>
  </si>
  <si>
    <r>
      <t>Contract Demand 50,000 m</t>
    </r>
    <r>
      <rPr>
        <vertAlign val="superscript"/>
        <sz val="10"/>
        <rFont val="Arial"/>
        <family val="2"/>
      </rPr>
      <t>3</t>
    </r>
    <r>
      <rPr>
        <sz val="10"/>
        <rFont val="Arial"/>
        <family val="2"/>
      </rPr>
      <t xml:space="preserve"> Annual Volume 12,000,000 m</t>
    </r>
    <r>
      <rPr>
        <vertAlign val="superscript"/>
        <sz val="10"/>
        <rFont val="Arial"/>
        <family val="2"/>
      </rPr>
      <t xml:space="preserve">3 </t>
    </r>
  </si>
  <si>
    <t>Rate M5 - Small Customer</t>
  </si>
  <si>
    <r>
      <t>Contract Demand 7,500m</t>
    </r>
    <r>
      <rPr>
        <vertAlign val="superscript"/>
        <sz val="10"/>
        <rFont val="Arial"/>
        <family val="2"/>
      </rPr>
      <t>3</t>
    </r>
    <r>
      <rPr>
        <sz val="10"/>
        <rFont val="Arial"/>
        <family val="2"/>
      </rPr>
      <t xml:space="preserve"> Annual Volume 825,000 m</t>
    </r>
    <r>
      <rPr>
        <vertAlign val="superscript"/>
        <sz val="10"/>
        <rFont val="Arial"/>
        <family val="2"/>
      </rPr>
      <t xml:space="preserve">3 </t>
    </r>
  </si>
  <si>
    <t>Rate M5 - Large Customer</t>
  </si>
  <si>
    <r>
      <t>Contract Demand 70,000m</t>
    </r>
    <r>
      <rPr>
        <vertAlign val="superscript"/>
        <sz val="10"/>
        <rFont val="Arial"/>
        <family val="2"/>
      </rPr>
      <t>3</t>
    </r>
    <r>
      <rPr>
        <sz val="10"/>
        <rFont val="Arial"/>
        <family val="2"/>
      </rPr>
      <t xml:space="preserve"> Annual Volume 6,500,000 m</t>
    </r>
    <r>
      <rPr>
        <vertAlign val="superscript"/>
        <sz val="10"/>
        <rFont val="Arial"/>
        <family val="2"/>
      </rPr>
      <t xml:space="preserve">3 </t>
    </r>
  </si>
  <si>
    <t>Rate M7 - Small Customer</t>
  </si>
  <si>
    <r>
      <t>Contract Demand 165,000m</t>
    </r>
    <r>
      <rPr>
        <vertAlign val="superscript"/>
        <sz val="10"/>
        <rFont val="Arial"/>
        <family val="2"/>
      </rPr>
      <t>3</t>
    </r>
    <r>
      <rPr>
        <sz val="10"/>
        <rFont val="Arial"/>
        <family val="2"/>
      </rPr>
      <t xml:space="preserve"> Annual Volume 36,000,000 m</t>
    </r>
    <r>
      <rPr>
        <vertAlign val="superscript"/>
        <sz val="10"/>
        <rFont val="Arial"/>
        <family val="2"/>
      </rPr>
      <t xml:space="preserve">3 </t>
    </r>
  </si>
  <si>
    <t>Rate M7 - Large Customer</t>
  </si>
  <si>
    <r>
      <t>Contract Demand 720,000m</t>
    </r>
    <r>
      <rPr>
        <vertAlign val="superscript"/>
        <sz val="10"/>
        <rFont val="Arial"/>
        <family val="2"/>
      </rPr>
      <t>3</t>
    </r>
    <r>
      <rPr>
        <sz val="10"/>
        <rFont val="Arial"/>
        <family val="2"/>
      </rPr>
      <t xml:space="preserve"> Annual Volume 52,000,000 m</t>
    </r>
    <r>
      <rPr>
        <vertAlign val="superscript"/>
        <sz val="10"/>
        <rFont val="Arial"/>
        <family val="2"/>
      </rPr>
      <t xml:space="preserve">3 </t>
    </r>
  </si>
  <si>
    <r>
      <t>Rate M9 - Small Customer</t>
    </r>
    <r>
      <rPr>
        <sz val="10"/>
        <rFont val="Arial"/>
        <family val="2"/>
      </rPr>
      <t xml:space="preserve">  (1)</t>
    </r>
  </si>
  <si>
    <r>
      <t>Contract Demand 56,439m</t>
    </r>
    <r>
      <rPr>
        <vertAlign val="superscript"/>
        <sz val="10"/>
        <rFont val="Arial"/>
        <family val="2"/>
      </rPr>
      <t>3</t>
    </r>
    <r>
      <rPr>
        <sz val="10"/>
        <rFont val="Arial"/>
        <family val="2"/>
      </rPr>
      <t xml:space="preserve"> Annual Volume 6,950,000 m</t>
    </r>
    <r>
      <rPr>
        <vertAlign val="superscript"/>
        <sz val="10"/>
        <rFont val="Arial"/>
        <family val="2"/>
      </rPr>
      <t xml:space="preserve">3 </t>
    </r>
  </si>
  <si>
    <r>
      <t>Rate M9 - Large Customer</t>
    </r>
    <r>
      <rPr>
        <sz val="10"/>
        <rFont val="Arial"/>
        <family val="2"/>
      </rPr>
      <t xml:space="preserve">  (1)</t>
    </r>
  </si>
  <si>
    <r>
      <t>Contract Demand 168,100m</t>
    </r>
    <r>
      <rPr>
        <vertAlign val="superscript"/>
        <sz val="10"/>
        <rFont val="Arial"/>
        <family val="2"/>
      </rPr>
      <t>3</t>
    </r>
    <r>
      <rPr>
        <sz val="10"/>
        <rFont val="Arial"/>
        <family val="2"/>
      </rPr>
      <t xml:space="preserve"> Annual Volume 20,178,000 m</t>
    </r>
    <r>
      <rPr>
        <vertAlign val="superscript"/>
        <sz val="10"/>
        <rFont val="Arial"/>
        <family val="2"/>
      </rPr>
      <t xml:space="preserve">3 </t>
    </r>
  </si>
  <si>
    <t>Rate T1 - Small Customer</t>
  </si>
  <si>
    <r>
      <t>Contract Demand 25,750m</t>
    </r>
    <r>
      <rPr>
        <vertAlign val="superscript"/>
        <sz val="10"/>
        <rFont val="Arial"/>
        <family val="2"/>
      </rPr>
      <t>3</t>
    </r>
    <r>
      <rPr>
        <sz val="10"/>
        <rFont val="Arial"/>
        <family val="2"/>
      </rPr>
      <t xml:space="preserve"> Annual Volume 7,537,000 m</t>
    </r>
    <r>
      <rPr>
        <vertAlign val="superscript"/>
        <sz val="10"/>
        <rFont val="Arial"/>
        <family val="2"/>
      </rPr>
      <t xml:space="preserve">3 </t>
    </r>
  </si>
  <si>
    <t>Rate T1 - Average Customer</t>
  </si>
  <si>
    <r>
      <t>Contract Demand 48,750m</t>
    </r>
    <r>
      <rPr>
        <vertAlign val="superscript"/>
        <sz val="10"/>
        <rFont val="Arial"/>
        <family val="2"/>
      </rPr>
      <t>3</t>
    </r>
    <r>
      <rPr>
        <sz val="10"/>
        <rFont val="Arial"/>
        <family val="2"/>
      </rPr>
      <t xml:space="preserve"> Annual Volume 11,565,938 m</t>
    </r>
    <r>
      <rPr>
        <vertAlign val="superscript"/>
        <sz val="10"/>
        <rFont val="Arial"/>
        <family val="2"/>
      </rPr>
      <t xml:space="preserve">3 </t>
    </r>
  </si>
  <si>
    <t>Rate T1 - Large Customer</t>
  </si>
  <si>
    <r>
      <t>Contract Demand 133,000m</t>
    </r>
    <r>
      <rPr>
        <vertAlign val="superscript"/>
        <sz val="10"/>
        <rFont val="Arial"/>
        <family val="2"/>
      </rPr>
      <t>3</t>
    </r>
    <r>
      <rPr>
        <sz val="10"/>
        <rFont val="Arial"/>
        <family val="2"/>
      </rPr>
      <t xml:space="preserve"> Annual Volume 25,624,080 m</t>
    </r>
    <r>
      <rPr>
        <vertAlign val="superscript"/>
        <sz val="10"/>
        <rFont val="Arial"/>
        <family val="2"/>
      </rPr>
      <t xml:space="preserve">3 </t>
    </r>
  </si>
  <si>
    <t>Rate T2 - Small Customer</t>
  </si>
  <si>
    <r>
      <t>Contract Demand 190,000m</t>
    </r>
    <r>
      <rPr>
        <vertAlign val="superscript"/>
        <sz val="10"/>
        <rFont val="Arial"/>
        <family val="2"/>
      </rPr>
      <t>3</t>
    </r>
    <r>
      <rPr>
        <sz val="10"/>
        <rFont val="Arial"/>
        <family val="2"/>
      </rPr>
      <t xml:space="preserve"> Annual Volume 59,256,000 m</t>
    </r>
    <r>
      <rPr>
        <vertAlign val="superscript"/>
        <sz val="10"/>
        <rFont val="Arial"/>
        <family val="2"/>
      </rPr>
      <t xml:space="preserve">3 </t>
    </r>
  </si>
  <si>
    <t>Rate T2 - Average Customer</t>
  </si>
  <si>
    <r>
      <t>Contract Demand 669,000m</t>
    </r>
    <r>
      <rPr>
        <vertAlign val="superscript"/>
        <sz val="10"/>
        <rFont val="Arial"/>
        <family val="2"/>
      </rPr>
      <t>3</t>
    </r>
    <r>
      <rPr>
        <sz val="10"/>
        <rFont val="Arial"/>
        <family val="2"/>
      </rPr>
      <t xml:space="preserve"> Annual Volume 197,789,850 m</t>
    </r>
    <r>
      <rPr>
        <vertAlign val="superscript"/>
        <sz val="10"/>
        <rFont val="Arial"/>
        <family val="2"/>
      </rPr>
      <t xml:space="preserve">3 </t>
    </r>
  </si>
  <si>
    <t>Rate T2 - Large Customer</t>
  </si>
  <si>
    <r>
      <t>Contract Demand 1,200,000m</t>
    </r>
    <r>
      <rPr>
        <vertAlign val="superscript"/>
        <sz val="10"/>
        <rFont val="Arial"/>
        <family val="2"/>
      </rPr>
      <t>3</t>
    </r>
    <r>
      <rPr>
        <sz val="10"/>
        <rFont val="Arial"/>
        <family val="2"/>
      </rPr>
      <t xml:space="preserve"> Annual Volume 370,089,000 m</t>
    </r>
    <r>
      <rPr>
        <vertAlign val="superscript"/>
        <sz val="10"/>
        <rFont val="Arial"/>
        <family val="2"/>
      </rPr>
      <t xml:space="preserve">3 </t>
    </r>
  </si>
  <si>
    <r>
      <t>Rate T3 - Large Customer</t>
    </r>
    <r>
      <rPr>
        <sz val="10"/>
        <rFont val="Arial"/>
        <family val="2"/>
      </rPr>
      <t xml:space="preserve">  (1)</t>
    </r>
  </si>
  <si>
    <r>
      <t>Contract Demand 2,350,000m</t>
    </r>
    <r>
      <rPr>
        <vertAlign val="superscript"/>
        <sz val="10"/>
        <rFont val="Arial"/>
        <family val="2"/>
      </rPr>
      <t>3</t>
    </r>
    <r>
      <rPr>
        <sz val="10"/>
        <rFont val="Arial"/>
        <family val="2"/>
      </rPr>
      <t xml:space="preserve"> Annual Volume 272,712,000 m</t>
    </r>
    <r>
      <rPr>
        <vertAlign val="superscript"/>
        <sz val="10"/>
        <rFont val="Arial"/>
        <family val="2"/>
      </rPr>
      <t xml:space="preserve">3 </t>
    </r>
  </si>
  <si>
    <t>Rate M9 and Rate T3 customers are not charged the Federal Carbon Charge.</t>
  </si>
  <si>
    <t>Calculation of Non-Utility Cross Charge Revenue</t>
  </si>
  <si>
    <t>2024 Rates</t>
  </si>
  <si>
    <t>Unit Rate (1)</t>
  </si>
  <si>
    <t>Heritage Pool Transportation Charges (GJ; $/GJ)</t>
  </si>
  <si>
    <t>Transmission commodity charge to Dawn</t>
  </si>
  <si>
    <t>Total Heritage Pool</t>
  </si>
  <si>
    <t>Tipperary Pool Transportation Charges (GJ; $/GJ)</t>
  </si>
  <si>
    <t>Total Tipperary Pool</t>
  </si>
  <si>
    <t>Dow Moore Pool Storage Charges (10³m³; $/10³m³)</t>
  </si>
  <si>
    <t>Annual turnover volume</t>
  </si>
  <si>
    <t>Maximum daily withdrawal volume</t>
  </si>
  <si>
    <t>Commodity charge</t>
  </si>
  <si>
    <t>Operating charges (mo; $/mo) (2)</t>
  </si>
  <si>
    <t>Unregulated allocation</t>
  </si>
  <si>
    <t>Total Dow Moore Pool</t>
  </si>
  <si>
    <t>Black Creek Pool Storage Charges (10³m³; $/10³m³)</t>
  </si>
  <si>
    <t>Total Black Creek Pool</t>
  </si>
  <si>
    <t>Storage System Integrity (3)</t>
  </si>
  <si>
    <t>OBA/LBA</t>
  </si>
  <si>
    <t>Hysteresis</t>
  </si>
  <si>
    <t>Total Long-Term Storage System Integrity</t>
  </si>
  <si>
    <t>Total Non-Utility Cross Charge Revenue</t>
  </si>
  <si>
    <t>2024 proposed rates as per Working Papers, Schedule 20, p.12. Unit rates for Heritage and Tipperary Pool transportation using Rate M16 unit rates and unit rates for Dow Moore and Black Creek pool storage using 2023 Rate 325 unit rates, escalated based on the 2024 revenue deficiency.</t>
  </si>
  <si>
    <t>Monthly operating charge per agreement between EGD and Union.</t>
  </si>
  <si>
    <t>Storage System Integrity relates to the long-term storage allocation of storage system integrity per Union's 2013 Cost Allocation Study.</t>
  </si>
  <si>
    <t>Derivation of Rate Adjustment Rider</t>
  </si>
  <si>
    <t>Rate Adjustment</t>
  </si>
  <si>
    <t>May 1 - Dec. 31, 2024</t>
  </si>
  <si>
    <t>Rider Unit Rate</t>
  </si>
  <si>
    <t>($000s) (1)</t>
  </si>
  <si>
    <t>(c) = (a / b * 100)</t>
  </si>
  <si>
    <t xml:space="preserve">    Delivery Charges - Commodity</t>
  </si>
  <si>
    <t xml:space="preserve">    Gas Supply Transportation Dawn Charge</t>
  </si>
  <si>
    <t>Derivation of Rate Adjustment Rider (Continued)</t>
  </si>
  <si>
    <t xml:space="preserve">    Delivery Charges - Contract Demand</t>
  </si>
  <si>
    <t xml:space="preserve">    Gas Supply Demand Charge</t>
  </si>
  <si>
    <t xml:space="preserve">   Gas Supply Transportation Charge</t>
  </si>
  <si>
    <t xml:space="preserve">   Gas Supply Commodity Charge</t>
  </si>
  <si>
    <t xml:space="preserve">   Bundled (T-Service) Storage Demand </t>
  </si>
  <si>
    <t xml:space="preserve">    Interruptible Delivery Charge Commodity (average)</t>
  </si>
  <si>
    <t xml:space="preserve">    Transportation Contract Demand</t>
  </si>
  <si>
    <t xml:space="preserve">    Transportation Commodity</t>
  </si>
  <si>
    <t xml:space="preserve">    Storage Demand </t>
  </si>
  <si>
    <t xml:space="preserve">    Storage Injection Withdrawal Right</t>
  </si>
  <si>
    <t xml:space="preserve">    Storage Commodity</t>
  </si>
  <si>
    <t xml:space="preserve">    Storage Injection Withdrawal Rights</t>
  </si>
  <si>
    <t xml:space="preserve">Parkway Delivery Commitment Incentive ("PDCI") </t>
  </si>
  <si>
    <t xml:space="preserve">    PDCI</t>
  </si>
  <si>
    <t>Pp. 2-7, column (f)</t>
  </si>
  <si>
    <t>Deferral &amp; Variance Account Disposition Bill Impacts for Typical Small and Large Customers</t>
  </si>
  <si>
    <t>Unit Rate for</t>
  </si>
  <si>
    <t>Bill</t>
  </si>
  <si>
    <t>Total Annual</t>
  </si>
  <si>
    <t>Disposition (1)</t>
  </si>
  <si>
    <t>Impact</t>
  </si>
  <si>
    <t>Bill (2)</t>
  </si>
  <si>
    <t>(d) = (a x b)</t>
  </si>
  <si>
    <t>(f) = (d / e)</t>
  </si>
  <si>
    <t xml:space="preserve">   Rate 1 - Residential</t>
  </si>
  <si>
    <t>m³</t>
  </si>
  <si>
    <t xml:space="preserve">   Rate 6 - Average</t>
  </si>
  <si>
    <t xml:space="preserve">   Rate 100 - Small</t>
  </si>
  <si>
    <t>m³/d</t>
  </si>
  <si>
    <t xml:space="preserve">   Rate 100 - Large</t>
  </si>
  <si>
    <t xml:space="preserve">   Rate 110 - Small</t>
  </si>
  <si>
    <t xml:space="preserve">   Rate 110 - Average</t>
  </si>
  <si>
    <t xml:space="preserve">   Rate 115 - Small</t>
  </si>
  <si>
    <t xml:space="preserve">   Rate 115 - Large</t>
  </si>
  <si>
    <t xml:space="preserve">   Rate 125 - Average</t>
  </si>
  <si>
    <t xml:space="preserve">   Rate 135 - Average</t>
  </si>
  <si>
    <t xml:space="preserve">   Rate 145 - Small</t>
  </si>
  <si>
    <t xml:space="preserve">   Rate 145 - Average</t>
  </si>
  <si>
    <t xml:space="preserve">   Rate 170 - Small</t>
  </si>
  <si>
    <t xml:space="preserve">   Rate 170 - Large</t>
  </si>
  <si>
    <t xml:space="preserve">   Rate 200 - Average</t>
  </si>
  <si>
    <t xml:space="preserve">   Rate 01 - Residential</t>
  </si>
  <si>
    <t xml:space="preserve">   Rate 20 - Small</t>
  </si>
  <si>
    <t xml:space="preserve">   Rate 20 - Lage</t>
  </si>
  <si>
    <t xml:space="preserve">   Rate 25 - Average</t>
  </si>
  <si>
    <t xml:space="preserve">   Rate M1 - Residential</t>
  </si>
  <si>
    <t xml:space="preserve">   Rate M4 - Small</t>
  </si>
  <si>
    <t xml:space="preserve">   Rate M4 - Large</t>
  </si>
  <si>
    <t xml:space="preserve">   Rate M5 - Small</t>
  </si>
  <si>
    <t xml:space="preserve">   Rate M5 - Large</t>
  </si>
  <si>
    <t xml:space="preserve">   Rate M7 - Small</t>
  </si>
  <si>
    <t xml:space="preserve">   Rate M7 - Large</t>
  </si>
  <si>
    <t xml:space="preserve">   Rate M9 - Small</t>
  </si>
  <si>
    <t xml:space="preserve">   Rate M9 - Large</t>
  </si>
  <si>
    <t xml:space="preserve">   Rate T1 - Small</t>
  </si>
  <si>
    <t xml:space="preserve">   Rate T1 - Average</t>
  </si>
  <si>
    <t xml:space="preserve">   Rate T1 - Large</t>
  </si>
  <si>
    <t xml:space="preserve">   Rate T2 - Small</t>
  </si>
  <si>
    <t xml:space="preserve">   Rate T2 - Average</t>
  </si>
  <si>
    <t xml:space="preserve">   Rate T2 - Large</t>
  </si>
  <si>
    <t>P.5, column (d).</t>
  </si>
  <si>
    <t>Current approved total annual sales service bill as per Working Papers, Schedule 24, column (a).</t>
  </si>
  <si>
    <t>Calculation of EGI Reference Price at April 1, 2024 QRAM</t>
  </si>
  <si>
    <t>Line No.</t>
  </si>
  <si>
    <t>Supply 
(GJ)</t>
  </si>
  <si>
    <r>
      <t>Supply 
(10</t>
    </r>
    <r>
      <rPr>
        <vertAlign val="superscript"/>
        <sz val="10"/>
        <rFont val="Arial"/>
        <family val="2"/>
      </rPr>
      <t>3</t>
    </r>
    <r>
      <rPr>
        <sz val="10"/>
        <color theme="1"/>
        <rFont val="Arial"/>
        <family val="2"/>
      </rPr>
      <t>m</t>
    </r>
    <r>
      <rPr>
        <vertAlign val="superscript"/>
        <sz val="10"/>
        <rFont val="Arial"/>
        <family val="2"/>
      </rPr>
      <t>3</t>
    </r>
    <r>
      <rPr>
        <sz val="10"/>
        <color theme="1"/>
        <rFont val="Arial"/>
        <family val="2"/>
      </rPr>
      <t>)</t>
    </r>
  </si>
  <si>
    <t>Gas Costs                $(000s)</t>
  </si>
  <si>
    <r>
      <t>Average Costs ($/10</t>
    </r>
    <r>
      <rPr>
        <vertAlign val="superscript"/>
        <sz val="10"/>
        <rFont val="Arial"/>
        <family val="2"/>
      </rPr>
      <t>3</t>
    </r>
    <r>
      <rPr>
        <sz val="10"/>
        <color theme="1"/>
        <rFont val="Arial"/>
        <family val="2"/>
      </rPr>
      <t>m</t>
    </r>
    <r>
      <rPr>
        <vertAlign val="superscript"/>
        <sz val="10"/>
        <rFont val="Arial"/>
        <family val="2"/>
      </rPr>
      <t>3</t>
    </r>
    <r>
      <rPr>
        <sz val="10"/>
        <color theme="1"/>
        <rFont val="Arial"/>
        <family val="2"/>
      </rPr>
      <t>)</t>
    </r>
  </si>
  <si>
    <t>Average Costs ($/GJ)</t>
  </si>
  <si>
    <t>(b) = (a)/39.08</t>
  </si>
  <si>
    <t>(d) = (c / b)</t>
  </si>
  <si>
    <t>(e) = (c / a)</t>
  </si>
  <si>
    <t>Supply</t>
  </si>
  <si>
    <t>Western Canadian Sedimentary Basin</t>
  </si>
  <si>
    <t>Ontario / Dawn</t>
  </si>
  <si>
    <t>Appalachia</t>
  </si>
  <si>
    <t>Chicago</t>
  </si>
  <si>
    <t>Niagara</t>
  </si>
  <si>
    <t>U.S. Mid Continent</t>
  </si>
  <si>
    <t>Unsecured</t>
  </si>
  <si>
    <t>Total Supply</t>
  </si>
  <si>
    <t>Less Transportation Fuel Requirement</t>
  </si>
  <si>
    <t>Less Load Balancing Costs</t>
  </si>
  <si>
    <t>Total Supply Costs Less Fuel and Load Balancing</t>
  </si>
  <si>
    <t>Transportation Costs - System Gas</t>
  </si>
  <si>
    <t>TCPL Niagara</t>
  </si>
  <si>
    <t>NEXUS</t>
  </si>
  <si>
    <t>Vector</t>
  </si>
  <si>
    <t>Nova</t>
  </si>
  <si>
    <t>Great Lakes</t>
  </si>
  <si>
    <t>Total Transportation  Costs</t>
  </si>
  <si>
    <t>Total Supply and Transportation Costs - System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</si>
</sst>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0_);\(#,##0.0000\);\-"/>
    <numFmt numFmtId="166" formatCode="0.00_)"/>
    <numFmt numFmtId="167" formatCode="_(* #,##0.0000_);_(* \(#,##0.0000\);_(* &quot;-&quot;??_);_(@_)"/>
    <numFmt numFmtId="168" formatCode="#,##0.0000_);\(#,##0.0000\)"/>
    <numFmt numFmtId="169" formatCode="_(* #,##0_);_(* \(#,##0\);_(* &quot;-&quot;??_);_(@_)"/>
    <numFmt numFmtId="170" formatCode="_(* #,##0.0_);_(* \(#,##0.0\);_(* &quot;-&quot;??_);_(@_)"/>
    <numFmt numFmtId="171" formatCode="#,##0_-;\(#,##0\);_(* &quot;-&quot;??_)"/>
    <numFmt numFmtId="172" formatCode="&quot;$&quot;#,##0.00_-;\(&quot;$&quot;#,##0.00\);_(* &quot;-&quot;??_)"/>
    <numFmt numFmtId="173" formatCode="#,##0.0000_-;\(#,##0.0000\);_(* &quot;-&quot;??_)"/>
    <numFmt numFmtId="174" formatCode="#,##0;\(#,##0\);_(* &quot;-&quot;_)"/>
    <numFmt numFmtId="175" formatCode="&quot;$&quot;#,##0.00000_-;\(&quot;$&quot;#,##0.00000\);_(* &quot;-&quot;??_)"/>
    <numFmt numFmtId="176" formatCode="0.0000_)"/>
    <numFmt numFmtId="177" formatCode="0_)"/>
    <numFmt numFmtId="178" formatCode="0.0000000_)"/>
    <numFmt numFmtId="179" formatCode="#,##0.00000_);\(#,##0.00000\)"/>
    <numFmt numFmtId="180" formatCode="0.0%"/>
    <numFmt numFmtId="181" formatCode="#,##0.000_);\(#,##0.000\)"/>
    <numFmt numFmtId="182" formatCode="###0%;\(###0%\)\ "/>
    <numFmt numFmtId="183" formatCode="###0.0%;\(###0.0%\)\ "/>
    <numFmt numFmtId="184" formatCode="_(* #,##0.000_);_(* \(#,##0.000\);_(* &quot;-&quot;??_);_(@_)"/>
    <numFmt numFmtId="185" formatCode="_(&quot;$&quot;* #,##0_);_(&quot;$&quot;* \(#,##0\);_(&quot;$&quot;* &quot;-&quot;??_);_(@_)"/>
    <numFmt numFmtId="186" formatCode="#,##0.0000"/>
    <numFmt numFmtId="187" formatCode="0.0000"/>
    <numFmt numFmtId="188" formatCode="0.00_);\(0.00\)"/>
    <numFmt numFmtId="189" formatCode="0.000%"/>
    <numFmt numFmtId="190" formatCode="&quot;$&quot;#,##0.0000_);\(&quot;$&quot;#,##0.0000\)"/>
    <numFmt numFmtId="191" formatCode="_(&quot;$&quot;* #,##0.0000_);_(&quot;$&quot;* \(#,##0.0000\);_(&quot;$&quot;* &quot;-&quot;??_);_(@_)"/>
    <numFmt numFmtId="192" formatCode="0.000_)"/>
    <numFmt numFmtId="193" formatCode="0.00000"/>
    <numFmt numFmtId="194" formatCode="0.0"/>
    <numFmt numFmtId="195" formatCode="&quot;$&quot;#,##0.000_);\(&quot;$&quot;#,##0.000\)"/>
    <numFmt numFmtId="196" formatCode="_(* #,##0.000_);_(* \(#,##0.000\);_(* &quot;-&quot;????_);_(@_)"/>
    <numFmt numFmtId="197" formatCode="_(* #,##0_);_(* \(#,##0\);_(* &quot;-&quot;????_);_(@_)"/>
    <numFmt numFmtId="198" formatCode="#,##0.000;\(#,##0.000\);_(* &quot;-&quot;_)"/>
    <numFmt numFmtId="199" formatCode="0.000"/>
    <numFmt numFmtId="200" formatCode="###0.0%;\(###0.0%\)"/>
    <numFmt numFmtId="201" formatCode="&quot;$&quot;#,##0.00"/>
    <numFmt numFmtId="202" formatCode="###0.00%;\(###0.00%\)"/>
    <numFmt numFmtId="203" formatCode="#,##0.000_);\(#,##0.000\);\-"/>
    <numFmt numFmtId="204" formatCode="###0.000%;\(###0.000%\)"/>
    <numFmt numFmtId="205" formatCode="_(&quot;$&quot;* #,##0.000_);_(&quot;$&quot;* \(#,##0.000\);_(&quot;$&quot;* &quot;-&quot;??_);_(@_)"/>
    <numFmt numFmtId="206" formatCode="#,##0.000_-;\(#,##0.000\);_(* &quot;-&quot;??_)"/>
    <numFmt numFmtId="207" formatCode="#,##0.000;\-#,##0.000"/>
    <numFmt numFmtId="208" formatCode="&quot;$&quot;#,##0;[Red]\-&quot;$&quot;#,##0"/>
    <numFmt numFmtId="209" formatCode="#,##0;\(#,##0\);_(* &quot;-&quot;??_)"/>
    <numFmt numFmtId="210" formatCode="_(* #,##0_);_(* \(#,##0\);_(* ??_);_(@_)"/>
    <numFmt numFmtId="211" formatCode="#.??"/>
    <numFmt numFmtId="212" formatCode="&quot;$&quot;#,##0.00;[Red]\-&quot;$&quot;#,##0.00"/>
    <numFmt numFmtId="213" formatCode="_-* #,##0_-;\-* #,##0_-;_-* &quot;-&quot;_-;_-@_-"/>
    <numFmt numFmtId="214" formatCode="_(* #,##0.0000_);_(* \(#,##0.0000\);_(* &quot;-&quot;????_);_(@_)"/>
    <numFmt numFmtId="215" formatCode="#,##0.0000;\(#,##0.0000\);_(* &quot;-&quot;_)"/>
    <numFmt numFmtId="216" formatCode="_(* #,##0.0_);_(* \(#,##0.0\);_(* &quot;-&quot;?_);_(@_)"/>
    <numFmt numFmtId="217" formatCode="#,##0.0_);\(#,##0.0\);\-"/>
    <numFmt numFmtId="218" formatCode="#,##0.0_);\(#,##0.0\)"/>
    <numFmt numFmtId="219" formatCode="0."/>
    <numFmt numFmtId="220" formatCode="0.000000000000000000"/>
    <numFmt numFmtId="221" formatCode="&quot;$&quot;#,##0.000"/>
    <numFmt numFmtId="222" formatCode="#,##0.000"/>
    <numFmt numFmtId="223" formatCode="0.00000_);\(0.00000\)"/>
    <numFmt numFmtId="224" formatCode="0.0000_);\(0.0000\)"/>
    <numFmt numFmtId="225" formatCode="0_);\(0\)"/>
  </numFmts>
  <fonts count="57">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Times New Roman"/>
      <family val="1"/>
    </font>
    <font>
      <u/>
      <sz val="10"/>
      <name val="Arial"/>
      <family val="2"/>
    </font>
    <font>
      <sz val="10"/>
      <name val="Arial"/>
      <family val="2"/>
    </font>
    <font>
      <sz val="10"/>
      <color theme="1"/>
      <name val="Arial"/>
      <family val="2"/>
    </font>
    <font>
      <sz val="10"/>
      <color rgb="FF0000FF"/>
      <name val="Arial"/>
      <family val="2"/>
    </font>
    <font>
      <sz val="9"/>
      <color theme="1"/>
      <name val="Arial"/>
      <family val="2"/>
    </font>
    <font>
      <sz val="10"/>
      <color rgb="FF0070C0"/>
      <name val="Arial"/>
      <family val="2"/>
    </font>
    <font>
      <sz val="10"/>
      <name val="Courier"/>
      <family val="3"/>
    </font>
    <font>
      <vertAlign val="superscript"/>
      <sz val="10"/>
      <name val="Arial"/>
      <family val="2"/>
    </font>
    <font>
      <u/>
      <sz val="10"/>
      <color theme="1"/>
      <name val="Arial"/>
      <family val="2"/>
    </font>
    <font>
      <sz val="10"/>
      <color rgb="FF7030A0"/>
      <name val="Arial"/>
      <family val="2"/>
    </font>
    <font>
      <sz val="9"/>
      <name val="Arial"/>
      <family val="2"/>
    </font>
    <font>
      <u/>
      <sz val="9"/>
      <color theme="1"/>
      <name val="Arial"/>
      <family val="2"/>
    </font>
    <font>
      <i/>
      <sz val="10"/>
      <name val="Arial"/>
      <family val="2"/>
    </font>
    <font>
      <sz val="10"/>
      <color rgb="FF00B050"/>
      <name val="Arial"/>
      <family val="2"/>
    </font>
    <font>
      <sz val="10"/>
      <name val="Arial MT"/>
    </font>
    <font>
      <sz val="9"/>
      <color rgb="FFFF0000"/>
      <name val="Arial"/>
      <family val="2"/>
    </font>
    <font>
      <b/>
      <sz val="10"/>
      <name val="Arial"/>
      <family val="2"/>
    </font>
    <font>
      <sz val="10"/>
      <color rgb="FFFF0000"/>
      <name val="Arial"/>
      <family val="2"/>
    </font>
    <font>
      <sz val="12"/>
      <name val="Arial"/>
      <family val="2"/>
    </font>
    <font>
      <sz val="12"/>
      <color theme="1"/>
      <name val="Times New Roman"/>
      <family val="2"/>
    </font>
    <font>
      <sz val="10"/>
      <color theme="1"/>
      <name val="Calibri"/>
      <family val="2"/>
      <scheme val="minor"/>
    </font>
    <font>
      <vertAlign val="superscript"/>
      <sz val="10"/>
      <color theme="1"/>
      <name val="Arial"/>
      <family val="2"/>
    </font>
    <font>
      <b/>
      <i/>
      <sz val="10"/>
      <color rgb="FF000000"/>
      <name val="Arial"/>
      <family val="2"/>
    </font>
    <font>
      <sz val="10"/>
      <color rgb="FF000000"/>
      <name val="Arial"/>
      <family val="2"/>
    </font>
    <font>
      <sz val="11"/>
      <name val="Calibri"/>
      <family val="2"/>
      <scheme val="minor"/>
    </font>
    <font>
      <sz val="11"/>
      <name val="Arial"/>
      <family val="2"/>
    </font>
    <font>
      <sz val="10"/>
      <color indexed="12"/>
      <name val="Arial"/>
      <family val="2"/>
    </font>
    <font>
      <b/>
      <sz val="11"/>
      <color theme="1"/>
      <name val="Calibri"/>
      <family val="2"/>
      <scheme val="minor"/>
    </font>
    <font>
      <b/>
      <sz val="10"/>
      <color theme="1"/>
      <name val="Arial"/>
      <family val="2"/>
    </font>
    <font>
      <i/>
      <sz val="10"/>
      <color theme="1"/>
      <name val="Arial"/>
      <family val="2"/>
    </font>
    <font>
      <u/>
      <sz val="10"/>
      <color rgb="FFFF0000"/>
      <name val="Arial"/>
      <family val="2"/>
    </font>
    <font>
      <sz val="8"/>
      <name val="Arial"/>
      <family val="2"/>
    </font>
    <font>
      <b/>
      <sz val="10"/>
      <color rgb="FFC00000"/>
      <name val="Arial"/>
      <family val="2"/>
    </font>
    <font>
      <b/>
      <sz val="10"/>
      <color theme="1"/>
      <name val="Calibri"/>
      <family val="2"/>
      <scheme val="minor"/>
    </font>
    <font>
      <sz val="9"/>
      <color rgb="FF0070C0"/>
      <name val="Arial"/>
      <family val="2"/>
    </font>
    <font>
      <sz val="9"/>
      <color rgb="FF7030A0"/>
      <name val="Arial"/>
      <family val="2"/>
    </font>
    <font>
      <sz val="11"/>
      <color rgb="FFFF0000"/>
      <name val="Arial"/>
      <family val="2"/>
    </font>
    <font>
      <sz val="11"/>
      <color theme="1"/>
      <name val="Calibri"/>
      <family val="2"/>
    </font>
    <font>
      <b/>
      <sz val="11"/>
      <name val="Calibri"/>
      <family val="2"/>
    </font>
    <font>
      <sz val="11"/>
      <color rgb="FF0000FF"/>
      <name val="Calibri"/>
      <family val="2"/>
      <scheme val="minor"/>
    </font>
    <font>
      <b/>
      <sz val="10"/>
      <color rgb="FF0070C0"/>
      <name val="Arial"/>
      <family val="2"/>
    </font>
    <font>
      <b/>
      <sz val="12"/>
      <color theme="1"/>
      <name val="Calibri"/>
      <family val="2"/>
      <scheme val="minor"/>
    </font>
    <font>
      <b/>
      <u/>
      <sz val="10"/>
      <color theme="1"/>
      <name val="Arial"/>
      <family val="2"/>
    </font>
    <font>
      <strike/>
      <sz val="10"/>
      <color rgb="FFFF0000"/>
      <name val="Arial"/>
      <family val="2"/>
    </font>
    <font>
      <sz val="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9" tint="0.79998168889431442"/>
        <bgColor indexed="64"/>
      </patternFill>
    </fill>
    <fill>
      <patternFill patternType="solid">
        <fgColor indexed="9"/>
        <bgColor indexed="64"/>
      </patternFill>
    </fill>
    <fill>
      <patternFill patternType="solid">
        <fgColor theme="2" tint="-0.249977111117893"/>
        <bgColor indexed="64"/>
      </patternFill>
    </fill>
    <fill>
      <patternFill patternType="solid">
        <fgColor theme="4" tint="0.39997558519241921"/>
        <bgColor indexed="64"/>
      </patternFill>
    </fill>
  </fills>
  <borders count="12">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1">
    <xf numFmtId="0" fontId="0" fillId="0" borderId="0"/>
    <xf numFmtId="0" fontId="11" fillId="0" borderId="0"/>
    <xf numFmtId="0" fontId="13" fillId="0" borderId="0"/>
    <xf numFmtId="44" fontId="9" fillId="0" borderId="0" applyFont="0" applyFill="0" applyBorder="0" applyAlignment="0" applyProtection="0"/>
    <xf numFmtId="43" fontId="13" fillId="0" borderId="0" applyFont="0" applyFill="0" applyBorder="0" applyAlignment="0" applyProtection="0"/>
    <xf numFmtId="0" fontId="9" fillId="0" borderId="0"/>
    <xf numFmtId="9" fontId="9" fillId="0" borderId="0" applyFont="0" applyFill="0" applyBorder="0" applyAlignment="0" applyProtection="0"/>
    <xf numFmtId="166" fontId="18" fillId="0" borderId="0"/>
    <xf numFmtId="44" fontId="10" fillId="0" borderId="0" applyFont="0" applyFill="0" applyBorder="0" applyAlignment="0" applyProtection="0"/>
    <xf numFmtId="43" fontId="10" fillId="0" borderId="0" applyFont="0" applyFill="0" applyBorder="0" applyAlignment="0" applyProtection="0"/>
    <xf numFmtId="0" fontId="8" fillId="0" borderId="0"/>
    <xf numFmtId="0" fontId="13"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13"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37" fontId="30" fillId="0" borderId="0"/>
    <xf numFmtId="37" fontId="30" fillId="0" borderId="0"/>
    <xf numFmtId="43" fontId="7" fillId="0" borderId="0" applyFont="0" applyFill="0" applyBorder="0" applyAlignment="0" applyProtection="0"/>
    <xf numFmtId="0" fontId="31" fillId="0" borderId="0"/>
    <xf numFmtId="44" fontId="7"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37" fontId="30" fillId="0" borderId="0"/>
    <xf numFmtId="0" fontId="3" fillId="0" borderId="0"/>
    <xf numFmtId="0" fontId="2" fillId="0" borderId="0"/>
    <xf numFmtId="0" fontId="11" fillId="0" borderId="0"/>
    <xf numFmtId="43" fontId="13" fillId="0" borderId="0" applyFont="0" applyFill="0" applyBorder="0" applyAlignment="0" applyProtection="0"/>
    <xf numFmtId="9" fontId="1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0" fontId="49"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1" fontId="1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3" fillId="0" borderId="0"/>
    <xf numFmtId="0" fontId="1" fillId="0" borderId="0"/>
  </cellStyleXfs>
  <cellXfs count="1352">
    <xf numFmtId="0" fontId="0" fillId="0" borderId="0" xfId="0"/>
    <xf numFmtId="0" fontId="13" fillId="0" borderId="0" xfId="1" applyFont="1" applyAlignment="1">
      <alignment horizontal="center"/>
    </xf>
    <xf numFmtId="0" fontId="13" fillId="0" borderId="0" xfId="1" applyFont="1"/>
    <xf numFmtId="0" fontId="13" fillId="0" borderId="0" xfId="1" applyFont="1" applyAlignment="1">
      <alignment horizontal="centerContinuous"/>
    </xf>
    <xf numFmtId="0" fontId="13" fillId="0" borderId="0" xfId="2" applyAlignment="1">
      <alignment horizontal="center"/>
    </xf>
    <xf numFmtId="0" fontId="13" fillId="0" borderId="0" xfId="1" quotePrefix="1" applyFont="1" applyAlignment="1">
      <alignment horizontal="center"/>
    </xf>
    <xf numFmtId="0" fontId="12" fillId="0" borderId="0" xfId="1" applyFont="1"/>
    <xf numFmtId="0" fontId="13" fillId="0" borderId="0" xfId="1" applyFont="1" applyAlignment="1">
      <alignment horizontal="left" indent="1"/>
    </xf>
    <xf numFmtId="165" fontId="13" fillId="0" borderId="0" xfId="4" applyNumberFormat="1" applyFont="1" applyFill="1" applyBorder="1" applyAlignment="1">
      <alignment horizontal="right"/>
    </xf>
    <xf numFmtId="0" fontId="13" fillId="0" borderId="0" xfId="1" applyFont="1" applyAlignment="1">
      <alignment horizontal="left" indent="2"/>
    </xf>
    <xf numFmtId="0" fontId="12" fillId="0" borderId="0" xfId="2" applyFont="1"/>
    <xf numFmtId="0" fontId="13" fillId="0" borderId="0" xfId="1" quotePrefix="1" applyFont="1"/>
    <xf numFmtId="0" fontId="13" fillId="0" borderId="0" xfId="1" applyFont="1" applyAlignment="1">
      <alignment horizontal="left"/>
    </xf>
    <xf numFmtId="0" fontId="13" fillId="0" borderId="0" xfId="1" applyFont="1" applyAlignment="1">
      <alignment horizontal="center" wrapText="1"/>
    </xf>
    <xf numFmtId="0" fontId="14" fillId="0" borderId="0" xfId="10" applyFont="1"/>
    <xf numFmtId="0" fontId="13" fillId="0" borderId="0" xfId="10" applyFont="1" applyAlignment="1" applyProtection="1">
      <alignment horizontal="center"/>
      <protection locked="0"/>
    </xf>
    <xf numFmtId="0" fontId="14" fillId="0" borderId="0" xfId="10" applyFont="1" applyAlignment="1">
      <alignment horizontal="center"/>
    </xf>
    <xf numFmtId="0" fontId="14" fillId="0" borderId="1" xfId="10" applyFont="1" applyBorder="1" applyAlignment="1">
      <alignment horizontal="center"/>
    </xf>
    <xf numFmtId="0" fontId="14" fillId="0" borderId="1" xfId="10" applyFont="1" applyBorder="1"/>
    <xf numFmtId="0" fontId="13" fillId="0" borderId="1" xfId="11" applyBorder="1" applyAlignment="1" applyProtection="1">
      <alignment horizontal="center"/>
      <protection locked="0"/>
    </xf>
    <xf numFmtId="0" fontId="13" fillId="0" borderId="0" xfId="10" applyFont="1" applyProtection="1">
      <protection locked="0"/>
    </xf>
    <xf numFmtId="0" fontId="20" fillId="0" borderId="0" xfId="10" applyFont="1" applyAlignment="1">
      <alignment horizontal="left"/>
    </xf>
    <xf numFmtId="0" fontId="20" fillId="0" borderId="0" xfId="10" applyFont="1" applyAlignment="1">
      <alignment horizontal="center"/>
    </xf>
    <xf numFmtId="0" fontId="14" fillId="0" borderId="0" xfId="10" applyFont="1" applyAlignment="1">
      <alignment horizontal="left" indent="1"/>
    </xf>
    <xf numFmtId="164" fontId="15" fillId="0" borderId="0" xfId="4" applyNumberFormat="1" applyFont="1" applyFill="1" applyBorder="1" applyAlignment="1">
      <alignment horizontal="right"/>
    </xf>
    <xf numFmtId="0" fontId="14" fillId="0" borderId="0" xfId="10" applyFont="1" applyAlignment="1">
      <alignment horizontal="right"/>
    </xf>
    <xf numFmtId="0" fontId="14" fillId="0" borderId="0" xfId="10" applyFont="1" applyAlignment="1">
      <alignment horizontal="left"/>
    </xf>
    <xf numFmtId="169" fontId="15" fillId="0" borderId="0" xfId="12" applyNumberFormat="1" applyFont="1" applyFill="1" applyBorder="1" applyAlignment="1">
      <alignment horizontal="center"/>
    </xf>
    <xf numFmtId="0" fontId="13" fillId="0" borderId="0" xfId="1" quotePrefix="1" applyFont="1" applyAlignment="1">
      <alignment horizontal="center" vertical="top" wrapText="1"/>
    </xf>
    <xf numFmtId="0" fontId="13" fillId="0" borderId="0" xfId="1" applyFont="1" applyAlignment="1">
      <alignment vertical="top" wrapText="1"/>
    </xf>
    <xf numFmtId="0" fontId="14" fillId="0" borderId="0" xfId="10" quotePrefix="1" applyFont="1"/>
    <xf numFmtId="0" fontId="13" fillId="0" borderId="0" xfId="10" quotePrefix="1" applyFont="1" applyAlignment="1" applyProtection="1">
      <alignment horizontal="center"/>
      <protection locked="0"/>
    </xf>
    <xf numFmtId="0" fontId="13" fillId="0" borderId="1" xfId="10" applyFont="1" applyBorder="1" applyAlignment="1">
      <alignment horizontal="center"/>
    </xf>
    <xf numFmtId="0" fontId="13" fillId="0" borderId="0" xfId="11" applyAlignment="1" applyProtection="1">
      <alignment horizontal="center"/>
      <protection locked="0"/>
    </xf>
    <xf numFmtId="164" fontId="21" fillId="0" borderId="0" xfId="4" applyNumberFormat="1" applyFont="1" applyFill="1" applyBorder="1" applyAlignment="1">
      <alignment horizontal="right"/>
    </xf>
    <xf numFmtId="164" fontId="13" fillId="0" borderId="0" xfId="4" applyNumberFormat="1" applyFont="1" applyFill="1" applyBorder="1" applyAlignment="1">
      <alignment horizontal="right"/>
    </xf>
    <xf numFmtId="164" fontId="13" fillId="0" borderId="0" xfId="4" applyNumberFormat="1" applyFont="1" applyFill="1" applyBorder="1" applyAlignment="1">
      <alignment horizontal="center"/>
    </xf>
    <xf numFmtId="164" fontId="15" fillId="0" borderId="0" xfId="4" applyNumberFormat="1" applyFont="1" applyFill="1" applyBorder="1" applyAlignment="1">
      <alignment horizontal="center"/>
    </xf>
    <xf numFmtId="165" fontId="13" fillId="0" borderId="4" xfId="4" applyNumberFormat="1" applyFont="1" applyFill="1" applyBorder="1" applyAlignment="1">
      <alignment horizontal="right"/>
    </xf>
    <xf numFmtId="170" fontId="13" fillId="0" borderId="0" xfId="12" applyNumberFormat="1" applyFont="1" applyFill="1" applyBorder="1" applyAlignment="1">
      <alignment horizontal="center"/>
    </xf>
    <xf numFmtId="164" fontId="14" fillId="0" borderId="0" xfId="10" applyNumberFormat="1" applyFont="1"/>
    <xf numFmtId="0" fontId="24" fillId="0" borderId="0" xfId="10" applyFont="1" applyProtection="1">
      <protection locked="0"/>
    </xf>
    <xf numFmtId="0" fontId="13" fillId="0" borderId="0" xfId="11" applyProtection="1">
      <protection locked="0"/>
    </xf>
    <xf numFmtId="0" fontId="13" fillId="0" borderId="0" xfId="11" quotePrefix="1" applyAlignment="1" applyProtection="1">
      <alignment horizontal="center"/>
      <protection locked="0"/>
    </xf>
    <xf numFmtId="171" fontId="13" fillId="0" borderId="0" xfId="10" applyNumberFormat="1" applyFont="1"/>
    <xf numFmtId="172" fontId="13" fillId="0" borderId="0" xfId="10" applyNumberFormat="1" applyFont="1"/>
    <xf numFmtId="169" fontId="13" fillId="0" borderId="0" xfId="14" applyNumberFormat="1" applyFont="1" applyFill="1"/>
    <xf numFmtId="0" fontId="13" fillId="0" borderId="0" xfId="10" applyFont="1"/>
    <xf numFmtId="0" fontId="17" fillId="0" borderId="0" xfId="10" applyFont="1"/>
    <xf numFmtId="169" fontId="13" fillId="0" borderId="0" xfId="14" applyNumberFormat="1" applyFont="1" applyFill="1" applyProtection="1">
      <protection locked="0"/>
    </xf>
    <xf numFmtId="173" fontId="13" fillId="0" borderId="0" xfId="10" applyNumberFormat="1" applyFont="1"/>
    <xf numFmtId="171" fontId="13" fillId="0" borderId="4" xfId="10" applyNumberFormat="1" applyFont="1" applyBorder="1"/>
    <xf numFmtId="174" fontId="14" fillId="0" borderId="0" xfId="10" applyNumberFormat="1" applyFont="1"/>
    <xf numFmtId="0" fontId="13" fillId="0" borderId="0" xfId="15" applyFont="1" applyAlignment="1">
      <alignment horizontal="left" indent="2"/>
    </xf>
    <xf numFmtId="169" fontId="14" fillId="0" borderId="0" xfId="10" applyNumberFormat="1" applyFont="1"/>
    <xf numFmtId="173" fontId="14" fillId="0" borderId="0" xfId="10" applyNumberFormat="1" applyFont="1"/>
    <xf numFmtId="171" fontId="25" fillId="0" borderId="0" xfId="10" applyNumberFormat="1" applyFont="1"/>
    <xf numFmtId="171" fontId="14" fillId="0" borderId="0" xfId="10" applyNumberFormat="1" applyFont="1"/>
    <xf numFmtId="171" fontId="13" fillId="0" borderId="2" xfId="10" applyNumberFormat="1" applyFont="1" applyBorder="1"/>
    <xf numFmtId="171" fontId="14" fillId="0" borderId="3" xfId="10" applyNumberFormat="1" applyFont="1" applyBorder="1"/>
    <xf numFmtId="171" fontId="13" fillId="0" borderId="3" xfId="10" applyNumberFormat="1" applyFont="1" applyBorder="1"/>
    <xf numFmtId="0" fontId="12" fillId="0" borderId="0" xfId="16" applyFont="1"/>
    <xf numFmtId="0" fontId="13" fillId="0" borderId="0" xfId="15" quotePrefix="1" applyFont="1" applyAlignment="1">
      <alignment horizontal="center"/>
    </xf>
    <xf numFmtId="171" fontId="14" fillId="4" borderId="0" xfId="10" applyNumberFormat="1" applyFont="1" applyFill="1"/>
    <xf numFmtId="169" fontId="28" fillId="0" borderId="0" xfId="4" applyNumberFormat="1" applyFont="1" applyFill="1" applyBorder="1"/>
    <xf numFmtId="169" fontId="13" fillId="0" borderId="0" xfId="4" applyNumberFormat="1" applyFont="1" applyFill="1" applyBorder="1"/>
    <xf numFmtId="181" fontId="13" fillId="0" borderId="0" xfId="4" applyNumberFormat="1" applyFont="1" applyFill="1" applyBorder="1" applyAlignment="1">
      <alignment horizontal="right"/>
    </xf>
    <xf numFmtId="9" fontId="13" fillId="0" borderId="0" xfId="20" applyFont="1" applyFill="1" applyBorder="1" applyAlignment="1">
      <alignment horizontal="right"/>
    </xf>
    <xf numFmtId="164" fontId="13" fillId="0" borderId="0" xfId="1" applyNumberFormat="1" applyFont="1"/>
    <xf numFmtId="0" fontId="13" fillId="0" borderId="0" xfId="16" quotePrefix="1" applyAlignment="1">
      <alignment horizontal="center" vertical="top"/>
    </xf>
    <xf numFmtId="0" fontId="14" fillId="0" borderId="0" xfId="21" applyFont="1"/>
    <xf numFmtId="0" fontId="13" fillId="0" borderId="0" xfId="21" applyFont="1"/>
    <xf numFmtId="0" fontId="16" fillId="0" borderId="0" xfId="21" applyFont="1" applyAlignment="1">
      <alignment horizontal="left"/>
    </xf>
    <xf numFmtId="0" fontId="7" fillId="0" borderId="0" xfId="21"/>
    <xf numFmtId="0" fontId="13" fillId="0" borderId="0" xfId="21" applyFont="1" applyAlignment="1">
      <alignment horizontal="centerContinuous"/>
    </xf>
    <xf numFmtId="0" fontId="13" fillId="0" borderId="0" xfId="21" applyFont="1" applyAlignment="1">
      <alignment horizontal="right"/>
    </xf>
    <xf numFmtId="0" fontId="13" fillId="0" borderId="0" xfId="21" applyFont="1" applyAlignment="1">
      <alignment horizontal="center"/>
    </xf>
    <xf numFmtId="169" fontId="13" fillId="0" borderId="0" xfId="22" applyNumberFormat="1" applyFont="1" applyFill="1" applyBorder="1" applyAlignment="1">
      <alignment horizontal="center"/>
    </xf>
    <xf numFmtId="180" fontId="13" fillId="0" borderId="0" xfId="20" applyNumberFormat="1" applyFont="1" applyFill="1" applyAlignment="1">
      <alignment horizontal="right"/>
    </xf>
    <xf numFmtId="0" fontId="13" fillId="0" borderId="1" xfId="21" applyFont="1" applyBorder="1" applyAlignment="1">
      <alignment horizontal="center"/>
    </xf>
    <xf numFmtId="169" fontId="13" fillId="0" borderId="0" xfId="25" applyNumberFormat="1" applyFont="1" applyFill="1" applyBorder="1" applyAlignment="1">
      <alignment horizontal="center"/>
    </xf>
    <xf numFmtId="0" fontId="12" fillId="0" borderId="0" xfId="21" applyFont="1"/>
    <xf numFmtId="187" fontId="13" fillId="0" borderId="0" xfId="21" applyNumberFormat="1" applyFont="1"/>
    <xf numFmtId="169" fontId="13" fillId="0" borderId="0" xfId="21" applyNumberFormat="1" applyFont="1"/>
    <xf numFmtId="180" fontId="13" fillId="0" borderId="0" xfId="20" applyNumberFormat="1" applyFont="1" applyFill="1" applyBorder="1"/>
    <xf numFmtId="180" fontId="13" fillId="0" borderId="0" xfId="21" applyNumberFormat="1" applyFont="1"/>
    <xf numFmtId="3" fontId="13" fillId="0" borderId="0" xfId="21" applyNumberFormat="1" applyFont="1"/>
    <xf numFmtId="43" fontId="13" fillId="0" borderId="0" xfId="21" applyNumberFormat="1" applyFont="1"/>
    <xf numFmtId="0" fontId="13" fillId="0" borderId="0" xfId="21" quotePrefix="1" applyFont="1"/>
    <xf numFmtId="3" fontId="13" fillId="0" borderId="0" xfId="21" quotePrefix="1" applyNumberFormat="1" applyFont="1"/>
    <xf numFmtId="188" fontId="13" fillId="0" borderId="0" xfId="16" applyNumberFormat="1" applyAlignment="1">
      <alignment horizontal="right"/>
    </xf>
    <xf numFmtId="0" fontId="12" fillId="0" borderId="0" xfId="21" applyFont="1" applyAlignment="1">
      <alignment horizontal="center"/>
    </xf>
    <xf numFmtId="0" fontId="12" fillId="0" borderId="0" xfId="21" applyFont="1" applyAlignment="1">
      <alignment horizontal="right"/>
    </xf>
    <xf numFmtId="0" fontId="13" fillId="0" borderId="0" xfId="25" applyNumberFormat="1" applyFont="1" applyFill="1" applyBorder="1" applyAlignment="1"/>
    <xf numFmtId="0" fontId="13" fillId="0" borderId="0" xfId="25" applyNumberFormat="1" applyFont="1" applyFill="1" applyBorder="1" applyAlignment="1">
      <alignment horizontal="center"/>
    </xf>
    <xf numFmtId="0" fontId="13" fillId="0" borderId="0" xfId="21" quotePrefix="1" applyFont="1" applyAlignment="1">
      <alignment horizontal="left"/>
    </xf>
    <xf numFmtId="0" fontId="16" fillId="0" borderId="0" xfId="21" applyFont="1" applyAlignment="1">
      <alignment horizontal="center"/>
    </xf>
    <xf numFmtId="0" fontId="16" fillId="0" borderId="0" xfId="21" applyFont="1"/>
    <xf numFmtId="0" fontId="14" fillId="0" borderId="0" xfId="21" applyFont="1" applyAlignment="1">
      <alignment horizontal="right"/>
    </xf>
    <xf numFmtId="0" fontId="16" fillId="0" borderId="1" xfId="21" applyFont="1" applyBorder="1" applyAlignment="1">
      <alignment horizontal="center" wrapText="1"/>
    </xf>
    <xf numFmtId="0" fontId="16" fillId="0" borderId="0" xfId="21" applyFont="1" applyAlignment="1">
      <alignment horizontal="center" wrapText="1"/>
    </xf>
    <xf numFmtId="0" fontId="16" fillId="0" borderId="1" xfId="21" applyFont="1" applyBorder="1" applyAlignment="1">
      <alignment wrapText="1"/>
    </xf>
    <xf numFmtId="0" fontId="16" fillId="0" borderId="0" xfId="21" applyFont="1" applyAlignment="1">
      <alignment wrapText="1"/>
    </xf>
    <xf numFmtId="0" fontId="16" fillId="0" borderId="0" xfId="21" quotePrefix="1" applyFont="1" applyAlignment="1">
      <alignment horizontal="center" wrapText="1"/>
    </xf>
    <xf numFmtId="0" fontId="23" fillId="0" borderId="0" xfId="21" applyFont="1"/>
    <xf numFmtId="184" fontId="16" fillId="0" borderId="0" xfId="25" applyNumberFormat="1" applyFont="1" applyFill="1" applyAlignment="1">
      <alignment horizontal="center"/>
    </xf>
    <xf numFmtId="169" fontId="16" fillId="0" borderId="0" xfId="25" applyNumberFormat="1" applyFont="1" applyFill="1" applyAlignment="1">
      <alignment horizontal="center"/>
    </xf>
    <xf numFmtId="169" fontId="16" fillId="0" borderId="0" xfId="25" applyNumberFormat="1" applyFont="1" applyFill="1" applyBorder="1" applyAlignment="1">
      <alignment horizontal="center"/>
    </xf>
    <xf numFmtId="170" fontId="16" fillId="0" borderId="0" xfId="25" applyNumberFormat="1" applyFont="1" applyFill="1" applyAlignment="1">
      <alignment horizontal="center"/>
    </xf>
    <xf numFmtId="184" fontId="16" fillId="0" borderId="0" xfId="25" applyNumberFormat="1" applyFont="1" applyFill="1"/>
    <xf numFmtId="170" fontId="16" fillId="0" borderId="0" xfId="25" applyNumberFormat="1" applyFont="1" applyFill="1" applyBorder="1" applyAlignment="1">
      <alignment horizontal="center"/>
    </xf>
    <xf numFmtId="170" fontId="16" fillId="0" borderId="0" xfId="25" quotePrefix="1" applyNumberFormat="1" applyFont="1" applyFill="1" applyAlignment="1">
      <alignment horizontal="center"/>
    </xf>
    <xf numFmtId="170" fontId="16" fillId="0" borderId="0" xfId="25" quotePrefix="1" applyNumberFormat="1" applyFont="1" applyFill="1" applyBorder="1" applyAlignment="1">
      <alignment horizontal="center"/>
    </xf>
    <xf numFmtId="170" fontId="16" fillId="0" borderId="2" xfId="25" applyNumberFormat="1" applyFont="1" applyFill="1" applyBorder="1" applyAlignment="1">
      <alignment horizontal="center"/>
    </xf>
    <xf numFmtId="170" fontId="16" fillId="0" borderId="0" xfId="21" applyNumberFormat="1" applyFont="1"/>
    <xf numFmtId="170" fontId="16" fillId="0" borderId="1" xfId="25" applyNumberFormat="1" applyFont="1" applyFill="1" applyBorder="1" applyAlignment="1">
      <alignment horizontal="center"/>
    </xf>
    <xf numFmtId="170" fontId="16" fillId="0" borderId="0" xfId="21" applyNumberFormat="1" applyFont="1" applyAlignment="1">
      <alignment horizontal="center"/>
    </xf>
    <xf numFmtId="170" fontId="16" fillId="0" borderId="3" xfId="25" applyNumberFormat="1" applyFont="1" applyFill="1" applyBorder="1" applyAlignment="1">
      <alignment horizontal="center"/>
    </xf>
    <xf numFmtId="184" fontId="16" fillId="0" borderId="0" xfId="25" applyNumberFormat="1" applyFont="1" applyFill="1" applyAlignment="1">
      <alignment horizontal="left"/>
    </xf>
    <xf numFmtId="0" fontId="23" fillId="0" borderId="0" xfId="21" applyFont="1" applyAlignment="1">
      <alignment horizontal="left"/>
    </xf>
    <xf numFmtId="0" fontId="16" fillId="0" borderId="0" xfId="21" applyFont="1" applyAlignment="1">
      <alignment horizontal="center" vertical="top"/>
    </xf>
    <xf numFmtId="0" fontId="16" fillId="0" borderId="0" xfId="21" applyFont="1" applyAlignment="1">
      <alignment vertical="top" wrapText="1"/>
    </xf>
    <xf numFmtId="0" fontId="16" fillId="0" borderId="0" xfId="21" applyFont="1" applyAlignment="1">
      <alignment horizontal="left" vertical="top" wrapText="1"/>
    </xf>
    <xf numFmtId="0" fontId="16" fillId="0" borderId="0" xfId="21" applyFont="1" applyAlignment="1">
      <alignment horizontal="left" vertical="top" indent="2"/>
    </xf>
    <xf numFmtId="170" fontId="16" fillId="0" borderId="0" xfId="21" applyNumberFormat="1" applyFont="1" applyAlignment="1">
      <alignment horizontal="center" vertical="top"/>
    </xf>
    <xf numFmtId="0" fontId="16" fillId="0" borderId="0" xfId="21" applyFont="1" applyAlignment="1">
      <alignment horizontal="left" indent="2"/>
    </xf>
    <xf numFmtId="43" fontId="16" fillId="0" borderId="4" xfId="21" applyNumberFormat="1" applyFont="1" applyBorder="1" applyAlignment="1">
      <alignment horizontal="center" vertical="top"/>
    </xf>
    <xf numFmtId="170" fontId="16" fillId="0" borderId="4" xfId="21" applyNumberFormat="1" applyFont="1" applyBorder="1" applyAlignment="1">
      <alignment horizontal="center" vertical="top"/>
    </xf>
    <xf numFmtId="7" fontId="13" fillId="0" borderId="0" xfId="7" applyNumberFormat="1" applyFont="1"/>
    <xf numFmtId="190" fontId="13" fillId="0" borderId="0" xfId="7" applyNumberFormat="1" applyFont="1"/>
    <xf numFmtId="0" fontId="13" fillId="0" borderId="0" xfId="0" applyFont="1"/>
    <xf numFmtId="44" fontId="13" fillId="0" borderId="0" xfId="28" applyFont="1"/>
    <xf numFmtId="0" fontId="13" fillId="0" borderId="0" xfId="2" quotePrefix="1" applyAlignment="1">
      <alignment horizontal="center"/>
    </xf>
    <xf numFmtId="0" fontId="13" fillId="0" borderId="0" xfId="21" applyFont="1" applyAlignment="1">
      <alignment horizontal="left"/>
    </xf>
    <xf numFmtId="0" fontId="28" fillId="0" borderId="0" xfId="2" applyFont="1" applyAlignment="1">
      <alignment horizontal="center"/>
    </xf>
    <xf numFmtId="0" fontId="13" fillId="0" borderId="0" xfId="1" applyFont="1" applyAlignment="1">
      <alignment horizontal="right"/>
    </xf>
    <xf numFmtId="164" fontId="13" fillId="0" borderId="0" xfId="1" applyNumberFormat="1" applyFont="1" applyAlignment="1">
      <alignment horizontal="right"/>
    </xf>
    <xf numFmtId="164" fontId="13" fillId="0" borderId="4" xfId="2" applyNumberFormat="1" applyBorder="1" applyAlignment="1">
      <alignment horizontal="right"/>
    </xf>
    <xf numFmtId="164" fontId="28" fillId="0" borderId="0" xfId="2" applyNumberFormat="1" applyFont="1" applyAlignment="1">
      <alignment horizontal="right"/>
    </xf>
    <xf numFmtId="164" fontId="13" fillId="0" borderId="0" xfId="1" applyNumberFormat="1" applyFont="1" applyAlignment="1">
      <alignment horizontal="left"/>
    </xf>
    <xf numFmtId="169" fontId="13" fillId="0" borderId="0" xfId="30" applyNumberFormat="1" applyFont="1"/>
    <xf numFmtId="0" fontId="14" fillId="0" borderId="0" xfId="0" applyFont="1"/>
    <xf numFmtId="0" fontId="14" fillId="0" borderId="0" xfId="0" applyFont="1" applyAlignment="1">
      <alignment horizontal="center"/>
    </xf>
    <xf numFmtId="0" fontId="13" fillId="0" borderId="0" xfId="0" applyFont="1" applyAlignment="1">
      <alignment horizontal="center"/>
    </xf>
    <xf numFmtId="9" fontId="28" fillId="0" borderId="0" xfId="20" applyFont="1" applyFill="1" applyBorder="1" applyAlignment="1">
      <alignment horizontal="right"/>
    </xf>
    <xf numFmtId="0" fontId="14" fillId="0" borderId="0" xfId="0" applyFont="1" applyAlignment="1">
      <alignment horizontal="left" indent="2"/>
    </xf>
    <xf numFmtId="0" fontId="14" fillId="0" borderId="0" xfId="0" applyFont="1" applyAlignment="1">
      <alignment horizontal="left"/>
    </xf>
    <xf numFmtId="0" fontId="14" fillId="0" borderId="0" xfId="0" applyFont="1" applyAlignment="1">
      <alignment horizontal="left" indent="1"/>
    </xf>
    <xf numFmtId="0" fontId="14" fillId="0" borderId="0" xfId="0" applyFont="1" applyAlignment="1">
      <alignment horizontal="left" indent="3"/>
    </xf>
    <xf numFmtId="43" fontId="13" fillId="0" borderId="0" xfId="30" applyFont="1"/>
    <xf numFmtId="169" fontId="14" fillId="0" borderId="1" xfId="35" applyNumberFormat="1" applyFont="1" applyBorder="1" applyAlignment="1">
      <alignment horizontal="center"/>
    </xf>
    <xf numFmtId="169" fontId="14" fillId="0" borderId="0" xfId="35" applyNumberFormat="1" applyFont="1" applyAlignment="1">
      <alignment horizontal="center"/>
    </xf>
    <xf numFmtId="169" fontId="14" fillId="0" borderId="0" xfId="35" applyNumberFormat="1" applyFont="1" applyBorder="1" applyAlignment="1">
      <alignment horizontal="center"/>
    </xf>
    <xf numFmtId="169" fontId="14" fillId="0" borderId="0" xfId="35" applyNumberFormat="1" applyFont="1"/>
    <xf numFmtId="169" fontId="14" fillId="0" borderId="0" xfId="35" applyNumberFormat="1" applyFont="1" applyBorder="1"/>
    <xf numFmtId="0" fontId="14" fillId="0" borderId="0" xfId="34" applyFont="1"/>
    <xf numFmtId="0" fontId="14" fillId="0" borderId="0" xfId="34" applyFont="1" applyAlignment="1">
      <alignment horizontal="left" indent="2"/>
    </xf>
    <xf numFmtId="0" fontId="20" fillId="0" borderId="0" xfId="34" applyFont="1"/>
    <xf numFmtId="0" fontId="14" fillId="0" borderId="0" xfId="38" applyFont="1"/>
    <xf numFmtId="0" fontId="20" fillId="0" borderId="0" xfId="38" applyFont="1"/>
    <xf numFmtId="0" fontId="14" fillId="0" borderId="1" xfId="38" applyFont="1" applyBorder="1"/>
    <xf numFmtId="0" fontId="14" fillId="0" borderId="1" xfId="38" quotePrefix="1" applyFont="1" applyBorder="1" applyAlignment="1">
      <alignment horizontal="center"/>
    </xf>
    <xf numFmtId="0" fontId="14" fillId="0" borderId="0" xfId="38" quotePrefix="1" applyFont="1" applyAlignment="1">
      <alignment horizontal="center" vertical="top"/>
    </xf>
    <xf numFmtId="0" fontId="14" fillId="0" borderId="0" xfId="38" applyFont="1" applyAlignment="1">
      <alignment horizontal="center" vertical="top"/>
    </xf>
    <xf numFmtId="0" fontId="14" fillId="0" borderId="2" xfId="38" quotePrefix="1" applyFont="1" applyBorder="1" applyAlignment="1">
      <alignment horizontal="center" vertical="top" wrapText="1"/>
    </xf>
    <xf numFmtId="0" fontId="14" fillId="0" borderId="0" xfId="38" quotePrefix="1" applyFont="1" applyAlignment="1">
      <alignment horizontal="center" vertical="top" wrapText="1"/>
    </xf>
    <xf numFmtId="0" fontId="14" fillId="0" borderId="0" xfId="38" quotePrefix="1" applyFont="1" applyAlignment="1">
      <alignment horizontal="center"/>
    </xf>
    <xf numFmtId="0" fontId="14" fillId="0" borderId="0" xfId="38" quotePrefix="1" applyFont="1"/>
    <xf numFmtId="169" fontId="14" fillId="0" borderId="0" xfId="39" applyNumberFormat="1" applyFont="1"/>
    <xf numFmtId="169" fontId="14" fillId="0" borderId="0" xfId="38" applyNumberFormat="1" applyFont="1"/>
    <xf numFmtId="169" fontId="14" fillId="0" borderId="2" xfId="38" applyNumberFormat="1" applyFont="1" applyBorder="1"/>
    <xf numFmtId="169" fontId="14" fillId="0" borderId="0" xfId="39" applyNumberFormat="1" applyFont="1" applyBorder="1"/>
    <xf numFmtId="0" fontId="20" fillId="0" borderId="0" xfId="21" applyFont="1" applyAlignment="1">
      <alignment horizontal="centerContinuous"/>
    </xf>
    <xf numFmtId="0" fontId="14" fillId="0" borderId="0" xfId="21" applyFont="1" applyAlignment="1">
      <alignment horizontal="centerContinuous"/>
    </xf>
    <xf numFmtId="37" fontId="13" fillId="0" borderId="0" xfId="23" applyFont="1" applyAlignment="1">
      <alignment horizontal="center"/>
    </xf>
    <xf numFmtId="37" fontId="13" fillId="0" borderId="0" xfId="23" applyFont="1"/>
    <xf numFmtId="0" fontId="13" fillId="0" borderId="0" xfId="21" quotePrefix="1" applyFont="1" applyAlignment="1">
      <alignment horizontal="center"/>
    </xf>
    <xf numFmtId="37" fontId="12" fillId="0" borderId="0" xfId="23" applyFont="1"/>
    <xf numFmtId="177" fontId="13" fillId="0" borderId="0" xfId="23" applyNumberFormat="1" applyFont="1" applyAlignment="1">
      <alignment horizontal="center"/>
    </xf>
    <xf numFmtId="37" fontId="13" fillId="0" borderId="0" xfId="24" applyFont="1" applyAlignment="1">
      <alignment horizontal="left" indent="1"/>
    </xf>
    <xf numFmtId="169" fontId="13" fillId="0" borderId="0" xfId="25" applyNumberFormat="1" applyFont="1" applyFill="1" applyBorder="1"/>
    <xf numFmtId="184" fontId="13" fillId="0" borderId="0" xfId="25" applyNumberFormat="1" applyFont="1" applyFill="1" applyBorder="1" applyAlignment="1">
      <alignment horizontal="center"/>
    </xf>
    <xf numFmtId="177" fontId="13" fillId="0" borderId="0" xfId="21" applyNumberFormat="1" applyFont="1" applyAlignment="1">
      <alignment horizontal="center"/>
    </xf>
    <xf numFmtId="177" fontId="13" fillId="0" borderId="0" xfId="26" applyNumberFormat="1" applyFont="1" applyAlignment="1">
      <alignment horizontal="center"/>
    </xf>
    <xf numFmtId="184" fontId="13" fillId="0" borderId="0" xfId="25" applyNumberFormat="1" applyFont="1" applyFill="1" applyBorder="1"/>
    <xf numFmtId="0" fontId="13" fillId="0" borderId="0" xfId="26" applyFont="1"/>
    <xf numFmtId="180" fontId="13" fillId="0" borderId="0" xfId="20" applyNumberFormat="1" applyFont="1" applyFill="1" applyBorder="1" applyAlignment="1">
      <alignment horizontal="right"/>
    </xf>
    <xf numFmtId="37" fontId="12" fillId="0" borderId="0" xfId="24" applyFont="1"/>
    <xf numFmtId="0" fontId="13" fillId="0" borderId="0" xfId="21" quotePrefix="1" applyFont="1" applyAlignment="1">
      <alignment horizontal="center" vertical="top" wrapText="1"/>
    </xf>
    <xf numFmtId="0" fontId="13" fillId="0" borderId="0" xfId="21" quotePrefix="1" applyFont="1" applyAlignment="1">
      <alignment horizontal="left" wrapText="1"/>
    </xf>
    <xf numFmtId="0" fontId="14" fillId="0" borderId="0" xfId="21" quotePrefix="1" applyFont="1" applyAlignment="1">
      <alignment horizontal="center"/>
    </xf>
    <xf numFmtId="0" fontId="20" fillId="0" borderId="0" xfId="34" applyFont="1" applyAlignment="1">
      <alignment horizontal="center"/>
    </xf>
    <xf numFmtId="169" fontId="14" fillId="0" borderId="1" xfId="35" applyNumberFormat="1" applyFont="1" applyBorder="1" applyAlignment="1">
      <alignment horizontal="left"/>
    </xf>
    <xf numFmtId="0" fontId="14" fillId="0" borderId="0" xfId="34" applyFont="1" applyAlignment="1">
      <alignment horizontal="center"/>
    </xf>
    <xf numFmtId="0" fontId="14" fillId="0" borderId="1" xfId="34" applyFont="1" applyBorder="1" applyAlignment="1">
      <alignment horizontal="center"/>
    </xf>
    <xf numFmtId="169" fontId="14" fillId="0" borderId="0" xfId="34" applyNumberFormat="1" applyFont="1"/>
    <xf numFmtId="185" fontId="14" fillId="0" borderId="0" xfId="36" applyNumberFormat="1" applyFont="1" applyFill="1"/>
    <xf numFmtId="10" fontId="14" fillId="0" borderId="0" xfId="34" applyNumberFormat="1" applyFont="1"/>
    <xf numFmtId="0" fontId="14" fillId="0" borderId="0" xfId="34" applyFont="1" applyAlignment="1">
      <alignment horizontal="left" indent="4"/>
    </xf>
    <xf numFmtId="0" fontId="14" fillId="0" borderId="0" xfId="34" quotePrefix="1" applyFont="1" applyAlignment="1">
      <alignment horizontal="center"/>
    </xf>
    <xf numFmtId="0" fontId="14" fillId="0" borderId="0" xfId="38" applyFont="1" applyAlignment="1">
      <alignment horizontal="center"/>
    </xf>
    <xf numFmtId="0" fontId="13" fillId="0" borderId="0" xfId="1" applyFont="1" applyAlignment="1">
      <alignment horizontal="left" vertical="top" wrapText="1"/>
    </xf>
    <xf numFmtId="0" fontId="13" fillId="0" borderId="1" xfId="10" applyFont="1" applyBorder="1" applyAlignment="1" applyProtection="1">
      <alignment horizontal="center"/>
      <protection locked="0"/>
    </xf>
    <xf numFmtId="0" fontId="32" fillId="0" borderId="0" xfId="38" applyFont="1"/>
    <xf numFmtId="0" fontId="20" fillId="0" borderId="0" xfId="0"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center" vertical="top"/>
    </xf>
    <xf numFmtId="0" fontId="14" fillId="0" borderId="0" xfId="0" quotePrefix="1" applyFont="1" applyAlignment="1">
      <alignment horizontal="center"/>
    </xf>
    <xf numFmtId="169" fontId="14" fillId="0" borderId="0" xfId="0" applyNumberFormat="1" applyFont="1"/>
    <xf numFmtId="169" fontId="14" fillId="0" borderId="2" xfId="0" applyNumberFormat="1" applyFont="1" applyBorder="1"/>
    <xf numFmtId="0" fontId="36" fillId="0" borderId="0" xfId="31" applyFont="1"/>
    <xf numFmtId="0" fontId="13" fillId="0" borderId="0" xfId="31" applyFont="1"/>
    <xf numFmtId="184" fontId="37" fillId="0" borderId="0" xfId="32" applyNumberFormat="1" applyFont="1"/>
    <xf numFmtId="0" fontId="12" fillId="0" borderId="0" xfId="0" applyFont="1" applyAlignment="1">
      <alignment horizontal="center"/>
    </xf>
    <xf numFmtId="0" fontId="13" fillId="0" borderId="0" xfId="31" applyFont="1" applyAlignment="1">
      <alignment horizontal="center"/>
    </xf>
    <xf numFmtId="0" fontId="13" fillId="0" borderId="1" xfId="0" applyFont="1" applyBorder="1" applyAlignment="1">
      <alignment horizontal="center"/>
    </xf>
    <xf numFmtId="0" fontId="13" fillId="0" borderId="1" xfId="38" applyFont="1" applyBorder="1"/>
    <xf numFmtId="0" fontId="12" fillId="0" borderId="0" xfId="31" applyFont="1"/>
    <xf numFmtId="0" fontId="13" fillId="0" borderId="0" xfId="0" quotePrefix="1" applyFont="1" applyAlignment="1">
      <alignment horizontal="center"/>
    </xf>
    <xf numFmtId="169" fontId="13" fillId="0" borderId="0" xfId="30" applyNumberFormat="1" applyFont="1" applyFill="1"/>
    <xf numFmtId="169" fontId="13" fillId="0" borderId="0" xfId="0" applyNumberFormat="1" applyFont="1"/>
    <xf numFmtId="169" fontId="13" fillId="0" borderId="0" xfId="32" applyNumberFormat="1" applyFont="1" applyFill="1"/>
    <xf numFmtId="43" fontId="36" fillId="0" borderId="0" xfId="31" applyNumberFormat="1" applyFont="1"/>
    <xf numFmtId="169" fontId="36" fillId="0" borderId="0" xfId="31" applyNumberFormat="1" applyFont="1"/>
    <xf numFmtId="169" fontId="13" fillId="0" borderId="5" xfId="0" applyNumberFormat="1" applyFont="1" applyBorder="1"/>
    <xf numFmtId="9" fontId="32" fillId="0" borderId="0" xfId="29" applyFont="1"/>
    <xf numFmtId="0" fontId="13" fillId="0" borderId="0" xfId="38" applyFont="1"/>
    <xf numFmtId="169" fontId="14" fillId="0" borderId="3" xfId="38" applyNumberFormat="1" applyFont="1" applyBorder="1"/>
    <xf numFmtId="0" fontId="14" fillId="0" borderId="0" xfId="38" applyFont="1" applyAlignment="1">
      <alignment horizontal="left" wrapText="1"/>
    </xf>
    <xf numFmtId="9" fontId="13" fillId="0" borderId="0" xfId="29" applyFont="1" applyBorder="1"/>
    <xf numFmtId="9" fontId="14" fillId="0" borderId="0" xfId="29" applyFont="1"/>
    <xf numFmtId="165" fontId="14" fillId="0" borderId="0" xfId="10" applyNumberFormat="1" applyFont="1"/>
    <xf numFmtId="0" fontId="14" fillId="0" borderId="0" xfId="10" quotePrefix="1" applyFont="1" applyAlignment="1">
      <alignment horizontal="center"/>
    </xf>
    <xf numFmtId="169" fontId="13" fillId="0" borderId="4" xfId="0" applyNumberFormat="1" applyFont="1" applyBorder="1"/>
    <xf numFmtId="169" fontId="14" fillId="0" borderId="0" xfId="30" applyNumberFormat="1" applyFont="1" applyFill="1"/>
    <xf numFmtId="170" fontId="14" fillId="0" borderId="0" xfId="35" applyNumberFormat="1" applyFont="1"/>
    <xf numFmtId="170" fontId="14" fillId="0" borderId="0" xfId="35" applyNumberFormat="1" applyFont="1" applyBorder="1"/>
    <xf numFmtId="170" fontId="14" fillId="0" borderId="1" xfId="35" applyNumberFormat="1" applyFont="1" applyBorder="1"/>
    <xf numFmtId="170" fontId="14" fillId="0" borderId="0" xfId="35" applyNumberFormat="1" applyFont="1" applyFill="1"/>
    <xf numFmtId="170" fontId="14" fillId="0" borderId="0" xfId="35" applyNumberFormat="1" applyFont="1" applyFill="1" applyBorder="1"/>
    <xf numFmtId="170" fontId="14" fillId="0" borderId="4" xfId="35" applyNumberFormat="1" applyFont="1" applyBorder="1"/>
    <xf numFmtId="170" fontId="14" fillId="0" borderId="1" xfId="35" applyNumberFormat="1" applyFont="1" applyFill="1" applyBorder="1"/>
    <xf numFmtId="180" fontId="14" fillId="0" borderId="5" xfId="29" applyNumberFormat="1" applyFont="1" applyFill="1" applyBorder="1"/>
    <xf numFmtId="180" fontId="14" fillId="0" borderId="0" xfId="29" applyNumberFormat="1" applyFont="1" applyFill="1" applyBorder="1"/>
    <xf numFmtId="169" fontId="36" fillId="0" borderId="0" xfId="30" applyNumberFormat="1" applyFont="1"/>
    <xf numFmtId="169" fontId="36" fillId="0" borderId="0" xfId="30" applyNumberFormat="1" applyFont="1" applyFill="1"/>
    <xf numFmtId="0" fontId="14" fillId="0" borderId="0" xfId="21" applyFont="1" applyAlignment="1">
      <alignment horizontal="center"/>
    </xf>
    <xf numFmtId="184" fontId="13" fillId="0" borderId="0" xfId="22" applyNumberFormat="1" applyFont="1" applyFill="1" applyBorder="1" applyAlignment="1">
      <alignment horizontal="center"/>
    </xf>
    <xf numFmtId="37" fontId="13" fillId="0" borderId="0" xfId="23" applyFont="1" applyAlignment="1">
      <alignment horizontal="left"/>
    </xf>
    <xf numFmtId="0" fontId="13" fillId="0" borderId="0" xfId="26" applyFont="1" applyAlignment="1">
      <alignment horizontal="left"/>
    </xf>
    <xf numFmtId="167" fontId="13" fillId="0" borderId="0" xfId="22" applyNumberFormat="1" applyFont="1" applyFill="1" applyBorder="1" applyAlignment="1">
      <alignment horizontal="center"/>
    </xf>
    <xf numFmtId="0" fontId="14" fillId="0" borderId="0" xfId="21" quotePrefix="1" applyFont="1" applyAlignment="1">
      <alignment horizontal="center" vertical="top"/>
    </xf>
    <xf numFmtId="0" fontId="13" fillId="0" borderId="0" xfId="21" applyFont="1" applyAlignment="1">
      <alignment vertical="top"/>
    </xf>
    <xf numFmtId="0" fontId="29" fillId="0" borderId="0" xfId="21" applyFont="1" applyAlignment="1">
      <alignment horizontal="left"/>
    </xf>
    <xf numFmtId="0" fontId="13" fillId="0" borderId="0" xfId="2" applyAlignment="1">
      <alignment horizontal="center" wrapText="1"/>
    </xf>
    <xf numFmtId="0" fontId="13" fillId="0" borderId="1" xfId="2" applyBorder="1" applyAlignment="1">
      <alignment horizontal="center"/>
    </xf>
    <xf numFmtId="0" fontId="13" fillId="0" borderId="0" xfId="2"/>
    <xf numFmtId="0" fontId="13" fillId="0" borderId="1" xfId="2" applyBorder="1" applyAlignment="1">
      <alignment horizontal="left"/>
    </xf>
    <xf numFmtId="0" fontId="14" fillId="0" borderId="0" xfId="21" applyFont="1" applyAlignment="1">
      <alignment horizontal="left"/>
    </xf>
    <xf numFmtId="0" fontId="13" fillId="0" borderId="0" xfId="31" quotePrefix="1" applyFont="1" applyAlignment="1">
      <alignment horizontal="center"/>
    </xf>
    <xf numFmtId="44" fontId="13" fillId="0" borderId="0" xfId="28" applyFont="1" applyFill="1" applyBorder="1" applyAlignment="1">
      <alignment horizontal="right"/>
    </xf>
    <xf numFmtId="169" fontId="13" fillId="0" borderId="0" xfId="30" applyNumberFormat="1" applyFont="1" applyFill="1" applyBorder="1" applyAlignment="1">
      <alignment horizontal="right"/>
    </xf>
    <xf numFmtId="0" fontId="14" fillId="0" borderId="0" xfId="0" applyFont="1" applyAlignment="1">
      <alignment horizontal="right"/>
    </xf>
    <xf numFmtId="0" fontId="13" fillId="0" borderId="0" xfId="43" applyFont="1"/>
    <xf numFmtId="0" fontId="13" fillId="0" borderId="0" xfId="43" applyFont="1" applyAlignment="1">
      <alignment horizontal="center"/>
    </xf>
    <xf numFmtId="169" fontId="13" fillId="0" borderId="0" xfId="43" applyNumberFormat="1" applyFont="1"/>
    <xf numFmtId="0" fontId="14" fillId="0" borderId="0" xfId="0" applyFont="1" applyAlignment="1">
      <alignment horizontal="center" vertical="top"/>
    </xf>
    <xf numFmtId="0" fontId="14" fillId="0" borderId="1" xfId="0" applyFont="1" applyBorder="1" applyAlignment="1">
      <alignment wrapText="1"/>
    </xf>
    <xf numFmtId="0" fontId="14" fillId="0" borderId="0" xfId="46" applyFont="1"/>
    <xf numFmtId="169" fontId="13" fillId="0" borderId="0" xfId="44" applyNumberFormat="1" applyFont="1" applyFill="1"/>
    <xf numFmtId="167" fontId="13" fillId="0" borderId="0" xfId="43" applyNumberFormat="1" applyFont="1"/>
    <xf numFmtId="10" fontId="13" fillId="0" borderId="0" xfId="45" applyNumberFormat="1" applyFont="1" applyFill="1"/>
    <xf numFmtId="10" fontId="13" fillId="0" borderId="3" xfId="43" applyNumberFormat="1" applyFont="1" applyBorder="1"/>
    <xf numFmtId="169" fontId="13" fillId="0" borderId="3" xfId="43" applyNumberFormat="1" applyFont="1" applyBorder="1"/>
    <xf numFmtId="169" fontId="13" fillId="0" borderId="3" xfId="44" applyNumberFormat="1" applyFont="1" applyFill="1" applyBorder="1"/>
    <xf numFmtId="0" fontId="13" fillId="0" borderId="0" xfId="43" quotePrefix="1" applyFont="1"/>
    <xf numFmtId="174" fontId="13" fillId="0" borderId="0" xfId="43" applyNumberFormat="1" applyFont="1"/>
    <xf numFmtId="169" fontId="29" fillId="0" borderId="0" xfId="44" applyNumberFormat="1" applyFont="1" applyFill="1"/>
    <xf numFmtId="0" fontId="13" fillId="0" borderId="0" xfId="43" applyFont="1" applyAlignment="1">
      <alignment horizontal="left"/>
    </xf>
    <xf numFmtId="10" fontId="29" fillId="0" borderId="0" xfId="45" applyNumberFormat="1" applyFont="1" applyFill="1" applyAlignment="1">
      <alignment horizontal="center"/>
    </xf>
    <xf numFmtId="169" fontId="38" fillId="0" borderId="0" xfId="44" applyNumberFormat="1" applyFont="1" applyFill="1"/>
    <xf numFmtId="0" fontId="13" fillId="0" borderId="0" xfId="43" quotePrefix="1" applyFont="1" applyAlignment="1">
      <alignment horizontal="center"/>
    </xf>
    <xf numFmtId="169" fontId="13" fillId="0" borderId="3" xfId="44" applyNumberFormat="1" applyFont="1" applyFill="1" applyBorder="1" applyAlignment="1">
      <alignment horizontal="left"/>
    </xf>
    <xf numFmtId="0" fontId="13" fillId="0" borderId="0" xfId="10" applyFont="1" applyAlignment="1">
      <alignment horizontal="center"/>
    </xf>
    <xf numFmtId="184" fontId="14" fillId="0" borderId="0" xfId="35" applyNumberFormat="1" applyFont="1"/>
    <xf numFmtId="0" fontId="14" fillId="0" borderId="0" xfId="0" applyFont="1" applyAlignment="1">
      <alignment horizontal="center" vertical="top" wrapText="1"/>
    </xf>
    <xf numFmtId="0" fontId="14" fillId="0" borderId="1" xfId="48" applyFont="1" applyBorder="1" applyAlignment="1">
      <alignment horizontal="center" wrapText="1"/>
    </xf>
    <xf numFmtId="0" fontId="14" fillId="0" borderId="1" xfId="48" quotePrefix="1" applyFont="1" applyBorder="1" applyAlignment="1">
      <alignment horizontal="center" wrapText="1"/>
    </xf>
    <xf numFmtId="0" fontId="0" fillId="0" borderId="0" xfId="0" applyAlignment="1">
      <alignment vertical="top"/>
    </xf>
    <xf numFmtId="0" fontId="14" fillId="0" borderId="0" xfId="0" applyFont="1" applyAlignment="1">
      <alignment vertical="top" wrapText="1"/>
    </xf>
    <xf numFmtId="0" fontId="0" fillId="0" borderId="0" xfId="0" applyAlignment="1">
      <alignment horizontal="center"/>
    </xf>
    <xf numFmtId="0" fontId="40" fillId="0" borderId="0" xfId="0" applyFont="1" applyAlignment="1">
      <alignment horizontal="center"/>
    </xf>
    <xf numFmtId="0" fontId="40" fillId="0" borderId="0" xfId="0" applyFont="1"/>
    <xf numFmtId="0" fontId="39" fillId="0" borderId="0" xfId="0" applyFont="1"/>
    <xf numFmtId="169" fontId="14" fillId="0" borderId="0" xfId="47" applyNumberFormat="1" applyFont="1" applyFill="1"/>
    <xf numFmtId="184" fontId="14" fillId="0" borderId="0" xfId="47" applyNumberFormat="1" applyFont="1" applyFill="1"/>
    <xf numFmtId="169" fontId="0" fillId="0" borderId="0" xfId="47" applyNumberFormat="1" applyFont="1" applyFill="1"/>
    <xf numFmtId="169" fontId="14" fillId="0" borderId="4" xfId="47" applyNumberFormat="1" applyFont="1" applyFill="1" applyBorder="1"/>
    <xf numFmtId="184" fontId="14" fillId="0" borderId="4" xfId="47" applyNumberFormat="1" applyFont="1" applyFill="1" applyBorder="1"/>
    <xf numFmtId="49" fontId="14" fillId="0" borderId="0" xfId="0" applyNumberFormat="1" applyFont="1" applyAlignment="1">
      <alignment horizontal="center"/>
    </xf>
    <xf numFmtId="49" fontId="14" fillId="0" borderId="0" xfId="0" applyNumberFormat="1" applyFont="1"/>
    <xf numFmtId="169" fontId="14" fillId="0" borderId="3" xfId="47" applyNumberFormat="1" applyFont="1" applyFill="1" applyBorder="1"/>
    <xf numFmtId="184" fontId="14" fillId="0" borderId="3" xfId="47" applyNumberFormat="1" applyFont="1" applyFill="1" applyBorder="1"/>
    <xf numFmtId="0" fontId="14" fillId="0" borderId="0" xfId="48" applyFont="1" applyAlignment="1">
      <alignment horizontal="center" wrapText="1"/>
    </xf>
    <xf numFmtId="0" fontId="14" fillId="0" borderId="0" xfId="48" quotePrefix="1" applyFont="1" applyAlignment="1">
      <alignment horizontal="center" wrapText="1"/>
    </xf>
    <xf numFmtId="169" fontId="14" fillId="0" borderId="0" xfId="47" applyNumberFormat="1" applyFont="1" applyFill="1" applyBorder="1"/>
    <xf numFmtId="169" fontId="41" fillId="0" borderId="0" xfId="47" applyNumberFormat="1" applyFont="1" applyFill="1" applyBorder="1"/>
    <xf numFmtId="184" fontId="14" fillId="0" borderId="0" xfId="47" applyNumberFormat="1" applyFont="1" applyFill="1" applyBorder="1"/>
    <xf numFmtId="0" fontId="14" fillId="0" borderId="0" xfId="0" applyFont="1" applyAlignment="1">
      <alignment vertical="top"/>
    </xf>
    <xf numFmtId="0" fontId="20" fillId="0" borderId="0" xfId="0" applyFont="1"/>
    <xf numFmtId="0" fontId="45" fillId="0" borderId="0" xfId="0" applyFont="1" applyAlignment="1">
      <alignment horizontal="center"/>
    </xf>
    <xf numFmtId="0" fontId="45" fillId="0" borderId="0" xfId="0" applyFont="1"/>
    <xf numFmtId="0" fontId="13" fillId="0" borderId="0" xfId="49"/>
    <xf numFmtId="0" fontId="13" fillId="0" borderId="0" xfId="49" applyAlignment="1">
      <alignment horizontal="center"/>
    </xf>
    <xf numFmtId="0" fontId="13" fillId="0" borderId="1" xfId="49" applyBorder="1" applyAlignment="1">
      <alignment horizontal="center"/>
    </xf>
    <xf numFmtId="0" fontId="13" fillId="0" borderId="0" xfId="43" quotePrefix="1" applyFont="1" applyAlignment="1">
      <alignment horizontal="right"/>
    </xf>
    <xf numFmtId="0" fontId="13" fillId="0" borderId="0" xfId="43" quotePrefix="1" applyFont="1" applyAlignment="1">
      <alignment horizontal="left"/>
    </xf>
    <xf numFmtId="0" fontId="14" fillId="0" borderId="0" xfId="46" applyFont="1" applyAlignment="1">
      <alignment horizontal="left"/>
    </xf>
    <xf numFmtId="0" fontId="14" fillId="0" borderId="0" xfId="46" applyFont="1" applyAlignment="1">
      <alignment horizontal="center"/>
    </xf>
    <xf numFmtId="174" fontId="14" fillId="0" borderId="0" xfId="46" applyNumberFormat="1" applyFont="1" applyAlignment="1">
      <alignment horizontal="center"/>
    </xf>
    <xf numFmtId="0" fontId="14" fillId="0" borderId="0" xfId="46" applyFont="1" applyAlignment="1">
      <alignment horizontal="left" indent="2"/>
    </xf>
    <xf numFmtId="198" fontId="17" fillId="0" borderId="0" xfId="46" applyNumberFormat="1" applyFont="1" applyAlignment="1">
      <alignment horizontal="center"/>
    </xf>
    <xf numFmtId="0" fontId="16" fillId="0" borderId="0" xfId="0" applyFont="1"/>
    <xf numFmtId="169" fontId="14" fillId="0" borderId="0" xfId="46" applyNumberFormat="1" applyFont="1"/>
    <xf numFmtId="184" fontId="13" fillId="0" borderId="0" xfId="44" applyNumberFormat="1" applyFont="1" applyFill="1" applyBorder="1"/>
    <xf numFmtId="10" fontId="46" fillId="0" borderId="0" xfId="50" applyNumberFormat="1" applyFont="1" applyFill="1" applyBorder="1"/>
    <xf numFmtId="0" fontId="14" fillId="0" borderId="0" xfId="46" applyFont="1" applyAlignment="1">
      <alignment horizontal="right"/>
    </xf>
    <xf numFmtId="184" fontId="14" fillId="0" borderId="0" xfId="46" applyNumberFormat="1" applyFont="1"/>
    <xf numFmtId="189" fontId="14" fillId="0" borderId="0" xfId="29" applyNumberFormat="1" applyFont="1" applyFill="1" applyBorder="1"/>
    <xf numFmtId="184" fontId="14" fillId="0" borderId="0" xfId="30" applyNumberFormat="1" applyFont="1" applyFill="1" applyBorder="1"/>
    <xf numFmtId="0" fontId="14" fillId="0" borderId="0" xfId="34" applyFont="1" applyAlignment="1">
      <alignment horizontal="left" indent="1"/>
    </xf>
    <xf numFmtId="0" fontId="14" fillId="0" borderId="0" xfId="34" applyFont="1" applyAlignment="1">
      <alignment horizontal="left" indent="3"/>
    </xf>
    <xf numFmtId="200" fontId="13" fillId="0" borderId="0" xfId="20" applyNumberFormat="1" applyFont="1" applyFill="1"/>
    <xf numFmtId="200" fontId="13" fillId="0" borderId="0" xfId="20" applyNumberFormat="1" applyFont="1" applyFill="1" applyAlignment="1">
      <alignment horizontal="right"/>
    </xf>
    <xf numFmtId="200" fontId="13" fillId="0" borderId="0" xfId="20" applyNumberFormat="1" applyFont="1" applyFill="1" applyBorder="1"/>
    <xf numFmtId="200" fontId="13" fillId="0" borderId="4" xfId="20" applyNumberFormat="1" applyFont="1" applyFill="1" applyBorder="1"/>
    <xf numFmtId="170" fontId="13" fillId="0" borderId="0" xfId="22" applyNumberFormat="1" applyFont="1" applyFill="1" applyBorder="1" applyAlignment="1">
      <alignment horizontal="center"/>
    </xf>
    <xf numFmtId="170" fontId="13" fillId="0" borderId="0" xfId="21" applyNumberFormat="1" applyFont="1"/>
    <xf numFmtId="170" fontId="13" fillId="0" borderId="0" xfId="25" applyNumberFormat="1" applyFont="1" applyFill="1" applyAlignment="1">
      <alignment horizontal="center"/>
    </xf>
    <xf numFmtId="170" fontId="13" fillId="0" borderId="1" xfId="25" applyNumberFormat="1" applyFont="1" applyFill="1" applyBorder="1" applyAlignment="1">
      <alignment horizontal="center"/>
    </xf>
    <xf numFmtId="170" fontId="13" fillId="0" borderId="3" xfId="25" applyNumberFormat="1" applyFont="1" applyFill="1" applyBorder="1" applyAlignment="1">
      <alignment horizontal="center"/>
    </xf>
    <xf numFmtId="0" fontId="14" fillId="0" borderId="1" xfId="0" applyFont="1" applyBorder="1" applyAlignment="1">
      <alignment horizontal="center" wrapText="1"/>
    </xf>
    <xf numFmtId="201" fontId="13" fillId="0" borderId="0" xfId="28" applyNumberFormat="1" applyFont="1"/>
    <xf numFmtId="184" fontId="13" fillId="0" borderId="0" xfId="30" applyNumberFormat="1" applyFont="1"/>
    <xf numFmtId="0" fontId="13" fillId="0" borderId="1" xfId="43" applyFont="1" applyBorder="1"/>
    <xf numFmtId="0" fontId="12" fillId="0" borderId="0" xfId="43" applyFont="1"/>
    <xf numFmtId="196" fontId="13" fillId="0" borderId="4" xfId="43" applyNumberFormat="1" applyFont="1" applyBorder="1"/>
    <xf numFmtId="197" fontId="13" fillId="0" borderId="0" xfId="43" applyNumberFormat="1" applyFont="1"/>
    <xf numFmtId="197" fontId="13" fillId="0" borderId="4" xfId="43" applyNumberFormat="1" applyFont="1" applyBorder="1"/>
    <xf numFmtId="197" fontId="13" fillId="0" borderId="3" xfId="43" applyNumberFormat="1" applyFont="1" applyBorder="1"/>
    <xf numFmtId="169" fontId="29" fillId="0" borderId="0" xfId="43" applyNumberFormat="1" applyFont="1"/>
    <xf numFmtId="184" fontId="38" fillId="0" borderId="0" xfId="43" applyNumberFormat="1" applyFont="1"/>
    <xf numFmtId="42" fontId="13" fillId="0" borderId="0" xfId="43" applyNumberFormat="1" applyFont="1"/>
    <xf numFmtId="169" fontId="13" fillId="0" borderId="3" xfId="44" applyNumberFormat="1" applyFont="1" applyFill="1" applyBorder="1" applyAlignment="1">
      <alignment horizontal="right"/>
    </xf>
    <xf numFmtId="0" fontId="42" fillId="0" borderId="0" xfId="43" applyFont="1" applyAlignment="1">
      <alignment horizontal="center"/>
    </xf>
    <xf numFmtId="10" fontId="29" fillId="0" borderId="0" xfId="45" applyNumberFormat="1" applyFont="1" applyFill="1" applyBorder="1" applyAlignment="1">
      <alignment horizontal="center"/>
    </xf>
    <xf numFmtId="0" fontId="29" fillId="0" borderId="0" xfId="43" applyFont="1"/>
    <xf numFmtId="0" fontId="14" fillId="0" borderId="0" xfId="46" applyFont="1" applyAlignment="1">
      <alignment horizontal="right" indent="2"/>
    </xf>
    <xf numFmtId="0" fontId="12" fillId="0" borderId="0" xfId="43" applyFont="1" applyAlignment="1">
      <alignment horizontal="center"/>
    </xf>
    <xf numFmtId="174" fontId="40" fillId="0" borderId="0" xfId="46" applyNumberFormat="1" applyFont="1" applyAlignment="1">
      <alignment horizontal="center"/>
    </xf>
    <xf numFmtId="0" fontId="29" fillId="0" borderId="0" xfId="43" applyFont="1" applyAlignment="1">
      <alignment horizontal="left" vertical="top" wrapText="1"/>
    </xf>
    <xf numFmtId="169" fontId="14" fillId="0" borderId="4" xfId="30" applyNumberFormat="1" applyFont="1" applyFill="1" applyBorder="1"/>
    <xf numFmtId="10" fontId="13" fillId="0" borderId="0" xfId="43" applyNumberFormat="1" applyFont="1"/>
    <xf numFmtId="0" fontId="13" fillId="0" borderId="0" xfId="42" applyFont="1"/>
    <xf numFmtId="43" fontId="14" fillId="0" borderId="0" xfId="30" applyFont="1" applyFill="1" applyAlignment="1">
      <alignment horizontal="left"/>
    </xf>
    <xf numFmtId="197" fontId="13" fillId="0" borderId="3" xfId="42" applyNumberFormat="1" applyFont="1" applyBorder="1"/>
    <xf numFmtId="0" fontId="13" fillId="0" borderId="1" xfId="21" applyFont="1" applyBorder="1"/>
    <xf numFmtId="186" fontId="13" fillId="0" borderId="0" xfId="21" applyNumberFormat="1" applyFont="1"/>
    <xf numFmtId="43" fontId="13" fillId="0" borderId="0" xfId="21" applyNumberFormat="1" applyFont="1" applyAlignment="1">
      <alignment horizontal="right"/>
    </xf>
    <xf numFmtId="4" fontId="13" fillId="0" borderId="0" xfId="21" applyNumberFormat="1" applyFont="1"/>
    <xf numFmtId="3" fontId="13" fillId="0" borderId="4" xfId="21" applyNumberFormat="1" applyFont="1" applyBorder="1"/>
    <xf numFmtId="186" fontId="13" fillId="0" borderId="4" xfId="21" applyNumberFormat="1" applyFont="1" applyBorder="1"/>
    <xf numFmtId="43" fontId="13" fillId="0" borderId="4" xfId="21" applyNumberFormat="1" applyFont="1" applyBorder="1" applyAlignment="1">
      <alignment horizontal="right"/>
    </xf>
    <xf numFmtId="200" fontId="13" fillId="0" borderId="4" xfId="21" applyNumberFormat="1" applyFont="1" applyBorder="1"/>
    <xf numFmtId="200" fontId="13" fillId="0" borderId="0" xfId="21" applyNumberFormat="1" applyFont="1"/>
    <xf numFmtId="187" fontId="13" fillId="0" borderId="4" xfId="21" applyNumberFormat="1" applyFont="1" applyBorder="1"/>
    <xf numFmtId="200" fontId="13" fillId="0" borderId="2" xfId="21" applyNumberFormat="1" applyFont="1" applyBorder="1"/>
    <xf numFmtId="3" fontId="13" fillId="0" borderId="0" xfId="21" applyNumberFormat="1" applyFont="1" applyAlignment="1">
      <alignment horizontal="center"/>
    </xf>
    <xf numFmtId="200" fontId="13" fillId="0" borderId="0" xfId="21" applyNumberFormat="1" applyFont="1" applyAlignment="1">
      <alignment horizontal="center"/>
    </xf>
    <xf numFmtId="169" fontId="13" fillId="0" borderId="0" xfId="21" applyNumberFormat="1" applyFont="1" applyAlignment="1">
      <alignment horizontal="right"/>
    </xf>
    <xf numFmtId="169" fontId="13" fillId="0" borderId="0" xfId="25" applyNumberFormat="1" applyFont="1" applyFill="1"/>
    <xf numFmtId="167" fontId="13" fillId="0" borderId="0" xfId="25" applyNumberFormat="1" applyFont="1" applyFill="1"/>
    <xf numFmtId="43" fontId="13" fillId="0" borderId="0" xfId="21" applyNumberFormat="1" applyFont="1" applyAlignment="1">
      <alignment horizontal="center"/>
    </xf>
    <xf numFmtId="43" fontId="13" fillId="0" borderId="4" xfId="21" applyNumberFormat="1" applyFont="1" applyBorder="1"/>
    <xf numFmtId="167" fontId="13" fillId="0" borderId="0" xfId="21" applyNumberFormat="1" applyFont="1"/>
    <xf numFmtId="0" fontId="13" fillId="0" borderId="0" xfId="2" applyAlignment="1">
      <alignment horizontal="centerContinuous"/>
    </xf>
    <xf numFmtId="0" fontId="13" fillId="0" borderId="0" xfId="1" applyFont="1" applyAlignment="1">
      <alignment vertical="top"/>
    </xf>
    <xf numFmtId="200" fontId="14" fillId="0" borderId="0" xfId="13" applyNumberFormat="1" applyFont="1" applyAlignment="1">
      <alignment horizontal="right"/>
    </xf>
    <xf numFmtId="200" fontId="14" fillId="0" borderId="2" xfId="13" applyNumberFormat="1" applyFont="1" applyBorder="1" applyAlignment="1">
      <alignment horizontal="right"/>
    </xf>
    <xf numFmtId="200" fontId="14" fillId="0" borderId="0" xfId="10" applyNumberFormat="1" applyFont="1" applyAlignment="1">
      <alignment horizontal="right"/>
    </xf>
    <xf numFmtId="200" fontId="14" fillId="0" borderId="3" xfId="13" applyNumberFormat="1" applyFont="1" applyBorder="1" applyAlignment="1">
      <alignment horizontal="right"/>
    </xf>
    <xf numFmtId="0" fontId="20" fillId="0" borderId="0" xfId="10" applyFont="1"/>
    <xf numFmtId="200" fontId="13" fillId="0" borderId="0" xfId="10" applyNumberFormat="1" applyFont="1" applyAlignment="1" applyProtection="1">
      <alignment horizontal="center"/>
      <protection locked="0"/>
    </xf>
    <xf numFmtId="200" fontId="13" fillId="0" borderId="1" xfId="11" applyNumberFormat="1" applyBorder="1" applyAlignment="1" applyProtection="1">
      <alignment horizontal="center"/>
      <protection locked="0"/>
    </xf>
    <xf numFmtId="200" fontId="13" fillId="0" borderId="0" xfId="10" quotePrefix="1" applyNumberFormat="1" applyFont="1" applyAlignment="1" applyProtection="1">
      <alignment horizontal="center"/>
      <protection locked="0"/>
    </xf>
    <xf numFmtId="200" fontId="14" fillId="0" borderId="0" xfId="10" applyNumberFormat="1" applyFont="1"/>
    <xf numFmtId="0" fontId="14" fillId="2" borderId="0" xfId="10" applyFont="1" applyFill="1"/>
    <xf numFmtId="180" fontId="13" fillId="0" borderId="0" xfId="29" applyNumberFormat="1" applyFont="1"/>
    <xf numFmtId="180" fontId="13" fillId="0" borderId="0" xfId="29" applyNumberFormat="1" applyFont="1" applyFill="1"/>
    <xf numFmtId="180" fontId="13" fillId="0" borderId="0" xfId="29" applyNumberFormat="1" applyFont="1" applyFill="1" applyBorder="1" applyAlignment="1">
      <alignment horizontal="right"/>
    </xf>
    <xf numFmtId="180" fontId="13" fillId="0" borderId="0" xfId="1" applyNumberFormat="1" applyFont="1"/>
    <xf numFmtId="180" fontId="13" fillId="0" borderId="4" xfId="29" applyNumberFormat="1" applyFont="1" applyFill="1" applyBorder="1"/>
    <xf numFmtId="180" fontId="13" fillId="0" borderId="0" xfId="29" applyNumberFormat="1" applyFont="1" applyFill="1" applyBorder="1"/>
    <xf numFmtId="180" fontId="14" fillId="0" borderId="0" xfId="29" applyNumberFormat="1" applyFont="1" applyBorder="1"/>
    <xf numFmtId="183" fontId="28" fillId="0" borderId="0" xfId="2" applyNumberFormat="1" applyFont="1" applyAlignment="1">
      <alignment horizontal="right"/>
    </xf>
    <xf numFmtId="9" fontId="13" fillId="0" borderId="0" xfId="20" applyFont="1" applyFill="1" applyBorder="1"/>
    <xf numFmtId="180" fontId="13" fillId="0" borderId="4" xfId="29" applyNumberFormat="1" applyFont="1" applyFill="1" applyBorder="1" applyAlignment="1">
      <alignment horizontal="right"/>
    </xf>
    <xf numFmtId="180" fontId="13" fillId="0" borderId="3" xfId="29" applyNumberFormat="1" applyFont="1" applyFill="1" applyBorder="1" applyAlignment="1">
      <alignment horizontal="right"/>
    </xf>
    <xf numFmtId="180" fontId="13" fillId="0" borderId="3" xfId="29" applyNumberFormat="1" applyFont="1" applyFill="1" applyBorder="1"/>
    <xf numFmtId="185" fontId="13" fillId="0" borderId="0" xfId="27" applyNumberFormat="1" applyFont="1" applyFill="1"/>
    <xf numFmtId="169" fontId="14" fillId="0" borderId="0" xfId="35" applyNumberFormat="1" applyFont="1" applyFill="1"/>
    <xf numFmtId="169" fontId="14" fillId="0" borderId="0" xfId="35" applyNumberFormat="1" applyFont="1" applyFill="1" applyBorder="1"/>
    <xf numFmtId="0" fontId="13" fillId="0" borderId="4" xfId="0" applyFont="1" applyBorder="1" applyAlignment="1">
      <alignment horizontal="center"/>
    </xf>
    <xf numFmtId="169" fontId="13" fillId="0" borderId="0" xfId="32" applyNumberFormat="1" applyFont="1" applyFill="1" applyBorder="1"/>
    <xf numFmtId="169" fontId="13" fillId="0" borderId="0" xfId="31" applyNumberFormat="1" applyFont="1"/>
    <xf numFmtId="10" fontId="13" fillId="7" borderId="0" xfId="33" applyNumberFormat="1" applyFont="1" applyFill="1" applyBorder="1"/>
    <xf numFmtId="164" fontId="13" fillId="0" borderId="4" xfId="1" applyNumberFormat="1" applyFont="1" applyBorder="1"/>
    <xf numFmtId="0" fontId="13" fillId="0" borderId="1" xfId="1" applyFont="1" applyBorder="1"/>
    <xf numFmtId="0" fontId="48" fillId="0" borderId="0" xfId="0" applyFont="1"/>
    <xf numFmtId="164" fontId="14" fillId="0" borderId="0" xfId="10" applyNumberFormat="1" applyFont="1" applyAlignment="1">
      <alignment horizontal="right"/>
    </xf>
    <xf numFmtId="164" fontId="13" fillId="0" borderId="4" xfId="4" applyNumberFormat="1" applyFont="1" applyFill="1" applyBorder="1" applyAlignment="1">
      <alignment horizontal="right"/>
    </xf>
    <xf numFmtId="184" fontId="13" fillId="0" borderId="0" xfId="30" applyNumberFormat="1" applyFont="1" applyFill="1"/>
    <xf numFmtId="184" fontId="14" fillId="0" borderId="0" xfId="30" applyNumberFormat="1" applyFont="1" applyFill="1" applyAlignment="1">
      <alignment horizontal="left"/>
    </xf>
    <xf numFmtId="0" fontId="13" fillId="0" borderId="0" xfId="0" applyFont="1" applyAlignment="1">
      <alignment horizontal="left"/>
    </xf>
    <xf numFmtId="183" fontId="13" fillId="0" borderId="0" xfId="29" applyNumberFormat="1" applyFont="1" applyAlignment="1">
      <alignment horizontal="right"/>
    </xf>
    <xf numFmtId="183" fontId="13" fillId="0" borderId="4" xfId="29" applyNumberFormat="1" applyFont="1" applyBorder="1" applyAlignment="1">
      <alignment horizontal="right"/>
    </xf>
    <xf numFmtId="183" fontId="13" fillId="0" borderId="0" xfId="1" applyNumberFormat="1" applyFont="1"/>
    <xf numFmtId="183" fontId="13" fillId="0" borderId="3" xfId="29" applyNumberFormat="1" applyFont="1" applyBorder="1" applyAlignment="1">
      <alignment horizontal="right"/>
    </xf>
    <xf numFmtId="170" fontId="13" fillId="0" borderId="3" xfId="22" applyNumberFormat="1" applyFont="1" applyFill="1" applyBorder="1" applyAlignment="1">
      <alignment horizontal="center"/>
    </xf>
    <xf numFmtId="180" fontId="13" fillId="0" borderId="0" xfId="29" applyNumberFormat="1" applyFont="1" applyFill="1" applyAlignment="1">
      <alignment horizontal="right"/>
    </xf>
    <xf numFmtId="183" fontId="13" fillId="0" borderId="0" xfId="1" applyNumberFormat="1" applyFont="1" applyAlignment="1">
      <alignment horizontal="center" wrapText="1"/>
    </xf>
    <xf numFmtId="183" fontId="13" fillId="0" borderId="0" xfId="11" applyNumberFormat="1" applyAlignment="1" applyProtection="1">
      <alignment horizontal="center"/>
      <protection locked="0"/>
    </xf>
    <xf numFmtId="183" fontId="13" fillId="0" borderId="1" xfId="11" applyNumberFormat="1" applyBorder="1" applyAlignment="1" applyProtection="1">
      <alignment horizontal="center"/>
      <protection locked="0"/>
    </xf>
    <xf numFmtId="183" fontId="13" fillId="0" borderId="0" xfId="1" applyNumberFormat="1" applyFont="1" applyAlignment="1">
      <alignment horizontal="left"/>
    </xf>
    <xf numFmtId="169" fontId="14" fillId="9" borderId="0" xfId="53" applyNumberFormat="1" applyFont="1" applyFill="1"/>
    <xf numFmtId="169" fontId="14" fillId="6" borderId="0" xfId="53" applyNumberFormat="1" applyFont="1" applyFill="1"/>
    <xf numFmtId="184" fontId="14" fillId="6" borderId="0" xfId="53" applyNumberFormat="1" applyFont="1" applyFill="1"/>
    <xf numFmtId="0" fontId="13" fillId="6" borderId="0" xfId="1" applyFont="1" applyFill="1" applyAlignment="1">
      <alignment horizontal="center"/>
    </xf>
    <xf numFmtId="0" fontId="13" fillId="6" borderId="0" xfId="1" applyFont="1" applyFill="1" applyAlignment="1">
      <alignment horizontal="left"/>
    </xf>
    <xf numFmtId="0" fontId="13" fillId="6" borderId="0" xfId="1" applyFont="1" applyFill="1"/>
    <xf numFmtId="0" fontId="0" fillId="6" borderId="0" xfId="0" applyFill="1"/>
    <xf numFmtId="0" fontId="14" fillId="0" borderId="0" xfId="0" quotePrefix="1" applyFont="1" applyAlignment="1">
      <alignment horizontal="center" vertical="center"/>
    </xf>
    <xf numFmtId="0" fontId="14" fillId="0" borderId="0" xfId="0" applyFont="1" applyAlignment="1">
      <alignment horizontal="centerContinuous"/>
    </xf>
    <xf numFmtId="0" fontId="12" fillId="0" borderId="0" xfId="2" applyFont="1" applyAlignment="1">
      <alignment horizontal="center"/>
    </xf>
    <xf numFmtId="0" fontId="12" fillId="0" borderId="0" xfId="1" applyFont="1" applyAlignment="1">
      <alignment horizontal="center"/>
    </xf>
    <xf numFmtId="0" fontId="13" fillId="0" borderId="1" xfId="43" applyFont="1" applyBorder="1" applyAlignment="1">
      <alignment horizontal="center"/>
    </xf>
    <xf numFmtId="180" fontId="16" fillId="0" borderId="0" xfId="29" applyNumberFormat="1" applyFont="1" applyBorder="1"/>
    <xf numFmtId="0" fontId="13" fillId="0" borderId="0" xfId="2" applyAlignment="1">
      <alignment horizontal="left"/>
    </xf>
    <xf numFmtId="0" fontId="13" fillId="6" borderId="0" xfId="0" applyFont="1" applyFill="1" applyAlignment="1">
      <alignment horizontal="center"/>
    </xf>
    <xf numFmtId="0" fontId="13" fillId="0" borderId="1" xfId="2" applyBorder="1"/>
    <xf numFmtId="0" fontId="13" fillId="0" borderId="1" xfId="0" applyFont="1" applyBorder="1"/>
    <xf numFmtId="0" fontId="13" fillId="6" borderId="1" xfId="0" applyFont="1" applyFill="1" applyBorder="1" applyAlignment="1">
      <alignment horizontal="center"/>
    </xf>
    <xf numFmtId="182" fontId="13" fillId="0" borderId="0" xfId="20" applyNumberFormat="1" applyFont="1" applyFill="1" applyBorder="1" applyAlignment="1">
      <alignment horizontal="right"/>
    </xf>
    <xf numFmtId="164" fontId="13" fillId="0" borderId="0" xfId="2" applyNumberFormat="1" applyAlignment="1">
      <alignment horizontal="right"/>
    </xf>
    <xf numFmtId="181" fontId="13" fillId="0" borderId="0" xfId="2" applyNumberFormat="1" applyAlignment="1">
      <alignment horizontal="right"/>
    </xf>
    <xf numFmtId="0" fontId="13" fillId="0" borderId="0" xfId="2" applyAlignment="1">
      <alignment horizontal="left" indent="1"/>
    </xf>
    <xf numFmtId="183" fontId="13" fillId="0" borderId="0" xfId="2" applyNumberFormat="1" applyAlignment="1">
      <alignment horizontal="right"/>
    </xf>
    <xf numFmtId="0" fontId="37" fillId="0" borderId="0" xfId="0" applyFont="1"/>
    <xf numFmtId="164" fontId="13" fillId="0" borderId="3" xfId="2" applyNumberFormat="1" applyBorder="1" applyAlignment="1">
      <alignment horizontal="right"/>
    </xf>
    <xf numFmtId="0" fontId="37" fillId="6" borderId="0" xfId="0" applyFont="1" applyFill="1"/>
    <xf numFmtId="200" fontId="13" fillId="0" borderId="0" xfId="13" applyNumberFormat="1" applyFont="1" applyAlignment="1">
      <alignment horizontal="right"/>
    </xf>
    <xf numFmtId="200" fontId="13" fillId="0" borderId="4" xfId="13" applyNumberFormat="1" applyFont="1" applyBorder="1" applyAlignment="1">
      <alignment horizontal="right"/>
    </xf>
    <xf numFmtId="200" fontId="13" fillId="0" borderId="0" xfId="13" applyNumberFormat="1" applyFont="1" applyBorder="1" applyAlignment="1">
      <alignment horizontal="right"/>
    </xf>
    <xf numFmtId="0" fontId="13" fillId="0" borderId="0" xfId="10" applyFont="1" applyAlignment="1">
      <alignment horizontal="right"/>
    </xf>
    <xf numFmtId="169" fontId="13" fillId="0" borderId="0" xfId="12" applyNumberFormat="1" applyFont="1" applyFill="1" applyBorder="1" applyAlignment="1">
      <alignment horizontal="right"/>
    </xf>
    <xf numFmtId="169" fontId="13" fillId="0" borderId="0" xfId="10" applyNumberFormat="1" applyFont="1" applyAlignment="1">
      <alignment horizontal="right"/>
    </xf>
    <xf numFmtId="169" fontId="13" fillId="0" borderId="2" xfId="12" applyNumberFormat="1" applyFont="1" applyBorder="1" applyAlignment="1">
      <alignment horizontal="right"/>
    </xf>
    <xf numFmtId="169" fontId="13" fillId="0" borderId="2" xfId="10" applyNumberFormat="1" applyFont="1" applyBorder="1" applyAlignment="1">
      <alignment horizontal="right"/>
    </xf>
    <xf numFmtId="169" fontId="13" fillId="0" borderId="0" xfId="12" applyNumberFormat="1" applyFont="1" applyAlignment="1">
      <alignment horizontal="right"/>
    </xf>
    <xf numFmtId="169" fontId="13" fillId="0" borderId="3" xfId="12" applyNumberFormat="1" applyFont="1" applyBorder="1" applyAlignment="1">
      <alignment horizontal="right"/>
    </xf>
    <xf numFmtId="169" fontId="13" fillId="0" borderId="3" xfId="10" applyNumberFormat="1" applyFont="1" applyBorder="1" applyAlignment="1">
      <alignment horizontal="right"/>
    </xf>
    <xf numFmtId="0" fontId="12" fillId="0" borderId="0" xfId="10" applyFont="1"/>
    <xf numFmtId="164" fontId="13" fillId="0" borderId="0" xfId="10" applyNumberFormat="1" applyFont="1"/>
    <xf numFmtId="164" fontId="13" fillId="0" borderId="4" xfId="10" applyNumberFormat="1" applyFont="1" applyBorder="1" applyAlignment="1">
      <alignment horizontal="right"/>
    </xf>
    <xf numFmtId="0" fontId="13" fillId="0" borderId="0" xfId="10" applyFont="1" applyAlignment="1">
      <alignment horizontal="left" indent="1"/>
    </xf>
    <xf numFmtId="164" fontId="13" fillId="0" borderId="0" xfId="10" applyNumberFormat="1" applyFont="1" applyAlignment="1">
      <alignment horizontal="right"/>
    </xf>
    <xf numFmtId="165" fontId="13" fillId="0" borderId="4" xfId="10" applyNumberFormat="1" applyFont="1" applyBorder="1" applyAlignment="1">
      <alignment horizontal="right"/>
    </xf>
    <xf numFmtId="164" fontId="13" fillId="0" borderId="0" xfId="10" applyNumberFormat="1" applyFont="1" applyAlignment="1">
      <alignment horizontal="center"/>
    </xf>
    <xf numFmtId="165" fontId="13" fillId="0" borderId="0" xfId="10" applyNumberFormat="1" applyFont="1" applyAlignment="1">
      <alignment horizontal="right"/>
    </xf>
    <xf numFmtId="0" fontId="13" fillId="0" borderId="0" xfId="10" applyFont="1" applyAlignment="1">
      <alignment horizontal="left"/>
    </xf>
    <xf numFmtId="0" fontId="12" fillId="0" borderId="0" xfId="10" applyFont="1" applyAlignment="1">
      <alignment horizontal="center"/>
    </xf>
    <xf numFmtId="0" fontId="13" fillId="0" borderId="0" xfId="10" quotePrefix="1" applyFont="1"/>
    <xf numFmtId="0" fontId="13" fillId="0" borderId="1" xfId="10" applyFont="1" applyBorder="1"/>
    <xf numFmtId="169" fontId="13" fillId="0" borderId="0" xfId="30" applyNumberFormat="1" applyFont="1" applyAlignment="1">
      <alignment horizontal="right"/>
    </xf>
    <xf numFmtId="0" fontId="13" fillId="0" borderId="0" xfId="0" applyFont="1" applyAlignment="1">
      <alignment horizontal="left" indent="1"/>
    </xf>
    <xf numFmtId="0" fontId="13" fillId="0" borderId="0" xfId="10" applyFont="1" applyAlignment="1">
      <alignment horizontal="left" indent="2"/>
    </xf>
    <xf numFmtId="164" fontId="13" fillId="0" borderId="3" xfId="10" applyNumberFormat="1" applyFont="1" applyBorder="1"/>
    <xf numFmtId="0" fontId="13" fillId="0" borderId="0" xfId="10" quotePrefix="1" applyFont="1" applyAlignment="1">
      <alignment horizontal="left" wrapText="1"/>
    </xf>
    <xf numFmtId="0" fontId="13" fillId="0" borderId="0" xfId="10" quotePrefix="1" applyFont="1" applyAlignment="1">
      <alignment wrapText="1"/>
    </xf>
    <xf numFmtId="0" fontId="13" fillId="0" borderId="0" xfId="10" quotePrefix="1" applyFont="1" applyAlignment="1">
      <alignment horizontal="center"/>
    </xf>
    <xf numFmtId="169" fontId="14" fillId="0" borderId="0" xfId="12" applyNumberFormat="1" applyFont="1" applyBorder="1"/>
    <xf numFmtId="167" fontId="14" fillId="0" borderId="0" xfId="12" applyNumberFormat="1" applyFont="1" applyBorder="1"/>
    <xf numFmtId="43" fontId="14" fillId="0" borderId="0" xfId="10" applyNumberFormat="1" applyFont="1"/>
    <xf numFmtId="43" fontId="14" fillId="0" borderId="0" xfId="12" applyFont="1" applyBorder="1"/>
    <xf numFmtId="174" fontId="13" fillId="0" borderId="0" xfId="10" applyNumberFormat="1" applyFont="1"/>
    <xf numFmtId="175" fontId="13" fillId="2" borderId="0" xfId="10" applyNumberFormat="1" applyFont="1" applyFill="1"/>
    <xf numFmtId="171" fontId="13" fillId="4" borderId="0" xfId="10" applyNumberFormat="1" applyFont="1" applyFill="1"/>
    <xf numFmtId="0" fontId="14" fillId="3" borderId="0" xfId="10" applyFont="1" applyFill="1"/>
    <xf numFmtId="171" fontId="13" fillId="3" borderId="0" xfId="10" applyNumberFormat="1" applyFont="1" applyFill="1"/>
    <xf numFmtId="174" fontId="14" fillId="3" borderId="0" xfId="10" applyNumberFormat="1" applyFont="1" applyFill="1"/>
    <xf numFmtId="171" fontId="25" fillId="3" borderId="0" xfId="10" applyNumberFormat="1" applyFont="1" applyFill="1"/>
    <xf numFmtId="37" fontId="13" fillId="0" borderId="0" xfId="24" applyFont="1" applyAlignment="1">
      <alignment horizontal="right" indent="1"/>
    </xf>
    <xf numFmtId="10" fontId="14" fillId="0" borderId="0" xfId="21" applyNumberFormat="1" applyFont="1"/>
    <xf numFmtId="167" fontId="14" fillId="0" borderId="0" xfId="21" applyNumberFormat="1" applyFont="1"/>
    <xf numFmtId="0" fontId="13" fillId="0" borderId="0" xfId="46" applyFont="1"/>
    <xf numFmtId="169" fontId="13" fillId="0" borderId="0" xfId="44" applyNumberFormat="1" applyFont="1" applyFill="1" applyAlignment="1"/>
    <xf numFmtId="10" fontId="13" fillId="0" borderId="0" xfId="50" applyNumberFormat="1" applyFont="1" applyFill="1"/>
    <xf numFmtId="169" fontId="13" fillId="0" borderId="0" xfId="44" applyNumberFormat="1" applyFont="1" applyFill="1" applyAlignment="1">
      <alignment horizontal="right"/>
    </xf>
    <xf numFmtId="0" fontId="13" fillId="0" borderId="0" xfId="0" quotePrefix="1" applyFont="1" applyAlignment="1">
      <alignment horizontal="center" vertical="top"/>
    </xf>
    <xf numFmtId="10" fontId="13" fillId="0" borderId="0" xfId="45" applyNumberFormat="1" applyFont="1" applyFill="1" applyAlignment="1">
      <alignment horizontal="center"/>
    </xf>
    <xf numFmtId="10" fontId="13" fillId="0" borderId="0" xfId="45" applyNumberFormat="1" applyFont="1" applyFill="1" applyBorder="1" applyAlignment="1">
      <alignment horizontal="center"/>
    </xf>
    <xf numFmtId="0" fontId="13" fillId="0" borderId="0" xfId="46" applyFont="1" applyAlignment="1">
      <alignment horizontal="left"/>
    </xf>
    <xf numFmtId="0" fontId="13" fillId="0" borderId="0" xfId="46" applyFont="1" applyAlignment="1">
      <alignment horizontal="left" indent="1"/>
    </xf>
    <xf numFmtId="0" fontId="13" fillId="0" borderId="0" xfId="46" applyFont="1" applyAlignment="1">
      <alignment horizontal="center"/>
    </xf>
    <xf numFmtId="174" fontId="13" fillId="0" borderId="0" xfId="46" applyNumberFormat="1" applyFont="1" applyAlignment="1">
      <alignment horizontal="center"/>
    </xf>
    <xf numFmtId="169" fontId="13" fillId="0" borderId="0" xfId="44" applyNumberFormat="1" applyFont="1" applyFill="1" applyAlignment="1">
      <alignment horizontal="left"/>
    </xf>
    <xf numFmtId="0" fontId="13" fillId="0" borderId="0" xfId="45" applyNumberFormat="1" applyFont="1" applyFill="1"/>
    <xf numFmtId="169" fontId="28" fillId="0" borderId="0" xfId="44" applyNumberFormat="1" applyFont="1" applyFill="1" applyAlignment="1">
      <alignment horizontal="left"/>
    </xf>
    <xf numFmtId="169" fontId="28" fillId="0" borderId="0" xfId="44" applyNumberFormat="1" applyFont="1" applyFill="1"/>
    <xf numFmtId="0" fontId="13" fillId="0" borderId="0" xfId="46" applyFont="1" applyAlignment="1">
      <alignment horizontal="left" indent="2"/>
    </xf>
    <xf numFmtId="167" fontId="13" fillId="0" borderId="0" xfId="4" applyNumberFormat="1" applyFont="1" applyFill="1" applyBorder="1"/>
    <xf numFmtId="169" fontId="13" fillId="0" borderId="1" xfId="4" applyNumberFormat="1" applyFont="1" applyFill="1" applyBorder="1"/>
    <xf numFmtId="169" fontId="13" fillId="0" borderId="0" xfId="53" applyNumberFormat="1" applyFont="1" applyFill="1"/>
    <xf numFmtId="189" fontId="14" fillId="0" borderId="0" xfId="50" applyNumberFormat="1" applyFont="1" applyFill="1"/>
    <xf numFmtId="169" fontId="13" fillId="0" borderId="1" xfId="53" applyNumberFormat="1" applyFont="1" applyFill="1" applyBorder="1"/>
    <xf numFmtId="0" fontId="28" fillId="0" borderId="0" xfId="1" applyFont="1"/>
    <xf numFmtId="189" fontId="13" fillId="0" borderId="0" xfId="50" applyNumberFormat="1" applyFont="1" applyFill="1"/>
    <xf numFmtId="189" fontId="13" fillId="0" borderId="1" xfId="50" applyNumberFormat="1" applyFont="1" applyFill="1" applyBorder="1"/>
    <xf numFmtId="189" fontId="13" fillId="0" borderId="0" xfId="50" applyNumberFormat="1" applyFont="1" applyFill="1" applyBorder="1"/>
    <xf numFmtId="189" fontId="13" fillId="0" borderId="4" xfId="50" applyNumberFormat="1" applyFont="1" applyFill="1" applyBorder="1"/>
    <xf numFmtId="189" fontId="13" fillId="0" borderId="0" xfId="50" quotePrefix="1" applyNumberFormat="1" applyFont="1" applyFill="1"/>
    <xf numFmtId="169" fontId="13" fillId="0" borderId="0" xfId="53" applyNumberFormat="1" applyFont="1" applyFill="1" applyBorder="1"/>
    <xf numFmtId="9" fontId="13" fillId="0" borderId="0" xfId="50" applyFont="1" applyFill="1"/>
    <xf numFmtId="204" fontId="13" fillId="0" borderId="0" xfId="57" applyNumberFormat="1" applyFont="1" applyFill="1" applyAlignment="1">
      <alignment horizontal="right"/>
    </xf>
    <xf numFmtId="189" fontId="13" fillId="0" borderId="2" xfId="50" applyNumberFormat="1" applyFont="1" applyFill="1" applyBorder="1"/>
    <xf numFmtId="180" fontId="13" fillId="0" borderId="0" xfId="50" applyNumberFormat="1" applyFont="1" applyFill="1"/>
    <xf numFmtId="204" fontId="13" fillId="0" borderId="1" xfId="57" applyNumberFormat="1" applyFont="1" applyFill="1" applyBorder="1" applyAlignment="1">
      <alignment horizontal="right"/>
    </xf>
    <xf numFmtId="169" fontId="13" fillId="0" borderId="0" xfId="50" applyNumberFormat="1" applyFont="1" applyFill="1"/>
    <xf numFmtId="205" fontId="13" fillId="0" borderId="1" xfId="28" applyNumberFormat="1" applyFont="1" applyFill="1" applyBorder="1"/>
    <xf numFmtId="9" fontId="13" fillId="0" borderId="0" xfId="58" applyFont="1" applyFill="1"/>
    <xf numFmtId="9" fontId="13" fillId="0" borderId="0" xfId="58" applyFont="1" applyFill="1" applyBorder="1"/>
    <xf numFmtId="10" fontId="16" fillId="0" borderId="9" xfId="50" applyNumberFormat="1" applyFont="1" applyFill="1" applyBorder="1"/>
    <xf numFmtId="10" fontId="16" fillId="0" borderId="11" xfId="50" applyNumberFormat="1" applyFont="1" applyFill="1" applyBorder="1"/>
    <xf numFmtId="0" fontId="13" fillId="0" borderId="0" xfId="1" applyFont="1" applyAlignment="1">
      <alignment horizontal="left" indent="3"/>
    </xf>
    <xf numFmtId="10" fontId="27" fillId="0" borderId="0" xfId="50" applyNumberFormat="1" applyFont="1" applyFill="1" applyBorder="1"/>
    <xf numFmtId="43" fontId="13" fillId="0" borderId="1" xfId="4" applyFont="1" applyFill="1" applyBorder="1" applyAlignment="1">
      <alignment vertical="center"/>
    </xf>
    <xf numFmtId="0" fontId="12" fillId="0" borderId="0" xfId="0" applyFont="1"/>
    <xf numFmtId="0" fontId="13" fillId="0" borderId="0" xfId="0" applyFont="1" applyAlignment="1">
      <alignment horizontal="left" indent="2"/>
    </xf>
    <xf numFmtId="174" fontId="13" fillId="0" borderId="0" xfId="0" applyNumberFormat="1" applyFont="1"/>
    <xf numFmtId="10" fontId="16" fillId="0" borderId="0" xfId="50" applyNumberFormat="1" applyFont="1" applyFill="1" applyBorder="1"/>
    <xf numFmtId="189" fontId="13" fillId="0" borderId="0" xfId="58" applyNumberFormat="1" applyFont="1" applyFill="1" applyBorder="1"/>
    <xf numFmtId="184" fontId="13" fillId="0" borderId="0" xfId="4" applyNumberFormat="1" applyFont="1" applyFill="1" applyBorder="1"/>
    <xf numFmtId="184" fontId="13" fillId="0" borderId="1" xfId="4" applyNumberFormat="1" applyFont="1" applyFill="1" applyBorder="1"/>
    <xf numFmtId="0" fontId="12" fillId="0" borderId="0" xfId="1" applyFont="1" applyAlignment="1">
      <alignment horizontal="left"/>
    </xf>
    <xf numFmtId="167" fontId="13" fillId="0" borderId="1" xfId="4" applyNumberFormat="1" applyFont="1" applyFill="1" applyBorder="1"/>
    <xf numFmtId="0" fontId="12" fillId="0" borderId="0" xfId="56" applyFont="1" applyAlignment="1">
      <alignment horizontal="left"/>
    </xf>
    <xf numFmtId="184" fontId="13" fillId="0" borderId="4" xfId="4" applyNumberFormat="1" applyFont="1" applyFill="1" applyBorder="1"/>
    <xf numFmtId="0" fontId="13" fillId="0" borderId="0" xfId="1" applyFont="1" applyAlignment="1">
      <alignment horizontal="center" vertical="top"/>
    </xf>
    <xf numFmtId="0" fontId="13" fillId="0" borderId="0" xfId="1" applyFont="1" applyAlignment="1">
      <alignment horizontal="left" wrapText="1"/>
    </xf>
    <xf numFmtId="0" fontId="14" fillId="0" borderId="1" xfId="0" applyFont="1" applyBorder="1"/>
    <xf numFmtId="208" fontId="14" fillId="0" borderId="0" xfId="0" quotePrefix="1" applyNumberFormat="1" applyFont="1" applyAlignment="1">
      <alignment horizontal="center"/>
    </xf>
    <xf numFmtId="169" fontId="14" fillId="0" borderId="4" xfId="0" applyNumberFormat="1" applyFont="1" applyBorder="1"/>
    <xf numFmtId="169" fontId="14" fillId="0" borderId="3" xfId="0" applyNumberFormat="1" applyFont="1" applyBorder="1"/>
    <xf numFmtId="0" fontId="14" fillId="5" borderId="0" xfId="0" applyFont="1" applyFill="1"/>
    <xf numFmtId="0" fontId="14" fillId="5" borderId="0" xfId="0" applyFont="1" applyFill="1" applyAlignment="1">
      <alignment horizontal="right"/>
    </xf>
    <xf numFmtId="169" fontId="14" fillId="5" borderId="0" xfId="30" applyNumberFormat="1" applyFont="1" applyFill="1"/>
    <xf numFmtId="169" fontId="14" fillId="5" borderId="0" xfId="0" applyNumberFormat="1" applyFont="1" applyFill="1"/>
    <xf numFmtId="0" fontId="14" fillId="10" borderId="0" xfId="0" applyFont="1" applyFill="1"/>
    <xf numFmtId="0" fontId="14" fillId="4" borderId="0" xfId="0" applyFont="1" applyFill="1"/>
    <xf numFmtId="43" fontId="13" fillId="0" borderId="0" xfId="28" applyNumberFormat="1" applyFont="1" applyFill="1"/>
    <xf numFmtId="43" fontId="13" fillId="0" borderId="0" xfId="28" applyNumberFormat="1" applyFont="1"/>
    <xf numFmtId="43" fontId="14" fillId="4" borderId="0" xfId="0" applyNumberFormat="1" applyFont="1" applyFill="1"/>
    <xf numFmtId="209" fontId="13" fillId="0" borderId="0" xfId="0" applyNumberFormat="1" applyFont="1"/>
    <xf numFmtId="173" fontId="13" fillId="0" borderId="0" xfId="0" applyNumberFormat="1" applyFont="1"/>
    <xf numFmtId="43" fontId="14" fillId="0" borderId="0" xfId="0" applyNumberFormat="1" applyFont="1"/>
    <xf numFmtId="169" fontId="13" fillId="0" borderId="2" xfId="30" applyNumberFormat="1" applyFont="1" applyBorder="1"/>
    <xf numFmtId="169" fontId="14" fillId="0" borderId="0" xfId="30" applyNumberFormat="1" applyFont="1" applyBorder="1"/>
    <xf numFmtId="169" fontId="13" fillId="0" borderId="0" xfId="30" applyNumberFormat="1" applyFont="1" applyBorder="1"/>
    <xf numFmtId="169" fontId="13" fillId="0" borderId="3" xfId="30" applyNumberFormat="1" applyFont="1" applyBorder="1"/>
    <xf numFmtId="167" fontId="13" fillId="0" borderId="0" xfId="30" applyNumberFormat="1" applyFont="1"/>
    <xf numFmtId="4" fontId="13" fillId="0" borderId="0" xfId="0" applyNumberFormat="1" applyFont="1"/>
    <xf numFmtId="169" fontId="13" fillId="0" borderId="1" xfId="30" applyNumberFormat="1" applyFont="1" applyBorder="1"/>
    <xf numFmtId="167" fontId="13" fillId="0" borderId="0" xfId="30" applyNumberFormat="1" applyFont="1" applyBorder="1"/>
    <xf numFmtId="171" fontId="13" fillId="0" borderId="0" xfId="0" applyNumberFormat="1" applyFont="1"/>
    <xf numFmtId="43" fontId="13" fillId="0" borderId="0" xfId="0" applyNumberFormat="1" applyFont="1"/>
    <xf numFmtId="0" fontId="13" fillId="0" borderId="0" xfId="0" quotePrefix="1" applyFont="1" applyAlignment="1">
      <alignment horizontal="left" indent="1"/>
    </xf>
    <xf numFmtId="167" fontId="13" fillId="0" borderId="0" xfId="30" applyNumberFormat="1" applyFont="1" applyFill="1"/>
    <xf numFmtId="0" fontId="14" fillId="2" borderId="0" xfId="0" applyFont="1" applyFill="1"/>
    <xf numFmtId="43" fontId="14" fillId="2" borderId="0" xfId="0" applyNumberFormat="1" applyFont="1" applyFill="1"/>
    <xf numFmtId="169" fontId="14" fillId="2" borderId="0" xfId="0" applyNumberFormat="1" applyFont="1" applyFill="1"/>
    <xf numFmtId="38" fontId="13" fillId="0" borderId="0" xfId="55" applyNumberFormat="1" applyFont="1" applyAlignment="1">
      <alignment horizontal="right"/>
    </xf>
    <xf numFmtId="167" fontId="13" fillId="0" borderId="0" xfId="30" applyNumberFormat="1" applyFont="1" applyFill="1" applyBorder="1"/>
    <xf numFmtId="169" fontId="13" fillId="0" borderId="3" xfId="30" applyNumberFormat="1" applyFont="1" applyFill="1" applyBorder="1"/>
    <xf numFmtId="167" fontId="14" fillId="0" borderId="0" xfId="30" applyNumberFormat="1" applyFont="1" applyBorder="1"/>
    <xf numFmtId="210" fontId="13" fillId="0" borderId="0" xfId="30" applyNumberFormat="1" applyFont="1"/>
    <xf numFmtId="43" fontId="13" fillId="0" borderId="0" xfId="30" applyFont="1" applyFill="1"/>
    <xf numFmtId="169" fontId="13" fillId="0" borderId="1" xfId="30" applyNumberFormat="1" applyFont="1" applyFill="1" applyBorder="1"/>
    <xf numFmtId="211" fontId="13" fillId="0" borderId="0" xfId="30" applyNumberFormat="1" applyFont="1"/>
    <xf numFmtId="206" fontId="13" fillId="0" borderId="0" xfId="0" applyNumberFormat="1" applyFont="1"/>
    <xf numFmtId="206" fontId="13" fillId="0" borderId="0" xfId="30" applyNumberFormat="1" applyFont="1"/>
    <xf numFmtId="212" fontId="13" fillId="0" borderId="0" xfId="0" applyNumberFormat="1" applyFont="1"/>
    <xf numFmtId="213" fontId="13" fillId="0" borderId="0" xfId="0" applyNumberFormat="1" applyFont="1"/>
    <xf numFmtId="169" fontId="14" fillId="4" borderId="0" xfId="0" applyNumberFormat="1" applyFont="1" applyFill="1"/>
    <xf numFmtId="214" fontId="14" fillId="0" borderId="0" xfId="0" applyNumberFormat="1" applyFont="1"/>
    <xf numFmtId="0" fontId="13" fillId="0" borderId="0" xfId="0" applyFont="1" applyAlignment="1">
      <alignment horizontal="left" indent="3"/>
    </xf>
    <xf numFmtId="173" fontId="13" fillId="2" borderId="0" xfId="0" applyNumberFormat="1" applyFont="1" applyFill="1"/>
    <xf numFmtId="38" fontId="13" fillId="0" borderId="0" xfId="55" applyNumberFormat="1" applyFont="1" applyFill="1" applyAlignment="1">
      <alignment horizontal="right"/>
    </xf>
    <xf numFmtId="187" fontId="13" fillId="0" borderId="0" xfId="0" applyNumberFormat="1" applyFont="1"/>
    <xf numFmtId="201" fontId="13" fillId="0" borderId="0" xfId="28" applyNumberFormat="1" applyFont="1" applyFill="1"/>
    <xf numFmtId="215" fontId="13" fillId="0" borderId="0" xfId="0" applyNumberFormat="1" applyFont="1"/>
    <xf numFmtId="206" fontId="13" fillId="0" borderId="0" xfId="30" applyNumberFormat="1" applyFont="1" applyFill="1"/>
    <xf numFmtId="201" fontId="13" fillId="0" borderId="0" xfId="0" applyNumberFormat="1" applyFont="1"/>
    <xf numFmtId="201" fontId="13" fillId="0" borderId="0" xfId="30" applyNumberFormat="1" applyFont="1"/>
    <xf numFmtId="169" fontId="13" fillId="0" borderId="0" xfId="30" applyNumberFormat="1" applyFont="1" applyFill="1" applyBorder="1"/>
    <xf numFmtId="201" fontId="13" fillId="0" borderId="0" xfId="30" applyNumberFormat="1" applyFont="1" applyFill="1"/>
    <xf numFmtId="173" fontId="14" fillId="0" borderId="0" xfId="0" applyNumberFormat="1" applyFont="1"/>
    <xf numFmtId="167" fontId="14" fillId="0" borderId="0" xfId="30" applyNumberFormat="1" applyFont="1"/>
    <xf numFmtId="169" fontId="14" fillId="0" borderId="0" xfId="30" applyNumberFormat="1" applyFont="1"/>
    <xf numFmtId="0" fontId="17" fillId="0" borderId="0" xfId="0" applyFont="1"/>
    <xf numFmtId="0" fontId="41" fillId="4" borderId="0" xfId="0" applyFont="1" applyFill="1"/>
    <xf numFmtId="0" fontId="41" fillId="10" borderId="0" xfId="0" applyFont="1" applyFill="1"/>
    <xf numFmtId="0" fontId="14" fillId="0" borderId="1" xfId="0" quotePrefix="1" applyFont="1" applyBorder="1" applyAlignment="1">
      <alignment horizontal="center"/>
    </xf>
    <xf numFmtId="0" fontId="54" fillId="0" borderId="0" xfId="0" applyFont="1"/>
    <xf numFmtId="167" fontId="14" fillId="0" borderId="0" xfId="0" applyNumberFormat="1" applyFont="1"/>
    <xf numFmtId="169" fontId="14" fillId="0" borderId="4" xfId="30" applyNumberFormat="1" applyFont="1" applyBorder="1"/>
    <xf numFmtId="0" fontId="14" fillId="0" borderId="0" xfId="0" applyFont="1" applyAlignment="1">
      <alignment horizontal="left" indent="4"/>
    </xf>
    <xf numFmtId="184" fontId="14" fillId="0" borderId="0" xfId="0" applyNumberFormat="1" applyFont="1"/>
    <xf numFmtId="0" fontId="54" fillId="0" borderId="0" xfId="0" applyFont="1" applyAlignment="1">
      <alignment horizontal="center"/>
    </xf>
    <xf numFmtId="1" fontId="14" fillId="0" borderId="0" xfId="46" applyNumberFormat="1" applyFont="1"/>
    <xf numFmtId="0" fontId="14" fillId="0" borderId="0" xfId="46" applyFont="1" applyAlignment="1">
      <alignment horizontal="right" vertical="center"/>
    </xf>
    <xf numFmtId="1" fontId="13" fillId="0" borderId="0" xfId="59" applyNumberFormat="1" applyAlignment="1">
      <alignment horizontal="center"/>
    </xf>
    <xf numFmtId="0" fontId="13" fillId="0" borderId="0" xfId="59" applyAlignment="1">
      <alignment horizontal="center"/>
    </xf>
    <xf numFmtId="216" fontId="13" fillId="0" borderId="0" xfId="59" applyNumberFormat="1"/>
    <xf numFmtId="1" fontId="13" fillId="0" borderId="0" xfId="59" applyNumberFormat="1"/>
    <xf numFmtId="0" fontId="13" fillId="0" borderId="0" xfId="59"/>
    <xf numFmtId="216" fontId="13" fillId="0" borderId="0" xfId="59" applyNumberFormat="1" applyAlignment="1">
      <alignment horizontal="center"/>
    </xf>
    <xf numFmtId="1" fontId="13" fillId="0" borderId="1" xfId="59" applyNumberFormat="1" applyBorder="1" applyAlignment="1">
      <alignment horizontal="center"/>
    </xf>
    <xf numFmtId="0" fontId="13" fillId="0" borderId="1" xfId="59" applyBorder="1" applyAlignment="1">
      <alignment horizontal="left"/>
    </xf>
    <xf numFmtId="0" fontId="13" fillId="0" borderId="1" xfId="59" applyBorder="1" applyAlignment="1">
      <alignment horizontal="center"/>
    </xf>
    <xf numFmtId="0" fontId="13" fillId="0" borderId="0" xfId="59" applyAlignment="1">
      <alignment horizontal="left"/>
    </xf>
    <xf numFmtId="216" fontId="13" fillId="0" borderId="1" xfId="59" applyNumberFormat="1" applyBorder="1" applyAlignment="1">
      <alignment horizontal="center"/>
    </xf>
    <xf numFmtId="216" fontId="13" fillId="0" borderId="0" xfId="59" quotePrefix="1" applyNumberFormat="1" applyAlignment="1">
      <alignment horizontal="center"/>
    </xf>
    <xf numFmtId="217" fontId="13" fillId="0" borderId="0" xfId="59" applyNumberFormat="1" applyAlignment="1">
      <alignment horizontal="right"/>
    </xf>
    <xf numFmtId="218" fontId="14" fillId="0" borderId="0" xfId="46" applyNumberFormat="1" applyFont="1" applyAlignment="1">
      <alignment horizontal="right" wrapText="1"/>
    </xf>
    <xf numFmtId="0" fontId="20" fillId="0" borderId="0" xfId="46" applyFont="1"/>
    <xf numFmtId="170" fontId="14" fillId="0" borderId="0" xfId="46" applyNumberFormat="1" applyFont="1" applyAlignment="1">
      <alignment horizontal="right" wrapText="1"/>
    </xf>
    <xf numFmtId="218" fontId="14" fillId="0" borderId="1" xfId="46" applyNumberFormat="1" applyFont="1" applyBorder="1" applyAlignment="1">
      <alignment horizontal="right" wrapText="1"/>
    </xf>
    <xf numFmtId="0" fontId="14" fillId="0" borderId="0" xfId="46" quotePrefix="1" applyFont="1"/>
    <xf numFmtId="218" fontId="14" fillId="0" borderId="4" xfId="46" applyNumberFormat="1" applyFont="1" applyBorder="1" applyAlignment="1">
      <alignment horizontal="right" wrapText="1"/>
    </xf>
    <xf numFmtId="0" fontId="13" fillId="0" borderId="0" xfId="59" applyAlignment="1">
      <alignment horizontal="right"/>
    </xf>
    <xf numFmtId="43" fontId="14" fillId="0" borderId="0" xfId="53" applyFont="1"/>
    <xf numFmtId="217" fontId="13" fillId="0" borderId="4" xfId="59" applyNumberFormat="1" applyBorder="1" applyAlignment="1">
      <alignment horizontal="right"/>
    </xf>
    <xf numFmtId="216" fontId="13" fillId="0" borderId="0" xfId="59" applyNumberFormat="1" applyAlignment="1">
      <alignment horizontal="right"/>
    </xf>
    <xf numFmtId="218" fontId="14" fillId="0" borderId="3" xfId="46" applyNumberFormat="1" applyFont="1" applyBorder="1" applyAlignment="1">
      <alignment horizontal="right" wrapText="1"/>
    </xf>
    <xf numFmtId="0" fontId="14" fillId="0" borderId="0" xfId="46" quotePrefix="1" applyFont="1" applyAlignment="1">
      <alignment horizontal="center"/>
    </xf>
    <xf numFmtId="170" fontId="14" fillId="0" borderId="0" xfId="46" applyNumberFormat="1" applyFont="1" applyAlignment="1">
      <alignment wrapText="1"/>
    </xf>
    <xf numFmtId="1" fontId="12" fillId="0" borderId="0" xfId="59" applyNumberFormat="1" applyFont="1" applyAlignment="1">
      <alignment horizontal="left"/>
    </xf>
    <xf numFmtId="219" fontId="13" fillId="0" borderId="0" xfId="59" applyNumberFormat="1" applyAlignment="1">
      <alignment horizontal="left" vertical="top" indent="2"/>
    </xf>
    <xf numFmtId="218" fontId="14" fillId="0" borderId="0" xfId="46" applyNumberFormat="1" applyFont="1" applyAlignment="1">
      <alignment horizontal="right"/>
    </xf>
    <xf numFmtId="0" fontId="13" fillId="0" borderId="0" xfId="59" applyAlignment="1">
      <alignment horizontal="left" indent="2"/>
    </xf>
    <xf numFmtId="170" fontId="14" fillId="0" borderId="0" xfId="53" applyNumberFormat="1" applyFont="1" applyFill="1" applyAlignment="1">
      <alignment horizontal="right"/>
    </xf>
    <xf numFmtId="170" fontId="14" fillId="0" borderId="0" xfId="53" applyNumberFormat="1" applyFont="1" applyFill="1" applyBorder="1" applyAlignment="1">
      <alignment horizontal="right"/>
    </xf>
    <xf numFmtId="0" fontId="40" fillId="0" borderId="0" xfId="46" applyFont="1"/>
    <xf numFmtId="179" fontId="14" fillId="0" borderId="0" xfId="46" applyNumberFormat="1" applyFont="1" applyAlignment="1">
      <alignment horizontal="right"/>
    </xf>
    <xf numFmtId="218" fontId="13" fillId="0" borderId="0" xfId="46" applyNumberFormat="1" applyFont="1" applyAlignment="1">
      <alignment horizontal="right" wrapText="1"/>
    </xf>
    <xf numFmtId="0" fontId="20" fillId="0" borderId="0" xfId="46" applyFont="1" applyAlignment="1">
      <alignment horizontal="center"/>
    </xf>
    <xf numFmtId="0" fontId="13" fillId="0" borderId="0" xfId="46" applyFont="1" applyAlignment="1">
      <alignment horizontal="right"/>
    </xf>
    <xf numFmtId="0" fontId="14" fillId="0" borderId="0" xfId="46" applyFont="1" applyAlignment="1">
      <alignment horizontal="center" wrapText="1"/>
    </xf>
    <xf numFmtId="0" fontId="14" fillId="0" borderId="1" xfId="46" applyFont="1" applyBorder="1" applyAlignment="1">
      <alignment wrapText="1"/>
    </xf>
    <xf numFmtId="0" fontId="14" fillId="0" borderId="1" xfId="46" applyFont="1" applyBorder="1" applyAlignment="1">
      <alignment horizontal="center" wrapText="1"/>
    </xf>
    <xf numFmtId="0" fontId="14" fillId="0" borderId="0" xfId="46" quotePrefix="1" applyFont="1" applyAlignment="1">
      <alignment horizontal="center" wrapText="1"/>
    </xf>
    <xf numFmtId="0" fontId="20" fillId="0" borderId="0" xfId="46" applyFont="1" applyAlignment="1">
      <alignment horizontal="left"/>
    </xf>
    <xf numFmtId="0" fontId="14" fillId="0" borderId="0" xfId="46" applyFont="1" applyAlignment="1">
      <alignment horizontal="left" vertical="center" indent="1"/>
    </xf>
    <xf numFmtId="169" fontId="14" fillId="0" borderId="0" xfId="53" applyNumberFormat="1" applyFont="1" applyAlignment="1">
      <alignment horizontal="center"/>
    </xf>
    <xf numFmtId="170" fontId="14" fillId="0" borderId="0" xfId="53" applyNumberFormat="1" applyFont="1" applyAlignment="1">
      <alignment horizontal="center"/>
    </xf>
    <xf numFmtId="169" fontId="14" fillId="0" borderId="0" xfId="53" applyNumberFormat="1" applyFont="1" applyBorder="1" applyAlignment="1">
      <alignment horizontal="center"/>
    </xf>
    <xf numFmtId="169" fontId="14" fillId="0" borderId="0" xfId="46" applyNumberFormat="1" applyFont="1" applyAlignment="1">
      <alignment horizontal="center"/>
    </xf>
    <xf numFmtId="184" fontId="14" fillId="0" borderId="0" xfId="53" applyNumberFormat="1" applyFont="1" applyBorder="1"/>
    <xf numFmtId="184" fontId="14" fillId="0" borderId="0" xfId="53" applyNumberFormat="1" applyFont="1"/>
    <xf numFmtId="169" fontId="14" fillId="0" borderId="3" xfId="53" applyNumberFormat="1" applyFont="1" applyBorder="1" applyAlignment="1">
      <alignment horizontal="center"/>
    </xf>
    <xf numFmtId="169" fontId="14" fillId="0" borderId="3" xfId="53" applyNumberFormat="1" applyFont="1" applyBorder="1"/>
    <xf numFmtId="169" fontId="14" fillId="0" borderId="0" xfId="53" quotePrefix="1" applyNumberFormat="1" applyFont="1" applyBorder="1" applyAlignment="1">
      <alignment horizontal="left"/>
    </xf>
    <xf numFmtId="169" fontId="14" fillId="0" borderId="0" xfId="53" quotePrefix="1" applyNumberFormat="1" applyFont="1" applyBorder="1"/>
    <xf numFmtId="220" fontId="14" fillId="0" borderId="0" xfId="46" applyNumberFormat="1" applyFont="1" applyAlignment="1">
      <alignment horizontal="center"/>
    </xf>
    <xf numFmtId="0" fontId="29" fillId="0" borderId="0" xfId="46" applyFont="1" applyAlignment="1">
      <alignment horizontal="center"/>
    </xf>
    <xf numFmtId="0" fontId="14" fillId="0" borderId="0" xfId="46" applyFont="1" applyAlignment="1">
      <alignment wrapText="1"/>
    </xf>
    <xf numFmtId="6" fontId="13" fillId="0" borderId="1" xfId="46" quotePrefix="1" applyNumberFormat="1" applyFont="1" applyBorder="1" applyAlignment="1">
      <alignment horizontal="center" wrapText="1"/>
    </xf>
    <xf numFmtId="6" fontId="14" fillId="0" borderId="0" xfId="46" quotePrefix="1" applyNumberFormat="1" applyFont="1" applyAlignment="1">
      <alignment horizontal="center" wrapText="1"/>
    </xf>
    <xf numFmtId="6" fontId="55" fillId="0" borderId="0" xfId="46" quotePrefix="1" applyNumberFormat="1" applyFont="1" applyAlignment="1">
      <alignment horizontal="center" wrapText="1"/>
    </xf>
    <xf numFmtId="0" fontId="55" fillId="0" borderId="0" xfId="46" applyFont="1" applyAlignment="1">
      <alignment horizontal="center" wrapText="1"/>
    </xf>
    <xf numFmtId="0" fontId="13" fillId="0" borderId="1" xfId="46" applyFont="1" applyBorder="1" applyAlignment="1">
      <alignment horizontal="center" wrapText="1"/>
    </xf>
    <xf numFmtId="169" fontId="14" fillId="0" borderId="0" xfId="53" applyNumberFormat="1" applyFont="1" applyFill="1" applyBorder="1" applyAlignment="1">
      <alignment horizontal="center"/>
    </xf>
    <xf numFmtId="0" fontId="13" fillId="0" borderId="0" xfId="46" applyFont="1" applyAlignment="1">
      <alignment horizontal="left" vertical="center" indent="1"/>
    </xf>
    <xf numFmtId="169" fontId="14" fillId="0" borderId="0" xfId="53" applyNumberFormat="1" applyFont="1" applyFill="1" applyAlignment="1">
      <alignment horizontal="center"/>
    </xf>
    <xf numFmtId="0" fontId="13" fillId="0" borderId="0" xfId="46" applyFont="1" applyAlignment="1">
      <alignment vertical="center"/>
    </xf>
    <xf numFmtId="169" fontId="14" fillId="0" borderId="4" xfId="46" applyNumberFormat="1" applyFont="1" applyBorder="1" applyAlignment="1">
      <alignment horizontal="center"/>
    </xf>
    <xf numFmtId="184" fontId="14" fillId="0" borderId="0" xfId="53" applyNumberFormat="1" applyFont="1" applyFill="1" applyBorder="1"/>
    <xf numFmtId="184" fontId="14" fillId="0" borderId="0" xfId="53" applyNumberFormat="1" applyFont="1" applyFill="1"/>
    <xf numFmtId="169" fontId="14" fillId="0" borderId="3" xfId="53" applyNumberFormat="1" applyFont="1" applyFill="1" applyBorder="1" applyAlignment="1">
      <alignment horizontal="center"/>
    </xf>
    <xf numFmtId="169" fontId="14" fillId="0" borderId="3" xfId="53" applyNumberFormat="1" applyFont="1" applyFill="1" applyBorder="1"/>
    <xf numFmtId="0" fontId="14" fillId="0" borderId="0" xfId="53" quotePrefix="1" applyNumberFormat="1" applyFont="1" applyFill="1" applyBorder="1" applyAlignment="1">
      <alignment horizontal="left"/>
    </xf>
    <xf numFmtId="0" fontId="14" fillId="0" borderId="0" xfId="53" quotePrefix="1" applyNumberFormat="1" applyFont="1" applyFill="1" applyBorder="1" applyAlignment="1">
      <alignment horizontal="center"/>
    </xf>
    <xf numFmtId="0" fontId="14" fillId="0" borderId="1" xfId="46" quotePrefix="1" applyFont="1" applyBorder="1" applyAlignment="1">
      <alignment horizontal="center" wrapText="1"/>
    </xf>
    <xf numFmtId="0" fontId="14" fillId="0" borderId="1" xfId="46" applyFont="1" applyBorder="1" applyAlignment="1">
      <alignment horizontal="center"/>
    </xf>
    <xf numFmtId="0" fontId="14" fillId="0" borderId="2" xfId="46" quotePrefix="1" applyFont="1" applyBorder="1" applyAlignment="1">
      <alignment horizontal="center" wrapText="1"/>
    </xf>
    <xf numFmtId="167" fontId="14" fillId="0" borderId="0" xfId="53" applyNumberFormat="1" applyFont="1" applyFill="1" applyAlignment="1">
      <alignment horizontal="center"/>
    </xf>
    <xf numFmtId="43" fontId="14" fillId="0" borderId="0" xfId="46" applyNumberFormat="1" applyFont="1"/>
    <xf numFmtId="169" fontId="14" fillId="0" borderId="2" xfId="53" applyNumberFormat="1" applyFont="1" applyFill="1" applyBorder="1" applyAlignment="1">
      <alignment horizontal="center"/>
    </xf>
    <xf numFmtId="169" fontId="14" fillId="0" borderId="2" xfId="46" applyNumberFormat="1" applyFont="1" applyBorder="1" applyAlignment="1">
      <alignment horizontal="center"/>
    </xf>
    <xf numFmtId="169" fontId="14" fillId="0" borderId="2" xfId="53" applyNumberFormat="1" applyFont="1" applyBorder="1" applyAlignment="1">
      <alignment horizontal="center"/>
    </xf>
    <xf numFmtId="169" fontId="14" fillId="0" borderId="4" xfId="53" applyNumberFormat="1" applyFont="1" applyBorder="1" applyAlignment="1">
      <alignment horizontal="center"/>
    </xf>
    <xf numFmtId="167" fontId="14" fillId="0" borderId="0" xfId="53" applyNumberFormat="1" applyFont="1" applyAlignment="1">
      <alignment horizontal="center"/>
    </xf>
    <xf numFmtId="167" fontId="14" fillId="0" borderId="0" xfId="53" applyNumberFormat="1" applyFont="1"/>
    <xf numFmtId="167" fontId="14" fillId="0" borderId="1" xfId="53" applyNumberFormat="1" applyFont="1" applyBorder="1" applyAlignment="1">
      <alignment horizontal="center"/>
    </xf>
    <xf numFmtId="167" fontId="14" fillId="0" borderId="0" xfId="53" applyNumberFormat="1" applyFont="1" applyBorder="1" applyAlignment="1">
      <alignment horizontal="center"/>
    </xf>
    <xf numFmtId="0" fontId="14" fillId="0" borderId="1" xfId="46" quotePrefix="1" applyFont="1" applyBorder="1" applyAlignment="1">
      <alignment horizontal="center"/>
    </xf>
    <xf numFmtId="167" fontId="14" fillId="0" borderId="0" xfId="53" quotePrefix="1" applyNumberFormat="1" applyFont="1" applyAlignment="1">
      <alignment horizontal="center"/>
    </xf>
    <xf numFmtId="167" fontId="14" fillId="0" borderId="0" xfId="53" quotePrefix="1" applyNumberFormat="1" applyFont="1" applyAlignment="1">
      <alignment horizontal="center" wrapText="1"/>
    </xf>
    <xf numFmtId="167" fontId="14" fillId="0" borderId="0" xfId="53" applyNumberFormat="1" applyFont="1" applyAlignment="1"/>
    <xf numFmtId="169" fontId="14" fillId="0" borderId="0" xfId="53" applyNumberFormat="1" applyFont="1" applyFill="1"/>
    <xf numFmtId="169" fontId="14" fillId="0" borderId="0" xfId="53" applyNumberFormat="1" applyFont="1"/>
    <xf numFmtId="43" fontId="14" fillId="0" borderId="0" xfId="53" applyFont="1" applyFill="1"/>
    <xf numFmtId="200" fontId="14" fillId="0" borderId="0" xfId="57" applyNumberFormat="1" applyFont="1" applyFill="1"/>
    <xf numFmtId="167" fontId="14" fillId="0" borderId="0" xfId="53" applyNumberFormat="1" applyFont="1" applyFill="1" applyAlignment="1"/>
    <xf numFmtId="167" fontId="14" fillId="0" borderId="0" xfId="53" applyNumberFormat="1" applyFont="1" applyBorder="1"/>
    <xf numFmtId="167" fontId="14" fillId="0" borderId="0" xfId="53" quotePrefix="1" applyNumberFormat="1" applyFont="1" applyBorder="1" applyAlignment="1">
      <alignment horizontal="center"/>
    </xf>
    <xf numFmtId="167" fontId="14" fillId="0" borderId="0" xfId="53" applyNumberFormat="1" applyFont="1" applyBorder="1" applyAlignment="1"/>
    <xf numFmtId="169" fontId="14" fillId="0" borderId="0" xfId="53" applyNumberFormat="1" applyFont="1" applyBorder="1"/>
    <xf numFmtId="3" fontId="14" fillId="0" borderId="0" xfId="46" applyNumberFormat="1" applyFont="1"/>
    <xf numFmtId="0" fontId="13" fillId="0" borderId="0" xfId="1" quotePrefix="1" applyFont="1" applyAlignment="1">
      <alignment horizontal="right"/>
    </xf>
    <xf numFmtId="0" fontId="13" fillId="0" borderId="0" xfId="46" applyFont="1" applyAlignment="1">
      <alignment horizontal="left" vertical="center"/>
    </xf>
    <xf numFmtId="0" fontId="13" fillId="0" borderId="0" xfId="46" applyFont="1" applyAlignment="1">
      <alignment horizontal="left" indent="3"/>
    </xf>
    <xf numFmtId="0" fontId="14" fillId="0" borderId="0" xfId="60" applyFont="1" applyAlignment="1">
      <alignment horizontal="left" indent="3"/>
    </xf>
    <xf numFmtId="0" fontId="14" fillId="0" borderId="0" xfId="46" applyFont="1" applyAlignment="1">
      <alignment horizontal="left" indent="1"/>
    </xf>
    <xf numFmtId="0" fontId="12" fillId="0" borderId="0" xfId="1" applyFont="1" applyAlignment="1">
      <alignment horizontal="centerContinuous"/>
    </xf>
    <xf numFmtId="0" fontId="12" fillId="0" borderId="0" xfId="2" applyFont="1" applyAlignment="1">
      <alignment horizontal="centerContinuous"/>
    </xf>
    <xf numFmtId="0" fontId="12" fillId="0" borderId="0" xfId="46" applyFont="1"/>
    <xf numFmtId="0" fontId="13" fillId="0" borderId="0" xfId="1" applyFont="1" applyAlignment="1">
      <alignment horizontal="left" wrapText="1" indent="1"/>
    </xf>
    <xf numFmtId="0" fontId="12" fillId="0" borderId="0" xfId="1" applyFont="1" applyAlignment="1">
      <alignment horizontal="left" wrapText="1"/>
    </xf>
    <xf numFmtId="37" fontId="13" fillId="0" borderId="0" xfId="2" applyNumberFormat="1" applyAlignment="1">
      <alignment horizontal="right"/>
    </xf>
    <xf numFmtId="0" fontId="13" fillId="0" borderId="0" xfId="46" applyFont="1" applyAlignment="1">
      <alignment horizontal="left" indent="4"/>
    </xf>
    <xf numFmtId="0" fontId="13" fillId="0" borderId="0" xfId="46" applyFont="1" applyAlignment="1">
      <alignment horizontal="left" wrapText="1" indent="2"/>
    </xf>
    <xf numFmtId="164" fontId="13" fillId="0" borderId="0" xfId="2" applyNumberFormat="1" applyAlignment="1">
      <alignment horizontal="center"/>
    </xf>
    <xf numFmtId="0" fontId="13" fillId="0" borderId="0" xfId="1" quotePrefix="1" applyFont="1" applyAlignment="1">
      <alignment horizontal="left" indent="3"/>
    </xf>
    <xf numFmtId="3" fontId="13" fillId="0" borderId="0" xfId="1" applyNumberFormat="1" applyFont="1" applyAlignment="1">
      <alignment horizontal="right"/>
    </xf>
    <xf numFmtId="0" fontId="14" fillId="0" borderId="0" xfId="60" applyFont="1" applyAlignment="1">
      <alignment horizontal="left" indent="1"/>
    </xf>
    <xf numFmtId="3" fontId="14" fillId="0" borderId="0" xfId="46" applyNumberFormat="1" applyFont="1" applyAlignment="1">
      <alignment horizontal="right"/>
    </xf>
    <xf numFmtId="0" fontId="14" fillId="0" borderId="0" xfId="46" applyFont="1" applyAlignment="1">
      <alignment horizontal="left" indent="3"/>
    </xf>
    <xf numFmtId="37" fontId="14" fillId="0" borderId="0" xfId="46" applyNumberFormat="1" applyFont="1" applyAlignment="1">
      <alignment horizontal="right"/>
    </xf>
    <xf numFmtId="0" fontId="28" fillId="0" borderId="0" xfId="2" applyFont="1" applyAlignment="1">
      <alignment horizontal="right"/>
    </xf>
    <xf numFmtId="3" fontId="13" fillId="0" borderId="0" xfId="2" applyNumberFormat="1"/>
    <xf numFmtId="0" fontId="20" fillId="0" borderId="0" xfId="46" applyFont="1" applyAlignment="1">
      <alignment horizontal="right"/>
    </xf>
    <xf numFmtId="3" fontId="13" fillId="0" borderId="0" xfId="1" applyNumberFormat="1" applyFont="1"/>
    <xf numFmtId="3" fontId="13" fillId="0" borderId="0" xfId="46" applyNumberFormat="1" applyFont="1"/>
    <xf numFmtId="43" fontId="13" fillId="0" borderId="0" xfId="46" applyNumberFormat="1" applyFont="1"/>
    <xf numFmtId="169" fontId="13" fillId="0" borderId="0" xfId="46" applyNumberFormat="1" applyFont="1"/>
    <xf numFmtId="3" fontId="13" fillId="0" borderId="3" xfId="2" applyNumberFormat="1" applyBorder="1"/>
    <xf numFmtId="0" fontId="13" fillId="0" borderId="0" xfId="46" quotePrefix="1" applyFont="1"/>
    <xf numFmtId="3" fontId="13" fillId="0" borderId="3" xfId="1" applyNumberFormat="1" applyFont="1" applyBorder="1"/>
    <xf numFmtId="4" fontId="13" fillId="0" borderId="3" xfId="1" applyNumberFormat="1" applyFont="1" applyBorder="1"/>
    <xf numFmtId="164" fontId="13" fillId="0" borderId="3" xfId="1" applyNumberFormat="1" applyFont="1" applyBorder="1"/>
    <xf numFmtId="41" fontId="13" fillId="0" borderId="3" xfId="53" applyNumberFormat="1" applyFont="1" applyFill="1" applyBorder="1"/>
    <xf numFmtId="164" fontId="13" fillId="0" borderId="0" xfId="46" applyNumberFormat="1" applyFont="1"/>
    <xf numFmtId="3" fontId="15" fillId="0" borderId="0" xfId="4" applyNumberFormat="1" applyFont="1" applyFill="1" applyBorder="1" applyAlignment="1">
      <alignment horizontal="right"/>
    </xf>
    <xf numFmtId="9" fontId="13" fillId="0" borderId="0" xfId="1" applyNumberFormat="1" applyFont="1"/>
    <xf numFmtId="9" fontId="13" fillId="0" borderId="3" xfId="1" applyNumberFormat="1" applyFont="1" applyBorder="1"/>
    <xf numFmtId="199" fontId="13" fillId="0" borderId="3" xfId="2" applyNumberFormat="1" applyBorder="1"/>
    <xf numFmtId="199" fontId="13" fillId="0" borderId="3" xfId="1" applyNumberFormat="1" applyFont="1" applyBorder="1"/>
    <xf numFmtId="164" fontId="13" fillId="0" borderId="3" xfId="4" applyNumberFormat="1" applyFont="1" applyFill="1" applyBorder="1" applyAlignment="1">
      <alignment horizontal="right"/>
    </xf>
    <xf numFmtId="9" fontId="14" fillId="0" borderId="0" xfId="46" applyNumberFormat="1" applyFont="1"/>
    <xf numFmtId="9" fontId="13" fillId="0" borderId="0" xfId="46" applyNumberFormat="1" applyFont="1"/>
    <xf numFmtId="164" fontId="13" fillId="0" borderId="0" xfId="2" applyNumberFormat="1"/>
    <xf numFmtId="187" fontId="13" fillId="0" borderId="0" xfId="4" applyNumberFormat="1" applyFont="1" applyFill="1" applyBorder="1" applyAlignment="1">
      <alignment horizontal="right"/>
    </xf>
    <xf numFmtId="199" fontId="13" fillId="0" borderId="0" xfId="4" applyNumberFormat="1" applyFont="1" applyFill="1" applyBorder="1" applyAlignment="1">
      <alignment horizontal="right"/>
    </xf>
    <xf numFmtId="221" fontId="13" fillId="0" borderId="0" xfId="4" applyNumberFormat="1" applyFont="1" applyFill="1" applyBorder="1" applyAlignment="1">
      <alignment horizontal="right"/>
    </xf>
    <xf numFmtId="0" fontId="13" fillId="0" borderId="0" xfId="60" applyFont="1" applyAlignment="1">
      <alignment horizontal="left" indent="3"/>
    </xf>
    <xf numFmtId="186" fontId="15" fillId="0" borderId="0" xfId="4" applyNumberFormat="1" applyFont="1" applyFill="1" applyBorder="1" applyAlignment="1">
      <alignment horizontal="right"/>
    </xf>
    <xf numFmtId="201" fontId="15" fillId="0" borderId="0" xfId="4" applyNumberFormat="1" applyFont="1" applyFill="1" applyBorder="1" applyAlignment="1">
      <alignment horizontal="right"/>
    </xf>
    <xf numFmtId="201" fontId="13" fillId="0" borderId="0" xfId="4" applyNumberFormat="1" applyFont="1" applyFill="1" applyBorder="1" applyAlignment="1">
      <alignment horizontal="right"/>
    </xf>
    <xf numFmtId="9" fontId="13" fillId="0" borderId="0" xfId="2" applyNumberFormat="1"/>
    <xf numFmtId="9" fontId="13" fillId="0" borderId="3" xfId="2" applyNumberFormat="1" applyBorder="1"/>
    <xf numFmtId="164" fontId="13" fillId="0" borderId="3" xfId="2" applyNumberFormat="1" applyBorder="1"/>
    <xf numFmtId="164" fontId="14" fillId="0" borderId="0" xfId="46" applyNumberFormat="1" applyFont="1"/>
    <xf numFmtId="189" fontId="13" fillId="0" borderId="0" xfId="4" applyNumberFormat="1" applyFont="1" applyFill="1" applyBorder="1" applyAlignment="1">
      <alignment horizontal="right"/>
    </xf>
    <xf numFmtId="222" fontId="13" fillId="0" borderId="0" xfId="4" applyNumberFormat="1" applyFont="1" applyFill="1" applyBorder="1" applyAlignment="1">
      <alignment horizontal="right"/>
    </xf>
    <xf numFmtId="182" fontId="13" fillId="0" borderId="0" xfId="57" applyNumberFormat="1" applyFont="1" applyFill="1" applyBorder="1" applyAlignment="1">
      <alignment horizontal="right"/>
    </xf>
    <xf numFmtId="164" fontId="13" fillId="0" borderId="0" xfId="2" applyNumberFormat="1" applyAlignment="1">
      <alignment horizontal="center" wrapText="1"/>
    </xf>
    <xf numFmtId="164" fontId="13" fillId="0" borderId="0" xfId="2" applyNumberFormat="1" applyAlignment="1">
      <alignment horizontal="left"/>
    </xf>
    <xf numFmtId="7" fontId="13" fillId="0" borderId="0" xfId="4" applyNumberFormat="1" applyFont="1" applyFill="1" applyBorder="1" applyAlignment="1">
      <alignment horizontal="right"/>
    </xf>
    <xf numFmtId="164" fontId="13" fillId="0" borderId="0" xfId="2" applyNumberFormat="1" applyAlignment="1">
      <alignment horizontal="centerContinuous"/>
    </xf>
    <xf numFmtId="164" fontId="12" fillId="0" borderId="0" xfId="1" applyNumberFormat="1" applyFont="1" applyAlignment="1">
      <alignment horizontal="centerContinuous"/>
    </xf>
    <xf numFmtId="0" fontId="13" fillId="0" borderId="0" xfId="1" applyFont="1" applyAlignment="1">
      <alignment horizontal="left" wrapText="1" indent="3"/>
    </xf>
    <xf numFmtId="187" fontId="13" fillId="0" borderId="0" xfId="2" applyNumberFormat="1"/>
    <xf numFmtId="187" fontId="13" fillId="0" borderId="0" xfId="1" applyNumberFormat="1" applyFont="1"/>
    <xf numFmtId="0" fontId="13" fillId="0" borderId="0" xfId="46" applyFont="1" applyAlignment="1">
      <alignment horizontal="left" wrapText="1" indent="6"/>
    </xf>
    <xf numFmtId="169" fontId="13" fillId="0" borderId="0" xfId="2" applyNumberFormat="1"/>
    <xf numFmtId="199" fontId="13" fillId="0" borderId="0" xfId="46" applyNumberFormat="1" applyFont="1"/>
    <xf numFmtId="199" fontId="13" fillId="0" borderId="0" xfId="2" applyNumberFormat="1"/>
    <xf numFmtId="9" fontId="13" fillId="0" borderId="3" xfId="46" applyNumberFormat="1" applyFont="1" applyBorder="1"/>
    <xf numFmtId="164" fontId="13" fillId="0" borderId="3" xfId="46" applyNumberFormat="1" applyFont="1" applyBorder="1"/>
    <xf numFmtId="221" fontId="13" fillId="0" borderId="0" xfId="2" applyNumberFormat="1"/>
    <xf numFmtId="0" fontId="13" fillId="0" borderId="0" xfId="60" applyFont="1" applyAlignment="1">
      <alignment horizontal="left" indent="1"/>
    </xf>
    <xf numFmtId="0" fontId="12" fillId="0" borderId="0" xfId="46" applyFont="1" applyAlignment="1">
      <alignment horizontal="left"/>
    </xf>
    <xf numFmtId="187" fontId="13" fillId="0" borderId="3" xfId="2" applyNumberFormat="1" applyBorder="1"/>
    <xf numFmtId="9" fontId="13" fillId="0" borderId="4" xfId="46" applyNumberFormat="1" applyFont="1" applyBorder="1"/>
    <xf numFmtId="164" fontId="13" fillId="0" borderId="4" xfId="46" applyNumberFormat="1" applyFont="1" applyBorder="1"/>
    <xf numFmtId="187" fontId="13" fillId="0" borderId="4" xfId="2" applyNumberFormat="1" applyBorder="1"/>
    <xf numFmtId="164" fontId="13" fillId="0" borderId="4" xfId="2" applyNumberFormat="1" applyBorder="1"/>
    <xf numFmtId="3" fontId="13" fillId="0" borderId="4" xfId="2" applyNumberFormat="1" applyBorder="1"/>
    <xf numFmtId="189" fontId="15" fillId="0" borderId="0" xfId="4" applyNumberFormat="1" applyFont="1" applyFill="1" applyBorder="1" applyAlignment="1">
      <alignment horizontal="right"/>
    </xf>
    <xf numFmtId="187" fontId="13" fillId="0" borderId="4" xfId="4" applyNumberFormat="1" applyFont="1" applyFill="1" applyBorder="1" applyAlignment="1">
      <alignment horizontal="right"/>
    </xf>
    <xf numFmtId="201" fontId="13" fillId="0" borderId="0" xfId="2" applyNumberFormat="1"/>
    <xf numFmtId="164" fontId="13" fillId="0" borderId="4" xfId="2" applyNumberFormat="1" applyBorder="1" applyAlignment="1">
      <alignment horizontal="center"/>
    </xf>
    <xf numFmtId="164" fontId="13" fillId="0" borderId="0" xfId="2" applyNumberFormat="1" applyAlignment="1">
      <alignment horizontal="right" wrapText="1"/>
    </xf>
    <xf numFmtId="0" fontId="13" fillId="0" borderId="0" xfId="46" applyFont="1" applyAlignment="1">
      <alignment horizontal="left" wrapText="1" indent="3"/>
    </xf>
    <xf numFmtId="182" fontId="13" fillId="0" borderId="3" xfId="57" applyNumberFormat="1" applyFont="1" applyFill="1" applyBorder="1" applyAlignment="1">
      <alignment horizontal="right"/>
    </xf>
    <xf numFmtId="182" fontId="13" fillId="0" borderId="4" xfId="57" applyNumberFormat="1" applyFont="1" applyFill="1" applyBorder="1" applyAlignment="1">
      <alignment horizontal="right"/>
    </xf>
    <xf numFmtId="187" fontId="13" fillId="0" borderId="0" xfId="2" applyNumberFormat="1" applyAlignment="1">
      <alignment horizontal="right" wrapText="1"/>
    </xf>
    <xf numFmtId="3" fontId="13" fillId="0" borderId="0" xfId="2" applyNumberFormat="1" applyAlignment="1">
      <alignment horizontal="right"/>
    </xf>
    <xf numFmtId="3" fontId="13" fillId="0" borderId="3" xfId="2" applyNumberFormat="1" applyBorder="1" applyAlignment="1">
      <alignment horizontal="right"/>
    </xf>
    <xf numFmtId="187" fontId="13" fillId="0" borderId="3" xfId="2" applyNumberFormat="1" applyBorder="1" applyAlignment="1">
      <alignment horizontal="right"/>
    </xf>
    <xf numFmtId="168" fontId="13" fillId="0" borderId="0" xfId="2" applyNumberFormat="1"/>
    <xf numFmtId="3" fontId="13" fillId="0" borderId="0" xfId="2" applyNumberFormat="1" applyAlignment="1">
      <alignment horizontal="centerContinuous"/>
    </xf>
    <xf numFmtId="187" fontId="13" fillId="0" borderId="0" xfId="2" applyNumberFormat="1" applyAlignment="1">
      <alignment horizontal="right"/>
    </xf>
    <xf numFmtId="164" fontId="13" fillId="0" borderId="0" xfId="1" applyNumberFormat="1" applyFont="1" applyAlignment="1">
      <alignment horizontal="centerContinuous"/>
    </xf>
    <xf numFmtId="164" fontId="13" fillId="0" borderId="0" xfId="4" applyNumberFormat="1" applyFont="1" applyFill="1" applyBorder="1" applyAlignment="1"/>
    <xf numFmtId="3" fontId="13" fillId="0" borderId="0" xfId="1" applyNumberFormat="1" applyFont="1" applyAlignment="1">
      <alignment horizontal="centerContinuous"/>
    </xf>
    <xf numFmtId="164" fontId="13" fillId="0" borderId="0" xfId="46" applyNumberFormat="1" applyFont="1" applyAlignment="1">
      <alignment horizontal="right"/>
    </xf>
    <xf numFmtId="3" fontId="13" fillId="0" borderId="0" xfId="4" applyNumberFormat="1" applyFont="1" applyFill="1" applyBorder="1" applyAlignment="1">
      <alignment horizontal="right"/>
    </xf>
    <xf numFmtId="187" fontId="13" fillId="0" borderId="4" xfId="2" applyNumberFormat="1" applyBorder="1" applyAlignment="1">
      <alignment horizontal="right"/>
    </xf>
    <xf numFmtId="3" fontId="13" fillId="0" borderId="4" xfId="4" applyNumberFormat="1" applyFont="1" applyFill="1" applyBorder="1" applyAlignment="1">
      <alignment horizontal="right"/>
    </xf>
    <xf numFmtId="187" fontId="13" fillId="0" borderId="3" xfId="4" applyNumberFormat="1" applyFont="1" applyFill="1" applyBorder="1" applyAlignment="1">
      <alignment horizontal="right"/>
    </xf>
    <xf numFmtId="164" fontId="13" fillId="0" borderId="3" xfId="1" applyNumberFormat="1" applyFont="1" applyBorder="1" applyAlignment="1">
      <alignment horizontal="right"/>
    </xf>
    <xf numFmtId="9" fontId="14" fillId="0" borderId="0" xfId="46" applyNumberFormat="1" applyFont="1" applyAlignment="1">
      <alignment horizontal="right"/>
    </xf>
    <xf numFmtId="9" fontId="13" fillId="0" borderId="0" xfId="46" applyNumberFormat="1" applyFont="1" applyAlignment="1">
      <alignment horizontal="right"/>
    </xf>
    <xf numFmtId="223" fontId="13" fillId="0" borderId="0" xfId="4" applyNumberFormat="1" applyFont="1" applyFill="1" applyBorder="1" applyAlignment="1">
      <alignment horizontal="right"/>
    </xf>
    <xf numFmtId="224" fontId="13" fillId="0" borderId="0" xfId="4" applyNumberFormat="1" applyFont="1" applyFill="1" applyBorder="1" applyAlignment="1">
      <alignment horizontal="right"/>
    </xf>
    <xf numFmtId="0" fontId="13" fillId="0" borderId="0" xfId="2" applyAlignment="1">
      <alignment wrapText="1"/>
    </xf>
    <xf numFmtId="3" fontId="12" fillId="0" borderId="0" xfId="1" applyNumberFormat="1" applyFont="1" applyAlignment="1">
      <alignment horizontal="centerContinuous"/>
    </xf>
    <xf numFmtId="3" fontId="13" fillId="0" borderId="3" xfId="46" applyNumberFormat="1" applyFont="1" applyBorder="1"/>
    <xf numFmtId="188" fontId="13" fillId="0" borderId="0" xfId="46" applyNumberFormat="1" applyFont="1"/>
    <xf numFmtId="9" fontId="13" fillId="0" borderId="4" xfId="2" applyNumberFormat="1" applyBorder="1"/>
    <xf numFmtId="3" fontId="13" fillId="0" borderId="4" xfId="46" applyNumberFormat="1" applyFont="1" applyBorder="1"/>
    <xf numFmtId="43" fontId="13" fillId="0" borderId="0" xfId="2" applyNumberFormat="1"/>
    <xf numFmtId="37" fontId="13" fillId="0" borderId="3" xfId="2" applyNumberFormat="1" applyBorder="1"/>
    <xf numFmtId="186" fontId="13" fillId="0" borderId="3" xfId="2" applyNumberFormat="1" applyBorder="1"/>
    <xf numFmtId="3" fontId="13" fillId="0" borderId="3" xfId="4" applyNumberFormat="1" applyFont="1" applyFill="1" applyBorder="1" applyAlignment="1">
      <alignment horizontal="right"/>
    </xf>
    <xf numFmtId="37" fontId="13" fillId="0" borderId="0" xfId="46" applyNumberFormat="1" applyFont="1"/>
    <xf numFmtId="186" fontId="13" fillId="0" borderId="0" xfId="2" applyNumberFormat="1"/>
    <xf numFmtId="37" fontId="13" fillId="0" borderId="4" xfId="2" applyNumberFormat="1" applyBorder="1"/>
    <xf numFmtId="186" fontId="13" fillId="0" borderId="4" xfId="2" applyNumberFormat="1" applyBorder="1"/>
    <xf numFmtId="37" fontId="13" fillId="0" borderId="4" xfId="46" applyNumberFormat="1" applyFont="1" applyBorder="1"/>
    <xf numFmtId="3" fontId="13" fillId="0" borderId="4" xfId="2" applyNumberFormat="1" applyBorder="1" applyAlignment="1">
      <alignment horizontal="right"/>
    </xf>
    <xf numFmtId="186" fontId="13" fillId="0" borderId="0" xfId="2" applyNumberFormat="1" applyAlignment="1">
      <alignment horizontal="center" wrapText="1"/>
    </xf>
    <xf numFmtId="3" fontId="13" fillId="0" borderId="0" xfId="2" applyNumberFormat="1" applyAlignment="1">
      <alignment horizontal="center" wrapText="1"/>
    </xf>
    <xf numFmtId="187" fontId="13" fillId="0" borderId="0" xfId="2" applyNumberFormat="1" applyAlignment="1">
      <alignment horizontal="center" wrapText="1"/>
    </xf>
    <xf numFmtId="3" fontId="13" fillId="0" borderId="0" xfId="2" applyNumberFormat="1" applyAlignment="1">
      <alignment horizontal="left"/>
    </xf>
    <xf numFmtId="167" fontId="14" fillId="0" borderId="0" xfId="53" applyNumberFormat="1" applyFont="1" applyFill="1"/>
    <xf numFmtId="201" fontId="13" fillId="0" borderId="0" xfId="2" applyNumberFormat="1" applyAlignment="1">
      <alignment horizontal="right"/>
    </xf>
    <xf numFmtId="165" fontId="13" fillId="0" borderId="3" xfId="2" applyNumberFormat="1" applyBorder="1"/>
    <xf numFmtId="169" fontId="13" fillId="0" borderId="0" xfId="2" applyNumberFormat="1" applyAlignment="1">
      <alignment horizontal="center"/>
    </xf>
    <xf numFmtId="186" fontId="13" fillId="0" borderId="0" xfId="4" applyNumberFormat="1" applyFont="1" applyFill="1" applyBorder="1" applyAlignment="1">
      <alignment horizontal="right"/>
    </xf>
    <xf numFmtId="186" fontId="13" fillId="0" borderId="0" xfId="1" applyNumberFormat="1" applyFont="1"/>
    <xf numFmtId="222" fontId="13" fillId="0" borderId="4" xfId="2" applyNumberFormat="1" applyBorder="1"/>
    <xf numFmtId="222" fontId="13" fillId="0" borderId="0" xfId="2" applyNumberFormat="1"/>
    <xf numFmtId="169" fontId="13" fillId="0" borderId="0" xfId="4" applyNumberFormat="1" applyFont="1" applyFill="1" applyBorder="1" applyAlignment="1">
      <alignment horizontal="right"/>
    </xf>
    <xf numFmtId="164" fontId="14" fillId="0" borderId="0" xfId="46" applyNumberFormat="1" applyFont="1" applyAlignment="1">
      <alignment horizontal="right"/>
    </xf>
    <xf numFmtId="41" fontId="13" fillId="0" borderId="0" xfId="2" applyNumberFormat="1" applyAlignment="1">
      <alignment horizontal="right"/>
    </xf>
    <xf numFmtId="41" fontId="13" fillId="0" borderId="0" xfId="2" applyNumberFormat="1"/>
    <xf numFmtId="3" fontId="13" fillId="0" borderId="0" xfId="2" applyNumberFormat="1" applyAlignment="1">
      <alignment horizontal="right" wrapText="1"/>
    </xf>
    <xf numFmtId="169" fontId="13" fillId="0" borderId="0" xfId="2" applyNumberFormat="1" applyAlignment="1">
      <alignment horizontal="right"/>
    </xf>
    <xf numFmtId="225" fontId="13" fillId="0" borderId="0" xfId="46" applyNumberFormat="1" applyFont="1"/>
    <xf numFmtId="225" fontId="13" fillId="0" borderId="4" xfId="46" applyNumberFormat="1" applyFont="1" applyBorder="1"/>
    <xf numFmtId="169" fontId="13" fillId="0" borderId="4" xfId="2" applyNumberFormat="1" applyBorder="1"/>
    <xf numFmtId="167" fontId="14" fillId="0" borderId="0" xfId="46" applyNumberFormat="1" applyFont="1"/>
    <xf numFmtId="169" fontId="13" fillId="0" borderId="4" xfId="4" applyNumberFormat="1" applyFont="1" applyFill="1" applyBorder="1" applyAlignment="1">
      <alignment horizontal="right"/>
    </xf>
    <xf numFmtId="167" fontId="14" fillId="0" borderId="0" xfId="53" applyNumberFormat="1" applyFont="1" applyFill="1" applyBorder="1"/>
    <xf numFmtId="3" fontId="13" fillId="0" borderId="0" xfId="2" applyNumberFormat="1" applyAlignment="1">
      <alignment horizontal="center"/>
    </xf>
    <xf numFmtId="214" fontId="13" fillId="0" borderId="4" xfId="2" applyNumberFormat="1" applyBorder="1"/>
    <xf numFmtId="169" fontId="13" fillId="0" borderId="4" xfId="2" applyNumberFormat="1" applyBorder="1" applyAlignment="1">
      <alignment horizontal="right"/>
    </xf>
    <xf numFmtId="9" fontId="13" fillId="0" borderId="4" xfId="2" applyNumberFormat="1" applyBorder="1" applyAlignment="1">
      <alignment horizontal="right"/>
    </xf>
    <xf numFmtId="37" fontId="13" fillId="0" borderId="4" xfId="2" applyNumberFormat="1" applyBorder="1" applyAlignment="1">
      <alignment horizontal="right"/>
    </xf>
    <xf numFmtId="3" fontId="13" fillId="0" borderId="4" xfId="2" applyNumberFormat="1" applyBorder="1" applyAlignment="1">
      <alignment horizontal="right" wrapText="1"/>
    </xf>
    <xf numFmtId="186" fontId="13" fillId="0" borderId="4" xfId="2" applyNumberFormat="1" applyBorder="1" applyAlignment="1">
      <alignment horizontal="right" wrapText="1"/>
    </xf>
    <xf numFmtId="37" fontId="13" fillId="0" borderId="0" xfId="46" applyNumberFormat="1" applyFont="1" applyAlignment="1">
      <alignment horizontal="right"/>
    </xf>
    <xf numFmtId="187" fontId="12" fillId="0" borderId="0" xfId="1" applyNumberFormat="1" applyFont="1" applyAlignment="1">
      <alignment horizontal="centerContinuous"/>
    </xf>
    <xf numFmtId="41" fontId="13" fillId="0" borderId="4" xfId="2" applyNumberFormat="1" applyBorder="1"/>
    <xf numFmtId="169" fontId="13" fillId="0" borderId="4" xfId="46" applyNumberFormat="1" applyFont="1" applyBorder="1"/>
    <xf numFmtId="0" fontId="13" fillId="0" borderId="0" xfId="2" applyAlignment="1">
      <alignment horizontal="right"/>
    </xf>
    <xf numFmtId="9" fontId="13" fillId="0" borderId="0" xfId="2" applyNumberFormat="1" applyAlignment="1">
      <alignment horizontal="right"/>
    </xf>
    <xf numFmtId="168" fontId="13" fillId="0" borderId="4" xfId="2" applyNumberFormat="1" applyBorder="1" applyAlignment="1">
      <alignment horizontal="right"/>
    </xf>
    <xf numFmtId="186" fontId="13" fillId="0" borderId="4" xfId="4" applyNumberFormat="1" applyFont="1" applyFill="1" applyBorder="1" applyAlignment="1">
      <alignment horizontal="right"/>
    </xf>
    <xf numFmtId="169" fontId="13" fillId="0" borderId="0" xfId="1" applyNumberFormat="1" applyFont="1"/>
    <xf numFmtId="164" fontId="13" fillId="0" borderId="4" xfId="46" applyNumberFormat="1" applyFont="1" applyBorder="1" applyAlignment="1">
      <alignment horizontal="right"/>
    </xf>
    <xf numFmtId="224" fontId="13" fillId="0" borderId="4" xfId="2" applyNumberFormat="1" applyBorder="1" applyAlignment="1">
      <alignment horizontal="right"/>
    </xf>
    <xf numFmtId="169" fontId="13" fillId="0" borderId="0" xfId="46" applyNumberFormat="1" applyFont="1" applyAlignment="1">
      <alignment horizontal="right"/>
    </xf>
    <xf numFmtId="37" fontId="13" fillId="0" borderId="0" xfId="2" applyNumberFormat="1"/>
    <xf numFmtId="168" fontId="13" fillId="0" borderId="0" xfId="4" applyNumberFormat="1" applyFont="1" applyFill="1" applyBorder="1" applyAlignment="1">
      <alignment horizontal="right"/>
    </xf>
    <xf numFmtId="187" fontId="13" fillId="0" borderId="0" xfId="2" quotePrefix="1" applyNumberFormat="1"/>
    <xf numFmtId="43" fontId="13" fillId="0" borderId="0" xfId="1" applyNumberFormat="1" applyFont="1"/>
    <xf numFmtId="41" fontId="13" fillId="0" borderId="0" xfId="4" applyNumberFormat="1" applyFont="1" applyFill="1" applyBorder="1" applyAlignment="1">
      <alignment horizontal="right"/>
    </xf>
    <xf numFmtId="168" fontId="13" fillId="0" borderId="3" xfId="2" applyNumberFormat="1" applyBorder="1"/>
    <xf numFmtId="168" fontId="13" fillId="0" borderId="4" xfId="2" applyNumberFormat="1" applyBorder="1"/>
    <xf numFmtId="224" fontId="13" fillId="0" borderId="4" xfId="2" applyNumberFormat="1" applyBorder="1"/>
    <xf numFmtId="7" fontId="13" fillId="0" borderId="0" xfId="1" applyNumberFormat="1" applyFont="1"/>
    <xf numFmtId="187" fontId="13" fillId="0" borderId="0" xfId="2" applyNumberFormat="1" applyAlignment="1">
      <alignment horizontal="centerContinuous"/>
    </xf>
    <xf numFmtId="164" fontId="12" fillId="0" borderId="0" xfId="1" applyNumberFormat="1" applyFont="1" applyAlignment="1">
      <alignment horizontal="right"/>
    </xf>
    <xf numFmtId="37" fontId="13" fillId="0" borderId="0" xfId="1" applyNumberFormat="1" applyFont="1" applyAlignment="1">
      <alignment horizontal="right"/>
    </xf>
    <xf numFmtId="187" fontId="13" fillId="0" borderId="3" xfId="46" applyNumberFormat="1" applyFont="1" applyBorder="1"/>
    <xf numFmtId="187" fontId="13" fillId="0" borderId="0" xfId="46" applyNumberFormat="1" applyFont="1"/>
    <xf numFmtId="3" fontId="28" fillId="0" borderId="0" xfId="2" applyNumberFormat="1" applyFont="1" applyAlignment="1">
      <alignment horizontal="right"/>
    </xf>
    <xf numFmtId="168" fontId="13" fillId="0" borderId="0" xfId="1" applyNumberFormat="1" applyFont="1"/>
    <xf numFmtId="168" fontId="13" fillId="0" borderId="4" xfId="1" applyNumberFormat="1" applyFont="1" applyBorder="1"/>
    <xf numFmtId="3" fontId="13" fillId="0" borderId="4" xfId="1" applyNumberFormat="1" applyFont="1" applyBorder="1"/>
    <xf numFmtId="187" fontId="13" fillId="0" borderId="4" xfId="46" applyNumberFormat="1" applyFont="1" applyBorder="1"/>
    <xf numFmtId="7" fontId="13" fillId="0" borderId="0" xfId="2" applyNumberFormat="1"/>
    <xf numFmtId="187" fontId="13" fillId="0" borderId="0" xfId="2" applyNumberFormat="1" applyAlignment="1">
      <alignment horizontal="left"/>
    </xf>
    <xf numFmtId="9" fontId="13" fillId="0" borderId="3" xfId="46" applyNumberFormat="1" applyFont="1" applyBorder="1" applyAlignment="1">
      <alignment horizontal="right"/>
    </xf>
    <xf numFmtId="164" fontId="13" fillId="0" borderId="3" xfId="46" applyNumberFormat="1" applyFont="1" applyBorder="1" applyAlignment="1">
      <alignment horizontal="right"/>
    </xf>
    <xf numFmtId="186" fontId="13" fillId="0" borderId="3" xfId="46" applyNumberFormat="1" applyFont="1" applyBorder="1"/>
    <xf numFmtId="187" fontId="12" fillId="0" borderId="0" xfId="1" applyNumberFormat="1" applyFont="1" applyAlignment="1">
      <alignment horizontal="right"/>
    </xf>
    <xf numFmtId="9" fontId="13" fillId="0" borderId="4" xfId="46" applyNumberFormat="1" applyFont="1" applyBorder="1" applyAlignment="1">
      <alignment horizontal="right"/>
    </xf>
    <xf numFmtId="0" fontId="13" fillId="0" borderId="4" xfId="2" applyBorder="1"/>
    <xf numFmtId="168" fontId="13" fillId="0" borderId="0" xfId="1" applyNumberFormat="1" applyFont="1" applyAlignment="1">
      <alignment horizontal="right"/>
    </xf>
    <xf numFmtId="7" fontId="13" fillId="0" borderId="0" xfId="2" applyNumberFormat="1" applyAlignment="1">
      <alignment horizontal="right"/>
    </xf>
    <xf numFmtId="3" fontId="13" fillId="0" borderId="0" xfId="46" applyNumberFormat="1" applyFont="1" applyAlignment="1">
      <alignment horizontal="right"/>
    </xf>
    <xf numFmtId="3" fontId="13" fillId="0" borderId="3" xfId="1" applyNumberFormat="1" applyFont="1" applyBorder="1" applyAlignment="1">
      <alignment horizontal="right"/>
    </xf>
    <xf numFmtId="37" fontId="13" fillId="0" borderId="4" xfId="4" applyNumberFormat="1" applyFont="1" applyFill="1" applyBorder="1" applyAlignment="1">
      <alignment horizontal="right"/>
    </xf>
    <xf numFmtId="37" fontId="13" fillId="0" borderId="0" xfId="4" applyNumberFormat="1" applyFont="1" applyFill="1" applyBorder="1" applyAlignment="1">
      <alignment horizontal="right"/>
    </xf>
    <xf numFmtId="3" fontId="13" fillId="0" borderId="0" xfId="46" applyNumberFormat="1" applyFont="1" applyAlignment="1">
      <alignment horizontal="center"/>
    </xf>
    <xf numFmtId="3" fontId="13" fillId="0" borderId="0" xfId="4" applyNumberFormat="1" applyFont="1" applyFill="1" applyBorder="1" applyAlignment="1">
      <alignment horizontal="center"/>
    </xf>
    <xf numFmtId="186" fontId="13" fillId="0" borderId="4" xfId="46" applyNumberFormat="1" applyFont="1" applyBorder="1"/>
    <xf numFmtId="186" fontId="13" fillId="0" borderId="0" xfId="46" applyNumberFormat="1" applyFont="1"/>
    <xf numFmtId="3" fontId="13" fillId="0" borderId="4" xfId="46" applyNumberFormat="1" applyFont="1" applyBorder="1" applyAlignment="1">
      <alignment horizontal="right"/>
    </xf>
    <xf numFmtId="3" fontId="28" fillId="0" borderId="0" xfId="2" applyNumberFormat="1" applyFont="1" applyAlignment="1">
      <alignment horizontal="center"/>
    </xf>
    <xf numFmtId="187" fontId="14" fillId="0" borderId="0" xfId="46" applyNumberFormat="1" applyFont="1"/>
    <xf numFmtId="3" fontId="20" fillId="0" borderId="0" xfId="46" applyNumberFormat="1" applyFont="1"/>
    <xf numFmtId="0" fontId="56" fillId="0" borderId="0" xfId="46" applyFont="1"/>
    <xf numFmtId="3" fontId="15" fillId="0" borderId="0" xfId="4" applyNumberFormat="1" applyFont="1" applyFill="1" applyBorder="1" applyAlignment="1"/>
    <xf numFmtId="168" fontId="13" fillId="0" borderId="3" xfId="1" applyNumberFormat="1" applyFont="1" applyBorder="1"/>
    <xf numFmtId="187" fontId="13" fillId="0" borderId="3" xfId="1" applyNumberFormat="1" applyFont="1" applyBorder="1"/>
    <xf numFmtId="195" fontId="15" fillId="0" borderId="0" xfId="4" applyNumberFormat="1" applyFont="1" applyFill="1" applyBorder="1" applyAlignment="1"/>
    <xf numFmtId="195" fontId="13" fillId="0" borderId="0" xfId="4" applyNumberFormat="1" applyFont="1" applyFill="1" applyBorder="1" applyAlignment="1">
      <alignment horizontal="right"/>
    </xf>
    <xf numFmtId="7" fontId="15" fillId="0" borderId="0" xfId="4" applyNumberFormat="1" applyFont="1" applyFill="1" applyBorder="1" applyAlignment="1"/>
    <xf numFmtId="181" fontId="13" fillId="0" borderId="3" xfId="2" applyNumberFormat="1" applyBorder="1"/>
    <xf numFmtId="195" fontId="13" fillId="0" borderId="3" xfId="1" applyNumberFormat="1" applyFont="1" applyBorder="1"/>
    <xf numFmtId="195" fontId="13" fillId="0" borderId="0" xfId="2" applyNumberFormat="1"/>
    <xf numFmtId="181" fontId="13" fillId="0" borderId="0" xfId="2" applyNumberFormat="1"/>
    <xf numFmtId="199" fontId="14" fillId="0" borderId="0" xfId="46" applyNumberFormat="1" applyFont="1"/>
    <xf numFmtId="224" fontId="15" fillId="0" borderId="0" xfId="4" applyNumberFormat="1" applyFont="1" applyFill="1" applyBorder="1" applyAlignment="1"/>
    <xf numFmtId="221" fontId="13" fillId="0" borderId="0" xfId="1" applyNumberFormat="1" applyFont="1"/>
    <xf numFmtId="181" fontId="13" fillId="0" borderId="3" xfId="1" applyNumberFormat="1" applyFont="1" applyBorder="1"/>
    <xf numFmtId="181" fontId="13" fillId="0" borderId="0" xfId="1" applyNumberFormat="1" applyFont="1"/>
    <xf numFmtId="199" fontId="13" fillId="0" borderId="0" xfId="1" applyNumberFormat="1" applyFont="1"/>
    <xf numFmtId="201" fontId="15" fillId="0" borderId="0" xfId="4" applyNumberFormat="1" applyFont="1" applyFill="1" applyBorder="1" applyAlignment="1"/>
    <xf numFmtId="3" fontId="13" fillId="0" borderId="0" xfId="4" applyNumberFormat="1" applyFont="1" applyFill="1" applyBorder="1" applyAlignment="1"/>
    <xf numFmtId="168" fontId="13" fillId="0" borderId="0" xfId="2" applyNumberFormat="1" applyAlignment="1">
      <alignment horizontal="center" wrapText="1"/>
    </xf>
    <xf numFmtId="188" fontId="13" fillId="0" borderId="0" xfId="2" applyNumberFormat="1"/>
    <xf numFmtId="168" fontId="13" fillId="0" borderId="0" xfId="2" applyNumberFormat="1" applyAlignment="1">
      <alignment horizontal="left"/>
    </xf>
    <xf numFmtId="168" fontId="13" fillId="0" borderId="0" xfId="2" applyNumberFormat="1" applyAlignment="1">
      <alignment horizontal="right"/>
    </xf>
    <xf numFmtId="224" fontId="13" fillId="0" borderId="0" xfId="2" applyNumberFormat="1"/>
    <xf numFmtId="225" fontId="13" fillId="0" borderId="0" xfId="2" applyNumberFormat="1"/>
    <xf numFmtId="164" fontId="15" fillId="0" borderId="0" xfId="4" applyNumberFormat="1" applyFont="1" applyFill="1" applyBorder="1" applyAlignment="1"/>
    <xf numFmtId="222" fontId="13" fillId="0" borderId="4" xfId="4" applyNumberFormat="1" applyFont="1" applyFill="1" applyBorder="1" applyAlignment="1">
      <alignment horizontal="right"/>
    </xf>
    <xf numFmtId="37" fontId="15" fillId="0" borderId="0" xfId="4" applyNumberFormat="1" applyFont="1" applyFill="1" applyBorder="1" applyAlignment="1"/>
    <xf numFmtId="199" fontId="13" fillId="0" borderId="4" xfId="2" applyNumberFormat="1" applyBorder="1"/>
    <xf numFmtId="37" fontId="13" fillId="0" borderId="0" xfId="2" applyNumberFormat="1" applyAlignment="1">
      <alignment horizontal="right" wrapText="1"/>
    </xf>
    <xf numFmtId="3" fontId="13" fillId="0" borderId="4" xfId="2" applyNumberFormat="1" applyBorder="1" applyAlignment="1">
      <alignment horizontal="center" wrapText="1"/>
    </xf>
    <xf numFmtId="164" fontId="13" fillId="0" borderId="0" xfId="57" applyNumberFormat="1" applyFont="1" applyFill="1" applyBorder="1" applyAlignment="1">
      <alignment horizontal="right"/>
    </xf>
    <xf numFmtId="164" fontId="13" fillId="0" borderId="0" xfId="2" quotePrefix="1" applyNumberFormat="1"/>
    <xf numFmtId="9" fontId="13" fillId="0" borderId="0" xfId="57" applyFont="1" applyFill="1" applyBorder="1" applyAlignment="1">
      <alignment horizontal="right"/>
    </xf>
    <xf numFmtId="187" fontId="15" fillId="0" borderId="0" xfId="4" applyNumberFormat="1" applyFont="1" applyFill="1" applyBorder="1" applyAlignment="1"/>
    <xf numFmtId="3" fontId="13" fillId="0" borderId="3" xfId="46" applyNumberFormat="1" applyFont="1" applyBorder="1" applyAlignment="1">
      <alignment horizontal="right"/>
    </xf>
    <xf numFmtId="3" fontId="13" fillId="0" borderId="2" xfId="4" applyNumberFormat="1" applyFont="1" applyFill="1" applyBorder="1" applyAlignment="1">
      <alignment horizontal="right"/>
    </xf>
    <xf numFmtId="3" fontId="12" fillId="0" borderId="0" xfId="46" applyNumberFormat="1" applyFont="1"/>
    <xf numFmtId="9" fontId="13" fillId="0" borderId="3" xfId="1" applyNumberFormat="1" applyFont="1" applyBorder="1" applyAlignment="1">
      <alignment horizontal="right"/>
    </xf>
    <xf numFmtId="9" fontId="13" fillId="0" borderId="0" xfId="46" applyNumberFormat="1" applyFont="1" applyAlignment="1">
      <alignment horizontal="center"/>
    </xf>
    <xf numFmtId="9" fontId="13" fillId="0" borderId="3" xfId="2" applyNumberFormat="1" applyBorder="1" applyAlignment="1">
      <alignment horizontal="right"/>
    </xf>
    <xf numFmtId="9" fontId="13" fillId="0" borderId="0" xfId="2" applyNumberFormat="1" applyAlignment="1">
      <alignment horizontal="center"/>
    </xf>
    <xf numFmtId="182" fontId="13" fillId="0" borderId="3" xfId="2" applyNumberFormat="1" applyBorder="1" applyAlignment="1">
      <alignment horizontal="right"/>
    </xf>
    <xf numFmtId="182" fontId="13" fillId="0" borderId="0" xfId="2" applyNumberFormat="1" applyAlignment="1">
      <alignment horizontal="right"/>
    </xf>
    <xf numFmtId="164" fontId="13" fillId="0" borderId="3" xfId="2" applyNumberFormat="1" applyBorder="1" applyAlignment="1">
      <alignment horizontal="center"/>
    </xf>
    <xf numFmtId="182" fontId="13" fillId="0" borderId="0" xfId="2" applyNumberFormat="1"/>
    <xf numFmtId="182" fontId="13" fillId="0" borderId="0" xfId="57" applyNumberFormat="1" applyFont="1" applyFill="1" applyBorder="1" applyAlignment="1">
      <alignment horizontal="center"/>
    </xf>
    <xf numFmtId="1" fontId="13" fillId="0" borderId="0" xfId="4" applyNumberFormat="1" applyFont="1" applyFill="1" applyBorder="1" applyAlignment="1">
      <alignment horizontal="right"/>
    </xf>
    <xf numFmtId="182" fontId="13" fillId="0" borderId="4" xfId="2" applyNumberFormat="1" applyBorder="1" applyAlignment="1">
      <alignment horizontal="right"/>
    </xf>
    <xf numFmtId="37" fontId="13" fillId="0" borderId="3" xfId="46" applyNumberFormat="1" applyFont="1" applyBorder="1"/>
    <xf numFmtId="187" fontId="13" fillId="0" borderId="0" xfId="1" applyNumberFormat="1" applyFont="1" applyAlignment="1">
      <alignment horizontal="right"/>
    </xf>
    <xf numFmtId="164" fontId="13" fillId="0" borderId="0" xfId="46" applyNumberFormat="1" applyFont="1" applyAlignment="1">
      <alignment horizontal="center"/>
    </xf>
    <xf numFmtId="182" fontId="13" fillId="0" borderId="4" xfId="57" applyNumberFormat="1" applyFont="1" applyFill="1" applyBorder="1" applyAlignment="1"/>
    <xf numFmtId="182" fontId="13" fillId="0" borderId="0" xfId="57" applyNumberFormat="1" applyFont="1" applyFill="1" applyBorder="1" applyAlignment="1"/>
    <xf numFmtId="164" fontId="13" fillId="0" borderId="4" xfId="4" applyNumberFormat="1" applyFont="1" applyFill="1" applyBorder="1" applyAlignment="1"/>
    <xf numFmtId="0" fontId="13" fillId="0" borderId="4" xfId="4" applyNumberFormat="1" applyFont="1" applyFill="1" applyBorder="1" applyAlignment="1">
      <alignment horizontal="right"/>
    </xf>
    <xf numFmtId="1" fontId="13" fillId="0" borderId="0" xfId="46" applyNumberFormat="1" applyFont="1"/>
    <xf numFmtId="0" fontId="13" fillId="0" borderId="4" xfId="2" applyBorder="1" applyAlignment="1">
      <alignment horizontal="right" wrapText="1"/>
    </xf>
    <xf numFmtId="182" fontId="13" fillId="0" borderId="4" xfId="2" applyNumberFormat="1" applyBorder="1"/>
    <xf numFmtId="187" fontId="13" fillId="0" borderId="4" xfId="2" quotePrefix="1" applyNumberFormat="1" applyBorder="1"/>
    <xf numFmtId="37" fontId="13" fillId="0" borderId="3" xfId="2" applyNumberFormat="1" applyBorder="1" applyAlignment="1">
      <alignment horizontal="right"/>
    </xf>
    <xf numFmtId="168" fontId="13" fillId="0" borderId="0" xfId="46" applyNumberFormat="1" applyFont="1" applyAlignment="1">
      <alignment horizontal="right"/>
    </xf>
    <xf numFmtId="3" fontId="13" fillId="0" borderId="2" xfId="46" applyNumberFormat="1" applyFont="1" applyBorder="1"/>
    <xf numFmtId="3" fontId="14" fillId="0" borderId="0" xfId="46" applyNumberFormat="1" applyFont="1" applyAlignment="1">
      <alignment horizontal="center"/>
    </xf>
    <xf numFmtId="170" fontId="16" fillId="0" borderId="0" xfId="25" applyNumberFormat="1" applyFont="1" applyFill="1" applyBorder="1"/>
    <xf numFmtId="43" fontId="16" fillId="0" borderId="0" xfId="25" applyFont="1" applyFill="1" applyBorder="1"/>
    <xf numFmtId="180" fontId="16" fillId="0" borderId="0" xfId="29" applyNumberFormat="1" applyFont="1" applyFill="1" applyBorder="1"/>
    <xf numFmtId="43" fontId="27" fillId="0" borderId="0" xfId="25" applyFont="1" applyFill="1" applyBorder="1"/>
    <xf numFmtId="170" fontId="27" fillId="0" borderId="0" xfId="25" applyNumberFormat="1" applyFont="1" applyFill="1" applyBorder="1"/>
    <xf numFmtId="170" fontId="22" fillId="0" borderId="0" xfId="25" applyNumberFormat="1" applyFont="1" applyFill="1" applyBorder="1"/>
    <xf numFmtId="184" fontId="16" fillId="0" borderId="0" xfId="25" applyNumberFormat="1" applyFont="1" applyFill="1" applyBorder="1"/>
    <xf numFmtId="170" fontId="16" fillId="0" borderId="0" xfId="30" applyNumberFormat="1" applyFont="1" applyFill="1" applyBorder="1" applyAlignment="1">
      <alignment horizontal="center"/>
    </xf>
    <xf numFmtId="0" fontId="13" fillId="0" borderId="1" xfId="38" applyFont="1" applyBorder="1" applyAlignment="1">
      <alignment horizontal="center"/>
    </xf>
    <xf numFmtId="0" fontId="13" fillId="0" borderId="0" xfId="42" applyFont="1" applyAlignment="1">
      <alignment horizontal="center"/>
    </xf>
    <xf numFmtId="0" fontId="13" fillId="0" borderId="0" xfId="38" applyFont="1" applyAlignment="1">
      <alignment horizontal="left" indent="1"/>
    </xf>
    <xf numFmtId="199" fontId="13" fillId="0" borderId="0" xfId="38" applyNumberFormat="1" applyFont="1"/>
    <xf numFmtId="199" fontId="13" fillId="0" borderId="0" xfId="42" applyNumberFormat="1" applyFont="1"/>
    <xf numFmtId="184" fontId="13" fillId="0" borderId="0" xfId="30" applyNumberFormat="1" applyFont="1" applyFill="1" applyBorder="1"/>
    <xf numFmtId="184" fontId="13" fillId="0" borderId="1" xfId="30" applyNumberFormat="1" applyFont="1" applyFill="1" applyBorder="1"/>
    <xf numFmtId="184" fontId="13" fillId="0" borderId="4" xfId="30" applyNumberFormat="1" applyFont="1" applyFill="1" applyBorder="1"/>
    <xf numFmtId="169" fontId="13" fillId="0" borderId="0" xfId="44" applyNumberFormat="1" applyFont="1" applyFill="1" applyBorder="1"/>
    <xf numFmtId="169" fontId="13" fillId="0" borderId="4" xfId="30" applyNumberFormat="1" applyFont="1" applyFill="1" applyBorder="1"/>
    <xf numFmtId="202" fontId="13" fillId="0" borderId="0" xfId="13" applyNumberFormat="1" applyFont="1" applyFill="1" applyAlignment="1">
      <alignment horizontal="right"/>
    </xf>
    <xf numFmtId="184" fontId="13" fillId="0" borderId="0" xfId="44" applyNumberFormat="1" applyFont="1" applyFill="1"/>
    <xf numFmtId="169" fontId="13" fillId="0" borderId="0" xfId="42" applyNumberFormat="1" applyFont="1"/>
    <xf numFmtId="43" fontId="13" fillId="0" borderId="0" xfId="42" applyNumberFormat="1" applyFont="1"/>
    <xf numFmtId="0" fontId="23" fillId="0" borderId="0" xfId="21" applyFont="1" applyAlignment="1">
      <alignment horizontal="center"/>
    </xf>
    <xf numFmtId="194" fontId="16" fillId="0" borderId="0" xfId="21" applyNumberFormat="1" applyFont="1"/>
    <xf numFmtId="43" fontId="16" fillId="0" borderId="0" xfId="21" applyNumberFormat="1" applyFont="1"/>
    <xf numFmtId="167" fontId="16" fillId="0" borderId="0" xfId="21" applyNumberFormat="1" applyFont="1"/>
    <xf numFmtId="193" fontId="16" fillId="0" borderId="0" xfId="21" applyNumberFormat="1" applyFont="1"/>
    <xf numFmtId="184" fontId="16" fillId="0" borderId="0" xfId="21" applyNumberFormat="1" applyFont="1"/>
    <xf numFmtId="184" fontId="16" fillId="0" borderId="0" xfId="21" applyNumberFormat="1" applyFont="1" applyAlignment="1">
      <alignment horizontal="center"/>
    </xf>
    <xf numFmtId="0" fontId="16" fillId="0" borderId="0" xfId="21" quotePrefix="1" applyFont="1" applyAlignment="1">
      <alignment horizontal="center" vertical="top"/>
    </xf>
    <xf numFmtId="0" fontId="16" fillId="0" borderId="0" xfId="21" quotePrefix="1" applyFont="1" applyAlignment="1">
      <alignment horizontal="center"/>
    </xf>
    <xf numFmtId="0" fontId="16" fillId="0" borderId="0" xfId="21" quotePrefix="1" applyFont="1"/>
    <xf numFmtId="0" fontId="16" fillId="0" borderId="0" xfId="34" applyFont="1"/>
    <xf numFmtId="199" fontId="16" fillId="0" borderId="0" xfId="21" applyNumberFormat="1" applyFont="1" applyAlignment="1">
      <alignment horizontal="center"/>
    </xf>
    <xf numFmtId="0" fontId="34" fillId="0" borderId="0" xfId="0" applyFont="1" applyAlignment="1">
      <alignment vertical="center"/>
    </xf>
    <xf numFmtId="0" fontId="35" fillId="0" borderId="0" xfId="0" applyFont="1" applyAlignment="1">
      <alignment horizontal="left" vertical="center" indent="2"/>
    </xf>
    <xf numFmtId="43" fontId="16" fillId="0" borderId="0" xfId="21" applyNumberFormat="1" applyFont="1" applyAlignment="1">
      <alignment horizontal="center" vertical="top"/>
    </xf>
    <xf numFmtId="185" fontId="50" fillId="8" borderId="0" xfId="51" applyNumberFormat="1" applyFont="1" applyFill="1"/>
    <xf numFmtId="198" fontId="14" fillId="0" borderId="0" xfId="46" applyNumberFormat="1" applyFont="1"/>
    <xf numFmtId="0" fontId="16" fillId="0" borderId="0" xfId="0" applyFont="1" applyAlignment="1">
      <alignment horizontal="left" indent="2"/>
    </xf>
    <xf numFmtId="174" fontId="46" fillId="0" borderId="0" xfId="0" applyNumberFormat="1" applyFont="1"/>
    <xf numFmtId="9" fontId="46" fillId="0" borderId="0" xfId="0" applyNumberFormat="1" applyFont="1"/>
    <xf numFmtId="174" fontId="22" fillId="0" borderId="0" xfId="0" applyNumberFormat="1" applyFont="1"/>
    <xf numFmtId="0" fontId="16" fillId="0" borderId="0" xfId="0" applyFont="1" applyAlignment="1">
      <alignment horizontal="left" indent="1"/>
    </xf>
    <xf numFmtId="184" fontId="47" fillId="0" borderId="0" xfId="30" applyNumberFormat="1" applyFont="1" applyFill="1" applyBorder="1"/>
    <xf numFmtId="198" fontId="22" fillId="0" borderId="0" xfId="0" applyNumberFormat="1" applyFont="1"/>
    <xf numFmtId="0" fontId="51" fillId="0" borderId="0" xfId="0" applyFont="1"/>
    <xf numFmtId="0" fontId="23" fillId="0" borderId="0" xfId="0" applyFont="1"/>
    <xf numFmtId="0" fontId="16" fillId="0" borderId="0" xfId="0" applyFont="1" applyAlignment="1">
      <alignment horizontal="center"/>
    </xf>
    <xf numFmtId="184" fontId="46" fillId="0" borderId="0" xfId="30" applyNumberFormat="1" applyFont="1" applyFill="1" applyBorder="1"/>
    <xf numFmtId="184" fontId="13" fillId="0" borderId="0" xfId="43" applyNumberFormat="1" applyFont="1"/>
    <xf numFmtId="174" fontId="13" fillId="0" borderId="0" xfId="46" applyNumberFormat="1" applyFont="1" applyAlignment="1">
      <alignment horizontal="right"/>
    </xf>
    <xf numFmtId="0" fontId="13" fillId="0" borderId="1" xfId="46" applyFont="1" applyBorder="1" applyAlignment="1">
      <alignment horizontal="center"/>
    </xf>
    <xf numFmtId="0" fontId="13" fillId="0" borderId="1" xfId="43" applyFont="1" applyBorder="1" applyAlignment="1">
      <alignment horizontal="right"/>
    </xf>
    <xf numFmtId="0" fontId="13" fillId="0" borderId="0" xfId="46" applyFont="1" applyAlignment="1">
      <alignment horizontal="right" indent="2"/>
    </xf>
    <xf numFmtId="0" fontId="13" fillId="0" borderId="0" xfId="43" applyFont="1" applyAlignment="1">
      <alignment horizontal="right"/>
    </xf>
    <xf numFmtId="198" fontId="13" fillId="0" borderId="0" xfId="46" applyNumberFormat="1" applyFont="1" applyAlignment="1">
      <alignment horizontal="center"/>
    </xf>
    <xf numFmtId="174" fontId="13" fillId="0" borderId="0" xfId="46" applyNumberFormat="1" applyFont="1"/>
    <xf numFmtId="174" fontId="13" fillId="0" borderId="3" xfId="46" applyNumberFormat="1" applyFont="1" applyBorder="1" applyAlignment="1">
      <alignment horizontal="right"/>
    </xf>
    <xf numFmtId="0" fontId="14" fillId="0" borderId="0" xfId="42" applyFont="1"/>
    <xf numFmtId="0" fontId="14" fillId="0" borderId="0" xfId="42" applyFont="1" applyAlignment="1">
      <alignment horizontal="center"/>
    </xf>
    <xf numFmtId="200" fontId="13" fillId="0" borderId="0" xfId="21" applyNumberFormat="1" applyFont="1" applyFill="1"/>
    <xf numFmtId="180" fontId="13" fillId="0" borderId="0" xfId="21" applyNumberFormat="1" applyFont="1" applyFill="1"/>
    <xf numFmtId="0" fontId="13" fillId="0" borderId="0" xfId="17" applyFont="1" applyFill="1" applyAlignment="1">
      <alignment horizontal="center"/>
    </xf>
    <xf numFmtId="166" fontId="13" fillId="0" borderId="0" xfId="7" applyFont="1" applyFill="1"/>
    <xf numFmtId="166" fontId="13" fillId="0" borderId="0" xfId="7" applyFont="1" applyFill="1" applyAlignment="1">
      <alignment horizontal="right"/>
    </xf>
    <xf numFmtId="166" fontId="13" fillId="0" borderId="0" xfId="7" applyFont="1" applyFill="1" applyAlignment="1">
      <alignment horizontal="center"/>
    </xf>
    <xf numFmtId="0" fontId="13" fillId="0" borderId="0" xfId="17" applyFont="1" applyFill="1"/>
    <xf numFmtId="176" fontId="13" fillId="0" borderId="0" xfId="7" applyNumberFormat="1" applyFont="1" applyFill="1"/>
    <xf numFmtId="166" fontId="12" fillId="0" borderId="0" xfId="7" applyFont="1" applyFill="1" applyAlignment="1">
      <alignment horizontal="center"/>
    </xf>
    <xf numFmtId="0" fontId="26" fillId="0" borderId="0" xfId="17" applyFill="1"/>
    <xf numFmtId="166" fontId="44" fillId="0" borderId="0" xfId="7" applyFont="1" applyFill="1"/>
    <xf numFmtId="166" fontId="12" fillId="0" borderId="0" xfId="7" quotePrefix="1" applyFont="1" applyFill="1" applyAlignment="1">
      <alignment horizontal="center"/>
    </xf>
    <xf numFmtId="166" fontId="13" fillId="0" borderId="0" xfId="7" quotePrefix="1" applyFont="1" applyFill="1" applyAlignment="1">
      <alignment horizontal="center"/>
    </xf>
    <xf numFmtId="166" fontId="13" fillId="0" borderId="0" xfId="7" quotePrefix="1" applyFont="1" applyFill="1" applyAlignment="1">
      <alignment horizontal="left"/>
    </xf>
    <xf numFmtId="166" fontId="28" fillId="0" borderId="0" xfId="7" applyFont="1" applyFill="1"/>
    <xf numFmtId="0" fontId="13" fillId="0" borderId="0" xfId="1" applyFont="1" applyFill="1"/>
    <xf numFmtId="0" fontId="13" fillId="0" borderId="0" xfId="1" applyFont="1" applyFill="1" applyAlignment="1">
      <alignment horizontal="center" wrapText="1"/>
    </xf>
    <xf numFmtId="0" fontId="26" fillId="0" borderId="0" xfId="17" applyFill="1" applyAlignment="1">
      <alignment horizontal="center"/>
    </xf>
    <xf numFmtId="0" fontId="13" fillId="0" borderId="0" xfId="2" applyFill="1" applyAlignment="1">
      <alignment horizontal="center"/>
    </xf>
    <xf numFmtId="0" fontId="13" fillId="0" borderId="0" xfId="2" applyFill="1" applyAlignment="1">
      <alignment horizontal="centerContinuous"/>
    </xf>
    <xf numFmtId="166" fontId="13" fillId="0" borderId="0" xfId="7" applyFont="1" applyFill="1" applyAlignment="1">
      <alignment horizontal="left"/>
    </xf>
    <xf numFmtId="0" fontId="13" fillId="0" borderId="0" xfId="1" applyFont="1" applyFill="1" applyAlignment="1">
      <alignment horizontal="center"/>
    </xf>
    <xf numFmtId="0" fontId="13" fillId="0" borderId="0" xfId="1" applyFont="1" applyFill="1" applyAlignment="1">
      <alignment horizontal="centerContinuous"/>
    </xf>
    <xf numFmtId="166" fontId="13" fillId="0" borderId="1" xfId="7" quotePrefix="1" applyFont="1" applyFill="1" applyBorder="1" applyAlignment="1">
      <alignment horizontal="center"/>
    </xf>
    <xf numFmtId="166" fontId="13" fillId="0" borderId="1" xfId="7" applyFont="1" applyFill="1" applyBorder="1"/>
    <xf numFmtId="0" fontId="13" fillId="0" borderId="1" xfId="7" quotePrefix="1" applyNumberFormat="1" applyFont="1" applyFill="1" applyBorder="1" applyAlignment="1">
      <alignment horizontal="center"/>
    </xf>
    <xf numFmtId="0" fontId="13" fillId="0" borderId="1" xfId="1" applyFont="1" applyFill="1" applyBorder="1" applyAlignment="1">
      <alignment horizontal="center" wrapText="1"/>
    </xf>
    <xf numFmtId="0" fontId="13" fillId="0" borderId="1" xfId="2" applyFill="1" applyBorder="1" applyAlignment="1">
      <alignment horizontal="center"/>
    </xf>
    <xf numFmtId="0" fontId="13" fillId="0" borderId="1" xfId="1" applyFont="1" applyFill="1" applyBorder="1" applyAlignment="1">
      <alignment horizontal="center"/>
    </xf>
    <xf numFmtId="0" fontId="13" fillId="0" borderId="0" xfId="7" quotePrefix="1" applyNumberFormat="1" applyFont="1" applyFill="1" applyAlignment="1">
      <alignment horizontal="center"/>
    </xf>
    <xf numFmtId="0" fontId="13" fillId="0" borderId="0" xfId="2" quotePrefix="1" applyFill="1" applyAlignment="1">
      <alignment horizontal="center"/>
    </xf>
    <xf numFmtId="0" fontId="13" fillId="0" borderId="0" xfId="1" quotePrefix="1" applyFont="1" applyFill="1" applyAlignment="1">
      <alignment horizontal="center"/>
    </xf>
    <xf numFmtId="166" fontId="12" fillId="0" borderId="0" xfId="7" applyFont="1" applyFill="1"/>
    <xf numFmtId="37" fontId="13" fillId="0" borderId="0" xfId="7" applyNumberFormat="1" applyFont="1" applyFill="1"/>
    <xf numFmtId="166" fontId="29" fillId="0" borderId="0" xfId="7" applyFont="1" applyFill="1"/>
    <xf numFmtId="177" fontId="13" fillId="0" borderId="0" xfId="7" applyNumberFormat="1" applyFont="1" applyFill="1" applyAlignment="1">
      <alignment horizontal="center"/>
    </xf>
    <xf numFmtId="177" fontId="13" fillId="0" borderId="0" xfId="7" applyNumberFormat="1" applyFont="1" applyFill="1" applyAlignment="1">
      <alignment horizontal="left"/>
    </xf>
    <xf numFmtId="0" fontId="14" fillId="0" borderId="0" xfId="10" applyFont="1" applyFill="1" applyAlignment="1">
      <alignment horizontal="center"/>
    </xf>
    <xf numFmtId="7" fontId="13" fillId="0" borderId="0" xfId="7" applyNumberFormat="1" applyFont="1" applyFill="1"/>
    <xf numFmtId="201" fontId="28" fillId="0" borderId="0" xfId="28" applyNumberFormat="1" applyFont="1" applyFill="1"/>
    <xf numFmtId="176" fontId="13" fillId="0" borderId="0" xfId="7" applyNumberFormat="1" applyFont="1" applyFill="1" applyAlignment="1">
      <alignment horizontal="center"/>
    </xf>
    <xf numFmtId="192" fontId="13" fillId="0" borderId="0" xfId="7" applyNumberFormat="1" applyFont="1" applyFill="1"/>
    <xf numFmtId="9" fontId="13" fillId="0" borderId="0" xfId="29" applyFont="1" applyFill="1"/>
    <xf numFmtId="0" fontId="14" fillId="0" borderId="0" xfId="0" applyFont="1" applyFill="1"/>
    <xf numFmtId="44" fontId="13" fillId="0" borderId="0" xfId="7" applyNumberFormat="1" applyFont="1" applyFill="1"/>
    <xf numFmtId="178" fontId="13" fillId="0" borderId="0" xfId="7" applyNumberFormat="1" applyFont="1" applyFill="1"/>
    <xf numFmtId="44" fontId="13" fillId="0" borderId="0" xfId="28" applyFont="1" applyFill="1"/>
    <xf numFmtId="10" fontId="13" fillId="0" borderId="0" xfId="7" applyNumberFormat="1" applyFont="1" applyFill="1"/>
    <xf numFmtId="179" fontId="13" fillId="0" borderId="0" xfId="7" applyNumberFormat="1" applyFont="1" applyFill="1"/>
    <xf numFmtId="168" fontId="13" fillId="0" borderId="0" xfId="7" applyNumberFormat="1" applyFont="1" applyFill="1"/>
    <xf numFmtId="168" fontId="13" fillId="0" borderId="0" xfId="7" quotePrefix="1" applyNumberFormat="1" applyFont="1" applyFill="1" applyAlignment="1">
      <alignment horizontal="center"/>
    </xf>
    <xf numFmtId="190" fontId="13" fillId="0" borderId="0" xfId="7" applyNumberFormat="1" applyFont="1" applyFill="1"/>
    <xf numFmtId="191" fontId="13" fillId="0" borderId="0" xfId="28" applyNumberFormat="1" applyFont="1" applyFill="1"/>
    <xf numFmtId="177" fontId="13" fillId="0" borderId="0" xfId="7" applyNumberFormat="1" applyFont="1" applyFill="1"/>
    <xf numFmtId="177" fontId="12" fillId="0" borderId="0" xfId="7" applyNumberFormat="1" applyFont="1" applyFill="1"/>
    <xf numFmtId="9" fontId="13" fillId="0" borderId="0" xfId="29" applyFont="1" applyFill="1" applyAlignment="1"/>
    <xf numFmtId="1" fontId="13" fillId="0" borderId="0" xfId="7" applyNumberFormat="1" applyFont="1" applyFill="1" applyAlignment="1">
      <alignment horizontal="left"/>
    </xf>
    <xf numFmtId="166" fontId="12" fillId="0" borderId="0" xfId="7" applyFont="1" applyFill="1" applyAlignment="1">
      <alignment horizontal="left"/>
    </xf>
    <xf numFmtId="168" fontId="12" fillId="0" borderId="0" xfId="7" applyNumberFormat="1" applyFont="1" applyFill="1"/>
    <xf numFmtId="0" fontId="12" fillId="0" borderId="0" xfId="17" applyFont="1" applyFill="1"/>
    <xf numFmtId="0" fontId="13" fillId="0" borderId="0" xfId="17" applyFont="1" applyFill="1" applyAlignment="1">
      <alignment horizontal="left"/>
    </xf>
    <xf numFmtId="7" fontId="13" fillId="0" borderId="0" xfId="17" applyNumberFormat="1" applyFont="1" applyFill="1"/>
    <xf numFmtId="168" fontId="13" fillId="0" borderId="0" xfId="17" applyNumberFormat="1" applyFont="1" applyFill="1"/>
    <xf numFmtId="0" fontId="13" fillId="0" borderId="0" xfId="17" quotePrefix="1" applyFont="1" applyFill="1" applyAlignment="1">
      <alignment horizontal="left"/>
    </xf>
    <xf numFmtId="0" fontId="13" fillId="0" borderId="0" xfId="0" applyFont="1" applyFill="1" applyAlignment="1">
      <alignment horizontal="left"/>
    </xf>
    <xf numFmtId="167" fontId="13" fillId="0" borderId="0" xfId="19" applyNumberFormat="1" applyFont="1" applyFill="1" applyProtection="1"/>
    <xf numFmtId="167" fontId="13" fillId="0" borderId="0" xfId="7" applyNumberFormat="1" applyFont="1" applyFill="1"/>
    <xf numFmtId="0" fontId="13" fillId="0" borderId="0" xfId="0" applyFont="1" applyFill="1"/>
    <xf numFmtId="176" fontId="13" fillId="0" borderId="0" xfId="17" applyNumberFormat="1" applyFont="1" applyFill="1"/>
    <xf numFmtId="0" fontId="13" fillId="0" borderId="0" xfId="17" applyFont="1" applyFill="1" applyAlignment="1">
      <alignment horizontal="right"/>
    </xf>
    <xf numFmtId="166" fontId="12" fillId="0" borderId="0" xfId="7" applyFont="1" applyFill="1" applyAlignment="1">
      <alignment horizontal="centerContinuous"/>
    </xf>
    <xf numFmtId="0" fontId="14" fillId="0" borderId="0" xfId="0" applyFont="1" applyFill="1" applyAlignment="1">
      <alignment horizontal="centerContinuous"/>
    </xf>
    <xf numFmtId="166" fontId="13" fillId="0" borderId="0" xfId="7" applyFont="1" applyFill="1" applyAlignment="1">
      <alignment horizontal="centerContinuous"/>
    </xf>
    <xf numFmtId="177" fontId="13" fillId="0" borderId="0" xfId="1" quotePrefix="1" applyNumberFormat="1" applyFont="1" applyFill="1" applyAlignment="1">
      <alignment horizontal="center"/>
    </xf>
    <xf numFmtId="177" fontId="13" fillId="0" borderId="0" xfId="1" applyNumberFormat="1" applyFont="1" applyFill="1" applyAlignment="1">
      <alignment horizontal="center"/>
    </xf>
    <xf numFmtId="166" fontId="13" fillId="0" borderId="0" xfId="7" quotePrefix="1" applyFont="1" applyFill="1"/>
    <xf numFmtId="0" fontId="13" fillId="0" borderId="0" xfId="10" applyFont="1" applyFill="1" applyAlignment="1">
      <alignment horizontal="center"/>
    </xf>
    <xf numFmtId="1" fontId="13" fillId="0" borderId="0" xfId="7" applyNumberFormat="1" applyFont="1" applyFill="1" applyAlignment="1">
      <alignment horizontal="centerContinuous"/>
    </xf>
    <xf numFmtId="0" fontId="13" fillId="0" borderId="0" xfId="17" quotePrefix="1" applyFont="1" applyFill="1" applyAlignment="1">
      <alignment horizontal="right"/>
    </xf>
    <xf numFmtId="43" fontId="13" fillId="0" borderId="0" xfId="7" applyNumberFormat="1" applyFont="1" applyFill="1"/>
    <xf numFmtId="0" fontId="14" fillId="0" borderId="0" xfId="0" applyFont="1" applyFill="1" applyAlignment="1">
      <alignment horizontal="left" indent="2"/>
    </xf>
    <xf numFmtId="0" fontId="14" fillId="0" borderId="0" xfId="0" applyFont="1" applyFill="1" applyAlignment="1">
      <alignment horizontal="left"/>
    </xf>
    <xf numFmtId="0" fontId="14" fillId="0" borderId="0" xfId="0" applyFont="1" applyFill="1" applyAlignment="1">
      <alignment horizontal="center"/>
    </xf>
    <xf numFmtId="176" fontId="14" fillId="0" borderId="0" xfId="0" applyNumberFormat="1" applyFont="1" applyFill="1"/>
    <xf numFmtId="0" fontId="20" fillId="0" borderId="0" xfId="0" applyFont="1" applyFill="1"/>
    <xf numFmtId="187" fontId="14" fillId="0" borderId="0" xfId="0" applyNumberFormat="1" applyFont="1" applyFill="1"/>
    <xf numFmtId="181" fontId="13" fillId="0" borderId="0" xfId="7" applyNumberFormat="1" applyFont="1" applyFill="1"/>
    <xf numFmtId="181" fontId="14" fillId="0" borderId="0" xfId="0" applyNumberFormat="1" applyFont="1" applyFill="1"/>
    <xf numFmtId="0" fontId="14" fillId="0" borderId="0" xfId="0" applyFont="1" applyFill="1" applyAlignment="1">
      <alignment horizontal="left" indent="1"/>
    </xf>
    <xf numFmtId="0" fontId="14" fillId="0" borderId="0" xfId="0" applyFont="1" applyFill="1" applyAlignment="1">
      <alignment horizontal="left" indent="3"/>
    </xf>
    <xf numFmtId="189" fontId="13" fillId="0" borderId="0" xfId="7" applyNumberFormat="1" applyFont="1" applyFill="1"/>
    <xf numFmtId="43" fontId="14" fillId="0" borderId="0" xfId="30" applyFont="1" applyFill="1"/>
    <xf numFmtId="0" fontId="20" fillId="0" borderId="0" xfId="0" applyFont="1" applyFill="1" applyAlignment="1">
      <alignment horizontal="left"/>
    </xf>
    <xf numFmtId="195" fontId="13" fillId="0" borderId="0" xfId="7" applyNumberFormat="1" applyFont="1" applyFill="1"/>
    <xf numFmtId="0" fontId="14" fillId="0" borderId="0" xfId="10" quotePrefix="1" applyFont="1" applyFill="1" applyAlignment="1">
      <alignment horizontal="center"/>
    </xf>
    <xf numFmtId="37" fontId="13" fillId="0" borderId="0" xfId="40" applyFont="1" applyFill="1" applyAlignment="1">
      <alignment horizontal="left" indent="1"/>
    </xf>
    <xf numFmtId="168" fontId="13" fillId="0" borderId="0" xfId="7" applyNumberFormat="1" applyFont="1" applyFill="1" applyAlignment="1">
      <alignment horizontal="center"/>
    </xf>
    <xf numFmtId="0" fontId="14" fillId="0" borderId="0" xfId="0" applyFont="1" applyFill="1" applyAlignment="1">
      <alignment horizontal="right"/>
    </xf>
    <xf numFmtId="0" fontId="14" fillId="0" borderId="0" xfId="0" quotePrefix="1" applyFont="1" applyFill="1" applyAlignment="1">
      <alignment horizontal="center"/>
    </xf>
    <xf numFmtId="37" fontId="13" fillId="0" borderId="0" xfId="40" applyFont="1" applyFill="1" applyAlignment="1">
      <alignment horizontal="left" indent="2"/>
    </xf>
    <xf numFmtId="184" fontId="13" fillId="0" borderId="0" xfId="7" applyNumberFormat="1" applyFont="1" applyFill="1"/>
    <xf numFmtId="37" fontId="13" fillId="0" borderId="0" xfId="40" applyFont="1" applyFill="1"/>
    <xf numFmtId="7" fontId="14" fillId="0" borderId="0" xfId="0" applyNumberFormat="1" applyFont="1" applyFill="1" applyAlignment="1">
      <alignment horizontal="center"/>
    </xf>
    <xf numFmtId="7" fontId="14" fillId="0" borderId="0" xfId="0" applyNumberFormat="1" applyFont="1" applyFill="1" applyAlignment="1">
      <alignment horizontal="left"/>
    </xf>
    <xf numFmtId="181" fontId="13" fillId="0" borderId="0" xfId="7" applyNumberFormat="1" applyFont="1" applyFill="1" applyAlignment="1">
      <alignment horizontal="center"/>
    </xf>
    <xf numFmtId="203" fontId="14" fillId="0" borderId="0" xfId="41" applyNumberFormat="1" applyFont="1" applyFill="1" applyAlignment="1">
      <alignment horizontal="right"/>
    </xf>
    <xf numFmtId="43" fontId="14" fillId="0" borderId="0" xfId="0" applyNumberFormat="1" applyFont="1" applyFill="1" applyAlignment="1">
      <alignment horizontal="left"/>
    </xf>
    <xf numFmtId="0" fontId="14" fillId="0" borderId="0" xfId="0" quotePrefix="1" applyFont="1" applyFill="1" applyAlignment="1">
      <alignment horizontal="left"/>
    </xf>
    <xf numFmtId="44" fontId="14" fillId="0" borderId="0" xfId="28" applyFont="1" applyFill="1" applyAlignment="1">
      <alignment horizontal="left"/>
    </xf>
    <xf numFmtId="37" fontId="13" fillId="0" borderId="0" xfId="40" applyFont="1" applyFill="1" applyAlignment="1">
      <alignment horizontal="left"/>
    </xf>
    <xf numFmtId="0" fontId="13" fillId="0" borderId="0" xfId="56" applyFont="1" applyFill="1"/>
    <xf numFmtId="0" fontId="14" fillId="0" borderId="0" xfId="56" applyFont="1" applyFill="1"/>
    <xf numFmtId="0" fontId="1" fillId="0" borderId="0" xfId="56" applyFill="1"/>
    <xf numFmtId="0" fontId="13" fillId="0" borderId="0" xfId="56" applyFont="1" applyFill="1" applyAlignment="1">
      <alignment horizontal="centerContinuous"/>
    </xf>
    <xf numFmtId="0" fontId="13" fillId="0" borderId="0" xfId="2" applyFill="1"/>
    <xf numFmtId="0" fontId="13" fillId="0" borderId="1" xfId="2" applyFill="1" applyBorder="1"/>
    <xf numFmtId="0" fontId="13" fillId="0" borderId="1" xfId="56" applyFont="1" applyFill="1" applyBorder="1" applyAlignment="1">
      <alignment horizontal="center"/>
    </xf>
    <xf numFmtId="0" fontId="42" fillId="0" borderId="0" xfId="1" applyFont="1" applyFill="1"/>
    <xf numFmtId="0" fontId="29" fillId="0" borderId="0" xfId="1" applyFont="1" applyFill="1"/>
    <xf numFmtId="0" fontId="12" fillId="0" borderId="0" xfId="2" applyFont="1" applyFill="1" applyAlignment="1">
      <alignment horizontal="left"/>
    </xf>
    <xf numFmtId="0" fontId="12" fillId="0" borderId="0" xfId="1" applyFont="1" applyFill="1"/>
    <xf numFmtId="0" fontId="13" fillId="0" borderId="0" xfId="1" applyFont="1" applyFill="1" applyAlignment="1">
      <alignment horizontal="left" indent="1"/>
    </xf>
    <xf numFmtId="0" fontId="29" fillId="0" borderId="0" xfId="1" quotePrefix="1" applyFont="1" applyFill="1" applyAlignment="1">
      <alignment horizontal="left" indent="1"/>
    </xf>
    <xf numFmtId="0" fontId="13" fillId="0" borderId="0" xfId="1" applyFont="1" applyFill="1" applyAlignment="1">
      <alignment horizontal="left" indent="2"/>
    </xf>
    <xf numFmtId="173" fontId="13" fillId="0" borderId="0" xfId="56" applyNumberFormat="1" applyFont="1" applyFill="1"/>
    <xf numFmtId="171" fontId="29" fillId="0" borderId="0" xfId="56" applyNumberFormat="1" applyFont="1" applyFill="1"/>
    <xf numFmtId="0" fontId="13" fillId="0" borderId="0" xfId="56" applyFont="1" applyFill="1" applyAlignment="1">
      <alignment horizontal="left" indent="2"/>
    </xf>
    <xf numFmtId="171" fontId="13" fillId="0" borderId="0" xfId="56" applyNumberFormat="1" applyFont="1" applyFill="1"/>
    <xf numFmtId="10" fontId="13" fillId="0" borderId="0" xfId="56" applyNumberFormat="1" applyFont="1" applyFill="1"/>
    <xf numFmtId="171" fontId="28" fillId="0" borderId="0" xfId="56" applyNumberFormat="1" applyFont="1" applyFill="1"/>
    <xf numFmtId="173" fontId="13" fillId="0" borderId="4" xfId="56" applyNumberFormat="1" applyFont="1" applyFill="1" applyBorder="1"/>
    <xf numFmtId="0" fontId="28" fillId="0" borderId="0" xfId="1" applyFont="1" applyFill="1"/>
    <xf numFmtId="0" fontId="13" fillId="0" borderId="0" xfId="56" applyFont="1" applyFill="1" applyAlignment="1">
      <alignment horizontal="left" indent="1"/>
    </xf>
    <xf numFmtId="0" fontId="36" fillId="0" borderId="0" xfId="56" applyFont="1" applyFill="1"/>
    <xf numFmtId="0" fontId="14" fillId="0" borderId="0" xfId="56" applyFont="1" applyFill="1" applyAlignment="1">
      <alignment horizontal="left" indent="1"/>
    </xf>
    <xf numFmtId="173" fontId="29" fillId="0" borderId="0" xfId="56" applyNumberFormat="1" applyFont="1" applyFill="1"/>
    <xf numFmtId="185" fontId="13" fillId="0" borderId="0" xfId="56" applyNumberFormat="1" applyFont="1" applyFill="1"/>
    <xf numFmtId="173" fontId="13" fillId="0" borderId="2" xfId="56" applyNumberFormat="1" applyFont="1" applyFill="1" applyBorder="1"/>
    <xf numFmtId="173" fontId="13" fillId="0" borderId="1" xfId="56" applyNumberFormat="1" applyFont="1" applyFill="1" applyBorder="1"/>
    <xf numFmtId="173" fontId="14" fillId="0" borderId="0" xfId="56" applyNumberFormat="1" applyFont="1" applyFill="1"/>
    <xf numFmtId="0" fontId="13" fillId="0" borderId="0" xfId="56" applyFont="1" applyFill="1" applyAlignment="1">
      <alignment horizontal="left"/>
    </xf>
    <xf numFmtId="0" fontId="29" fillId="0" borderId="0" xfId="56" applyFont="1" applyFill="1"/>
    <xf numFmtId="0" fontId="16" fillId="0" borderId="6" xfId="0" applyFont="1" applyFill="1" applyBorder="1"/>
    <xf numFmtId="0" fontId="16" fillId="0" borderId="2" xfId="0" applyFont="1" applyFill="1" applyBorder="1"/>
    <xf numFmtId="0" fontId="16" fillId="0" borderId="7" xfId="0" applyFont="1" applyFill="1" applyBorder="1"/>
    <xf numFmtId="0" fontId="16" fillId="0" borderId="8" xfId="0" applyFont="1" applyFill="1" applyBorder="1"/>
    <xf numFmtId="0" fontId="16" fillId="0" borderId="0" xfId="0" applyFont="1" applyFill="1"/>
    <xf numFmtId="174" fontId="16" fillId="0" borderId="9" xfId="0" applyNumberFormat="1" applyFont="1" applyFill="1" applyBorder="1"/>
    <xf numFmtId="0" fontId="16" fillId="0" borderId="10" xfId="0" applyFont="1" applyFill="1" applyBorder="1"/>
    <xf numFmtId="0" fontId="16" fillId="0" borderId="1" xfId="0" applyFont="1" applyFill="1" applyBorder="1"/>
    <xf numFmtId="173" fontId="13" fillId="0" borderId="1" xfId="1" applyNumberFormat="1" applyFont="1" applyFill="1" applyBorder="1"/>
    <xf numFmtId="0" fontId="14" fillId="0" borderId="0" xfId="56" applyFont="1" applyFill="1" applyAlignment="1">
      <alignment horizontal="centerContinuous"/>
    </xf>
    <xf numFmtId="0" fontId="14" fillId="0" borderId="0" xfId="56" applyFont="1" applyFill="1" applyAlignment="1">
      <alignment horizontal="center"/>
    </xf>
    <xf numFmtId="0" fontId="13" fillId="0" borderId="0" xfId="1" applyFont="1" applyFill="1" applyAlignment="1">
      <alignment horizontal="left" indent="3"/>
    </xf>
    <xf numFmtId="206" fontId="13" fillId="0" borderId="0" xfId="56" applyNumberFormat="1" applyFont="1" applyFill="1"/>
    <xf numFmtId="206" fontId="13" fillId="0" borderId="0" xfId="1" applyNumberFormat="1" applyFont="1" applyFill="1"/>
    <xf numFmtId="206" fontId="13" fillId="0" borderId="2" xfId="56" applyNumberFormat="1" applyFont="1" applyFill="1" applyBorder="1"/>
    <xf numFmtId="206" fontId="13" fillId="0" borderId="4" xfId="56" applyNumberFormat="1" applyFont="1" applyFill="1" applyBorder="1"/>
    <xf numFmtId="10" fontId="29" fillId="0" borderId="0" xfId="0" applyNumberFormat="1" applyFont="1" applyFill="1"/>
    <xf numFmtId="189" fontId="52" fillId="0" borderId="0" xfId="0" applyNumberFormat="1" applyFont="1" applyFill="1"/>
    <xf numFmtId="10" fontId="14" fillId="0" borderId="0" xfId="0" applyNumberFormat="1" applyFont="1" applyFill="1"/>
    <xf numFmtId="189" fontId="28" fillId="0" borderId="0" xfId="0" applyNumberFormat="1" applyFont="1" applyFill="1"/>
    <xf numFmtId="0" fontId="22" fillId="0" borderId="0" xfId="0" applyFont="1" applyFill="1" applyAlignment="1">
      <alignment horizontal="center"/>
    </xf>
    <xf numFmtId="0" fontId="22" fillId="0" borderId="0" xfId="0" applyFont="1" applyFill="1"/>
    <xf numFmtId="189" fontId="13" fillId="0" borderId="0" xfId="0" applyNumberFormat="1" applyFont="1" applyFill="1"/>
    <xf numFmtId="207" fontId="13" fillId="0" borderId="0" xfId="0" applyNumberFormat="1" applyFont="1" applyFill="1"/>
    <xf numFmtId="0" fontId="53" fillId="0" borderId="0" xfId="0" applyFont="1" applyFill="1"/>
    <xf numFmtId="189" fontId="40" fillId="0" borderId="0" xfId="0" applyNumberFormat="1" applyFont="1" applyFill="1"/>
    <xf numFmtId="0" fontId="12" fillId="0" borderId="0" xfId="56" applyFont="1" applyFill="1" applyAlignment="1">
      <alignment horizontal="centerContinuous"/>
    </xf>
    <xf numFmtId="173" fontId="13" fillId="0" borderId="0" xfId="1" applyNumberFormat="1" applyFont="1" applyFill="1"/>
    <xf numFmtId="0" fontId="12" fillId="0" borderId="0" xfId="0" applyFont="1" applyFill="1"/>
    <xf numFmtId="0" fontId="13" fillId="0" borderId="0" xfId="0" applyFont="1" applyFill="1" applyAlignment="1">
      <alignment horizontal="left" indent="1"/>
    </xf>
    <xf numFmtId="0" fontId="13" fillId="0" borderId="0" xfId="0" applyFont="1" applyFill="1" applyAlignment="1">
      <alignment horizontal="left" indent="2"/>
    </xf>
    <xf numFmtId="174" fontId="13" fillId="0" borderId="0" xfId="0" applyNumberFormat="1" applyFont="1" applyFill="1"/>
    <xf numFmtId="9" fontId="13" fillId="0" borderId="0" xfId="0" applyNumberFormat="1" applyFont="1" applyFill="1"/>
    <xf numFmtId="174" fontId="13" fillId="0" borderId="4" xfId="0" applyNumberFormat="1" applyFont="1" applyFill="1" applyBorder="1"/>
    <xf numFmtId="199" fontId="13" fillId="0" borderId="0" xfId="0" applyNumberFormat="1" applyFont="1" applyFill="1"/>
    <xf numFmtId="198" fontId="13" fillId="0" borderId="0" xfId="0" applyNumberFormat="1" applyFont="1" applyFill="1"/>
    <xf numFmtId="198" fontId="13" fillId="0" borderId="4" xfId="0" applyNumberFormat="1" applyFont="1" applyFill="1" applyBorder="1"/>
    <xf numFmtId="0" fontId="13" fillId="0" borderId="1" xfId="0" applyFont="1" applyFill="1" applyBorder="1" applyAlignment="1">
      <alignment horizontal="center"/>
    </xf>
    <xf numFmtId="0" fontId="13" fillId="0" borderId="0" xfId="56" quotePrefix="1" applyFont="1" applyFill="1" applyAlignment="1">
      <alignment horizontal="center"/>
    </xf>
    <xf numFmtId="0" fontId="13" fillId="0" borderId="0" xfId="56" applyFont="1" applyFill="1" applyAlignment="1">
      <alignment horizontal="center"/>
    </xf>
    <xf numFmtId="0" fontId="13" fillId="0" borderId="0" xfId="0" applyFont="1" applyFill="1" applyAlignment="1">
      <alignment horizontal="center"/>
    </xf>
    <xf numFmtId="0" fontId="12" fillId="0" borderId="0" xfId="56" applyFont="1" applyFill="1" applyAlignment="1">
      <alignment horizontal="left" indent="1"/>
    </xf>
    <xf numFmtId="174" fontId="16" fillId="0" borderId="0" xfId="0" applyNumberFormat="1" applyFont="1" applyFill="1"/>
    <xf numFmtId="0" fontId="13" fillId="0" borderId="0" xfId="1" applyFont="1" applyFill="1" applyAlignment="1">
      <alignment horizontal="left"/>
    </xf>
    <xf numFmtId="0" fontId="12" fillId="0" borderId="0" xfId="1" applyFont="1" applyFill="1" applyAlignment="1">
      <alignment horizontal="left"/>
    </xf>
    <xf numFmtId="184" fontId="13" fillId="0" borderId="0" xfId="2" applyNumberFormat="1" applyFill="1"/>
    <xf numFmtId="0" fontId="12" fillId="0" borderId="0" xfId="56" applyFont="1" applyFill="1" applyAlignment="1">
      <alignment horizontal="left"/>
    </xf>
    <xf numFmtId="0" fontId="12" fillId="0" borderId="0" xfId="1" applyFont="1" applyFill="1" applyAlignment="1">
      <alignment horizontal="center"/>
    </xf>
    <xf numFmtId="0" fontId="13" fillId="0" borderId="0" xfId="1" applyFont="1" applyFill="1" applyAlignment="1">
      <alignment horizontal="center" vertical="top"/>
    </xf>
    <xf numFmtId="0" fontId="13" fillId="0" borderId="0" xfId="1" quotePrefix="1" applyFont="1" applyFill="1" applyAlignment="1">
      <alignment horizontal="center" vertical="top"/>
    </xf>
    <xf numFmtId="0" fontId="13" fillId="0" borderId="0" xfId="1" applyFont="1" applyFill="1" applyAlignment="1">
      <alignment wrapText="1"/>
    </xf>
    <xf numFmtId="0" fontId="13" fillId="0" borderId="0" xfId="1" applyFont="1" applyFill="1" applyAlignment="1">
      <alignment vertical="top" wrapText="1"/>
    </xf>
    <xf numFmtId="0" fontId="7" fillId="0" borderId="0" xfId="21" applyFill="1"/>
    <xf numFmtId="0" fontId="12" fillId="0" borderId="0" xfId="21" applyFont="1" applyFill="1" applyAlignment="1">
      <alignment horizontal="centerContinuous"/>
    </xf>
    <xf numFmtId="0" fontId="13" fillId="0" borderId="0" xfId="21" applyFont="1" applyFill="1" applyAlignment="1">
      <alignment horizontal="center"/>
    </xf>
    <xf numFmtId="0" fontId="13" fillId="0" borderId="0" xfId="21" applyFont="1" applyFill="1"/>
    <xf numFmtId="0" fontId="13" fillId="0" borderId="1" xfId="21" applyFont="1" applyFill="1" applyBorder="1" applyAlignment="1">
      <alignment horizontal="center"/>
    </xf>
    <xf numFmtId="0" fontId="13" fillId="0" borderId="1" xfId="21" applyFont="1" applyFill="1" applyBorder="1"/>
    <xf numFmtId="0" fontId="12" fillId="0" borderId="0" xfId="21" applyFont="1" applyFill="1"/>
    <xf numFmtId="43" fontId="13" fillId="0" borderId="0" xfId="21" applyNumberFormat="1" applyFont="1" applyFill="1" applyAlignment="1">
      <alignment horizontal="center"/>
    </xf>
    <xf numFmtId="3" fontId="13" fillId="0" borderId="0" xfId="21" applyNumberFormat="1" applyFont="1" applyFill="1"/>
    <xf numFmtId="4" fontId="13" fillId="0" borderId="0" xfId="21" applyNumberFormat="1" applyFont="1" applyFill="1"/>
    <xf numFmtId="187" fontId="13" fillId="0" borderId="0" xfId="21" applyNumberFormat="1" applyFont="1" applyFill="1"/>
    <xf numFmtId="43" fontId="13" fillId="0" borderId="0" xfId="21" applyNumberFormat="1" applyFont="1" applyFill="1"/>
    <xf numFmtId="3" fontId="13" fillId="0" borderId="4" xfId="21" applyNumberFormat="1" applyFont="1" applyFill="1" applyBorder="1"/>
    <xf numFmtId="187" fontId="13" fillId="0" borderId="4" xfId="21" applyNumberFormat="1" applyFont="1" applyFill="1" applyBorder="1"/>
    <xf numFmtId="43" fontId="13" fillId="0" borderId="4" xfId="21" applyNumberFormat="1" applyFont="1" applyFill="1" applyBorder="1"/>
    <xf numFmtId="200" fontId="13" fillId="0" borderId="4" xfId="21" applyNumberFormat="1" applyFont="1" applyFill="1" applyBorder="1"/>
    <xf numFmtId="200" fontId="13" fillId="0" borderId="0" xfId="21" applyNumberFormat="1" applyFont="1" applyFill="1" applyAlignment="1">
      <alignment horizontal="center"/>
    </xf>
    <xf numFmtId="186" fontId="13" fillId="0" borderId="4" xfId="21" applyNumberFormat="1" applyFont="1" applyFill="1" applyBorder="1"/>
    <xf numFmtId="169" fontId="13" fillId="0" borderId="0" xfId="21" applyNumberFormat="1" applyFont="1" applyFill="1"/>
    <xf numFmtId="0" fontId="12" fillId="0" borderId="0" xfId="21" applyFont="1" applyFill="1" applyAlignment="1">
      <alignment horizontal="center"/>
    </xf>
    <xf numFmtId="0" fontId="13" fillId="0" borderId="0" xfId="21" quotePrefix="1" applyFont="1" applyFill="1" applyAlignment="1">
      <alignment horizontal="center"/>
    </xf>
    <xf numFmtId="0" fontId="13" fillId="0" borderId="0" xfId="21" quotePrefix="1" applyFont="1" applyFill="1" applyAlignment="1">
      <alignment horizontal="left"/>
    </xf>
    <xf numFmtId="0" fontId="13" fillId="0" borderId="0" xfId="21" quotePrefix="1" applyFont="1" applyFill="1"/>
    <xf numFmtId="188" fontId="13" fillId="0" borderId="0" xfId="21" applyNumberFormat="1" applyFont="1" applyFill="1" applyAlignment="1">
      <alignment horizontal="right"/>
    </xf>
    <xf numFmtId="0" fontId="13" fillId="0" borderId="0" xfId="21" applyFont="1" applyFill="1" applyAlignment="1">
      <alignment horizontal="right"/>
    </xf>
    <xf numFmtId="0" fontId="12" fillId="0" borderId="0" xfId="21" applyFont="1" applyFill="1" applyAlignment="1">
      <alignment horizontal="right"/>
    </xf>
    <xf numFmtId="0" fontId="13" fillId="0" borderId="0" xfId="21" applyFont="1" applyFill="1" applyAlignment="1">
      <alignment horizontal="centerContinuous"/>
    </xf>
    <xf numFmtId="0" fontId="14" fillId="0" borderId="0" xfId="21" applyFont="1" applyFill="1"/>
    <xf numFmtId="0" fontId="13" fillId="0" borderId="0" xfId="21" quotePrefix="1" applyFont="1" applyAlignment="1">
      <alignment horizontal="left" vertical="top" wrapText="1"/>
    </xf>
    <xf numFmtId="0" fontId="13" fillId="0" borderId="0" xfId="21" applyFont="1" applyAlignment="1">
      <alignment horizontal="left" vertical="top" wrapText="1"/>
    </xf>
    <xf numFmtId="0" fontId="12" fillId="0" borderId="0" xfId="21" applyFont="1" applyAlignment="1">
      <alignment horizontal="center"/>
    </xf>
    <xf numFmtId="0" fontId="13" fillId="0" borderId="1" xfId="21" applyFont="1" applyBorder="1" applyAlignment="1">
      <alignment horizontal="center"/>
    </xf>
    <xf numFmtId="0" fontId="13" fillId="0" borderId="0" xfId="21" applyFont="1" applyAlignment="1">
      <alignment horizontal="left"/>
    </xf>
    <xf numFmtId="0" fontId="12" fillId="0" borderId="0" xfId="21" applyFont="1" applyFill="1" applyAlignment="1">
      <alignment horizontal="center"/>
    </xf>
    <xf numFmtId="0" fontId="13" fillId="0" borderId="1" xfId="21" applyFont="1" applyFill="1" applyBorder="1" applyAlignment="1">
      <alignment horizontal="center"/>
    </xf>
    <xf numFmtId="0" fontId="13" fillId="0" borderId="0" xfId="21" quotePrefix="1" applyFont="1" applyFill="1" applyAlignment="1">
      <alignment horizontal="left" vertical="top" wrapText="1"/>
    </xf>
    <xf numFmtId="0" fontId="13" fillId="0" borderId="0" xfId="21" applyFont="1" applyFill="1" applyAlignment="1">
      <alignment horizontal="left" vertical="top" wrapText="1"/>
    </xf>
    <xf numFmtId="0" fontId="13" fillId="0" borderId="0" xfId="21" applyFont="1" applyFill="1" applyAlignment="1">
      <alignment horizontal="left"/>
    </xf>
    <xf numFmtId="0" fontId="12" fillId="0" borderId="0" xfId="42" applyFont="1" applyAlignment="1">
      <alignment horizontal="center"/>
    </xf>
    <xf numFmtId="0" fontId="12" fillId="0" borderId="0" xfId="0" applyFont="1" applyAlignment="1">
      <alignment horizontal="center"/>
    </xf>
    <xf numFmtId="0" fontId="13" fillId="0" borderId="0" xfId="0" applyFont="1" applyAlignment="1"/>
    <xf numFmtId="0" fontId="13" fillId="0" borderId="0" xfId="42" applyFont="1" applyAlignment="1">
      <alignment horizontal="left" wrapText="1"/>
    </xf>
    <xf numFmtId="0" fontId="13" fillId="0" borderId="1" xfId="43" applyFont="1" applyBorder="1" applyAlignment="1">
      <alignment horizontal="center"/>
    </xf>
    <xf numFmtId="0" fontId="29" fillId="0" borderId="0" xfId="43" applyFont="1" applyAlignment="1">
      <alignment horizontal="left" vertical="top" wrapText="1"/>
    </xf>
    <xf numFmtId="0" fontId="12" fillId="0" borderId="0" xfId="43" applyFont="1" applyAlignment="1">
      <alignment horizontal="center"/>
    </xf>
    <xf numFmtId="0" fontId="13" fillId="0" borderId="0" xfId="43" applyFont="1" applyAlignment="1">
      <alignment horizontal="left" vertical="top" wrapText="1"/>
    </xf>
    <xf numFmtId="0" fontId="20" fillId="0" borderId="0" xfId="0" applyFont="1" applyAlignment="1">
      <alignment horizontal="center"/>
    </xf>
    <xf numFmtId="0" fontId="14" fillId="0" borderId="0" xfId="0" applyFont="1" applyAlignment="1">
      <alignment horizontal="center"/>
    </xf>
    <xf numFmtId="0" fontId="14" fillId="4" borderId="0" xfId="0" applyFont="1" applyFill="1" applyAlignment="1">
      <alignment horizontal="center"/>
    </xf>
    <xf numFmtId="0" fontId="13" fillId="0" borderId="0" xfId="0" applyFont="1" applyAlignment="1">
      <alignment horizontal="center"/>
    </xf>
    <xf numFmtId="0" fontId="20" fillId="0" borderId="0" xfId="10" applyFont="1" applyAlignment="1">
      <alignment horizontal="center"/>
    </xf>
    <xf numFmtId="0" fontId="13" fillId="0" borderId="0" xfId="10" quotePrefix="1" applyFont="1" applyAlignment="1">
      <alignment horizontal="left" wrapText="1"/>
    </xf>
    <xf numFmtId="0" fontId="14" fillId="0" borderId="0" xfId="10" quotePrefix="1" applyFont="1" applyAlignment="1">
      <alignment horizontal="left"/>
    </xf>
    <xf numFmtId="0" fontId="12" fillId="0" borderId="0" xfId="10" applyFont="1" applyAlignment="1">
      <alignment horizontal="center"/>
    </xf>
    <xf numFmtId="0" fontId="14" fillId="0" borderId="0" xfId="0" applyFont="1" applyAlignment="1">
      <alignment horizontal="left" vertical="top" wrapText="1"/>
    </xf>
    <xf numFmtId="0" fontId="12" fillId="0" borderId="0" xfId="2" applyFont="1" applyAlignment="1">
      <alignment horizontal="center"/>
    </xf>
    <xf numFmtId="0" fontId="12" fillId="0" borderId="0" xfId="1" applyFont="1" applyAlignment="1">
      <alignment horizontal="center"/>
    </xf>
    <xf numFmtId="0" fontId="13" fillId="0" borderId="1" xfId="2" applyBorder="1" applyAlignment="1">
      <alignment horizontal="center"/>
    </xf>
    <xf numFmtId="0" fontId="13" fillId="0" borderId="0" xfId="2" applyAlignment="1">
      <alignment horizontal="center"/>
    </xf>
    <xf numFmtId="0" fontId="13" fillId="0" borderId="1" xfId="1" applyFont="1" applyBorder="1" applyAlignment="1">
      <alignment horizontal="center"/>
    </xf>
    <xf numFmtId="0" fontId="13" fillId="0" borderId="0" xfId="1" applyFont="1" applyAlignment="1">
      <alignment horizontal="center"/>
    </xf>
    <xf numFmtId="0" fontId="12" fillId="0" borderId="0" xfId="59" applyFont="1" applyAlignment="1">
      <alignment horizontal="center"/>
    </xf>
    <xf numFmtId="216" fontId="13" fillId="0" borderId="0" xfId="59" applyNumberFormat="1" applyAlignment="1">
      <alignment horizontal="left"/>
    </xf>
    <xf numFmtId="0" fontId="20" fillId="0" borderId="0" xfId="46" applyFont="1" applyAlignment="1">
      <alignment horizontal="center"/>
    </xf>
    <xf numFmtId="0" fontId="14" fillId="0" borderId="1" xfId="46" applyFont="1" applyBorder="1" applyAlignment="1">
      <alignment horizontal="center"/>
    </xf>
    <xf numFmtId="0" fontId="14" fillId="0" borderId="0" xfId="46" applyFont="1" applyAlignment="1">
      <alignment horizontal="center" wrapText="1"/>
    </xf>
    <xf numFmtId="0" fontId="14" fillId="0" borderId="1" xfId="46" applyFont="1" applyBorder="1" applyAlignment="1">
      <alignment horizontal="center" wrapText="1"/>
    </xf>
    <xf numFmtId="0" fontId="1" fillId="0" borderId="1" xfId="46" applyBorder="1" applyAlignment="1">
      <alignment horizontal="center"/>
    </xf>
    <xf numFmtId="0" fontId="12" fillId="0" borderId="0" xfId="46" applyFont="1" applyAlignment="1">
      <alignment horizontal="center"/>
    </xf>
    <xf numFmtId="0" fontId="13" fillId="0" borderId="1" xfId="2" applyBorder="1" applyAlignment="1">
      <alignment horizontal="center" wrapText="1"/>
    </xf>
    <xf numFmtId="3" fontId="14" fillId="0" borderId="0" xfId="46" applyNumberFormat="1" applyFont="1" applyAlignment="1">
      <alignment horizontal="center"/>
    </xf>
    <xf numFmtId="3" fontId="13" fillId="0" borderId="0" xfId="4" applyNumberFormat="1" applyFont="1" applyFill="1" applyBorder="1" applyAlignment="1">
      <alignment horizontal="center"/>
    </xf>
    <xf numFmtId="0" fontId="23" fillId="0" borderId="0" xfId="21" applyFont="1" applyAlignment="1">
      <alignment horizontal="center"/>
    </xf>
    <xf numFmtId="0" fontId="16" fillId="0" borderId="1" xfId="21" applyFont="1" applyBorder="1" applyAlignment="1">
      <alignment horizontal="center"/>
    </xf>
    <xf numFmtId="0" fontId="20" fillId="0" borderId="0" xfId="34" applyFont="1" applyAlignment="1">
      <alignment horizontal="center"/>
    </xf>
    <xf numFmtId="0" fontId="14" fillId="0" borderId="0" xfId="34" applyFont="1" applyAlignment="1">
      <alignment horizontal="left" wrapText="1"/>
    </xf>
    <xf numFmtId="0" fontId="13" fillId="0" borderId="0" xfId="1" applyFont="1" applyFill="1" applyAlignment="1">
      <alignment horizontal="center" wrapText="1"/>
    </xf>
    <xf numFmtId="0" fontId="13" fillId="0" borderId="1" xfId="1" applyFont="1" applyFill="1" applyBorder="1" applyAlignment="1">
      <alignment horizontal="center" wrapText="1"/>
    </xf>
    <xf numFmtId="166" fontId="12" fillId="0" borderId="0" xfId="7" quotePrefix="1" applyFont="1" applyFill="1" applyAlignment="1">
      <alignment horizontal="center"/>
    </xf>
    <xf numFmtId="0" fontId="14" fillId="0" borderId="0" xfId="0" applyFont="1" applyFill="1" applyAlignment="1"/>
    <xf numFmtId="166" fontId="12" fillId="0" borderId="0" xfId="7" applyFont="1" applyFill="1" applyAlignment="1">
      <alignment horizontal="center"/>
    </xf>
    <xf numFmtId="166" fontId="13" fillId="0" borderId="1" xfId="7" applyFont="1" applyFill="1" applyBorder="1" applyAlignment="1">
      <alignment horizontal="center"/>
    </xf>
    <xf numFmtId="0" fontId="12" fillId="0" borderId="0" xfId="56" applyFont="1" applyFill="1" applyAlignment="1">
      <alignment horizontal="center"/>
    </xf>
    <xf numFmtId="189" fontId="13" fillId="0" borderId="0" xfId="50" quotePrefix="1" applyNumberFormat="1" applyFont="1" applyFill="1" applyAlignment="1">
      <alignment horizontal="left" vertical="top" wrapText="1"/>
    </xf>
    <xf numFmtId="0" fontId="13" fillId="0" borderId="0" xfId="1" applyFont="1" applyFill="1" applyAlignment="1">
      <alignment horizontal="left" wrapText="1"/>
    </xf>
    <xf numFmtId="0" fontId="13" fillId="0" borderId="0" xfId="1" applyFont="1" applyFill="1" applyAlignment="1">
      <alignment horizontal="left" vertical="top" wrapText="1"/>
    </xf>
    <xf numFmtId="0" fontId="13" fillId="0" borderId="0" xfId="56" applyFont="1" applyFill="1" applyAlignment="1">
      <alignment horizontal="center"/>
    </xf>
    <xf numFmtId="0" fontId="14" fillId="0" borderId="0" xfId="10" quotePrefix="1" applyFont="1" applyAlignment="1">
      <alignment horizontal="left" wrapText="1"/>
    </xf>
    <xf numFmtId="0" fontId="13" fillId="0" borderId="1" xfId="10" applyFont="1" applyBorder="1" applyAlignment="1" applyProtection="1">
      <alignment horizontal="center"/>
      <protection locked="0"/>
    </xf>
    <xf numFmtId="0" fontId="12" fillId="0" borderId="0" xfId="31" applyFont="1" applyAlignment="1">
      <alignment horizontal="center"/>
    </xf>
    <xf numFmtId="0" fontId="13" fillId="0" borderId="1" xfId="31" applyFont="1" applyBorder="1" applyAlignment="1">
      <alignment horizontal="center"/>
    </xf>
    <xf numFmtId="0" fontId="14" fillId="0" borderId="0" xfId="38" applyFont="1" applyAlignment="1">
      <alignment horizontal="left" wrapText="1"/>
    </xf>
    <xf numFmtId="0" fontId="14" fillId="0" borderId="1" xfId="38" applyFont="1" applyBorder="1" applyAlignment="1">
      <alignment horizontal="center"/>
    </xf>
    <xf numFmtId="0" fontId="13" fillId="0" borderId="0" xfId="21" applyFont="1" applyAlignment="1">
      <alignment horizontal="center"/>
    </xf>
    <xf numFmtId="0" fontId="41" fillId="11" borderId="0" xfId="0" applyFont="1" applyFill="1" applyAlignment="1">
      <alignment horizontal="center"/>
    </xf>
    <xf numFmtId="0" fontId="14" fillId="0" borderId="0" xfId="46" applyFont="1" applyAlignment="1">
      <alignment horizontal="center"/>
    </xf>
  </cellXfs>
  <cellStyles count="61">
    <cellStyle name="Comma" xfId="30" builtinId="3"/>
    <cellStyle name="Comma [0]" xfId="55" builtinId="6"/>
    <cellStyle name="Comma 10" xfId="4" xr:uid="{4CBC1743-77DF-440D-B373-B77889E74BF9}"/>
    <cellStyle name="Comma 10 2 2" xfId="25" xr:uid="{9931FD68-8BCF-49F7-9804-0266E2A97468}"/>
    <cellStyle name="Comma 11" xfId="53" xr:uid="{5825BD8D-1608-4F5A-95DD-DFA96E91823D}"/>
    <cellStyle name="Comma 2" xfId="9" xr:uid="{F3886326-8B4B-4A54-A7FB-18D2272DC416}"/>
    <cellStyle name="Comma 2 2" xfId="14" xr:uid="{FD168003-7689-4A2C-8BC7-516C59D64177}"/>
    <cellStyle name="Comma 2 3" xfId="44" xr:uid="{01046946-B19B-4E7A-8298-9970B509BCCB}"/>
    <cellStyle name="Comma 3" xfId="12" xr:uid="{F70FFBB9-88F3-4803-AB64-7C465C6AE874}"/>
    <cellStyle name="Comma 4" xfId="19" xr:uid="{6747BDEF-B1F0-461E-8B56-3C5DB7FC149B}"/>
    <cellStyle name="Comma 5" xfId="22" xr:uid="{70AE3375-56FC-4ACB-AB13-DF38ABBAE5C4}"/>
    <cellStyle name="Comma 6" xfId="32" xr:uid="{C3E119DC-3670-49BE-AB6F-383AE214CFE1}"/>
    <cellStyle name="Comma 7" xfId="35" xr:uid="{9FF4978E-6B14-40CA-A0C2-95ED631E0727}"/>
    <cellStyle name="Comma 8" xfId="39" xr:uid="{4724B324-375A-4AA5-8AED-33FCA1E7D78F}"/>
    <cellStyle name="Comma 9" xfId="47" xr:uid="{74B4E411-BBB7-4B9F-B388-141B2E401D5D}"/>
    <cellStyle name="Currency" xfId="28" builtinId="4"/>
    <cellStyle name="Currency 2" xfId="3" xr:uid="{6E12A933-3006-433A-A971-44C8AC7239A5}"/>
    <cellStyle name="Currency 3" xfId="8" xr:uid="{483F91B0-FCFA-4CBA-BF95-EEFC4AC34BF0}"/>
    <cellStyle name="Currency 4" xfId="27" xr:uid="{3627E9A4-8C55-4125-A5AE-4D988C6A0E3F}"/>
    <cellStyle name="Currency 5" xfId="36" xr:uid="{150E50DB-B444-4B1F-9B16-77F91A5C1DEC}"/>
    <cellStyle name="Currency 6" xfId="52" xr:uid="{7FB56510-FD7C-4084-9F4E-37F0A09302D6}"/>
    <cellStyle name="Normal" xfId="0" builtinId="0"/>
    <cellStyle name="Normal 10" xfId="16" xr:uid="{979F6442-BD60-4B30-8A4F-8DAEA6EAF2E2}"/>
    <cellStyle name="Normal 11" xfId="46" xr:uid="{4C04A544-D31B-476C-BA51-C7CB3A039260}"/>
    <cellStyle name="Normal 12" xfId="51" xr:uid="{3D2CD1C5-9B9B-4B78-B823-01A9F19BFD4C}"/>
    <cellStyle name="Normal 14" xfId="48" xr:uid="{0E76D5A5-9DAE-4E73-A603-2B65D9E8D527}"/>
    <cellStyle name="Normal 16" xfId="54" xr:uid="{EF0F5214-164D-4C64-863C-8EAC4D0CF70D}"/>
    <cellStyle name="Normal 2" xfId="5" xr:uid="{6B1619FE-0AB3-48D4-8D7F-4114B3EB7C85}"/>
    <cellStyle name="Normal 2 2" xfId="41" xr:uid="{0D4FCA72-0E23-4A40-9349-51FAEA0B210B}"/>
    <cellStyle name="Normal 2 2 2" xfId="15" xr:uid="{4F678938-1FD5-4878-B96D-8C8DAA2675DA}"/>
    <cellStyle name="Normal 3" xfId="10" xr:uid="{F7B2F69E-CD90-4146-9A09-A40634B9C5E2}"/>
    <cellStyle name="Normal 4" xfId="17" xr:uid="{8B3CA28E-2C57-4F01-8B04-DF52B0219F77}"/>
    <cellStyle name="Normal 4 3" xfId="1" xr:uid="{41B09C6C-13D9-489E-97ED-B1979A7A95E1}"/>
    <cellStyle name="Normal 5" xfId="21" xr:uid="{5EB56012-A512-4CDB-BDF8-3475DA755E0D}"/>
    <cellStyle name="Normal 5 2" xfId="56" xr:uid="{E43FD2F5-D3FB-4211-B7FC-3142AA959839}"/>
    <cellStyle name="Normal 59" xfId="60" xr:uid="{C251EEF3-CC09-41E6-9686-B6EC50175C71}"/>
    <cellStyle name="Normal 6" xfId="31" xr:uid="{C39F04CB-311F-44B3-BDF0-89AD2E4106BB}"/>
    <cellStyle name="Normal 60" xfId="2" xr:uid="{410FDDB2-F4AC-4F77-BB61-F4AA517988A9}"/>
    <cellStyle name="Normal 7" xfId="34" xr:uid="{6D6E939C-FAAD-4E9D-B346-E40BCBEB9286}"/>
    <cellStyle name="Normal 7 2" xfId="59" xr:uid="{4268184F-ECC4-452D-BEF1-96D589259096}"/>
    <cellStyle name="Normal 7 3 4" xfId="26" xr:uid="{E8A2C2A7-06BD-4FDA-9EEF-4A57FA186AA1}"/>
    <cellStyle name="Normal 8" xfId="38" xr:uid="{FBD2EB7F-8D5C-4059-9A7A-CD8D836B1016}"/>
    <cellStyle name="Normal 9" xfId="42" xr:uid="{BB2AB9BF-22B7-4B73-AE95-E447B72FB280}"/>
    <cellStyle name="Normal_2004 model BP" xfId="11" xr:uid="{5CCD963E-B5FF-4372-8E57-272557F26622}"/>
    <cellStyle name="Normal_C 1" xfId="23" xr:uid="{C896BDEF-0F7D-4201-8F3D-129351BA7000}"/>
    <cellStyle name="Normal_C2007_Deferral Account Disposition" xfId="43" xr:uid="{D5B41848-A02D-4E2D-ABDE-4696DF2F58DC}"/>
    <cellStyle name="Normal_Decision Land Rights Allocators_from Nancy T_Oct 26 2004" xfId="49" xr:uid="{752543BE-7D86-4B9C-AC6F-27C3E9F66BC6}"/>
    <cellStyle name="Normal_EXH-H" xfId="7" xr:uid="{97150A0E-EC5E-4872-BBDA-19BF204CDE76}"/>
    <cellStyle name="Normal_H3T2S4+S6_1" xfId="40" xr:uid="{DA9536DC-0739-4B14-9032-EFE50D63E467}"/>
    <cellStyle name="Normal_M 13" xfId="24" xr:uid="{347BDD02-5816-42D5-8017-E84D5C09F2DE}"/>
    <cellStyle name="Percent" xfId="29" builtinId="5"/>
    <cellStyle name="Percent 2" xfId="6" xr:uid="{A70CD037-4CCD-4E3C-87D3-0B87DACC0E33}"/>
    <cellStyle name="Percent 2 2" xfId="45" xr:uid="{D3DDDCB9-493B-4272-B147-548F3F0D6895}"/>
    <cellStyle name="Percent 3" xfId="13" xr:uid="{285D55AC-1532-4B43-BAF6-DE94F8BCF2E5}"/>
    <cellStyle name="Percent 3 2" xfId="57" xr:uid="{00AC6F85-F9B6-422B-92E0-4381A8E5B43F}"/>
    <cellStyle name="Percent 4" xfId="18" xr:uid="{6A98BB31-A1E3-4339-A9BC-131A0F70E9C0}"/>
    <cellStyle name="Percent 5" xfId="20" xr:uid="{41F33CFD-5F38-46C8-A361-661F0FB28116}"/>
    <cellStyle name="Percent 5 2" xfId="58" xr:uid="{75DC9C86-8FF7-4A0F-A147-C69E395CFAEA}"/>
    <cellStyle name="Percent 6" xfId="33" xr:uid="{31F1CAC9-869B-4D43-AAD4-203AFBBEE1BE}"/>
    <cellStyle name="Percent 7" xfId="37" xr:uid="{562D15CE-0363-4E5F-A207-8FE8147ED52A}"/>
    <cellStyle name="Percent 8" xfId="50" xr:uid="{F749FD55-59C8-4FF3-B091-46976B5C975D}"/>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RDESIGN\EB-2017-0086%20(2018)\QRAM\EB%202018-0249%20Q4\Exhibits\BOARD%20FILING%20EB-0249%20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4%20Rebasing/2024%20Cost%20of%20Service/1.%20Prefiled%20Evidence%20-%20Nov%202022/11.%20Nov%2030%20Filing%20-%20Models/2022-11-15%202024%20Exfran%20Model%20-%20Work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yusers\yeungm2\Users\hluchaj1\AppData\Local\Microsoft\Windows\Temporary%20Internet%20Files\Content.Outlook\IR35GVUZ\2012%20Uplift%20Tables%20for%20Draft%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Working%20Papers/2023-03-08%20-%208.2.8_Working%20Papers%20Current%20Class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4%20Rebasing/2024%20Cost%20of%20Service/1.%20Prefiled%20Evidence%20-%20Nov%202022/5.%20Written%20Evidence%20Support/8.2.8_Working%20Papers%20Current%20Class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yteamsites.cnpl.enbridge.com/sites/FinJun/CollaborationCenter/Reporting%20Information%20Submissions/COMBINED%20-%20CADDE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yusers\chand6\Energy%20Port%20Strat%20&amp;%20Mgmt\Asset%20Valuation\Market\Models\DOCUME~1\santamej\LOCALS~1\Temp\RatingAgencyBU12-05%20Cin%20Curve%20Base%20Cas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ates/QRAM/2024/2%20-%20April/Union%20RZ/2024%20DM%20-%20Apr%2024%20QRA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yusers\yeungm2\Accounting\Financial%20Reporting\2014\Khalix%20&amp;%20Analysis\MEP\MEP%20Financial%20Statements\Segments\2%20-%202014%20Reportable%20Segment%20Table%20&amp;%20Sup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teamsites.egd.enbridge.com/Documents%20and%20Settings/kanchars/My%20Documents/b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prgrenier\Local%20Settings\Temp\flowchart%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ystem\TETCOControl\Plant_Accounting\afudc_2001\TETCO\0301%20TETCO%20afudc-adj%20&amp;%20reversals%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teamsites.egd.enbridge.com/vpc/Documents%20and%20Settings/kanchars/My%20Documents/bp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ites.enbridge.com/FinRpt/Needs%20-%20%20Data%20Request/Quarterly%20Data%20Request/Energy%20Services/EnSer_Q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In-Franchise/2023-03-08%20Detail%20Model%20-%20Current%20Class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Annual%20Rates/2023/Union%20RZ/2023%20Rates%20DM%20(Apr%2022%20QRA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4%20Rebasing/2024%20Cost%20of%20Service/3.%20Updated%20Evidence%20-%20Mar%202023/3.%20Rate%20Design/Ex-franchise/2023-03-08%202024%20Exfran%20Model%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ed Rates"/>
      <sheetName val="Proposed Rates"/>
      <sheetName val="T1 S1.1 (old)"/>
      <sheetName val="T1 S1.1 (DTS)"/>
      <sheetName val="T1 S1.1T (Not Necessary)"/>
      <sheetName val="T1 S1.2(Old)"/>
      <sheetName val="T1 S1.2 (DTS)"/>
      <sheetName val="T2 S1.1"/>
      <sheetName val="T3 S1.1"/>
      <sheetName val="T3 S1.2"/>
      <sheetName val="T3 S1.3"/>
      <sheetName val="T3 S1.4"/>
      <sheetName val="T4 S1.1-2"/>
      <sheetName val="T4 S1.3"/>
      <sheetName val="T4 S1. p4"/>
      <sheetName val="T5 S1.1"/>
      <sheetName val="T5 S1.2"/>
      <sheetName val="T5 S1.3"/>
      <sheetName val="T5 S1.4"/>
      <sheetName val="T5 S1.5"/>
      <sheetName val="T5 S1.6"/>
      <sheetName val="T5 S1.7"/>
      <sheetName val="T7 S1.1"/>
      <sheetName val="T7 S1.2"/>
      <sheetName val="T7 S1.3"/>
      <sheetName val="T7 S1.4"/>
      <sheetName val="T7 S1.5"/>
      <sheetName val="T7 S1.6"/>
      <sheetName val="T7 S1.7"/>
      <sheetName val="T7 S1.8"/>
      <sheetName val="T7 S1.1 (SRC)"/>
      <sheetName val="T7 S1.2 (SRC)"/>
      <sheetName val="T7 S1.3 (SRC)"/>
      <sheetName val="T7 S1.4 (SRC)"/>
      <sheetName val="T7 S1.5 (SRC)"/>
      <sheetName val="T7 S1.6 (SRC)"/>
      <sheetName val="T7 S1.7 (SRC)"/>
      <sheetName val="T7 S1.8 (SRC)"/>
      <sheetName val="Sheet1"/>
    </sheetNames>
    <sheetDataSet>
      <sheetData sheetId="0"/>
      <sheetData sheetId="1"/>
      <sheetData sheetId="2"/>
      <sheetData sheetId="3"/>
      <sheetData sheetId="4"/>
      <sheetData sheetId="5"/>
      <sheetData sheetId="6"/>
      <sheetData sheetId="7"/>
      <sheetData sheetId="8"/>
      <sheetData sheetId="9">
        <row r="3">
          <cell r="M3" t="str">
            <v>EB-2018-0168 Q3</v>
          </cell>
        </row>
        <row r="4">
          <cell r="M4" t="str">
            <v>Exhibit H2</v>
          </cell>
        </row>
        <row r="5">
          <cell r="M5" t="str">
            <v>Tab 3</v>
          </cell>
        </row>
        <row r="6">
          <cell r="M6" t="str">
            <v>Schedule 1</v>
          </cell>
        </row>
        <row r="7">
          <cell r="M7" t="str">
            <v>Page 2 of  4</v>
          </cell>
        </row>
        <row r="8">
          <cell r="C8" t="str">
            <v>SUMMARY OF PROPOSED RATE CHANGE BY RATE CLASS (con't)</v>
          </cell>
        </row>
        <row r="10">
          <cell r="C10" t="str">
            <v>Col. 1</v>
          </cell>
          <cell r="E10" t="str">
            <v>Col. 2</v>
          </cell>
          <cell r="I10" t="str">
            <v>Col. 3</v>
          </cell>
          <cell r="K10" t="str">
            <v>Col. 4</v>
          </cell>
          <cell r="M10" t="str">
            <v>Col. 5</v>
          </cell>
        </row>
        <row r="12">
          <cell r="A12" t="str">
            <v>Item</v>
          </cell>
          <cell r="B12" t="str">
            <v>Rate</v>
          </cell>
          <cell r="I12" t="str">
            <v/>
          </cell>
          <cell r="K12" t="str">
            <v xml:space="preserve">Rate  </v>
          </cell>
          <cell r="M12" t="str">
            <v>Proposed</v>
          </cell>
        </row>
        <row r="13">
          <cell r="A13" t="str">
            <v xml:space="preserve">No.  </v>
          </cell>
          <cell r="B13" t="str">
            <v xml:space="preserve">No.  </v>
          </cell>
          <cell r="E13" t="str">
            <v>Rate Block</v>
          </cell>
          <cell r="I13" t="str">
            <v>EB-2018-0090</v>
          </cell>
          <cell r="K13" t="str">
            <v>Change</v>
          </cell>
          <cell r="M13" t="str">
            <v>EB-2018-0249</v>
          </cell>
        </row>
        <row r="14">
          <cell r="E14" t="str">
            <v>m³</v>
          </cell>
          <cell r="I14" t="str">
            <v>cents *</v>
          </cell>
          <cell r="K14" t="str">
            <v>cents *</v>
          </cell>
          <cell r="M14" t="str">
            <v>cents *</v>
          </cell>
        </row>
        <row r="16">
          <cell r="B16" t="str">
            <v>RATE 115</v>
          </cell>
        </row>
        <row r="17">
          <cell r="A17">
            <v>1.01</v>
          </cell>
          <cell r="C17" t="str">
            <v>Customer Charge</v>
          </cell>
          <cell r="I17">
            <v>622.62</v>
          </cell>
          <cell r="K17">
            <v>0</v>
          </cell>
          <cell r="M17">
            <v>622.62</v>
          </cell>
        </row>
        <row r="18">
          <cell r="A18">
            <v>1.02</v>
          </cell>
          <cell r="C18" t="str">
            <v>Demand Charge (Cents/Month/m³)</v>
          </cell>
          <cell r="I18">
            <v>24.36</v>
          </cell>
          <cell r="K18">
            <v>0</v>
          </cell>
          <cell r="M18">
            <v>24.36</v>
          </cell>
        </row>
        <row r="19">
          <cell r="A19">
            <v>1.03</v>
          </cell>
          <cell r="C19" t="str">
            <v>Delivery Charge</v>
          </cell>
          <cell r="E19" t="str">
            <v>first    1,000,000</v>
          </cell>
          <cell r="I19">
            <v>0.42346237185890989</v>
          </cell>
          <cell r="K19">
            <v>9.0668523333971018E-3</v>
          </cell>
          <cell r="M19">
            <v>0.43252922419230699</v>
          </cell>
        </row>
        <row r="20">
          <cell r="A20">
            <v>1.04</v>
          </cell>
          <cell r="E20" t="str">
            <v>over  1,000,000</v>
          </cell>
          <cell r="I20">
            <v>0.32346237185890986</v>
          </cell>
          <cell r="K20">
            <v>9.0668523333971018E-3</v>
          </cell>
          <cell r="M20">
            <v>0.33252922419230696</v>
          </cell>
        </row>
        <row r="21">
          <cell r="A21">
            <v>1.05</v>
          </cell>
          <cell r="C21" t="str">
            <v>Gas Supply Load Balancing</v>
          </cell>
          <cell r="I21">
            <v>0.1043</v>
          </cell>
          <cell r="K21">
            <v>1.1599999999999999E-2</v>
          </cell>
          <cell r="M21">
            <v>0.1159</v>
          </cell>
        </row>
        <row r="22">
          <cell r="A22">
            <v>1.06</v>
          </cell>
          <cell r="C22" t="str">
            <v>Gas Supply Transportation</v>
          </cell>
          <cell r="I22">
            <v>4.7525000000000004</v>
          </cell>
          <cell r="K22">
            <v>0.18819999999999926</v>
          </cell>
          <cell r="M22">
            <v>4.9406999999999996</v>
          </cell>
        </row>
        <row r="23">
          <cell r="A23">
            <v>1.07</v>
          </cell>
          <cell r="C23" t="str">
            <v>Gas Supply Transportation Dawn</v>
          </cell>
          <cell r="I23">
            <v>1.0404</v>
          </cell>
          <cell r="K23">
            <v>0</v>
          </cell>
          <cell r="M23">
            <v>1.0404</v>
          </cell>
        </row>
        <row r="24">
          <cell r="A24">
            <v>1.08</v>
          </cell>
          <cell r="C24" t="str">
            <v>Gas Supply Commodity - System</v>
          </cell>
          <cell r="I24">
            <v>9.4103999999999992</v>
          </cell>
          <cell r="K24">
            <v>0.60490000000000066</v>
          </cell>
          <cell r="M24">
            <v>10.0153</v>
          </cell>
        </row>
        <row r="25">
          <cell r="A25">
            <v>1.0900000000000001</v>
          </cell>
          <cell r="C25" t="str">
            <v>Gas Supply Commodity - Buy/Sell</v>
          </cell>
          <cell r="I25">
            <v>9.3909000000000002</v>
          </cell>
          <cell r="K25">
            <v>0.60489999999999888</v>
          </cell>
          <cell r="M25">
            <v>9.9957999999999991</v>
          </cell>
        </row>
        <row r="28">
          <cell r="B28" t="str">
            <v>RATE 125</v>
          </cell>
        </row>
        <row r="29">
          <cell r="A29">
            <v>2.0099999999999998</v>
          </cell>
          <cell r="C29" t="str">
            <v>Customer Charge</v>
          </cell>
          <cell r="I29">
            <v>500</v>
          </cell>
          <cell r="K29">
            <v>0</v>
          </cell>
          <cell r="M29">
            <v>500</v>
          </cell>
        </row>
        <row r="30">
          <cell r="A30">
            <v>2.02</v>
          </cell>
          <cell r="C30" t="str">
            <v>Delivery Charge (Cents/Month/m³ of Contract Dmnd)</v>
          </cell>
          <cell r="I30">
            <v>9.8840000000000039</v>
          </cell>
          <cell r="K30">
            <v>0</v>
          </cell>
          <cell r="M30">
            <v>9.8840000000000039</v>
          </cell>
        </row>
        <row r="33">
          <cell r="B33" t="str">
            <v>RATE 135</v>
          </cell>
          <cell r="D33" t="str">
            <v>DEC - MAR</v>
          </cell>
        </row>
        <row r="34">
          <cell r="A34">
            <v>3</v>
          </cell>
          <cell r="C34" t="str">
            <v>Customer Charge</v>
          </cell>
          <cell r="I34">
            <v>115.08</v>
          </cell>
          <cell r="K34">
            <v>0</v>
          </cell>
          <cell r="M34">
            <v>115.08</v>
          </cell>
        </row>
        <row r="35">
          <cell r="A35">
            <v>3.01</v>
          </cell>
          <cell r="C35" t="str">
            <v>Delivery Charge</v>
          </cell>
          <cell r="E35" t="str">
            <v>first   14,000</v>
          </cell>
          <cell r="I35">
            <v>7.1509140695194233</v>
          </cell>
          <cell r="K35">
            <v>9.0190139881798359E-3</v>
          </cell>
          <cell r="M35">
            <v>7.1599330835076032</v>
          </cell>
        </row>
        <row r="36">
          <cell r="A36">
            <v>3.0199999999999996</v>
          </cell>
          <cell r="E36" t="str">
            <v>next   28,000</v>
          </cell>
          <cell r="I36">
            <v>5.9509140695194231</v>
          </cell>
          <cell r="K36">
            <v>9.0190139881798359E-3</v>
          </cell>
          <cell r="M36">
            <v>5.959933083507603</v>
          </cell>
        </row>
        <row r="37">
          <cell r="A37">
            <v>3.0299999999999994</v>
          </cell>
          <cell r="E37" t="str">
            <v>over   42,000</v>
          </cell>
          <cell r="I37">
            <v>5.5509140695194228</v>
          </cell>
          <cell r="K37">
            <v>9.0190139881798359E-3</v>
          </cell>
          <cell r="M37">
            <v>5.5599330835076026</v>
          </cell>
        </row>
        <row r="38">
          <cell r="A38">
            <v>3.0399999999999991</v>
          </cell>
          <cell r="C38" t="str">
            <v>Gas Supply Load Balancing</v>
          </cell>
          <cell r="I38">
            <v>0</v>
          </cell>
          <cell r="K38">
            <v>0</v>
          </cell>
          <cell r="M38">
            <v>0</v>
          </cell>
        </row>
        <row r="39">
          <cell r="A39">
            <v>3.0499999999999989</v>
          </cell>
          <cell r="C39" t="str">
            <v>Gas Supply Transportation</v>
          </cell>
          <cell r="I39">
            <v>4.7525000000000004</v>
          </cell>
          <cell r="K39">
            <v>0.18819999999999926</v>
          </cell>
          <cell r="M39">
            <v>4.9406999999999996</v>
          </cell>
        </row>
        <row r="40">
          <cell r="A40">
            <v>3.0599999999999987</v>
          </cell>
          <cell r="C40" t="str">
            <v>Gas Supply Transportation Dawn</v>
          </cell>
          <cell r="I40">
            <v>1.0404</v>
          </cell>
          <cell r="K40">
            <v>0</v>
          </cell>
          <cell r="M40">
            <v>1.0404</v>
          </cell>
        </row>
        <row r="41">
          <cell r="A41">
            <v>3.0699999999999985</v>
          </cell>
          <cell r="C41" t="str">
            <v>Gas Supply Commodity - System</v>
          </cell>
          <cell r="I41">
            <v>9.4174000000000007</v>
          </cell>
          <cell r="K41">
            <v>0.60479999999999912</v>
          </cell>
          <cell r="M41">
            <v>10.0222</v>
          </cell>
        </row>
        <row r="42">
          <cell r="A42">
            <v>3.0799999999999983</v>
          </cell>
          <cell r="C42" t="str">
            <v>Gas Supply Commodity - Buy/Sell</v>
          </cell>
          <cell r="I42">
            <v>9.3978999999999999</v>
          </cell>
          <cell r="K42">
            <v>0.60480000000000089</v>
          </cell>
          <cell r="M42">
            <v>10.002700000000001</v>
          </cell>
        </row>
        <row r="44">
          <cell r="B44" t="str">
            <v>RATE 135</v>
          </cell>
          <cell r="D44" t="str">
            <v>APR - NOV</v>
          </cell>
        </row>
        <row r="45">
          <cell r="A45">
            <v>3.0899999999999981</v>
          </cell>
          <cell r="C45" t="str">
            <v>Customer Charge</v>
          </cell>
          <cell r="I45">
            <v>115.08</v>
          </cell>
          <cell r="K45">
            <v>0</v>
          </cell>
          <cell r="M45">
            <v>115.08</v>
          </cell>
        </row>
        <row r="46">
          <cell r="A46">
            <v>3.0999999999999979</v>
          </cell>
          <cell r="C46" t="str">
            <v>Delivery Charge</v>
          </cell>
          <cell r="E46" t="str">
            <v>first   14,000</v>
          </cell>
          <cell r="I46">
            <v>2.4509140695194231</v>
          </cell>
          <cell r="K46">
            <v>9.0190139881789477E-3</v>
          </cell>
          <cell r="M46">
            <v>2.4599330835076021</v>
          </cell>
        </row>
        <row r="47">
          <cell r="A47">
            <v>3.1099999999999977</v>
          </cell>
          <cell r="E47" t="str">
            <v>next   28,000</v>
          </cell>
          <cell r="I47">
            <v>1.750914069519423</v>
          </cell>
          <cell r="K47">
            <v>9.0190139881793918E-3</v>
          </cell>
          <cell r="M47">
            <v>1.7599330835076024</v>
          </cell>
        </row>
        <row r="48">
          <cell r="A48">
            <v>3.1199999999999974</v>
          </cell>
          <cell r="E48" t="str">
            <v>over   42,000</v>
          </cell>
          <cell r="I48">
            <v>1.550914069519423</v>
          </cell>
          <cell r="K48">
            <v>9.0190139881793918E-3</v>
          </cell>
          <cell r="M48">
            <v>1.5599330835076024</v>
          </cell>
        </row>
        <row r="49">
          <cell r="A49">
            <v>3.1299999999999972</v>
          </cell>
          <cell r="C49" t="str">
            <v>Gas Supply Load Balancing</v>
          </cell>
          <cell r="I49">
            <v>0</v>
          </cell>
          <cell r="K49">
            <v>0</v>
          </cell>
          <cell r="M49">
            <v>0</v>
          </cell>
        </row>
        <row r="50">
          <cell r="A50">
            <v>3.139999999999997</v>
          </cell>
          <cell r="C50" t="str">
            <v xml:space="preserve">Gas Supply Transportation </v>
          </cell>
          <cell r="I50">
            <v>4.7525000000000004</v>
          </cell>
          <cell r="K50">
            <v>0.18819999999999926</v>
          </cell>
          <cell r="M50">
            <v>4.9406999999999996</v>
          </cell>
        </row>
        <row r="51">
          <cell r="A51">
            <v>3.1499999999999968</v>
          </cell>
          <cell r="C51" t="str">
            <v>Gas Supply Transportation Dawn</v>
          </cell>
          <cell r="I51">
            <v>1.0404</v>
          </cell>
          <cell r="K51">
            <v>0</v>
          </cell>
          <cell r="M51">
            <v>1.0404</v>
          </cell>
        </row>
        <row r="52">
          <cell r="A52">
            <v>3.1599999999999966</v>
          </cell>
          <cell r="C52" t="str">
            <v>Gas Supply Commodity - System</v>
          </cell>
          <cell r="I52">
            <v>9.4174000000000007</v>
          </cell>
          <cell r="K52">
            <v>0.60479999999999912</v>
          </cell>
          <cell r="M52">
            <v>10.0222</v>
          </cell>
        </row>
        <row r="53">
          <cell r="A53">
            <v>3.1699999999999964</v>
          </cell>
          <cell r="C53" t="str">
            <v>Gas Supply Commodity - Buy/Sell</v>
          </cell>
          <cell r="I53">
            <v>9.3978999999999999</v>
          </cell>
          <cell r="K53">
            <v>0.60480000000000089</v>
          </cell>
          <cell r="M53">
            <v>10.002700000000001</v>
          </cell>
        </row>
        <row r="56">
          <cell r="B56" t="str">
            <v>RATE 145</v>
          </cell>
        </row>
      </sheetData>
      <sheetData sheetId="10">
        <row r="17">
          <cell r="A17">
            <v>1</v>
          </cell>
          <cell r="C17" t="str">
            <v>Customer Charge</v>
          </cell>
          <cell r="I17">
            <v>0</v>
          </cell>
          <cell r="K17">
            <v>0</v>
          </cell>
          <cell r="M17">
            <v>0</v>
          </cell>
        </row>
        <row r="18">
          <cell r="A18">
            <v>1.01</v>
          </cell>
          <cell r="C18" t="str">
            <v>Demand Charge (Cents/Month/m³)</v>
          </cell>
          <cell r="I18">
            <v>14.7</v>
          </cell>
          <cell r="K18">
            <v>0</v>
          </cell>
          <cell r="M18">
            <v>14.7</v>
          </cell>
        </row>
        <row r="19">
          <cell r="A19">
            <v>1.02</v>
          </cell>
          <cell r="C19" t="str">
            <v>Delivery Charge</v>
          </cell>
          <cell r="I19">
            <v>1.2285670491998038</v>
          </cell>
          <cell r="K19">
            <v>1.0847418731180225E-2</v>
          </cell>
          <cell r="M19">
            <v>1.239414467930984</v>
          </cell>
        </row>
        <row r="20">
          <cell r="A20">
            <v>1.03</v>
          </cell>
          <cell r="C20" t="str">
            <v>Gas Supply Load Balancing</v>
          </cell>
          <cell r="I20">
            <v>1.3079000000000001</v>
          </cell>
          <cell r="K20">
            <v>0.14439999999999986</v>
          </cell>
          <cell r="M20">
            <v>1.4522999999999999</v>
          </cell>
        </row>
        <row r="21">
          <cell r="A21">
            <v>1.04</v>
          </cell>
          <cell r="C21" t="str">
            <v>Gas Supply Transportation</v>
          </cell>
          <cell r="I21">
            <v>4.7525000000000004</v>
          </cell>
          <cell r="K21">
            <v>0.18819999999999926</v>
          </cell>
          <cell r="M21">
            <v>4.9406999999999996</v>
          </cell>
        </row>
        <row r="22">
          <cell r="A22">
            <v>1.05</v>
          </cell>
          <cell r="C22" t="str">
            <v>Gas Supply Transportation Dawn</v>
          </cell>
          <cell r="I22">
            <v>1.0404</v>
          </cell>
          <cell r="K22">
            <v>0</v>
          </cell>
          <cell r="M22">
            <v>1.0404</v>
          </cell>
        </row>
        <row r="23">
          <cell r="A23">
            <v>1.06</v>
          </cell>
          <cell r="C23" t="str">
            <v>Gas Supply Commodity - System</v>
          </cell>
          <cell r="I23">
            <v>9.4102999999999994</v>
          </cell>
          <cell r="K23">
            <v>0.60490000000000066</v>
          </cell>
          <cell r="M23">
            <v>10.0152</v>
          </cell>
        </row>
        <row r="24">
          <cell r="A24">
            <v>1.07</v>
          </cell>
          <cell r="C24" t="str">
            <v>Gas Supply Commodity - Buy/Sell</v>
          </cell>
          <cell r="I24">
            <v>9.3908000000000005</v>
          </cell>
          <cell r="K24">
            <v>0.60489999999999888</v>
          </cell>
          <cell r="M24">
            <v>9.9956999999999994</v>
          </cell>
        </row>
        <row r="28">
          <cell r="B28" t="str">
            <v>RATE 300</v>
          </cell>
          <cell r="C28" t="str">
            <v>FIRM SERVICE</v>
          </cell>
        </row>
      </sheetData>
      <sheetData sheetId="11">
        <row r="13">
          <cell r="A13" t="str">
            <v>Item</v>
          </cell>
          <cell r="B13" t="str">
            <v>Rate</v>
          </cell>
          <cell r="I13" t="str">
            <v/>
          </cell>
          <cell r="K13" t="str">
            <v xml:space="preserve">Rate  </v>
          </cell>
          <cell r="M13" t="str">
            <v>Proposed</v>
          </cell>
        </row>
        <row r="14">
          <cell r="A14" t="str">
            <v xml:space="preserve">No.  </v>
          </cell>
          <cell r="B14" t="str">
            <v xml:space="preserve">No.  </v>
          </cell>
          <cell r="E14" t="str">
            <v>Rate Block</v>
          </cell>
          <cell r="I14" t="str">
            <v>EB-2018-0090</v>
          </cell>
          <cell r="K14" t="str">
            <v>Change</v>
          </cell>
          <cell r="M14" t="str">
            <v>EB-2018-0249</v>
          </cell>
        </row>
        <row r="15">
          <cell r="E15" t="str">
            <v>m³</v>
          </cell>
          <cell r="I15" t="str">
            <v>cents *</v>
          </cell>
          <cell r="K15" t="str">
            <v>cents *</v>
          </cell>
          <cell r="M15" t="str">
            <v>cents *</v>
          </cell>
        </row>
        <row r="17">
          <cell r="B17" t="str">
            <v>RATE 325</v>
          </cell>
        </row>
        <row r="19">
          <cell r="C19" t="str">
            <v>Transmission &amp; Compression</v>
          </cell>
        </row>
        <row r="20">
          <cell r="A20">
            <v>1</v>
          </cell>
          <cell r="C20" t="str">
            <v>Demand Charge - ATV ($/Month/10³ m³)</v>
          </cell>
          <cell r="I20">
            <v>0.20710000000000001</v>
          </cell>
          <cell r="K20">
            <v>0</v>
          </cell>
          <cell r="M20">
            <v>0.20710000000000001</v>
          </cell>
          <cell r="N20">
            <v>0</v>
          </cell>
        </row>
        <row r="21">
          <cell r="A21">
            <v>1.01</v>
          </cell>
          <cell r="C21" t="str">
            <v>Demand Charge - Daily Wdrl. ($/Month/10³ m³)</v>
          </cell>
          <cell r="I21">
            <v>22.7879</v>
          </cell>
          <cell r="K21">
            <v>0</v>
          </cell>
          <cell r="M21">
            <v>22.7879</v>
          </cell>
          <cell r="N21">
            <v>0</v>
          </cell>
        </row>
        <row r="22">
          <cell r="A22">
            <v>1.02</v>
          </cell>
          <cell r="C22" t="str">
            <v>Commodity Charge</v>
          </cell>
          <cell r="I22">
            <v>0.83279999999999998</v>
          </cell>
          <cell r="K22">
            <v>2.6600000000000068E-2</v>
          </cell>
          <cell r="M22">
            <v>0.85940000000000005</v>
          </cell>
          <cell r="N22">
            <v>3.1940441882805079E-2</v>
          </cell>
        </row>
        <row r="24">
          <cell r="C24" t="str">
            <v>Storage</v>
          </cell>
        </row>
        <row r="25">
          <cell r="A25">
            <v>1.03</v>
          </cell>
          <cell r="C25" t="str">
            <v>Demand Charge - ATV ($/Month/10*3 m³)</v>
          </cell>
          <cell r="I25">
            <v>0.19550000000000001</v>
          </cell>
          <cell r="K25">
            <v>0</v>
          </cell>
          <cell r="M25">
            <v>0.19550000000000001</v>
          </cell>
          <cell r="N25">
            <v>0</v>
          </cell>
        </row>
        <row r="26">
          <cell r="A26">
            <v>1.04</v>
          </cell>
          <cell r="C26" t="str">
            <v>Demand Charge - Daily Wdrl. ($/Month/10³ m³)</v>
          </cell>
          <cell r="I26">
            <v>21.7395</v>
          </cell>
          <cell r="K26">
            <v>0</v>
          </cell>
          <cell r="M26">
            <v>21.7395</v>
          </cell>
          <cell r="N26">
            <v>0</v>
          </cell>
        </row>
        <row r="27">
          <cell r="A27">
            <v>1.05</v>
          </cell>
          <cell r="C27" t="str">
            <v>Commodity Charge</v>
          </cell>
          <cell r="I27">
            <v>0.109</v>
          </cell>
          <cell r="K27">
            <v>1.2700000000000003E-2</v>
          </cell>
          <cell r="M27">
            <v>0.1217</v>
          </cell>
          <cell r="N27">
            <v>0.11651376146788994</v>
          </cell>
        </row>
        <row r="29">
          <cell r="C29" t="str">
            <v>(2) Note: These are UNBUNDLED Rates</v>
          </cell>
        </row>
        <row r="32">
          <cell r="B32" t="str">
            <v>RATE 330</v>
          </cell>
          <cell r="C32" t="str">
            <v>Storage Service - Firm</v>
          </cell>
        </row>
        <row r="33">
          <cell r="C33" t="str">
            <v>Demand Charge ($/Month/10³ m³ of ATV)</v>
          </cell>
        </row>
        <row r="34">
          <cell r="A34">
            <v>2</v>
          </cell>
          <cell r="C34" t="str">
            <v xml:space="preserve">       Minimum</v>
          </cell>
          <cell r="I34">
            <v>0.40260000000000001</v>
          </cell>
          <cell r="K34">
            <v>0</v>
          </cell>
          <cell r="M34">
            <v>0.40260000000000001</v>
          </cell>
          <cell r="N34">
            <v>0</v>
          </cell>
        </row>
        <row r="35">
          <cell r="A35">
            <v>2.0099999999999998</v>
          </cell>
          <cell r="C35" t="str">
            <v xml:space="preserve">       Maximum</v>
          </cell>
          <cell r="I35">
            <v>2.0129999999999999</v>
          </cell>
          <cell r="K35">
            <v>0</v>
          </cell>
          <cell r="M35">
            <v>2.0129999999999999</v>
          </cell>
          <cell r="N35">
            <v>0</v>
          </cell>
        </row>
        <row r="37">
          <cell r="C37" t="str">
            <v>Demand Charge ($/Month/10³ m³ of Daily Withdrawal)</v>
          </cell>
        </row>
        <row r="38">
          <cell r="A38">
            <v>2.0199999999999996</v>
          </cell>
          <cell r="C38" t="str">
            <v xml:space="preserve">       Minimum</v>
          </cell>
          <cell r="I38">
            <v>44.5274</v>
          </cell>
          <cell r="K38">
            <v>0</v>
          </cell>
          <cell r="M38">
            <v>44.5274</v>
          </cell>
          <cell r="N38">
            <v>0</v>
          </cell>
        </row>
        <row r="39">
          <cell r="A39">
            <v>2.0299999999999994</v>
          </cell>
          <cell r="C39" t="str">
            <v xml:space="preserve">       Maximum</v>
          </cell>
          <cell r="I39">
            <v>222.637</v>
          </cell>
          <cell r="K39">
            <v>0</v>
          </cell>
          <cell r="M39">
            <v>222.637</v>
          </cell>
          <cell r="N39">
            <v>0</v>
          </cell>
        </row>
        <row r="41">
          <cell r="C41" t="str">
            <v>Commodity Charge</v>
          </cell>
        </row>
        <row r="42">
          <cell r="A42">
            <v>2.0399999999999991</v>
          </cell>
          <cell r="C42" t="str">
            <v xml:space="preserve">       Minimum</v>
          </cell>
          <cell r="I42">
            <v>0.94179999999999997</v>
          </cell>
          <cell r="K42">
            <v>3.9300000000000113E-2</v>
          </cell>
          <cell r="M42">
            <v>0.98110000000000008</v>
          </cell>
          <cell r="N42">
            <v>4.1728604799320571E-2</v>
          </cell>
        </row>
        <row r="43">
          <cell r="A43">
            <v>2.0499999999999989</v>
          </cell>
          <cell r="C43" t="str">
            <v xml:space="preserve">       Maximum</v>
          </cell>
          <cell r="I43">
            <v>4.7089999999999996</v>
          </cell>
          <cell r="K43">
            <v>0.19650000000000034</v>
          </cell>
          <cell r="M43">
            <v>4.9055</v>
          </cell>
          <cell r="N43">
            <v>4.1728604799320529E-2</v>
          </cell>
        </row>
        <row r="46">
          <cell r="C46" t="str">
            <v>Storage Service - Interruptible</v>
          </cell>
        </row>
        <row r="47">
          <cell r="C47" t="str">
            <v>Demand Charge ($/Month/10³ m³ of ATV)</v>
          </cell>
        </row>
        <row r="48">
          <cell r="A48">
            <v>2.0599999999999987</v>
          </cell>
          <cell r="C48" t="str">
            <v xml:space="preserve">       Minimum</v>
          </cell>
          <cell r="I48">
            <v>0.40260000000000001</v>
          </cell>
          <cell r="K48">
            <v>0</v>
          </cell>
          <cell r="M48">
            <v>0.40260000000000001</v>
          </cell>
          <cell r="N48">
            <v>0</v>
          </cell>
        </row>
        <row r="49">
          <cell r="A49">
            <v>2.0699999999999985</v>
          </cell>
          <cell r="C49" t="str">
            <v xml:space="preserve">       Maximum</v>
          </cell>
          <cell r="I49">
            <v>2.0129999999999999</v>
          </cell>
          <cell r="K49">
            <v>0</v>
          </cell>
          <cell r="M49">
            <v>2.0129999999999999</v>
          </cell>
          <cell r="N49">
            <v>0</v>
          </cell>
        </row>
        <row r="51">
          <cell r="C51" t="str">
            <v>Demand Charge ($/Month/10³ m³ of Daily Withdrawal)</v>
          </cell>
        </row>
        <row r="52">
          <cell r="A52">
            <v>2.0799999999999983</v>
          </cell>
          <cell r="C52" t="str">
            <v xml:space="preserve">       Minimum</v>
          </cell>
          <cell r="I52">
            <v>35.621920000000003</v>
          </cell>
          <cell r="K52">
            <v>0</v>
          </cell>
          <cell r="M52">
            <v>35.621920000000003</v>
          </cell>
          <cell r="N52">
            <v>0</v>
          </cell>
        </row>
        <row r="53">
          <cell r="A53">
            <v>2.0899999999999981</v>
          </cell>
          <cell r="C53" t="str">
            <v xml:space="preserve">       Maximum</v>
          </cell>
          <cell r="I53">
            <v>178.1096</v>
          </cell>
          <cell r="K53">
            <v>0</v>
          </cell>
          <cell r="M53">
            <v>178.1096</v>
          </cell>
          <cell r="N53">
            <v>0</v>
          </cell>
        </row>
        <row r="55">
          <cell r="C55" t="str">
            <v>Commodity Charge</v>
          </cell>
        </row>
        <row r="56">
          <cell r="A56">
            <v>2.0999999999999979</v>
          </cell>
          <cell r="C56" t="str">
            <v xml:space="preserve">       Minimum</v>
          </cell>
          <cell r="I56">
            <v>0.94179999999999997</v>
          </cell>
          <cell r="K56">
            <v>3.9300000000000113E-2</v>
          </cell>
          <cell r="M56">
            <v>0.98110000000000008</v>
          </cell>
          <cell r="N56">
            <v>4.1728604799320571E-2</v>
          </cell>
        </row>
        <row r="57">
          <cell r="A57">
            <v>2.1099999999999977</v>
          </cell>
          <cell r="C57" t="str">
            <v xml:space="preserve">       Maximum</v>
          </cell>
          <cell r="I57">
            <v>4.7089999999999996</v>
          </cell>
          <cell r="K57">
            <v>0.19650000000000034</v>
          </cell>
          <cell r="M57">
            <v>4.9055</v>
          </cell>
          <cell r="N57">
            <v>4.1728604799320529E-2</v>
          </cell>
        </row>
        <row r="60">
          <cell r="C60" t="str">
            <v>Storage Service - Off Peak</v>
          </cell>
        </row>
        <row r="61">
          <cell r="C61" t="str">
            <v>Commodity Charge</v>
          </cell>
        </row>
        <row r="62">
          <cell r="A62">
            <v>2.1199999999999974</v>
          </cell>
          <cell r="C62" t="str">
            <v xml:space="preserve">       Minimum</v>
          </cell>
          <cell r="I62">
            <v>0.36331208723190156</v>
          </cell>
          <cell r="K62">
            <v>1.2700000000000003E-2</v>
          </cell>
          <cell r="M62">
            <v>0.3760120872319016</v>
          </cell>
          <cell r="N62">
            <v>3.4956172520331293E-2</v>
          </cell>
        </row>
        <row r="63">
          <cell r="A63">
            <v>2.1299999999999972</v>
          </cell>
          <cell r="C63" t="str">
            <v xml:space="preserve">       Maximum</v>
          </cell>
          <cell r="I63">
            <v>41.237962478040487</v>
          </cell>
          <cell r="K63">
            <v>0.19650000000000034</v>
          </cell>
          <cell r="M63">
            <v>41.434462478040487</v>
          </cell>
          <cell r="N63">
            <v>4.7650268876557132E-3</v>
          </cell>
        </row>
        <row r="66">
          <cell r="B66" t="str">
            <v>RATE 331</v>
          </cell>
          <cell r="C66" t="str">
            <v>Tecumseh Transmission Service</v>
          </cell>
        </row>
        <row r="67">
          <cell r="C67" t="str">
            <v>Firm</v>
          </cell>
        </row>
        <row r="68">
          <cell r="C68" t="str">
            <v>Demand Charge ($/Month/10³ m³ of</v>
          </cell>
        </row>
        <row r="69">
          <cell r="A69">
            <v>3</v>
          </cell>
          <cell r="C69" t="str">
            <v>Maximum Contracted Daily Delivery)</v>
          </cell>
          <cell r="I69">
            <v>5.6429999999999998</v>
          </cell>
          <cell r="K69">
            <v>0</v>
          </cell>
          <cell r="M69">
            <v>5.6429999999999998</v>
          </cell>
          <cell r="N69">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chedule - 2024"/>
      <sheetName val="Source Files"/>
      <sheetName val="Index"/>
      <sheetName val="Inputs"/>
      <sheetName val="Cost Input"/>
      <sheetName val="Revenue"/>
      <sheetName val="Forecast"/>
      <sheetName val="Harmonized DM"/>
      <sheetName val="Detail Model"/>
      <sheetName val="S&amp;T Margin p.1"/>
      <sheetName val="Harm. Appendix A"/>
      <sheetName val="OR Rates"/>
      <sheetName val="Appendix A"/>
      <sheetName val="Summary Rates"/>
      <sheetName val="S&amp;T Margin p.2"/>
      <sheetName val="M17 Demand"/>
      <sheetName val="M12 - BA"/>
      <sheetName val="M12 - Proposed"/>
      <sheetName val="M12 p.2"/>
      <sheetName val="F24-T"/>
      <sheetName val="M13"/>
      <sheetName val="M16 Cust"/>
      <sheetName val="M16 Comm"/>
      <sheetName val="M16 East Dem"/>
      <sheetName val="M17 Cust"/>
      <sheetName val="C1 Ojib Demand BA"/>
      <sheetName val="D-D Vector"/>
      <sheetName val="Heritage - HTLP"/>
      <sheetName val="PDCI"/>
      <sheetName val="2022-11-15 2024 Exfran Model -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Comprehensive Income Statement"/>
      <sheetName val="Statement of Cash Flows"/>
      <sheetName val="Statement of Financial Position"/>
      <sheetName val="Partners Capital"/>
      <sheetName val="Sheet1"/>
      <sheetName val="Inventory Table"/>
      <sheetName val="PPE Table"/>
      <sheetName val="Intangibles Table"/>
      <sheetName val="Derivatives Gain_Loss Table"/>
      <sheetName val="Derivative Positions Table_1"/>
      <sheetName val="Commodity Price Risk Table #1_1"/>
      <sheetName val="Commodity Price Risk Table #2_1"/>
      <sheetName val="Interest Rate Risk Table_1"/>
      <sheetName val="Fair Value Debt Table"/>
      <sheetName val="Effect of Derivatives on I_1"/>
      <sheetName val="Credit Facilities Table_1"/>
      <sheetName val="A1 Term Note Table_1"/>
      <sheetName val="Counterparty Credit Table_1"/>
      <sheetName val="Credit Concentration Table_1"/>
      <sheetName val="EDA Table_1"/>
      <sheetName val="Equity Issuances_1"/>
      <sheetName val="Derivative Activities Table - 2"/>
      <sheetName val="A1 Term Note Maturities Table_1"/>
      <sheetName val="Distribution SERIES AC_2"/>
      <sheetName val="Level 3 FMV - Table_1"/>
      <sheetName val="Distribution Table"/>
      <sheetName val="EPU Table"/>
      <sheetName val="Distribution Partners Table"/>
      <sheetName val="Effect of Derivatives on B_1"/>
      <sheetName val="Inputs to Fair Value Table"/>
      <sheetName val="Segment Table CY"/>
      <sheetName val="Segment Table PY"/>
      <sheetName val="Segment Table PY2"/>
      <sheetName val="Availability Liquidity Table"/>
      <sheetName val="Cash Flow Analysis Table"/>
      <sheetName val="Financing Activity Table"/>
      <sheetName val="Corporate Interest Table - CY"/>
      <sheetName val="Statement of Partners' Captial"/>
      <sheetName val="Ownership Interest Table"/>
      <sheetName val="Debt Summary Table"/>
      <sheetName val="Debt Maturities Table"/>
      <sheetName val="Future Minimum Commit. Table"/>
      <sheetName val="NEO Performance Measures T_1"/>
      <sheetName val="NEO Performance Measures T_2"/>
      <sheetName val="NEO Performance Measures T_3"/>
      <sheetName val="Incentive Target Table"/>
      <sheetName val="Actual NEO Perform. Multip_1"/>
      <sheetName val="Actual NEO STIP Table"/>
      <sheetName val="FN to Table - Stock Award_1"/>
      <sheetName val="FN to Table - Option Award_1"/>
      <sheetName val="FN to Table - Option Award_2"/>
      <sheetName val="FN to Table - Option Award_3"/>
      <sheetName val="Other Comp. Table"/>
      <sheetName val="Outstanding Award Table"/>
      <sheetName val="Lakehead Tariffs Table"/>
      <sheetName val="FN to Table - Award Grants_1"/>
      <sheetName val="Interest of GP in Partnership"/>
      <sheetName val="(SD) Purchase Commitments"/>
      <sheetName val="Capital Spending"/>
      <sheetName val="Result of Ops Corporate"/>
      <sheetName val="Results of Ops - Liquids"/>
      <sheetName val="NEO Performance Measures T_4"/>
      <sheetName val="NEO Performance Measures T_5"/>
      <sheetName val="Line 6B Cost Table"/>
      <sheetName val="Effect of Derivatives on I_S"/>
      <sheetName val="Gross to Net Reconciliatio_1"/>
      <sheetName val="Level 3 Roll Forward Table"/>
      <sheetName val="Supplemental Cash Flow Table"/>
      <sheetName val="Results of Operations Table"/>
      <sheetName val="Derivative Activities Table - 1"/>
      <sheetName val="Results of Ops Natural Gas"/>
      <sheetName val="NG Deriv Gain_Loss Table - CY"/>
      <sheetName val="Results of Ops Marketing"/>
      <sheetName val="ARO Table"/>
      <sheetName val="Senior Notes Table"/>
      <sheetName val="Interest Table"/>
      <sheetName val="Equity Issuances - Related_1"/>
      <sheetName val="Quarterly Financial Data Table"/>
      <sheetName val="Income Tax Table"/>
      <sheetName val="Debt Risk Table"/>
      <sheetName val="Distribution Partners Table_1"/>
      <sheetName val="Future Minimum Commit. Table_1"/>
      <sheetName val="Percentage of Op Results Table"/>
      <sheetName val="Performance Multiplier Table"/>
      <sheetName val="Long-Term Incentive Table"/>
      <sheetName val="Summary Comp. Table"/>
      <sheetName val="Awards Grant Table"/>
      <sheetName val="FN to Table - Exercise Pri_1"/>
      <sheetName val="Option Exercise Table"/>
      <sheetName val="Pension Entitlement Table"/>
      <sheetName val="Pension Benefit Table"/>
      <sheetName val="Termination Table"/>
      <sheetName val="Director Comp. Table"/>
      <sheetName val="Insurance Type"/>
      <sheetName val="Lakehead Volumes Table"/>
      <sheetName val="North Dakota Tariffs Table"/>
      <sheetName val="Unit Price Table"/>
      <sheetName val="Selected Financial Data Table"/>
      <sheetName val="FN to Finan. Data Table - Acq."/>
      <sheetName val="FN to Finan. Data Table -_1"/>
      <sheetName val="FN to Finan. Data Table -_2"/>
      <sheetName val="FN to Finan. Data Table -_3"/>
      <sheetName val="Audit Fee Table"/>
      <sheetName val="Glossary"/>
      <sheetName val="Director &amp; Officers"/>
      <sheetName val="Security Ownership - Benef_1"/>
      <sheetName val="Security Ownership - Manag_1"/>
      <sheetName val="Cash Distributions Table"/>
      <sheetName val="Trucking &amp; NGL Marketing Table"/>
      <sheetName val="Trucking &amp; NGL Marketing T_1"/>
      <sheetName val="Mid-Continent Tariffs Table"/>
      <sheetName val="Unrecognized Tax Benefits"/>
      <sheetName val="Corporate Interest Table - PY"/>
      <sheetName val="NG Deriv Gain_Loss Table - PY"/>
      <sheetName val="Future Prospects - Table"/>
      <sheetName val="NG-Future Prospects Table"/>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8 - Attach 1"/>
      <sheetName val="8.2.8 - Attach 2"/>
      <sheetName val="8.2.8 - Attach 3"/>
      <sheetName val="8.2.8 - Attach 4"/>
      <sheetName val="8.2.8 - Attach 4 p. 11-15"/>
      <sheetName val="8.2.8 - Attach 5 p.1"/>
      <sheetName val="8.2.8 - Attach 5 p.2"/>
      <sheetName val="8.2.8 - Attach 6"/>
      <sheetName val="8.2.8 - Attach 7"/>
      <sheetName val="8.2.8 - Attach 8"/>
      <sheetName val="8.2.8 - Attach 9"/>
      <sheetName val="8.2.8.10 pg 1-3"/>
      <sheetName val="8.2.8.10 pg 4-5"/>
      <sheetName val="8.2.8.10 pg 6-9"/>
      <sheetName val="8.2.8 - Attach 11"/>
      <sheetName val="8.2.8 - Attach 12 p.1-2"/>
      <sheetName val="8.2.8 - Attach 12 p.3"/>
      <sheetName val="8.2.8 - Attach 13"/>
      <sheetName val="8.2.8 - Attach 14"/>
      <sheetName val="8.2.8 - Attach 15"/>
      <sheetName val="8.2.8 - Attach 16"/>
      <sheetName val="8.2.8 - Attach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8.2.8 - Attach 1"/>
      <sheetName val="8.2.8 - Attach 2"/>
      <sheetName val="8.2.8 - Attach 3"/>
      <sheetName val="8.2.8 - Attach 4 (DNU)"/>
      <sheetName val="8.2.8 - Attach 4 p. 11-15"/>
      <sheetName val="8.2.8 - Attach 5 p.1"/>
      <sheetName val="8.2.8 - Attach 5 p.2"/>
      <sheetName val="8.2.8 - Attach 6"/>
      <sheetName val="8.2.8 - Attach 7"/>
      <sheetName val="8.2.8 - Attach 8"/>
      <sheetName val="8.2.8 - Attach 9"/>
      <sheetName val="8.2.8 - Attach 10"/>
      <sheetName val="Ex-fran-&gt;"/>
      <sheetName val="8.2.8 - Attach 11"/>
      <sheetName val="8.2.8 - Attach 12 p.1"/>
      <sheetName val="8.2.8 - Attach 12 p.2"/>
      <sheetName val="8.2.8 - Attach 13"/>
      <sheetName val="8.2.8 - Attach 14"/>
      <sheetName val="8.2.8 - Attach 15"/>
      <sheetName val="8.2.8 - Attach 16"/>
      <sheetName val="8.2.8 - Attach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Upload"/>
      <sheetName val="Sheet1"/>
      <sheetName val="Sheet1 (2)"/>
      <sheetName val="Sheet2"/>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 val="Selections"/>
      <sheetName val="Depr"/>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etail Model"/>
      <sheetName val="DSM UR"/>
      <sheetName val="PDO UR"/>
      <sheetName val="ICM Rider"/>
      <sheetName val="Sch.6"/>
      <sheetName val="GasComm"/>
      <sheetName val="Supplementals"/>
      <sheetName val="Overrun"/>
      <sheetName val="Riders"/>
      <sheetName val="Pivots"/>
      <sheetName val="N-R20+Stor"/>
      <sheetName val="N-R100"/>
      <sheetName val="NorthVols"/>
      <sheetName val="U2"/>
      <sheetName val="Banner"/>
      <sheetName val="SouthDist"/>
      <sheetName val="SouthT"/>
      <sheetName val="North"/>
      <sheetName val="2024 DM - Apr 24 Q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 Segment Table Q4-2013"/>
      <sheetName val="Xa - Adjstmnt &amp; IC COS smry "/>
      <sheetName val="X1 - Summary"/>
      <sheetName val="Interco COS smry elim"/>
      <sheetName val="X2 - North Texas"/>
      <sheetName val="X3 - East Texas"/>
      <sheetName val="X4 - Anadarko - Elk City"/>
      <sheetName val="X5 - Other"/>
      <sheetName val="X6 - EMUS"/>
      <sheetName val="X7 - EEM"/>
      <sheetName val="X8 - ELTM"/>
      <sheetName val="X10a - Corporate"/>
      <sheetName val="X9 - IS_1402YTD"/>
      <sheetName val="X12 - Intersegment Elims"/>
      <sheetName val="X12.1 - NTX "/>
      <sheetName val="X12.1a - NTX"/>
      <sheetName val="X12.2 - ETX"/>
      <sheetName val="X12.2a - ETX"/>
      <sheetName val="x12.3 - Anadarko"/>
      <sheetName val="x12.3a - Anadarko"/>
      <sheetName val="x12.4 - EMUS"/>
      <sheetName val="x12.4a - EMUS"/>
      <sheetName val="x12.5 - EEM"/>
      <sheetName val="x12.5a - EEM"/>
      <sheetName val="X12.6 - ELTM "/>
      <sheetName val="x12.6a - ELTM"/>
      <sheetName val="X13 - BS Summary"/>
      <sheetName val="X13.1 - North Texas"/>
      <sheetName val="X13.2 - East Texas"/>
      <sheetName val="X13.3 - Anadarko - Elk City"/>
      <sheetName val="X13.4 - Other"/>
      <sheetName val="X13.5 - EMUS"/>
      <sheetName val="X13.6 - EEM"/>
      <sheetName val="X13.7 - ELTM"/>
      <sheetName val="X13.8 - Corporate"/>
      <sheetName val="X13.9 -BS_13.12YTD"/>
      <sheetName val="X14-Summary"/>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Base Year"/>
      <sheetName val="Assumptions"/>
      <sheetName val="Income Statement"/>
      <sheetName val="Balance Sheet"/>
      <sheetName val="Cash Flow"/>
      <sheetName val="Income Statement Chart"/>
      <sheetName val="Balance Sheet Chart"/>
      <sheetName val="Cash Flow Chart"/>
      <sheetName val="Cumulative Free Cash Flow Chart"/>
      <sheetName val="MyDialog"/>
      <sheetName val="VDlg"/>
      <sheetName val="Module1"/>
      <sheetName val="bp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Business Segments"/>
      <sheetName val="summary"/>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 Detail"/>
      <sheetName val="AFUDC  REVERSALS"/>
      <sheetName val="TETCO"/>
      <sheetName val="TETCO JV COVER"/>
      <sheetName val="P8 TETCO"/>
      <sheetName val="P8 DETAIL"/>
      <sheetName val="076ID8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Base Year"/>
      <sheetName val="Assumptions"/>
      <sheetName val="Income Statement"/>
      <sheetName val="Balance Sheet"/>
      <sheetName val="Cash Flow"/>
      <sheetName val="Income Statement Chart"/>
      <sheetName val="Balance Sheet Chart"/>
      <sheetName val="Cash Flow Chart"/>
      <sheetName val="Cumulative Free Cash Flow Chart"/>
      <sheetName val="MyDialog"/>
      <sheetName val="VDlg"/>
      <sheetName val="Module1"/>
      <sheetName val="bp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xecutive Summary"/>
    </sheetNames>
    <sheetDataSet>
      <sheetData sheetId="0" refreshError="1"/>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chedule - 2023"/>
      <sheetName val="Rate Schedule - 2024"/>
      <sheetName val="Total"/>
      <sheetName val="Distribution"/>
      <sheetName val="Gas Cost"/>
      <sheetName val="Total Adj"/>
      <sheetName val="Distribution Adj"/>
      <sheetName val="Gas Cost Adj"/>
      <sheetName val="Infran Output"/>
      <sheetName val="customer charge"/>
      <sheetName val="Transportation"/>
      <sheetName val="Fuel Ratios"/>
      <sheetName val="Supplementals"/>
      <sheetName val="calculations"/>
      <sheetName val="ExFran Margin"/>
      <sheetName val="PanH Gas Supply"/>
      <sheetName val="2023-03-08 Detail Model - Cur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etail Model"/>
      <sheetName val="DSM UR"/>
      <sheetName val="PDO UR"/>
      <sheetName val="ICM Rider"/>
      <sheetName val="Sch.6"/>
      <sheetName val="GasComm"/>
      <sheetName val="Supplementals"/>
      <sheetName val="Overrun"/>
      <sheetName val="Riders"/>
      <sheetName val="Pivots"/>
      <sheetName val="N-R20+Stor"/>
      <sheetName val="N-R100"/>
      <sheetName val="NorthVols"/>
      <sheetName val="U2"/>
      <sheetName val="Banner"/>
      <sheetName val="SouthDist"/>
      <sheetName val="SouthT"/>
      <sheetName val="North"/>
      <sheetName val="2023 Rates DM (Apr 22 QRAM)"/>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chedule - 2024"/>
      <sheetName val="Source Files"/>
      <sheetName val="Index"/>
      <sheetName val="Inputs"/>
      <sheetName val="Cost Input"/>
      <sheetName val="Revenue"/>
      <sheetName val="Forecast"/>
      <sheetName val="Harmonized DM"/>
      <sheetName val="Detail Model"/>
      <sheetName val="S&amp;T Margin p.1"/>
      <sheetName val="Harm. Appendix A"/>
      <sheetName val="OR Rates"/>
      <sheetName val="Appendix A"/>
      <sheetName val="Summary Rates"/>
      <sheetName val="S&amp;T Margin p.2"/>
      <sheetName val="M17 Demand"/>
      <sheetName val="M12 - BA"/>
      <sheetName val="M12 - Proposed"/>
      <sheetName val="M12 p.2"/>
      <sheetName val="F24-T"/>
      <sheetName val="M13"/>
      <sheetName val="M16 Cust"/>
      <sheetName val="M16 Comm"/>
      <sheetName val="M16 East Dem"/>
      <sheetName val="M17 Cust"/>
      <sheetName val="C1 Ojib Demand BA"/>
      <sheetName val="D-D Vector"/>
      <sheetName val="Heritage - HTLP"/>
      <sheetName val="PDCI"/>
      <sheetName val="2023-03-08 2024 Exfran Model -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158E-B742-4154-91BA-029D04065BD1}">
  <dimension ref="A4:Q718"/>
  <sheetViews>
    <sheetView view="pageLayout" zoomScaleNormal="100" zoomScaleSheetLayoutView="90" workbookViewId="0">
      <selection activeCell="C296" sqref="C296"/>
    </sheetView>
  </sheetViews>
  <sheetFormatPr defaultColWidth="8.625" defaultRowHeight="15"/>
  <cols>
    <col min="1" max="1" width="4.75" style="70" customWidth="1"/>
    <col min="2" max="2" width="1.125" style="70" customWidth="1"/>
    <col min="3" max="3" width="32.125" style="70" customWidth="1"/>
    <col min="4" max="4" width="1.125" style="70" customWidth="1"/>
    <col min="5" max="5" width="14.125" style="70" customWidth="1"/>
    <col min="6" max="6" width="1.125" style="70" customWidth="1"/>
    <col min="7" max="7" width="14.125" style="70" customWidth="1"/>
    <col min="8" max="8" width="1.125" style="70" customWidth="1"/>
    <col min="9" max="9" width="14.125" style="70" customWidth="1"/>
    <col min="10" max="10" width="1.125" style="70" customWidth="1"/>
    <col min="11" max="11" width="14.125" style="70" customWidth="1"/>
    <col min="12" max="12" width="1.125" style="70" customWidth="1"/>
    <col min="13" max="13" width="14.125" style="70" customWidth="1"/>
    <col min="14" max="14" width="1.125" style="70" customWidth="1"/>
    <col min="15" max="15" width="14.125" style="70" customWidth="1"/>
    <col min="16" max="16" width="1.125" style="70" customWidth="1"/>
    <col min="17" max="17" width="14.125" style="70" customWidth="1"/>
    <col min="18" max="16384" width="8.625" style="73"/>
  </cols>
  <sheetData>
    <row r="4" spans="1:17">
      <c r="A4" s="1286" t="s">
        <v>360</v>
      </c>
      <c r="B4" s="1286"/>
      <c r="C4" s="1286"/>
      <c r="D4" s="1286"/>
      <c r="E4" s="1286"/>
      <c r="F4" s="1286"/>
      <c r="G4" s="1286"/>
      <c r="H4" s="1286"/>
      <c r="I4" s="1286"/>
      <c r="J4" s="1286"/>
      <c r="K4" s="1286"/>
      <c r="L4" s="1286"/>
      <c r="M4" s="1286"/>
      <c r="N4" s="1286"/>
      <c r="O4" s="1286"/>
      <c r="P4" s="1286"/>
      <c r="Q4" s="1286"/>
    </row>
    <row r="5" spans="1:17">
      <c r="A5" s="1286" t="s">
        <v>11</v>
      </c>
      <c r="B5" s="1286"/>
      <c r="C5" s="1286"/>
      <c r="D5" s="1286"/>
      <c r="E5" s="1286"/>
      <c r="F5" s="1286"/>
      <c r="G5" s="1286"/>
      <c r="H5" s="1286"/>
      <c r="I5" s="1286"/>
      <c r="J5" s="1286"/>
      <c r="K5" s="1286"/>
      <c r="L5" s="1286"/>
      <c r="M5" s="1286"/>
      <c r="N5" s="1286"/>
      <c r="O5" s="1286"/>
      <c r="P5" s="1286"/>
      <c r="Q5" s="1286"/>
    </row>
    <row r="8" spans="1:17">
      <c r="A8" s="76"/>
      <c r="B8" s="71"/>
      <c r="C8" s="71"/>
      <c r="D8" s="71"/>
      <c r="E8" s="1287" t="s">
        <v>361</v>
      </c>
      <c r="F8" s="1287"/>
      <c r="G8" s="1287"/>
      <c r="H8" s="71"/>
      <c r="I8" s="1287" t="s">
        <v>362</v>
      </c>
      <c r="J8" s="1287"/>
      <c r="K8" s="1287"/>
      <c r="L8" s="1287"/>
      <c r="M8" s="1287"/>
      <c r="N8" s="71"/>
      <c r="O8" s="1287" t="s">
        <v>363</v>
      </c>
      <c r="P8" s="1287"/>
      <c r="Q8" s="1287"/>
    </row>
    <row r="9" spans="1:17">
      <c r="A9" s="76"/>
      <c r="B9" s="71"/>
      <c r="C9" s="71"/>
      <c r="D9" s="71"/>
      <c r="E9" s="76"/>
      <c r="F9" s="76"/>
      <c r="G9" s="76"/>
      <c r="H9" s="71"/>
      <c r="I9" s="76"/>
      <c r="J9" s="76"/>
      <c r="K9" s="76"/>
      <c r="L9" s="76"/>
      <c r="M9" s="76" t="s">
        <v>364</v>
      </c>
      <c r="N9" s="71"/>
      <c r="O9" s="76" t="s">
        <v>365</v>
      </c>
      <c r="P9" s="76"/>
      <c r="Q9" s="76" t="s">
        <v>366</v>
      </c>
    </row>
    <row r="10" spans="1:17">
      <c r="A10" s="76" t="s">
        <v>1</v>
      </c>
      <c r="B10" s="71"/>
      <c r="C10" s="71"/>
      <c r="D10" s="71"/>
      <c r="E10" s="76" t="s">
        <v>364</v>
      </c>
      <c r="F10" s="76"/>
      <c r="G10" s="76" t="s">
        <v>109</v>
      </c>
      <c r="H10" s="71"/>
      <c r="I10" s="76" t="s">
        <v>364</v>
      </c>
      <c r="J10" s="76"/>
      <c r="K10" s="76" t="s">
        <v>109</v>
      </c>
      <c r="L10" s="76"/>
      <c r="M10" s="76" t="s">
        <v>367</v>
      </c>
      <c r="N10" s="71"/>
      <c r="O10" s="76" t="s">
        <v>368</v>
      </c>
      <c r="P10" s="71"/>
      <c r="Q10" s="76" t="s">
        <v>368</v>
      </c>
    </row>
    <row r="11" spans="1:17">
      <c r="A11" s="79" t="s">
        <v>2</v>
      </c>
      <c r="B11" s="71"/>
      <c r="C11" s="366" t="s">
        <v>3</v>
      </c>
      <c r="D11" s="71"/>
      <c r="E11" s="79" t="s">
        <v>369</v>
      </c>
      <c r="F11" s="76"/>
      <c r="G11" s="79" t="s">
        <v>77</v>
      </c>
      <c r="H11" s="71"/>
      <c r="I11" s="79" t="s">
        <v>369</v>
      </c>
      <c r="J11" s="76"/>
      <c r="K11" s="79" t="s">
        <v>77</v>
      </c>
      <c r="L11" s="76"/>
      <c r="M11" s="79" t="s">
        <v>369</v>
      </c>
      <c r="N11" s="71"/>
      <c r="O11" s="79" t="s">
        <v>76</v>
      </c>
      <c r="P11" s="76"/>
      <c r="Q11" s="79" t="s">
        <v>76</v>
      </c>
    </row>
    <row r="12" spans="1:17">
      <c r="A12" s="76"/>
      <c r="B12" s="71"/>
      <c r="C12" s="71"/>
      <c r="D12" s="71"/>
      <c r="E12" s="76" t="s">
        <v>8</v>
      </c>
      <c r="F12" s="76"/>
      <c r="G12" s="76" t="s">
        <v>9</v>
      </c>
      <c r="H12" s="76"/>
      <c r="I12" s="76" t="s">
        <v>370</v>
      </c>
      <c r="J12" s="76"/>
      <c r="K12" s="76" t="s">
        <v>79</v>
      </c>
      <c r="L12" s="76"/>
      <c r="M12" s="76" t="s">
        <v>371</v>
      </c>
      <c r="N12" s="76"/>
      <c r="O12" s="76" t="s">
        <v>372</v>
      </c>
      <c r="P12" s="76"/>
      <c r="Q12" s="76" t="s">
        <v>82</v>
      </c>
    </row>
    <row r="14" spans="1:17">
      <c r="A14" s="76"/>
      <c r="B14" s="71"/>
      <c r="C14" s="81" t="s">
        <v>373</v>
      </c>
      <c r="D14" s="71"/>
      <c r="E14" s="1288" t="s">
        <v>374</v>
      </c>
      <c r="F14" s="1288"/>
      <c r="G14" s="1288"/>
      <c r="H14" s="76"/>
      <c r="I14" s="76"/>
      <c r="J14" s="76"/>
      <c r="K14" s="76"/>
      <c r="L14" s="76"/>
      <c r="M14" s="75"/>
      <c r="N14" s="76"/>
      <c r="O14" s="76"/>
      <c r="P14" s="76"/>
      <c r="Q14" s="76"/>
    </row>
    <row r="15" spans="1:17">
      <c r="A15" s="76">
        <f>1</f>
        <v>1</v>
      </c>
      <c r="B15" s="71"/>
      <c r="C15" s="71" t="s">
        <v>375</v>
      </c>
      <c r="D15" s="71"/>
      <c r="E15" s="86">
        <v>526.64916359124459</v>
      </c>
      <c r="F15" s="76"/>
      <c r="G15" s="367">
        <v>21.943715149635189</v>
      </c>
      <c r="H15" s="76"/>
      <c r="I15" s="86">
        <v>548.72660559124449</v>
      </c>
      <c r="J15" s="76"/>
      <c r="K15" s="367">
        <v>22.863608566301856</v>
      </c>
      <c r="L15" s="82"/>
      <c r="M15" s="368">
        <f>I15-E15</f>
        <v>22.077441999999905</v>
      </c>
      <c r="N15" s="82"/>
      <c r="O15" s="332">
        <f>M15/E15</f>
        <v>4.1920586846569401E-2</v>
      </c>
      <c r="P15" s="334"/>
      <c r="Q15" s="332">
        <f>O15</f>
        <v>4.1920586846569401E-2</v>
      </c>
    </row>
    <row r="16" spans="1:17">
      <c r="A16" s="76">
        <f>A15+1</f>
        <v>2</v>
      </c>
      <c r="B16" s="71"/>
      <c r="C16" s="71" t="s">
        <v>376</v>
      </c>
      <c r="D16" s="71"/>
      <c r="E16" s="86">
        <v>366</v>
      </c>
      <c r="F16" s="369"/>
      <c r="G16" s="367">
        <v>15.25</v>
      </c>
      <c r="H16" s="82"/>
      <c r="I16" s="86">
        <v>366</v>
      </c>
      <c r="J16" s="369"/>
      <c r="K16" s="367">
        <v>15.25</v>
      </c>
      <c r="L16" s="82"/>
      <c r="M16" s="368">
        <f>I16-E16</f>
        <v>0</v>
      </c>
      <c r="N16" s="82"/>
      <c r="O16" s="333">
        <f>IFERROR(M16/E16,"100.0%")</f>
        <v>0</v>
      </c>
      <c r="P16" s="334"/>
      <c r="Q16" s="333">
        <v>0</v>
      </c>
    </row>
    <row r="17" spans="1:17">
      <c r="A17" s="76">
        <f>A16+1</f>
        <v>3</v>
      </c>
      <c r="B17" s="71"/>
      <c r="C17" s="71" t="s">
        <v>377</v>
      </c>
      <c r="D17" s="71"/>
      <c r="E17" s="86">
        <v>105.90068216202424</v>
      </c>
      <c r="F17" s="369"/>
      <c r="G17" s="367">
        <v>4.4125284234176769</v>
      </c>
      <c r="H17" s="82"/>
      <c r="I17" s="86">
        <v>105.95108216202424</v>
      </c>
      <c r="J17" s="369"/>
      <c r="K17" s="367">
        <v>4.4146284234176765</v>
      </c>
      <c r="L17" s="82"/>
      <c r="M17" s="368">
        <f>I17-E17</f>
        <v>5.0399999999996226E-2</v>
      </c>
      <c r="N17" s="82"/>
      <c r="O17" s="333">
        <f>IFERROR(M17/E17,"100.0%")</f>
        <v>4.7591761423109661E-4</v>
      </c>
      <c r="P17" s="334"/>
      <c r="Q17" s="332">
        <f>O17</f>
        <v>4.7591761423109661E-4</v>
      </c>
    </row>
    <row r="18" spans="1:17">
      <c r="A18" s="76">
        <f>A17+1</f>
        <v>4</v>
      </c>
      <c r="B18" s="71"/>
      <c r="C18" s="71" t="s">
        <v>378</v>
      </c>
      <c r="D18" s="71"/>
      <c r="E18" s="86">
        <v>233.79024609595902</v>
      </c>
      <c r="F18" s="76"/>
      <c r="G18" s="367">
        <v>9.7412602539982913</v>
      </c>
      <c r="H18" s="76"/>
      <c r="I18" s="86">
        <v>233.84544609595895</v>
      </c>
      <c r="J18" s="76"/>
      <c r="K18" s="367">
        <v>9.7435602539982895</v>
      </c>
      <c r="L18" s="82"/>
      <c r="M18" s="368">
        <f>I18-E18</f>
        <v>5.5199999999928195E-2</v>
      </c>
      <c r="N18" s="71"/>
      <c r="O18" s="332">
        <f>M18/E18</f>
        <v>2.3610908034748122E-4</v>
      </c>
      <c r="P18" s="334"/>
      <c r="Q18" s="332">
        <f>O18</f>
        <v>2.3610908034748122E-4</v>
      </c>
    </row>
    <row r="19" spans="1:17">
      <c r="A19" s="76">
        <f>A18+1</f>
        <v>5</v>
      </c>
      <c r="B19" s="71"/>
      <c r="C19" s="71" t="s">
        <v>379</v>
      </c>
      <c r="D19" s="71"/>
      <c r="E19" s="370">
        <f>SUM(E15:E18)</f>
        <v>1232.340091849228</v>
      </c>
      <c r="F19" s="76"/>
      <c r="G19" s="371">
        <v>51.347503827051163</v>
      </c>
      <c r="H19" s="76"/>
      <c r="I19" s="370">
        <f>SUM(I15:I18)</f>
        <v>1254.5231338492276</v>
      </c>
      <c r="J19" s="76"/>
      <c r="K19" s="371">
        <v>52.27179724371782</v>
      </c>
      <c r="L19" s="82"/>
      <c r="M19" s="372">
        <f>SUM(M15:M18)</f>
        <v>22.18304199999983</v>
      </c>
      <c r="N19" s="71"/>
      <c r="O19" s="373">
        <f>M19/E19</f>
        <v>1.8000746828509284E-2</v>
      </c>
      <c r="P19" s="374"/>
      <c r="Q19" s="373">
        <f>(M15+M18+M17)/(E15+E18+E17)</f>
        <v>2.5605466269775751E-2</v>
      </c>
    </row>
    <row r="20" spans="1:17">
      <c r="A20" s="76"/>
      <c r="B20" s="71"/>
      <c r="C20" s="71"/>
      <c r="D20" s="71"/>
      <c r="E20" s="86"/>
      <c r="F20" s="76"/>
      <c r="G20" s="82"/>
      <c r="H20" s="76"/>
      <c r="I20" s="86"/>
      <c r="J20" s="76"/>
      <c r="K20" s="82"/>
      <c r="L20" s="82"/>
      <c r="M20" s="368"/>
      <c r="N20" s="71"/>
      <c r="O20" s="374"/>
      <c r="P20" s="374"/>
      <c r="Q20" s="374"/>
    </row>
    <row r="21" spans="1:17">
      <c r="A21" s="76">
        <f>A19+1</f>
        <v>6</v>
      </c>
      <c r="B21" s="71"/>
      <c r="C21" s="71" t="s">
        <v>380</v>
      </c>
      <c r="D21" s="71"/>
      <c r="E21" s="370">
        <v>1232.3952918492278</v>
      </c>
      <c r="F21" s="76"/>
      <c r="G21" s="375">
        <v>51.349803827051154</v>
      </c>
      <c r="H21" s="76"/>
      <c r="I21" s="370">
        <v>1254.5231338492276</v>
      </c>
      <c r="J21" s="76"/>
      <c r="K21" s="375">
        <v>52.27179724371782</v>
      </c>
      <c r="L21" s="82"/>
      <c r="M21" s="372">
        <v>22.127841999999902</v>
      </c>
      <c r="N21" s="71"/>
      <c r="O21" s="376">
        <v>1.7955149736734826E-2</v>
      </c>
      <c r="P21" s="374"/>
      <c r="Q21" s="376">
        <v>2.5540122630133871E-2</v>
      </c>
    </row>
    <row r="22" spans="1:17">
      <c r="A22" s="76">
        <f>A21+1</f>
        <v>7</v>
      </c>
      <c r="B22" s="71"/>
      <c r="C22" s="71" t="s">
        <v>381</v>
      </c>
      <c r="D22" s="71"/>
      <c r="E22" s="85"/>
      <c r="F22" s="85"/>
      <c r="G22" s="85"/>
      <c r="H22" s="85"/>
      <c r="I22" s="85"/>
      <c r="J22" s="85"/>
      <c r="K22" s="85"/>
      <c r="L22" s="85"/>
      <c r="M22" s="368"/>
      <c r="N22" s="71"/>
      <c r="O22" s="376">
        <v>2.2159977385312678E-2</v>
      </c>
      <c r="P22" s="374"/>
      <c r="Q22" s="376">
        <v>3.4981973592372109E-2</v>
      </c>
    </row>
    <row r="23" spans="1:17">
      <c r="A23" s="76">
        <f>A22+1</f>
        <v>8</v>
      </c>
      <c r="B23" s="71"/>
      <c r="C23" s="71" t="s">
        <v>382</v>
      </c>
      <c r="D23" s="71"/>
      <c r="E23" s="370">
        <v>1148.6693685807852</v>
      </c>
      <c r="F23" s="76"/>
      <c r="G23" s="375">
        <v>47.861223690866048</v>
      </c>
      <c r="H23" s="76"/>
      <c r="I23" s="370">
        <v>1171.1332105807851</v>
      </c>
      <c r="J23" s="76"/>
      <c r="K23" s="375">
        <v>48.797217107532717</v>
      </c>
      <c r="L23" s="82"/>
      <c r="M23" s="372">
        <v>22.463841999999904</v>
      </c>
      <c r="N23" s="71"/>
      <c r="O23" s="376">
        <v>1.9556403795945775E-2</v>
      </c>
      <c r="P23" s="374"/>
      <c r="Q23" s="376">
        <v>2.8701572978042569E-2</v>
      </c>
    </row>
    <row r="24" spans="1:17">
      <c r="A24" s="76">
        <f>A23+1</f>
        <v>9</v>
      </c>
      <c r="B24" s="71"/>
      <c r="C24" s="71" t="s">
        <v>383</v>
      </c>
      <c r="D24" s="71"/>
      <c r="E24" s="85"/>
      <c r="F24" s="85"/>
      <c r="G24" s="85"/>
      <c r="H24" s="85"/>
      <c r="I24" s="85"/>
      <c r="J24" s="85"/>
      <c r="K24" s="85"/>
      <c r="L24" s="85"/>
      <c r="M24" s="368"/>
      <c r="N24" s="71"/>
      <c r="O24" s="376">
        <v>2.4555372293920859E-2</v>
      </c>
      <c r="P24" s="374"/>
      <c r="Q24" s="376">
        <v>4.0930872506966899E-2</v>
      </c>
    </row>
    <row r="25" spans="1:17">
      <c r="A25" s="76"/>
      <c r="B25" s="71"/>
      <c r="C25" s="71"/>
      <c r="D25" s="71"/>
      <c r="E25" s="76"/>
      <c r="F25" s="76"/>
      <c r="G25" s="76"/>
      <c r="H25" s="76"/>
      <c r="I25" s="76"/>
      <c r="J25" s="76"/>
      <c r="K25" s="377"/>
      <c r="L25" s="76"/>
      <c r="M25" s="368"/>
      <c r="N25" s="76"/>
      <c r="O25" s="378"/>
      <c r="P25" s="378"/>
      <c r="Q25" s="374"/>
    </row>
    <row r="26" spans="1:17">
      <c r="A26" s="76"/>
      <c r="B26" s="71"/>
      <c r="C26" s="81" t="s">
        <v>384</v>
      </c>
      <c r="D26" s="71"/>
      <c r="E26" s="1288" t="s">
        <v>385</v>
      </c>
      <c r="F26" s="1288"/>
      <c r="G26" s="1288"/>
      <c r="H26" s="71"/>
      <c r="I26" s="71"/>
      <c r="J26" s="71"/>
      <c r="K26" s="71"/>
      <c r="L26" s="71"/>
      <c r="M26" s="368"/>
      <c r="N26" s="71"/>
      <c r="O26" s="374"/>
      <c r="P26" s="374"/>
      <c r="Q26" s="374"/>
    </row>
    <row r="27" spans="1:17">
      <c r="A27" s="76">
        <f>A24+1</f>
        <v>10</v>
      </c>
      <c r="B27" s="71"/>
      <c r="C27" s="71" t="s">
        <v>375</v>
      </c>
      <c r="D27" s="71"/>
      <c r="E27" s="86">
        <v>806.3165452248204</v>
      </c>
      <c r="F27" s="76"/>
      <c r="G27" s="367">
        <v>15.972990198589946</v>
      </c>
      <c r="H27" s="76"/>
      <c r="I27" s="86">
        <v>814.83201322482034</v>
      </c>
      <c r="J27" s="76"/>
      <c r="K27" s="367">
        <v>16.141680135198502</v>
      </c>
      <c r="L27" s="82"/>
      <c r="M27" s="368">
        <f>I27-E27</f>
        <v>8.5154679999999416</v>
      </c>
      <c r="N27" s="82"/>
      <c r="O27" s="332">
        <f>M27/E27</f>
        <v>1.0560949109168565E-2</v>
      </c>
      <c r="P27" s="334"/>
      <c r="Q27" s="332">
        <f>O27</f>
        <v>1.0560949109168565E-2</v>
      </c>
    </row>
    <row r="28" spans="1:17">
      <c r="A28" s="76">
        <f>A27+1</f>
        <v>11</v>
      </c>
      <c r="B28" s="71"/>
      <c r="C28" s="71" t="s">
        <v>376</v>
      </c>
      <c r="D28" s="71"/>
      <c r="E28" s="86">
        <v>769.82</v>
      </c>
      <c r="F28" s="369"/>
      <c r="G28" s="367">
        <v>15.25</v>
      </c>
      <c r="H28" s="82"/>
      <c r="I28" s="86">
        <v>769.82</v>
      </c>
      <c r="J28" s="369"/>
      <c r="K28" s="367">
        <v>15.25</v>
      </c>
      <c r="L28" s="82"/>
      <c r="M28" s="368">
        <f>I28-E28</f>
        <v>0</v>
      </c>
      <c r="N28" s="82"/>
      <c r="O28" s="333">
        <f>IFERROR(M28/E28,"100.0%")</f>
        <v>0</v>
      </c>
      <c r="P28" s="334"/>
      <c r="Q28" s="333">
        <v>0</v>
      </c>
    </row>
    <row r="29" spans="1:17">
      <c r="A29" s="76">
        <f>A28+1</f>
        <v>12</v>
      </c>
      <c r="B29" s="71"/>
      <c r="C29" s="71" t="s">
        <v>377</v>
      </c>
      <c r="D29" s="71"/>
      <c r="E29" s="86">
        <v>222.74443481412433</v>
      </c>
      <c r="F29" s="369"/>
      <c r="G29" s="367">
        <v>4.4125284234176769</v>
      </c>
      <c r="H29" s="82"/>
      <c r="I29" s="86">
        <v>222.85044281412434</v>
      </c>
      <c r="J29" s="369"/>
      <c r="K29" s="367">
        <v>4.4146284234176765</v>
      </c>
      <c r="L29" s="82"/>
      <c r="M29" s="368">
        <f>I29-E29</f>
        <v>0.10600800000000277</v>
      </c>
      <c r="N29" s="82"/>
      <c r="O29" s="333">
        <f>IFERROR(M29/E29,"100.0%")</f>
        <v>4.7591761423114464E-4</v>
      </c>
      <c r="P29" s="334"/>
      <c r="Q29" s="332">
        <f>O29</f>
        <v>4.7591761423114464E-4</v>
      </c>
    </row>
    <row r="30" spans="1:17">
      <c r="A30" s="76">
        <f>A29+1</f>
        <v>13</v>
      </c>
      <c r="B30" s="71"/>
      <c r="C30" s="71" t="s">
        <v>378</v>
      </c>
      <c r="D30" s="71"/>
      <c r="E30" s="86">
        <v>491.73881762183373</v>
      </c>
      <c r="F30" s="76"/>
      <c r="G30" s="367">
        <v>9.7412602539982913</v>
      </c>
      <c r="H30" s="76"/>
      <c r="I30" s="86">
        <v>491.85492162183363</v>
      </c>
      <c r="J30" s="76"/>
      <c r="K30" s="367">
        <v>9.7435602539982895</v>
      </c>
      <c r="L30" s="82"/>
      <c r="M30" s="368">
        <f>I30-E30</f>
        <v>0.1161039999998934</v>
      </c>
      <c r="N30" s="71"/>
      <c r="O30" s="332">
        <f>M30/E30</f>
        <v>2.3610908034757161E-4</v>
      </c>
      <c r="P30" s="334"/>
      <c r="Q30" s="332">
        <f>O30</f>
        <v>2.3610908034757161E-4</v>
      </c>
    </row>
    <row r="31" spans="1:17">
      <c r="A31" s="76">
        <f>A30+1</f>
        <v>14</v>
      </c>
      <c r="B31" s="71"/>
      <c r="C31" s="71" t="s">
        <v>379</v>
      </c>
      <c r="D31" s="71"/>
      <c r="E31" s="370">
        <f>SUM(E27:E30)</f>
        <v>2290.6197976607787</v>
      </c>
      <c r="F31" s="76"/>
      <c r="G31" s="371">
        <v>45.376778876005922</v>
      </c>
      <c r="H31" s="76"/>
      <c r="I31" s="370">
        <f>SUM(I27:I30)</f>
        <v>2299.3573776607782</v>
      </c>
      <c r="J31" s="76"/>
      <c r="K31" s="371">
        <v>45.549868812614463</v>
      </c>
      <c r="L31" s="82"/>
      <c r="M31" s="372">
        <f>SUM(M27:M30)</f>
        <v>8.7375799999998378</v>
      </c>
      <c r="N31" s="71"/>
      <c r="O31" s="373">
        <f>M31/E31</f>
        <v>3.8145047069456086E-3</v>
      </c>
      <c r="P31" s="374"/>
      <c r="Q31" s="373">
        <f>(M27+M30+M29)/(E27+E30+E29)</f>
        <v>5.745384772827801E-3</v>
      </c>
    </row>
    <row r="32" spans="1:17">
      <c r="A32" s="76"/>
      <c r="B32" s="71"/>
      <c r="C32" s="71"/>
      <c r="D32" s="71"/>
      <c r="E32" s="86"/>
      <c r="F32" s="76"/>
      <c r="G32" s="82"/>
      <c r="H32" s="76"/>
      <c r="I32" s="86"/>
      <c r="J32" s="76"/>
      <c r="K32" s="82"/>
      <c r="L32" s="82"/>
      <c r="M32" s="368"/>
      <c r="N32" s="71"/>
      <c r="O32" s="374"/>
      <c r="P32" s="374"/>
      <c r="Q32" s="374"/>
    </row>
    <row r="33" spans="1:17">
      <c r="A33" s="76">
        <f>A31+1</f>
        <v>15</v>
      </c>
      <c r="B33" s="71"/>
      <c r="C33" s="71" t="s">
        <v>380</v>
      </c>
      <c r="D33" s="71"/>
      <c r="E33" s="370">
        <v>2290.7359016607784</v>
      </c>
      <c r="F33" s="76"/>
      <c r="G33" s="375">
        <v>45.379078876005913</v>
      </c>
      <c r="H33" s="76"/>
      <c r="I33" s="370">
        <v>2299.3573776607782</v>
      </c>
      <c r="J33" s="76"/>
      <c r="K33" s="375">
        <v>45.549868812614463</v>
      </c>
      <c r="L33" s="82"/>
      <c r="M33" s="372">
        <v>8.6214759999999444</v>
      </c>
      <c r="N33" s="71"/>
      <c r="O33" s="376">
        <v>3.7636272229153059E-3</v>
      </c>
      <c r="P33" s="374"/>
      <c r="Q33" s="376">
        <v>5.6686079687809443E-3</v>
      </c>
    </row>
    <row r="34" spans="1:17">
      <c r="A34" s="76">
        <f>A33+1</f>
        <v>16</v>
      </c>
      <c r="B34" s="71"/>
      <c r="C34" s="71" t="s">
        <v>381</v>
      </c>
      <c r="D34" s="71"/>
      <c r="E34" s="85"/>
      <c r="F34" s="85"/>
      <c r="G34" s="85"/>
      <c r="H34" s="85"/>
      <c r="I34" s="85"/>
      <c r="J34" s="85"/>
      <c r="K34" s="85"/>
      <c r="L34" s="85"/>
      <c r="M34" s="368"/>
      <c r="N34" s="71"/>
      <c r="O34" s="376">
        <v>4.7926883966571783E-3</v>
      </c>
      <c r="P34" s="374"/>
      <c r="Q34" s="376">
        <v>8.3780030214280054E-3</v>
      </c>
    </row>
    <row r="35" spans="1:17">
      <c r="A35" s="76">
        <f>A34+1</f>
        <v>17</v>
      </c>
      <c r="B35" s="71"/>
      <c r="C35" s="71" t="s">
        <v>382</v>
      </c>
      <c r="D35" s="71"/>
      <c r="E35" s="370">
        <v>2114.6323763861542</v>
      </c>
      <c r="F35" s="76"/>
      <c r="G35" s="375">
        <v>41.890498739820799</v>
      </c>
      <c r="H35" s="76"/>
      <c r="I35" s="370">
        <v>2123.9605723861541</v>
      </c>
      <c r="J35" s="76"/>
      <c r="K35" s="375">
        <v>42.075288676429359</v>
      </c>
      <c r="L35" s="82"/>
      <c r="M35" s="372">
        <v>9.3281959999999415</v>
      </c>
      <c r="N35" s="71"/>
      <c r="O35" s="376">
        <v>4.411261316230086E-3</v>
      </c>
      <c r="P35" s="374"/>
      <c r="Q35" s="376">
        <v>6.9364293218858739E-3</v>
      </c>
    </row>
    <row r="36" spans="1:17">
      <c r="A36" s="76">
        <f>A35+1</f>
        <v>18</v>
      </c>
      <c r="B36" s="71"/>
      <c r="C36" s="71" t="s">
        <v>383</v>
      </c>
      <c r="D36" s="71"/>
      <c r="E36" s="85"/>
      <c r="F36" s="85"/>
      <c r="G36" s="85"/>
      <c r="H36" s="85"/>
      <c r="I36" s="85"/>
      <c r="J36" s="85"/>
      <c r="K36" s="85"/>
      <c r="L36" s="85"/>
      <c r="M36" s="368"/>
      <c r="N36" s="71"/>
      <c r="O36" s="376">
        <v>5.7482903602174423E-3</v>
      </c>
      <c r="P36" s="374"/>
      <c r="Q36" s="376">
        <v>1.0936296937081584E-2</v>
      </c>
    </row>
    <row r="37" spans="1:17">
      <c r="A37" s="76"/>
      <c r="B37" s="71"/>
      <c r="C37" s="71"/>
      <c r="D37" s="71"/>
      <c r="E37" s="76"/>
      <c r="F37" s="76"/>
      <c r="G37" s="76"/>
      <c r="H37" s="76"/>
      <c r="I37" s="76"/>
      <c r="J37" s="76"/>
      <c r="K37" s="76"/>
      <c r="L37" s="76"/>
      <c r="M37" s="368"/>
      <c r="N37" s="76"/>
      <c r="O37" s="378"/>
      <c r="P37" s="378"/>
      <c r="Q37" s="378"/>
    </row>
    <row r="38" spans="1:17">
      <c r="A38" s="76"/>
      <c r="B38" s="71"/>
      <c r="C38" s="81" t="s">
        <v>386</v>
      </c>
      <c r="D38" s="71"/>
      <c r="E38" s="1288" t="s">
        <v>385</v>
      </c>
      <c r="F38" s="1288"/>
      <c r="G38" s="1288"/>
      <c r="H38" s="76"/>
      <c r="I38" s="76"/>
      <c r="J38" s="76"/>
      <c r="K38" s="76"/>
      <c r="L38" s="76"/>
      <c r="M38" s="368"/>
      <c r="N38" s="76"/>
      <c r="O38" s="378"/>
      <c r="P38" s="378"/>
      <c r="Q38" s="378"/>
    </row>
    <row r="39" spans="1:17">
      <c r="A39" s="76">
        <f>A36+1</f>
        <v>19</v>
      </c>
      <c r="B39" s="71"/>
      <c r="C39" s="71" t="s">
        <v>375</v>
      </c>
      <c r="D39" s="71"/>
      <c r="E39" s="86">
        <v>1474.3521031715195</v>
      </c>
      <c r="F39" s="76"/>
      <c r="G39" s="367">
        <v>29.206658145236126</v>
      </c>
      <c r="H39" s="76"/>
      <c r="I39" s="86">
        <v>1517.9616251715195</v>
      </c>
      <c r="J39" s="76"/>
      <c r="K39" s="367">
        <v>30.070555173762269</v>
      </c>
      <c r="L39" s="82"/>
      <c r="M39" s="368">
        <f>I39-E39</f>
        <v>43.60952199999997</v>
      </c>
      <c r="N39" s="82"/>
      <c r="O39" s="332">
        <f>M39/E39</f>
        <v>2.9578770163647017E-2</v>
      </c>
      <c r="P39" s="334"/>
      <c r="Q39" s="332">
        <f>O39</f>
        <v>2.9578770163647017E-2</v>
      </c>
    </row>
    <row r="40" spans="1:17">
      <c r="A40" s="76">
        <f>A39+1</f>
        <v>20</v>
      </c>
      <c r="B40" s="71"/>
      <c r="C40" s="71" t="s">
        <v>376</v>
      </c>
      <c r="D40" s="71"/>
      <c r="E40" s="86">
        <v>769.82</v>
      </c>
      <c r="F40" s="369"/>
      <c r="G40" s="367">
        <v>15.25</v>
      </c>
      <c r="H40" s="82"/>
      <c r="I40" s="86">
        <v>769.82</v>
      </c>
      <c r="J40" s="369"/>
      <c r="K40" s="367">
        <v>15.25</v>
      </c>
      <c r="L40" s="82"/>
      <c r="M40" s="368">
        <f>I40-E40</f>
        <v>0</v>
      </c>
      <c r="N40" s="82"/>
      <c r="O40" s="333">
        <f>IFERROR(M40/E40,"100.0%")</f>
        <v>0</v>
      </c>
      <c r="P40" s="334"/>
      <c r="Q40" s="333">
        <v>0</v>
      </c>
    </row>
    <row r="41" spans="1:17">
      <c r="A41" s="76">
        <f>A40+1</f>
        <v>21</v>
      </c>
      <c r="B41" s="71"/>
      <c r="C41" s="71" t="s">
        <v>377</v>
      </c>
      <c r="D41" s="71"/>
      <c r="E41" s="86">
        <v>222.74443469212562</v>
      </c>
      <c r="F41" s="369"/>
      <c r="G41" s="367">
        <v>4.4125284210009035</v>
      </c>
      <c r="H41" s="82"/>
      <c r="I41" s="86">
        <v>222.85044269212563</v>
      </c>
      <c r="J41" s="369"/>
      <c r="K41" s="367">
        <v>4.4146284210009039</v>
      </c>
      <c r="L41" s="82"/>
      <c r="M41" s="368">
        <f>I41-E41</f>
        <v>0.10600800000000277</v>
      </c>
      <c r="N41" s="82"/>
      <c r="O41" s="333">
        <f>IFERROR(M41/E41,"100.0%")</f>
        <v>4.759176144918081E-4</v>
      </c>
      <c r="P41" s="334"/>
      <c r="Q41" s="332">
        <f>O41</f>
        <v>4.759176144918081E-4</v>
      </c>
    </row>
    <row r="42" spans="1:17">
      <c r="A42" s="76">
        <f>A41+1</f>
        <v>22</v>
      </c>
      <c r="B42" s="71"/>
      <c r="C42" s="71" t="s">
        <v>378</v>
      </c>
      <c r="D42" s="71"/>
      <c r="E42" s="86">
        <v>492.9150985730339</v>
      </c>
      <c r="F42" s="76"/>
      <c r="G42" s="367">
        <v>9.7645621745846647</v>
      </c>
      <c r="H42" s="76"/>
      <c r="I42" s="86">
        <v>493.06149057303389</v>
      </c>
      <c r="J42" s="76"/>
      <c r="K42" s="367">
        <v>9.767462174584665</v>
      </c>
      <c r="L42" s="82"/>
      <c r="M42" s="368">
        <f>I42-E42</f>
        <v>0.14639199999999164</v>
      </c>
      <c r="N42" s="71"/>
      <c r="O42" s="332">
        <f>M42/E42</f>
        <v>2.9699232266122423E-4</v>
      </c>
      <c r="P42" s="334"/>
      <c r="Q42" s="332">
        <f>O42</f>
        <v>2.9699232266122423E-4</v>
      </c>
    </row>
    <row r="43" spans="1:17">
      <c r="A43" s="76">
        <f>A42+1</f>
        <v>23</v>
      </c>
      <c r="B43" s="71"/>
      <c r="C43" s="71" t="s">
        <v>379</v>
      </c>
      <c r="D43" s="71"/>
      <c r="E43" s="370">
        <f>SUM(E39:E42)</f>
        <v>2959.8316364366792</v>
      </c>
      <c r="F43" s="76"/>
      <c r="G43" s="371">
        <v>58.633748740821702</v>
      </c>
      <c r="H43" s="76"/>
      <c r="I43" s="370">
        <f>SUM(I39:I42)</f>
        <v>3003.6935584366788</v>
      </c>
      <c r="J43" s="76"/>
      <c r="K43" s="371">
        <v>59.502645769347836</v>
      </c>
      <c r="L43" s="82"/>
      <c r="M43" s="372">
        <f>SUM(M39:M42)</f>
        <v>43.861921999999964</v>
      </c>
      <c r="N43" s="71"/>
      <c r="O43" s="373">
        <f>M43/E43</f>
        <v>1.4819059793821593E-2</v>
      </c>
      <c r="P43" s="374"/>
      <c r="Q43" s="373">
        <f>(M39+M42+M41)/(E39+E42+E41)</f>
        <v>2.0028168467345113E-2</v>
      </c>
    </row>
    <row r="44" spans="1:17">
      <c r="A44" s="76"/>
      <c r="B44" s="71"/>
      <c r="C44" s="71"/>
      <c r="D44" s="71"/>
      <c r="E44" s="86"/>
      <c r="F44" s="76"/>
      <c r="G44" s="82"/>
      <c r="H44" s="76"/>
      <c r="I44" s="86"/>
      <c r="J44" s="76"/>
      <c r="K44" s="82"/>
      <c r="L44" s="82"/>
      <c r="M44" s="368"/>
      <c r="N44" s="71"/>
      <c r="O44" s="374"/>
      <c r="P44" s="374"/>
      <c r="Q44" s="374"/>
    </row>
    <row r="45" spans="1:17">
      <c r="A45" s="76">
        <f>A43+1</f>
        <v>24</v>
      </c>
      <c r="B45" s="71"/>
      <c r="C45" s="71" t="s">
        <v>380</v>
      </c>
      <c r="D45" s="71"/>
      <c r="E45" s="370">
        <v>2959.9780284366793</v>
      </c>
      <c r="F45" s="76"/>
      <c r="G45" s="375">
        <v>58.636648740821698</v>
      </c>
      <c r="H45" s="76"/>
      <c r="I45" s="370">
        <v>3003.6935584366788</v>
      </c>
      <c r="J45" s="76"/>
      <c r="K45" s="375">
        <v>59.502645769347836</v>
      </c>
      <c r="L45" s="82"/>
      <c r="M45" s="372">
        <v>43.715529999999973</v>
      </c>
      <c r="N45" s="71"/>
      <c r="O45" s="376">
        <v>1.4768869761877405E-2</v>
      </c>
      <c r="P45" s="374"/>
      <c r="Q45" s="376">
        <v>1.9959988928837175E-2</v>
      </c>
    </row>
    <row r="46" spans="1:17">
      <c r="A46" s="76">
        <f>A45+1</f>
        <v>25</v>
      </c>
      <c r="B46" s="71"/>
      <c r="C46" s="71" t="s">
        <v>381</v>
      </c>
      <c r="D46" s="71"/>
      <c r="E46" s="85"/>
      <c r="F46" s="85"/>
      <c r="G46" s="85"/>
      <c r="H46" s="85"/>
      <c r="I46" s="85"/>
      <c r="J46" s="85"/>
      <c r="K46" s="85"/>
      <c r="L46" s="85"/>
      <c r="M46" s="368"/>
      <c r="N46" s="71"/>
      <c r="O46" s="376">
        <v>1.7720717068870805E-2</v>
      </c>
      <c r="P46" s="374"/>
      <c r="Q46" s="376">
        <v>2.5759011950510703E-2</v>
      </c>
    </row>
    <row r="47" spans="1:17">
      <c r="A47" s="76">
        <f>A46+1</f>
        <v>26</v>
      </c>
      <c r="B47" s="71"/>
      <c r="C47" s="71" t="s">
        <v>382</v>
      </c>
      <c r="D47" s="71"/>
      <c r="E47" s="370">
        <v>2783.8745173545894</v>
      </c>
      <c r="F47" s="76"/>
      <c r="G47" s="375">
        <v>55.148068885788227</v>
      </c>
      <c r="H47" s="76"/>
      <c r="I47" s="370">
        <v>2828.2967673545895</v>
      </c>
      <c r="J47" s="76"/>
      <c r="K47" s="375">
        <v>56.028065914314375</v>
      </c>
      <c r="L47" s="82"/>
      <c r="M47" s="372">
        <v>44.422249999999977</v>
      </c>
      <c r="N47" s="71"/>
      <c r="O47" s="376">
        <v>1.5956987185691385E-2</v>
      </c>
      <c r="P47" s="374"/>
      <c r="Q47" s="376">
        <v>2.2056130863005386E-2</v>
      </c>
    </row>
    <row r="48" spans="1:17">
      <c r="A48" s="76">
        <f>A47+1</f>
        <v>27</v>
      </c>
      <c r="B48" s="71"/>
      <c r="C48" s="71" t="s">
        <v>383</v>
      </c>
      <c r="D48" s="71"/>
      <c r="E48" s="85"/>
      <c r="F48" s="85"/>
      <c r="G48" s="85"/>
      <c r="H48" s="85"/>
      <c r="I48" s="85"/>
      <c r="J48" s="85"/>
      <c r="K48" s="85"/>
      <c r="L48" s="85"/>
      <c r="M48" s="368"/>
      <c r="N48" s="71"/>
      <c r="O48" s="376">
        <v>1.9391477820610428E-2</v>
      </c>
      <c r="P48" s="374"/>
      <c r="Q48" s="376">
        <v>2.9206083931888983E-2</v>
      </c>
    </row>
    <row r="49" spans="1:17">
      <c r="A49" s="76"/>
      <c r="B49" s="71"/>
      <c r="C49" s="71"/>
      <c r="D49" s="71"/>
      <c r="E49" s="76"/>
      <c r="F49" s="76"/>
      <c r="G49" s="76"/>
      <c r="H49" s="76"/>
      <c r="I49" s="76"/>
      <c r="J49" s="76"/>
      <c r="K49" s="76"/>
      <c r="L49" s="76"/>
      <c r="M49" s="368"/>
      <c r="N49" s="76"/>
      <c r="O49" s="378"/>
      <c r="P49" s="378"/>
      <c r="Q49" s="374"/>
    </row>
    <row r="50" spans="1:17">
      <c r="A50" s="76"/>
      <c r="B50" s="71"/>
      <c r="C50" s="81" t="s">
        <v>387</v>
      </c>
      <c r="D50" s="71"/>
      <c r="E50" s="1288" t="s">
        <v>388</v>
      </c>
      <c r="F50" s="1288"/>
      <c r="G50" s="1288"/>
      <c r="H50" s="76"/>
      <c r="I50" s="76"/>
      <c r="J50" s="76"/>
      <c r="K50" s="76"/>
      <c r="L50" s="76"/>
      <c r="M50" s="368"/>
      <c r="N50" s="76"/>
      <c r="O50" s="378"/>
      <c r="P50" s="378"/>
      <c r="Q50" s="378"/>
    </row>
    <row r="51" spans="1:17">
      <c r="A51" s="76">
        <f>A48+1</f>
        <v>28</v>
      </c>
      <c r="B51" s="71"/>
      <c r="C51" s="71" t="s">
        <v>375</v>
      </c>
      <c r="D51" s="71"/>
      <c r="E51" s="86">
        <v>2923.0637583002917</v>
      </c>
      <c r="F51" s="76"/>
      <c r="G51" s="367">
        <v>12.930477564807093</v>
      </c>
      <c r="H51" s="76"/>
      <c r="I51" s="86">
        <v>3019.1854973002928</v>
      </c>
      <c r="J51" s="76"/>
      <c r="K51" s="367">
        <v>13.355682107848768</v>
      </c>
      <c r="L51" s="82"/>
      <c r="M51" s="368">
        <f>I51-E51</f>
        <v>96.121739000001071</v>
      </c>
      <c r="N51" s="82"/>
      <c r="O51" s="332">
        <f>M51/E51</f>
        <v>3.2883900916309161E-2</v>
      </c>
      <c r="P51" s="334"/>
      <c r="Q51" s="332">
        <f>O51</f>
        <v>3.2883900916309161E-2</v>
      </c>
    </row>
    <row r="52" spans="1:17">
      <c r="A52" s="76">
        <f>A51+1</f>
        <v>29</v>
      </c>
      <c r="B52" s="71"/>
      <c r="C52" s="71" t="s">
        <v>376</v>
      </c>
      <c r="D52" s="71"/>
      <c r="E52" s="86">
        <v>3447.415</v>
      </c>
      <c r="F52" s="369"/>
      <c r="G52" s="367">
        <v>15.25</v>
      </c>
      <c r="H52" s="82"/>
      <c r="I52" s="86">
        <v>3447.415</v>
      </c>
      <c r="J52" s="369"/>
      <c r="K52" s="367">
        <v>15.25</v>
      </c>
      <c r="L52" s="82"/>
      <c r="M52" s="368">
        <f>I52-E52</f>
        <v>0</v>
      </c>
      <c r="N52" s="82"/>
      <c r="O52" s="333">
        <f>IFERROR(M52/E52,"100.0%")</f>
        <v>0</v>
      </c>
      <c r="P52" s="334"/>
      <c r="Q52" s="333">
        <v>0</v>
      </c>
    </row>
    <row r="53" spans="1:17">
      <c r="A53" s="76">
        <f>A52+1</f>
        <v>30</v>
      </c>
      <c r="B53" s="71"/>
      <c r="C53" s="71" t="s">
        <v>377</v>
      </c>
      <c r="D53" s="71"/>
      <c r="E53" s="86">
        <v>997.49617485146427</v>
      </c>
      <c r="F53" s="369"/>
      <c r="G53" s="367">
        <v>4.4125284210009035</v>
      </c>
      <c r="H53" s="82"/>
      <c r="I53" s="86">
        <v>997.97090085146442</v>
      </c>
      <c r="J53" s="369"/>
      <c r="K53" s="367">
        <v>4.4146284210009048</v>
      </c>
      <c r="L53" s="82"/>
      <c r="M53" s="368">
        <f>I53-E53</f>
        <v>0.47472600000014609</v>
      </c>
      <c r="N53" s="82"/>
      <c r="O53" s="333">
        <f>IFERROR(M53/E53,"100.0%")</f>
        <v>4.7591761449194216E-4</v>
      </c>
      <c r="P53" s="334"/>
      <c r="Q53" s="332">
        <f>O53</f>
        <v>4.7591761449194216E-4</v>
      </c>
    </row>
    <row r="54" spans="1:17">
      <c r="A54" s="76">
        <f>A53+1</f>
        <v>31</v>
      </c>
      <c r="B54" s="71"/>
      <c r="C54" s="71" t="s">
        <v>378</v>
      </c>
      <c r="D54" s="71"/>
      <c r="E54" s="86">
        <v>2207.3769251866092</v>
      </c>
      <c r="F54" s="76"/>
      <c r="G54" s="367">
        <v>9.7645621745846647</v>
      </c>
      <c r="H54" s="76"/>
      <c r="I54" s="86">
        <v>2208.0324991866091</v>
      </c>
      <c r="J54" s="76"/>
      <c r="K54" s="367">
        <v>9.7674621745846633</v>
      </c>
      <c r="L54" s="82"/>
      <c r="M54" s="368">
        <f>I54-E54</f>
        <v>0.65557399999988775</v>
      </c>
      <c r="N54" s="71"/>
      <c r="O54" s="332">
        <f>M54/E54</f>
        <v>2.969923226611904E-4</v>
      </c>
      <c r="P54" s="334"/>
      <c r="Q54" s="332">
        <f>O54</f>
        <v>2.969923226611904E-4</v>
      </c>
    </row>
    <row r="55" spans="1:17">
      <c r="A55" s="76">
        <f>A54+1</f>
        <v>32</v>
      </c>
      <c r="B55" s="71"/>
      <c r="C55" s="71" t="s">
        <v>379</v>
      </c>
      <c r="D55" s="71"/>
      <c r="E55" s="370">
        <f>SUM(E51:E54)</f>
        <v>9575.3518583383648</v>
      </c>
      <c r="F55" s="76"/>
      <c r="G55" s="371">
        <v>42.35756816039266</v>
      </c>
      <c r="H55" s="76"/>
      <c r="I55" s="370">
        <f>SUM(I51:I54)</f>
        <v>9672.6038973383656</v>
      </c>
      <c r="J55" s="76"/>
      <c r="K55" s="371">
        <v>42.787772703434335</v>
      </c>
      <c r="L55" s="82"/>
      <c r="M55" s="372">
        <f>SUM(M51:M54)</f>
        <v>97.252039000001105</v>
      </c>
      <c r="N55" s="71"/>
      <c r="O55" s="373">
        <f>M55/E55</f>
        <v>1.0156497686851321E-2</v>
      </c>
      <c r="P55" s="374"/>
      <c r="Q55" s="373">
        <f>(M51+M54+M53)/(E51+E54+E53)</f>
        <v>1.5870274326940718E-2</v>
      </c>
    </row>
    <row r="56" spans="1:17">
      <c r="A56" s="76"/>
      <c r="B56" s="71"/>
      <c r="C56" s="71"/>
      <c r="D56" s="71"/>
      <c r="E56" s="86"/>
      <c r="F56" s="76"/>
      <c r="G56" s="82"/>
      <c r="H56" s="76"/>
      <c r="I56" s="86"/>
      <c r="J56" s="76"/>
      <c r="K56" s="82"/>
      <c r="L56" s="82"/>
      <c r="M56" s="368"/>
      <c r="N56" s="71"/>
      <c r="O56" s="374"/>
      <c r="P56" s="374"/>
      <c r="Q56" s="374"/>
    </row>
    <row r="57" spans="1:17">
      <c r="A57" s="76">
        <f>A55+1</f>
        <v>33</v>
      </c>
      <c r="B57" s="71"/>
      <c r="C57" s="71" t="s">
        <v>380</v>
      </c>
      <c r="D57" s="71"/>
      <c r="E57" s="370">
        <v>9576.0074323383651</v>
      </c>
      <c r="F57" s="76"/>
      <c r="G57" s="375">
        <v>42.360468160392664</v>
      </c>
      <c r="H57" s="76"/>
      <c r="I57" s="370">
        <v>9672.6038973383656</v>
      </c>
      <c r="J57" s="76"/>
      <c r="K57" s="375">
        <v>42.787772703434335</v>
      </c>
      <c r="L57" s="82"/>
      <c r="M57" s="372">
        <v>96.596465000001217</v>
      </c>
      <c r="N57" s="71"/>
      <c r="O57" s="376">
        <v>1.0087342316986207E-2</v>
      </c>
      <c r="P57" s="374"/>
      <c r="Q57" s="376">
        <v>1.5761606937719764E-2</v>
      </c>
    </row>
    <row r="58" spans="1:17">
      <c r="A58" s="76">
        <f>A57+1</f>
        <v>34</v>
      </c>
      <c r="B58" s="71"/>
      <c r="C58" s="71" t="s">
        <v>381</v>
      </c>
      <c r="D58" s="71"/>
      <c r="E58" s="85"/>
      <c r="F58" s="85"/>
      <c r="G58" s="85"/>
      <c r="H58" s="85"/>
      <c r="I58" s="85"/>
      <c r="J58" s="85"/>
      <c r="K58" s="85"/>
      <c r="L58" s="85"/>
      <c r="M58" s="368"/>
      <c r="N58" s="71"/>
      <c r="O58" s="376">
        <v>1.311031401116354E-2</v>
      </c>
      <c r="P58" s="374"/>
      <c r="Q58" s="376">
        <v>2.4638436000733926E-2</v>
      </c>
    </row>
    <row r="59" spans="1:17">
      <c r="A59" s="76">
        <f>A58+1</f>
        <v>35</v>
      </c>
      <c r="B59" s="71"/>
      <c r="C59" s="71" t="s">
        <v>382</v>
      </c>
      <c r="D59" s="71"/>
      <c r="E59" s="370">
        <v>8787.3790703094983</v>
      </c>
      <c r="F59" s="76"/>
      <c r="G59" s="375">
        <v>38.871888305359185</v>
      </c>
      <c r="H59" s="76"/>
      <c r="I59" s="370">
        <v>8887.1403753095001</v>
      </c>
      <c r="J59" s="76"/>
      <c r="K59" s="375">
        <v>39.313192848400867</v>
      </c>
      <c r="L59" s="82"/>
      <c r="M59" s="372">
        <v>99.761305000001045</v>
      </c>
      <c r="N59" s="71"/>
      <c r="O59" s="376">
        <v>1.1352794069971466E-2</v>
      </c>
      <c r="P59" s="374"/>
      <c r="Q59" s="376">
        <v>1.8682018022308341E-2</v>
      </c>
    </row>
    <row r="60" spans="1:17">
      <c r="A60" s="76">
        <f>A59+1</f>
        <v>36</v>
      </c>
      <c r="B60" s="71"/>
      <c r="C60" s="71" t="s">
        <v>383</v>
      </c>
      <c r="D60" s="71"/>
      <c r="E60" s="85"/>
      <c r="F60" s="85"/>
      <c r="G60" s="85"/>
      <c r="H60" s="85"/>
      <c r="I60" s="85"/>
      <c r="J60" s="85"/>
      <c r="K60" s="85"/>
      <c r="L60" s="85"/>
      <c r="M60" s="368"/>
      <c r="N60" s="71"/>
      <c r="O60" s="376">
        <v>1.5162798299432781E-2</v>
      </c>
      <c r="P60" s="374"/>
      <c r="Q60" s="376">
        <v>3.1852964451657445E-2</v>
      </c>
    </row>
    <row r="61" spans="1:17">
      <c r="A61" s="76"/>
      <c r="B61" s="71"/>
      <c r="C61" s="71"/>
      <c r="D61" s="71"/>
      <c r="E61" s="76"/>
      <c r="F61" s="76"/>
      <c r="G61" s="76"/>
      <c r="H61" s="76"/>
      <c r="I61" s="76"/>
      <c r="J61" s="76"/>
      <c r="K61" s="76"/>
      <c r="L61" s="76"/>
      <c r="M61" s="368"/>
      <c r="N61" s="76"/>
      <c r="O61" s="378"/>
      <c r="P61" s="378"/>
      <c r="Q61" s="374"/>
    </row>
    <row r="62" spans="1:17">
      <c r="A62" s="76"/>
      <c r="B62" s="71"/>
      <c r="C62" s="81" t="s">
        <v>389</v>
      </c>
      <c r="D62" s="71"/>
      <c r="E62" s="71" t="s">
        <v>390</v>
      </c>
      <c r="F62" s="71"/>
      <c r="G62" s="71"/>
      <c r="H62" s="71"/>
      <c r="I62" s="71"/>
      <c r="J62" s="71"/>
      <c r="K62" s="71"/>
      <c r="L62" s="71"/>
      <c r="M62" s="368"/>
      <c r="N62" s="71"/>
      <c r="O62" s="374"/>
      <c r="P62" s="374"/>
      <c r="Q62" s="374"/>
    </row>
    <row r="63" spans="1:17">
      <c r="A63" s="76">
        <f>A60+1</f>
        <v>37</v>
      </c>
      <c r="B63" s="71"/>
      <c r="C63" s="71" t="s">
        <v>375</v>
      </c>
      <c r="D63" s="71"/>
      <c r="E63" s="86">
        <v>22526.703202256944</v>
      </c>
      <c r="F63" s="76"/>
      <c r="G63" s="367">
        <v>6.642615445163699</v>
      </c>
      <c r="H63" s="76"/>
      <c r="I63" s="86">
        <v>23391.595613256948</v>
      </c>
      <c r="J63" s="76"/>
      <c r="K63" s="367">
        <v>6.8976526619339671</v>
      </c>
      <c r="L63" s="82"/>
      <c r="M63" s="368">
        <f>I63-E63</f>
        <v>864.89241100000436</v>
      </c>
      <c r="N63" s="82"/>
      <c r="O63" s="332">
        <f>M63/E63</f>
        <v>3.8394096252546667E-2</v>
      </c>
      <c r="P63" s="334"/>
      <c r="Q63" s="332">
        <f>O63</f>
        <v>3.8394096252546667E-2</v>
      </c>
    </row>
    <row r="64" spans="1:17">
      <c r="A64" s="76">
        <f>A63+1</f>
        <v>38</v>
      </c>
      <c r="B64" s="71"/>
      <c r="C64" s="71" t="s">
        <v>376</v>
      </c>
      <c r="D64" s="71"/>
      <c r="E64" s="86">
        <v>51716.41</v>
      </c>
      <c r="F64" s="369"/>
      <c r="G64" s="367">
        <v>15.25</v>
      </c>
      <c r="H64" s="82"/>
      <c r="I64" s="86">
        <v>51716.41</v>
      </c>
      <c r="J64" s="369"/>
      <c r="K64" s="367">
        <v>15.25</v>
      </c>
      <c r="L64" s="82"/>
      <c r="M64" s="368">
        <f>I64-E64</f>
        <v>0</v>
      </c>
      <c r="N64" s="82"/>
      <c r="O64" s="333">
        <f>IFERROR(M64/E64,"100.0%")</f>
        <v>0</v>
      </c>
      <c r="P64" s="334"/>
      <c r="Q64" s="333">
        <v>0</v>
      </c>
    </row>
    <row r="65" spans="1:17">
      <c r="A65" s="76">
        <f>A64+1</f>
        <v>39</v>
      </c>
      <c r="B65" s="71"/>
      <c r="C65" s="71" t="s">
        <v>377</v>
      </c>
      <c r="D65" s="71"/>
      <c r="E65" s="86">
        <v>14963.942882435103</v>
      </c>
      <c r="F65" s="369"/>
      <c r="G65" s="367">
        <v>4.4125284210009035</v>
      </c>
      <c r="H65" s="82"/>
      <c r="I65" s="86">
        <v>14971.064486435105</v>
      </c>
      <c r="J65" s="369"/>
      <c r="K65" s="367">
        <v>4.4146284210009039</v>
      </c>
      <c r="L65" s="82"/>
      <c r="M65" s="368">
        <f>I65-E65</f>
        <v>7.1216040000017529</v>
      </c>
      <c r="N65" s="82"/>
      <c r="O65" s="333">
        <f>IFERROR(M65/E65,"100.0%")</f>
        <v>4.7591761449191288E-4</v>
      </c>
      <c r="P65" s="334"/>
      <c r="Q65" s="332">
        <f>O65</f>
        <v>4.7591761449191288E-4</v>
      </c>
    </row>
    <row r="66" spans="1:17">
      <c r="A66" s="76">
        <f>A65+1</f>
        <v>40</v>
      </c>
      <c r="B66" s="71"/>
      <c r="C66" s="71" t="s">
        <v>378</v>
      </c>
      <c r="D66" s="71"/>
      <c r="E66" s="86">
        <v>33113.973828938499</v>
      </c>
      <c r="F66" s="76"/>
      <c r="G66" s="367">
        <v>9.7645621745846647</v>
      </c>
      <c r="H66" s="76"/>
      <c r="I66" s="86">
        <v>33123.808424938499</v>
      </c>
      <c r="J66" s="76"/>
      <c r="K66" s="367">
        <v>9.767462174584665</v>
      </c>
      <c r="L66" s="82"/>
      <c r="M66" s="368">
        <f>I66-E66</f>
        <v>9.8345960000006016</v>
      </c>
      <c r="N66" s="71"/>
      <c r="O66" s="332">
        <f>M66/E66</f>
        <v>2.9699232266125941E-4</v>
      </c>
      <c r="P66" s="334"/>
      <c r="Q66" s="332">
        <f>O66</f>
        <v>2.9699232266125941E-4</v>
      </c>
    </row>
    <row r="67" spans="1:17">
      <c r="A67" s="76">
        <f>A66+1</f>
        <v>41</v>
      </c>
      <c r="B67" s="71"/>
      <c r="C67" s="71" t="s">
        <v>379</v>
      </c>
      <c r="D67" s="71"/>
      <c r="E67" s="370">
        <f>SUM(E63:E66)</f>
        <v>122321.02991363055</v>
      </c>
      <c r="F67" s="76"/>
      <c r="G67" s="371">
        <v>36.069706040749274</v>
      </c>
      <c r="H67" s="76"/>
      <c r="I67" s="370">
        <f>SUM(I63:I66)</f>
        <v>123202.87852463055</v>
      </c>
      <c r="J67" s="76"/>
      <c r="K67" s="371">
        <v>36.329743257519539</v>
      </c>
      <c r="L67" s="82"/>
      <c r="M67" s="372">
        <f>SUM(M63:M66)</f>
        <v>881.84861100000671</v>
      </c>
      <c r="N67" s="71"/>
      <c r="O67" s="373">
        <f>M67/E67</f>
        <v>7.2092968120254517E-3</v>
      </c>
      <c r="P67" s="374"/>
      <c r="Q67" s="373">
        <f>(M63+M66+M65)/(E63+E66+E65)</f>
        <v>1.2489956210779937E-2</v>
      </c>
    </row>
    <row r="68" spans="1:17">
      <c r="A68" s="76"/>
      <c r="B68" s="71"/>
      <c r="C68" s="71"/>
      <c r="D68" s="71"/>
      <c r="E68" s="86"/>
      <c r="F68" s="76"/>
      <c r="G68" s="82"/>
      <c r="H68" s="76"/>
      <c r="I68" s="86"/>
      <c r="J68" s="76"/>
      <c r="K68" s="82"/>
      <c r="L68" s="82"/>
      <c r="M68" s="368"/>
      <c r="N68" s="71"/>
      <c r="O68" s="374"/>
      <c r="P68" s="374"/>
      <c r="Q68" s="374"/>
    </row>
    <row r="69" spans="1:17">
      <c r="A69" s="76">
        <f>A67+1</f>
        <v>42</v>
      </c>
      <c r="B69" s="71"/>
      <c r="C69" s="71" t="s">
        <v>380</v>
      </c>
      <c r="D69" s="71"/>
      <c r="E69" s="370">
        <v>122330.86450963056</v>
      </c>
      <c r="F69" s="76"/>
      <c r="G69" s="375">
        <v>36.072606040749271</v>
      </c>
      <c r="H69" s="76"/>
      <c r="I69" s="370">
        <v>123202.87852463055</v>
      </c>
      <c r="J69" s="76"/>
      <c r="K69" s="375">
        <v>36.329743257519539</v>
      </c>
      <c r="L69" s="82"/>
      <c r="M69" s="372">
        <v>872.01401500000611</v>
      </c>
      <c r="N69" s="71"/>
      <c r="O69" s="376">
        <v>7.1283238166877858E-3</v>
      </c>
      <c r="P69" s="374"/>
      <c r="Q69" s="376">
        <v>1.2348945000787044E-2</v>
      </c>
    </row>
    <row r="70" spans="1:17">
      <c r="A70" s="76">
        <f>A69+1</f>
        <v>43</v>
      </c>
      <c r="B70" s="71"/>
      <c r="C70" s="71" t="s">
        <v>381</v>
      </c>
      <c r="D70" s="71"/>
      <c r="E70" s="85"/>
      <c r="F70" s="85"/>
      <c r="G70" s="85"/>
      <c r="H70" s="85"/>
      <c r="I70" s="85"/>
      <c r="J70" s="85"/>
      <c r="K70" s="85"/>
      <c r="L70" s="85"/>
      <c r="M70" s="368"/>
      <c r="N70" s="71"/>
      <c r="O70" s="376">
        <v>9.7751686163942784E-3</v>
      </c>
      <c r="P70" s="374"/>
      <c r="Q70" s="376">
        <v>2.3259508866027827E-2</v>
      </c>
    </row>
    <row r="71" spans="1:17">
      <c r="A71" s="76">
        <f>A70+1</f>
        <v>44</v>
      </c>
      <c r="B71" s="71"/>
      <c r="C71" s="71" t="s">
        <v>382</v>
      </c>
      <c r="D71" s="71"/>
      <c r="E71" s="370">
        <v>110500.25296204684</v>
      </c>
      <c r="F71" s="76"/>
      <c r="G71" s="375">
        <v>32.5840261857158</v>
      </c>
      <c r="H71" s="76"/>
      <c r="I71" s="370">
        <v>111419.74433704684</v>
      </c>
      <c r="J71" s="76"/>
      <c r="K71" s="375">
        <v>32.855163402486063</v>
      </c>
      <c r="L71" s="82"/>
      <c r="M71" s="372">
        <v>919.49137500000415</v>
      </c>
      <c r="N71" s="71"/>
      <c r="O71" s="376">
        <v>8.3211698647949594E-3</v>
      </c>
      <c r="P71" s="374"/>
      <c r="Q71" s="376">
        <v>1.5641906494505028E-2</v>
      </c>
    </row>
    <row r="72" spans="1:17">
      <c r="A72" s="76">
        <f>A71+1</f>
        <v>45</v>
      </c>
      <c r="B72" s="71"/>
      <c r="C72" s="71" t="s">
        <v>383</v>
      </c>
      <c r="D72" s="71"/>
      <c r="E72" s="85"/>
      <c r="F72" s="85"/>
      <c r="G72" s="85"/>
      <c r="H72" s="85"/>
      <c r="I72" s="85"/>
      <c r="J72" s="85"/>
      <c r="K72" s="85"/>
      <c r="L72" s="85"/>
      <c r="M72" s="368"/>
      <c r="N72" s="71"/>
      <c r="O72" s="376">
        <v>1.1883350036315415E-2</v>
      </c>
      <c r="P72" s="374"/>
      <c r="Q72" s="376">
        <v>3.5833598496146958E-2</v>
      </c>
    </row>
    <row r="73" spans="1:17">
      <c r="A73" s="76"/>
      <c r="B73" s="71"/>
      <c r="C73" s="71"/>
      <c r="D73" s="71"/>
      <c r="E73" s="76"/>
      <c r="F73" s="76"/>
      <c r="G73" s="76"/>
      <c r="H73" s="76"/>
      <c r="I73" s="76"/>
      <c r="J73" s="76"/>
      <c r="K73" s="76"/>
      <c r="L73" s="76"/>
      <c r="M73" s="368"/>
      <c r="N73" s="76"/>
      <c r="O73" s="378"/>
      <c r="P73" s="378"/>
      <c r="Q73" s="378"/>
    </row>
    <row r="74" spans="1:17">
      <c r="A74" s="76"/>
      <c r="B74" s="71"/>
      <c r="C74" s="81" t="s">
        <v>391</v>
      </c>
      <c r="D74" s="71"/>
      <c r="E74" s="71" t="s">
        <v>392</v>
      </c>
      <c r="F74" s="71"/>
      <c r="G74" s="71"/>
      <c r="H74" s="76"/>
      <c r="I74" s="76"/>
      <c r="J74" s="76"/>
      <c r="K74" s="76"/>
      <c r="L74" s="76"/>
      <c r="M74" s="368"/>
      <c r="N74" s="76"/>
      <c r="O74" s="378"/>
      <c r="P74" s="378"/>
      <c r="Q74" s="378"/>
    </row>
    <row r="75" spans="1:17">
      <c r="A75" s="76">
        <f>A72+1</f>
        <v>46</v>
      </c>
      <c r="B75" s="71"/>
      <c r="C75" s="71" t="s">
        <v>375</v>
      </c>
      <c r="D75" s="71"/>
      <c r="E75" s="86">
        <v>21421.060864795836</v>
      </c>
      <c r="F75" s="76"/>
      <c r="G75" s="367">
        <v>6.3153946674988015</v>
      </c>
      <c r="H75" s="76"/>
      <c r="I75" s="86">
        <v>25283.550828795836</v>
      </c>
      <c r="J75" s="76"/>
      <c r="K75" s="367">
        <v>7.4541407210148458</v>
      </c>
      <c r="L75" s="82"/>
      <c r="M75" s="368">
        <f>I75-E75</f>
        <v>3862.4899640000003</v>
      </c>
      <c r="N75" s="82"/>
      <c r="O75" s="332">
        <f>M75/E75</f>
        <v>0.18031272999871631</v>
      </c>
      <c r="P75" s="334"/>
      <c r="Q75" s="332">
        <f>O75</f>
        <v>0.18031272999871631</v>
      </c>
    </row>
    <row r="76" spans="1:17">
      <c r="A76" s="76">
        <f>A75+1</f>
        <v>47</v>
      </c>
      <c r="B76" s="71"/>
      <c r="C76" s="71" t="s">
        <v>376</v>
      </c>
      <c r="D76" s="71"/>
      <c r="E76" s="86">
        <v>51726.17</v>
      </c>
      <c r="F76" s="369"/>
      <c r="G76" s="367">
        <v>15.25</v>
      </c>
      <c r="H76" s="82"/>
      <c r="I76" s="86">
        <v>51726.17</v>
      </c>
      <c r="J76" s="369"/>
      <c r="K76" s="367">
        <v>15.25</v>
      </c>
      <c r="L76" s="82"/>
      <c r="M76" s="368">
        <f>I76-E76</f>
        <v>0</v>
      </c>
      <c r="N76" s="82"/>
      <c r="O76" s="333">
        <f>IFERROR(M76/E76,"100.0%")</f>
        <v>0</v>
      </c>
      <c r="P76" s="334"/>
      <c r="Q76" s="333">
        <v>0</v>
      </c>
    </row>
    <row r="77" spans="1:17">
      <c r="A77" s="76">
        <f>A76+1</f>
        <v>48</v>
      </c>
      <c r="B77" s="71"/>
      <c r="C77" s="71" t="s">
        <v>377</v>
      </c>
      <c r="D77" s="71"/>
      <c r="E77" s="86">
        <v>14966.766900624545</v>
      </c>
      <c r="F77" s="369"/>
      <c r="G77" s="367">
        <v>4.4125284210009035</v>
      </c>
      <c r="H77" s="82"/>
      <c r="I77" s="86">
        <v>14973.889848624547</v>
      </c>
      <c r="J77" s="369"/>
      <c r="K77" s="367">
        <v>4.4146284210009048</v>
      </c>
      <c r="L77" s="82"/>
      <c r="M77" s="368">
        <f>I77-E77</f>
        <v>7.1229480000019976</v>
      </c>
      <c r="N77" s="82"/>
      <c r="O77" s="333">
        <f>IFERROR(M77/E77,"100.0%")</f>
        <v>4.7591761449192915E-4</v>
      </c>
      <c r="P77" s="334"/>
      <c r="Q77" s="332">
        <f>O77</f>
        <v>4.7591761449192915E-4</v>
      </c>
    </row>
    <row r="78" spans="1:17">
      <c r="A78" s="76">
        <f>A77+1</f>
        <v>49</v>
      </c>
      <c r="B78" s="71"/>
      <c r="C78" s="71" t="s">
        <v>378</v>
      </c>
      <c r="D78" s="71"/>
      <c r="E78" s="86">
        <v>33120.223148730234</v>
      </c>
      <c r="F78" s="76"/>
      <c r="G78" s="367">
        <v>9.7645621745846647</v>
      </c>
      <c r="H78" s="76"/>
      <c r="I78" s="86">
        <v>33130.059600730237</v>
      </c>
      <c r="J78" s="76"/>
      <c r="K78" s="367">
        <v>9.7674621745846668</v>
      </c>
      <c r="L78" s="82"/>
      <c r="M78" s="368">
        <f>I78-E78</f>
        <v>9.8364520000031916</v>
      </c>
      <c r="N78" s="71"/>
      <c r="O78" s="332">
        <f>M78/E78</f>
        <v>2.9699232266133758E-4</v>
      </c>
      <c r="P78" s="334"/>
      <c r="Q78" s="332">
        <f>O78</f>
        <v>2.9699232266133758E-4</v>
      </c>
    </row>
    <row r="79" spans="1:17">
      <c r="A79" s="76">
        <f>A78+1</f>
        <v>50</v>
      </c>
      <c r="B79" s="71"/>
      <c r="C79" s="71" t="s">
        <v>379</v>
      </c>
      <c r="D79" s="71"/>
      <c r="E79" s="370">
        <f>SUM(E75:E78)</f>
        <v>121234.2209141506</v>
      </c>
      <c r="F79" s="76"/>
      <c r="G79" s="371">
        <v>35.742485263084369</v>
      </c>
      <c r="H79" s="76"/>
      <c r="I79" s="370">
        <f>SUM(I75:I78)</f>
        <v>125113.67027815062</v>
      </c>
      <c r="J79" s="76"/>
      <c r="K79" s="371">
        <v>36.886231316600416</v>
      </c>
      <c r="L79" s="82"/>
      <c r="M79" s="372">
        <f>SUM(M75:M78)</f>
        <v>3879.4493640000055</v>
      </c>
      <c r="N79" s="71"/>
      <c r="O79" s="373">
        <f>M79/E79</f>
        <v>3.199962300039981E-2</v>
      </c>
      <c r="P79" s="374"/>
      <c r="Q79" s="373">
        <f>(M75+M78+M77)/(E75+E78+E77)</f>
        <v>5.5812949909809909E-2</v>
      </c>
    </row>
    <row r="80" spans="1:17">
      <c r="A80" s="76"/>
      <c r="B80" s="71"/>
      <c r="C80" s="71"/>
      <c r="D80" s="71"/>
      <c r="E80" s="86"/>
      <c r="F80" s="76"/>
      <c r="G80" s="82"/>
      <c r="H80" s="76"/>
      <c r="I80" s="86"/>
      <c r="J80" s="76"/>
      <c r="K80" s="82"/>
      <c r="L80" s="82"/>
      <c r="M80" s="368"/>
      <c r="N80" s="71"/>
      <c r="O80" s="374"/>
      <c r="P80" s="374"/>
      <c r="Q80" s="374"/>
    </row>
    <row r="81" spans="1:17">
      <c r="A81" s="76">
        <f>A79+1</f>
        <v>51</v>
      </c>
      <c r="B81" s="71"/>
      <c r="C81" s="71" t="s">
        <v>380</v>
      </c>
      <c r="D81" s="71"/>
      <c r="E81" s="370">
        <v>121244.05736615061</v>
      </c>
      <c r="F81" s="76"/>
      <c r="G81" s="375">
        <v>35.745385263084366</v>
      </c>
      <c r="H81" s="76"/>
      <c r="I81" s="370">
        <v>125113.67027815062</v>
      </c>
      <c r="J81" s="76"/>
      <c r="K81" s="375">
        <v>36.886231316600416</v>
      </c>
      <c r="L81" s="82"/>
      <c r="M81" s="372">
        <v>3869.6129120000023</v>
      </c>
      <c r="N81" s="71"/>
      <c r="O81" s="376">
        <v>3.1915897538086976E-2</v>
      </c>
      <c r="P81" s="374"/>
      <c r="Q81" s="376">
        <v>5.5663557375078963E-2</v>
      </c>
    </row>
    <row r="82" spans="1:17">
      <c r="A82" s="76">
        <f>A81+1</f>
        <v>52</v>
      </c>
      <c r="B82" s="71"/>
      <c r="C82" s="71" t="s">
        <v>381</v>
      </c>
      <c r="D82" s="71"/>
      <c r="E82" s="85"/>
      <c r="F82" s="85"/>
      <c r="G82" s="85"/>
      <c r="H82" s="85"/>
      <c r="I82" s="85"/>
      <c r="J82" s="85"/>
      <c r="K82" s="85"/>
      <c r="L82" s="85"/>
      <c r="M82" s="368"/>
      <c r="N82" s="71"/>
      <c r="O82" s="376">
        <v>4.3915983954124944E-2</v>
      </c>
      <c r="P82" s="374"/>
      <c r="Q82" s="376">
        <v>0.10634360855355382</v>
      </c>
    </row>
    <row r="83" spans="1:17">
      <c r="A83" s="76">
        <f>A82+1</f>
        <v>53</v>
      </c>
      <c r="B83" s="71"/>
      <c r="C83" s="71" t="s">
        <v>382</v>
      </c>
      <c r="D83" s="71"/>
      <c r="E83" s="370">
        <v>109411.21312745968</v>
      </c>
      <c r="F83" s="76"/>
      <c r="G83" s="375">
        <v>32.256805408050901</v>
      </c>
      <c r="H83" s="76"/>
      <c r="I83" s="370">
        <v>113328.31235945968</v>
      </c>
      <c r="J83" s="76"/>
      <c r="K83" s="375">
        <v>33.41165146156694</v>
      </c>
      <c r="L83" s="82"/>
      <c r="M83" s="372">
        <v>3917.0992320000005</v>
      </c>
      <c r="N83" s="71"/>
      <c r="O83" s="376">
        <v>3.5801625080573204E-2</v>
      </c>
      <c r="P83" s="374"/>
      <c r="Q83" s="376">
        <v>6.7904937218211989E-2</v>
      </c>
    </row>
    <row r="84" spans="1:17">
      <c r="A84" s="76">
        <f>A83+1</f>
        <v>54</v>
      </c>
      <c r="B84" s="71"/>
      <c r="C84" s="71" t="s">
        <v>383</v>
      </c>
      <c r="D84" s="71"/>
      <c r="E84" s="85"/>
      <c r="F84" s="85"/>
      <c r="G84" s="85"/>
      <c r="H84" s="85"/>
      <c r="I84" s="85"/>
      <c r="J84" s="85"/>
      <c r="K84" s="85"/>
      <c r="L84" s="85"/>
      <c r="M84" s="368"/>
      <c r="N84" s="71"/>
      <c r="O84" s="376">
        <v>5.1350812761731798E-2</v>
      </c>
      <c r="P84" s="374"/>
      <c r="Q84" s="376">
        <v>0.15952359437488617</v>
      </c>
    </row>
    <row r="85" spans="1:17">
      <c r="A85" s="76"/>
      <c r="B85" s="71"/>
      <c r="C85" s="71"/>
      <c r="D85" s="71"/>
      <c r="E85" s="76"/>
      <c r="F85" s="76"/>
      <c r="G85" s="76"/>
      <c r="H85" s="76"/>
      <c r="I85" s="76"/>
      <c r="J85" s="76"/>
      <c r="K85" s="76"/>
      <c r="L85" s="76"/>
      <c r="M85" s="368"/>
      <c r="N85" s="76"/>
      <c r="O85" s="378"/>
      <c r="P85" s="378"/>
      <c r="Q85" s="374"/>
    </row>
    <row r="86" spans="1:17">
      <c r="A86" s="76"/>
      <c r="B86" s="71"/>
      <c r="C86" s="81" t="s">
        <v>393</v>
      </c>
      <c r="D86" s="71"/>
      <c r="E86" s="71" t="s">
        <v>394</v>
      </c>
      <c r="F86" s="71"/>
      <c r="G86" s="71"/>
      <c r="H86" s="76"/>
      <c r="I86" s="76"/>
      <c r="J86" s="76"/>
      <c r="K86" s="76"/>
      <c r="L86" s="76"/>
      <c r="M86" s="368"/>
      <c r="N86" s="76"/>
      <c r="O86" s="378"/>
      <c r="P86" s="378"/>
      <c r="Q86" s="378"/>
    </row>
    <row r="87" spans="1:17">
      <c r="A87" s="76">
        <f>A84+1</f>
        <v>55</v>
      </c>
      <c r="B87" s="71"/>
      <c r="C87" s="71" t="s">
        <v>375</v>
      </c>
      <c r="D87" s="71"/>
      <c r="E87" s="86">
        <v>82773.190766673608</v>
      </c>
      <c r="F87" s="76"/>
      <c r="G87" s="367">
        <v>13.828559002864107</v>
      </c>
      <c r="H87" s="76"/>
      <c r="I87" s="86">
        <v>90802.035909673621</v>
      </c>
      <c r="J87" s="76"/>
      <c r="K87" s="367">
        <v>15.16990343765587</v>
      </c>
      <c r="L87" s="82"/>
      <c r="M87" s="368">
        <f>I87-E87</f>
        <v>8028.8451430000132</v>
      </c>
      <c r="N87" s="82"/>
      <c r="O87" s="332">
        <f>M87/E87</f>
        <v>9.6998135128464946E-2</v>
      </c>
      <c r="P87" s="334"/>
      <c r="Q87" s="332">
        <f>O87</f>
        <v>9.6998135128464946E-2</v>
      </c>
    </row>
    <row r="88" spans="1:17">
      <c r="A88" s="76">
        <f>A87+1</f>
        <v>56</v>
      </c>
      <c r="B88" s="71"/>
      <c r="C88" s="71" t="s">
        <v>376</v>
      </c>
      <c r="D88" s="71"/>
      <c r="E88" s="86">
        <v>91281.467499999999</v>
      </c>
      <c r="F88" s="369"/>
      <c r="G88" s="367">
        <v>15.25</v>
      </c>
      <c r="H88" s="82"/>
      <c r="I88" s="86">
        <v>91281.467499999999</v>
      </c>
      <c r="J88" s="369"/>
      <c r="K88" s="367">
        <v>15.25</v>
      </c>
      <c r="L88" s="82"/>
      <c r="M88" s="368">
        <f>I88-E88</f>
        <v>0</v>
      </c>
      <c r="N88" s="82"/>
      <c r="O88" s="333">
        <f>IFERROR(M88/E88,"100.0%")</f>
        <v>0</v>
      </c>
      <c r="P88" s="334"/>
      <c r="Q88" s="333">
        <v>0</v>
      </c>
    </row>
    <row r="89" spans="1:17">
      <c r="A89" s="76">
        <f>A88+1</f>
        <v>57</v>
      </c>
      <c r="B89" s="71"/>
      <c r="C89" s="71" t="s">
        <v>377</v>
      </c>
      <c r="D89" s="71"/>
      <c r="E89" s="86">
        <v>26411.938993732478</v>
      </c>
      <c r="F89" s="369"/>
      <c r="G89" s="367">
        <v>4.4125284210009035</v>
      </c>
      <c r="H89" s="82"/>
      <c r="I89" s="86">
        <v>26424.508900732482</v>
      </c>
      <c r="J89" s="369"/>
      <c r="K89" s="367">
        <v>4.4146284210009039</v>
      </c>
      <c r="L89" s="82"/>
      <c r="M89" s="368">
        <f>I89-E89</f>
        <v>12.569907000004605</v>
      </c>
      <c r="N89" s="82"/>
      <c r="O89" s="333">
        <f>IFERROR(M89/E89,"100.0%")</f>
        <v>4.7591761449197008E-4</v>
      </c>
      <c r="P89" s="334"/>
      <c r="Q89" s="332">
        <f>O89</f>
        <v>4.7591761449197008E-4</v>
      </c>
    </row>
    <row r="90" spans="1:17">
      <c r="A90" s="76">
        <f>A89+1</f>
        <v>58</v>
      </c>
      <c r="B90" s="71"/>
      <c r="C90" s="71" t="s">
        <v>378</v>
      </c>
      <c r="D90" s="71"/>
      <c r="E90" s="86">
        <v>58447.446871546192</v>
      </c>
      <c r="F90" s="76"/>
      <c r="G90" s="367">
        <v>9.7645621745846647</v>
      </c>
      <c r="H90" s="76"/>
      <c r="I90" s="86">
        <v>58464.805314546189</v>
      </c>
      <c r="J90" s="76"/>
      <c r="K90" s="367">
        <v>9.767462174584665</v>
      </c>
      <c r="L90" s="82"/>
      <c r="M90" s="368">
        <f>I90-E90</f>
        <v>17.358442999997351</v>
      </c>
      <c r="N90" s="71"/>
      <c r="O90" s="332">
        <f>M90/E90</f>
        <v>2.9699232266119588E-4</v>
      </c>
      <c r="P90" s="334"/>
      <c r="Q90" s="332">
        <f>O90</f>
        <v>2.9699232266119588E-4</v>
      </c>
    </row>
    <row r="91" spans="1:17">
      <c r="A91" s="76">
        <f>A90+1</f>
        <v>59</v>
      </c>
      <c r="B91" s="71"/>
      <c r="C91" s="71" t="s">
        <v>379</v>
      </c>
      <c r="D91" s="71"/>
      <c r="E91" s="370">
        <f>SUM(E87:E90)</f>
        <v>258914.04413195228</v>
      </c>
      <c r="F91" s="76"/>
      <c r="G91" s="371">
        <v>43.255649598449672</v>
      </c>
      <c r="H91" s="76"/>
      <c r="I91" s="370">
        <f>SUM(I87:I90)</f>
        <v>266972.81762495229</v>
      </c>
      <c r="J91" s="76"/>
      <c r="K91" s="371">
        <v>44.601994033241446</v>
      </c>
      <c r="L91" s="82"/>
      <c r="M91" s="372">
        <f>SUM(M87:M90)</f>
        <v>8058.7734930000152</v>
      </c>
      <c r="N91" s="71"/>
      <c r="O91" s="373">
        <f>M91/E91</f>
        <v>3.112528530469735E-2</v>
      </c>
      <c r="P91" s="374"/>
      <c r="Q91" s="373">
        <f>(M87+M90+M89)/(E87+E90+E89)</f>
        <v>4.807402985097313E-2</v>
      </c>
    </row>
    <row r="92" spans="1:17">
      <c r="A92" s="76"/>
      <c r="B92" s="71"/>
      <c r="C92" s="71"/>
      <c r="D92" s="71"/>
      <c r="E92" s="76"/>
      <c r="F92" s="76"/>
      <c r="G92" s="76"/>
      <c r="H92" s="76"/>
      <c r="I92" s="76"/>
      <c r="J92" s="76"/>
      <c r="K92" s="76"/>
      <c r="L92" s="76"/>
      <c r="M92" s="368"/>
      <c r="N92" s="76"/>
      <c r="O92" s="378"/>
      <c r="P92" s="378"/>
      <c r="Q92" s="378"/>
    </row>
    <row r="93" spans="1:17">
      <c r="A93" s="76">
        <f>A91+1</f>
        <v>60</v>
      </c>
      <c r="B93" s="71"/>
      <c r="C93" s="71" t="s">
        <v>380</v>
      </c>
      <c r="D93" s="71"/>
      <c r="E93" s="370">
        <v>258931.40257495228</v>
      </c>
      <c r="F93" s="76"/>
      <c r="G93" s="375">
        <v>43.258549598449683</v>
      </c>
      <c r="H93" s="76"/>
      <c r="I93" s="370">
        <v>266972.81762495229</v>
      </c>
      <c r="J93" s="76"/>
      <c r="K93" s="375">
        <v>44.601994033241446</v>
      </c>
      <c r="L93" s="82"/>
      <c r="M93" s="372">
        <v>8041.4150500000178</v>
      </c>
      <c r="N93" s="71"/>
      <c r="O93" s="376">
        <v>3.1056159932831198E-2</v>
      </c>
      <c r="P93" s="374"/>
      <c r="Q93" s="376">
        <v>4.7965512461456632E-2</v>
      </c>
    </row>
    <row r="94" spans="1:17">
      <c r="A94" s="76">
        <f>A93+1</f>
        <v>61</v>
      </c>
      <c r="B94" s="71"/>
      <c r="C94" s="71" t="s">
        <v>381</v>
      </c>
      <c r="D94" s="71"/>
      <c r="E94" s="85"/>
      <c r="F94" s="85"/>
      <c r="G94" s="85"/>
      <c r="H94" s="85"/>
      <c r="I94" s="85"/>
      <c r="J94" s="85"/>
      <c r="K94" s="85"/>
      <c r="L94" s="85"/>
      <c r="M94" s="368"/>
      <c r="N94" s="71"/>
      <c r="O94" s="376">
        <v>4.0113491024912344E-2</v>
      </c>
      <c r="P94" s="374"/>
      <c r="Q94" s="376">
        <v>7.3649361113971815E-2</v>
      </c>
    </row>
    <row r="95" spans="1:17">
      <c r="A95" s="76">
        <f>A94+1</f>
        <v>62</v>
      </c>
      <c r="B95" s="71"/>
      <c r="C95" s="71" t="s">
        <v>382</v>
      </c>
      <c r="D95" s="71"/>
      <c r="E95" s="370">
        <v>238049.91479407408</v>
      </c>
      <c r="F95" s="76"/>
      <c r="G95" s="375">
        <v>39.769969743416205</v>
      </c>
      <c r="H95" s="76"/>
      <c r="I95" s="370">
        <v>246175.1292240741</v>
      </c>
      <c r="J95" s="76"/>
      <c r="K95" s="375">
        <v>41.127414178207971</v>
      </c>
      <c r="L95" s="82"/>
      <c r="M95" s="372">
        <v>8125.2144300000136</v>
      </c>
      <c r="N95" s="71"/>
      <c r="O95" s="376">
        <v>3.4132397976402384E-2</v>
      </c>
      <c r="P95" s="374"/>
      <c r="Q95" s="376">
        <v>5.5360771199819588E-2</v>
      </c>
    </row>
    <row r="96" spans="1:17">
      <c r="A96" s="76">
        <f>A95+1</f>
        <v>63</v>
      </c>
      <c r="B96" s="71"/>
      <c r="C96" s="71" t="s">
        <v>383</v>
      </c>
      <c r="D96" s="71"/>
      <c r="E96" s="85"/>
      <c r="F96" s="85"/>
      <c r="G96" s="85"/>
      <c r="H96" s="85"/>
      <c r="I96" s="85"/>
      <c r="J96" s="85"/>
      <c r="K96" s="85"/>
      <c r="L96" s="85"/>
      <c r="M96" s="379"/>
      <c r="N96" s="71"/>
      <c r="O96" s="376">
        <v>4.5244366047655311E-2</v>
      </c>
      <c r="P96" s="374"/>
      <c r="Q96" s="376">
        <v>9.2014488279925588E-2</v>
      </c>
    </row>
    <row r="99" spans="1:17">
      <c r="A99" s="76"/>
      <c r="B99" s="71"/>
      <c r="C99" s="71"/>
      <c r="D99" s="71"/>
      <c r="E99" s="86"/>
      <c r="F99" s="76"/>
      <c r="G99" s="367"/>
      <c r="H99" s="76"/>
      <c r="I99" s="86"/>
      <c r="J99" s="76"/>
      <c r="K99" s="367"/>
      <c r="L99" s="82"/>
      <c r="M99" s="379"/>
      <c r="N99" s="71"/>
      <c r="O99" s="374"/>
      <c r="P99" s="374"/>
      <c r="Q99" s="374"/>
    </row>
    <row r="100" spans="1:17">
      <c r="A100" s="76"/>
      <c r="B100" s="71"/>
      <c r="C100" s="81"/>
      <c r="D100" s="71"/>
      <c r="E100" s="71"/>
      <c r="F100" s="71"/>
      <c r="G100" s="71"/>
      <c r="H100" s="71"/>
      <c r="I100" s="71"/>
      <c r="J100" s="71"/>
      <c r="K100" s="71"/>
      <c r="L100" s="71"/>
      <c r="M100" s="379"/>
      <c r="N100" s="71"/>
      <c r="O100" s="374"/>
      <c r="P100" s="374"/>
      <c r="Q100" s="374"/>
    </row>
    <row r="102" spans="1:17">
      <c r="A102" s="1286" t="s">
        <v>395</v>
      </c>
      <c r="B102" s="1286"/>
      <c r="C102" s="1286"/>
      <c r="D102" s="1286"/>
      <c r="E102" s="1286"/>
      <c r="F102" s="1286"/>
      <c r="G102" s="1286"/>
      <c r="H102" s="1286"/>
      <c r="I102" s="1286"/>
      <c r="J102" s="1286"/>
      <c r="K102" s="1286"/>
      <c r="L102" s="1286"/>
      <c r="M102" s="1286"/>
      <c r="N102" s="1286"/>
      <c r="O102" s="1286"/>
      <c r="P102" s="1286"/>
      <c r="Q102" s="1286"/>
    </row>
    <row r="103" spans="1:17">
      <c r="A103" s="1286" t="s">
        <v>11</v>
      </c>
      <c r="B103" s="1286"/>
      <c r="C103" s="1286"/>
      <c r="D103" s="1286"/>
      <c r="E103" s="1286"/>
      <c r="F103" s="1286"/>
      <c r="G103" s="1286"/>
      <c r="H103" s="1286"/>
      <c r="I103" s="1286"/>
      <c r="J103" s="1286"/>
      <c r="K103" s="1286"/>
      <c r="L103" s="1286"/>
      <c r="M103" s="1286"/>
      <c r="N103" s="1286"/>
      <c r="O103" s="1286"/>
      <c r="P103" s="1286"/>
      <c r="Q103" s="1286"/>
    </row>
    <row r="106" spans="1:17">
      <c r="A106" s="76"/>
      <c r="B106" s="71"/>
      <c r="C106" s="71"/>
      <c r="D106" s="71"/>
      <c r="E106" s="1287" t="s">
        <v>361</v>
      </c>
      <c r="F106" s="1287"/>
      <c r="G106" s="1287"/>
      <c r="H106" s="71"/>
      <c r="I106" s="1287" t="s">
        <v>362</v>
      </c>
      <c r="J106" s="1287"/>
      <c r="K106" s="1287"/>
      <c r="L106" s="1287"/>
      <c r="M106" s="1287"/>
      <c r="N106" s="71"/>
      <c r="O106" s="1287" t="s">
        <v>363</v>
      </c>
      <c r="P106" s="1287"/>
      <c r="Q106" s="1287"/>
    </row>
    <row r="107" spans="1:17">
      <c r="A107" s="76"/>
      <c r="B107" s="71"/>
      <c r="C107" s="71"/>
      <c r="D107" s="71"/>
      <c r="E107" s="76"/>
      <c r="F107" s="76"/>
      <c r="G107" s="76"/>
      <c r="H107" s="71"/>
      <c r="I107" s="76"/>
      <c r="J107" s="76"/>
      <c r="K107" s="76"/>
      <c r="L107" s="76"/>
      <c r="M107" s="76" t="s">
        <v>364</v>
      </c>
      <c r="N107" s="71"/>
      <c r="O107" s="76" t="s">
        <v>365</v>
      </c>
      <c r="P107" s="76"/>
      <c r="Q107" s="76" t="s">
        <v>366</v>
      </c>
    </row>
    <row r="108" spans="1:17">
      <c r="A108" s="76" t="s">
        <v>1</v>
      </c>
      <c r="B108" s="71"/>
      <c r="C108" s="71"/>
      <c r="D108" s="71"/>
      <c r="E108" s="76" t="s">
        <v>364</v>
      </c>
      <c r="F108" s="76"/>
      <c r="G108" s="76" t="s">
        <v>109</v>
      </c>
      <c r="H108" s="71"/>
      <c r="I108" s="76" t="s">
        <v>364</v>
      </c>
      <c r="J108" s="76"/>
      <c r="K108" s="76" t="s">
        <v>109</v>
      </c>
      <c r="L108" s="76"/>
      <c r="M108" s="76" t="s">
        <v>367</v>
      </c>
      <c r="N108" s="71"/>
      <c r="O108" s="76" t="s">
        <v>368</v>
      </c>
      <c r="P108" s="71"/>
      <c r="Q108" s="76" t="s">
        <v>368</v>
      </c>
    </row>
    <row r="109" spans="1:17">
      <c r="A109" s="79" t="s">
        <v>2</v>
      </c>
      <c r="B109" s="71"/>
      <c r="C109" s="366" t="s">
        <v>3</v>
      </c>
      <c r="D109" s="71"/>
      <c r="E109" s="79" t="s">
        <v>369</v>
      </c>
      <c r="F109" s="76"/>
      <c r="G109" s="79" t="s">
        <v>77</v>
      </c>
      <c r="H109" s="71"/>
      <c r="I109" s="79" t="s">
        <v>369</v>
      </c>
      <c r="J109" s="76"/>
      <c r="K109" s="79" t="s">
        <v>77</v>
      </c>
      <c r="L109" s="76"/>
      <c r="M109" s="79" t="s">
        <v>369</v>
      </c>
      <c r="N109" s="71"/>
      <c r="O109" s="79" t="s">
        <v>76</v>
      </c>
      <c r="P109" s="76"/>
      <c r="Q109" s="79" t="s">
        <v>76</v>
      </c>
    </row>
    <row r="110" spans="1:17">
      <c r="A110" s="76"/>
      <c r="B110" s="71"/>
      <c r="C110" s="71"/>
      <c r="D110" s="71"/>
      <c r="E110" s="76" t="s">
        <v>8</v>
      </c>
      <c r="F110" s="76"/>
      <c r="G110" s="76" t="s">
        <v>9</v>
      </c>
      <c r="H110" s="76"/>
      <c r="I110" s="76" t="s">
        <v>370</v>
      </c>
      <c r="J110" s="76"/>
      <c r="K110" s="76" t="s">
        <v>79</v>
      </c>
      <c r="L110" s="76"/>
      <c r="M110" s="76" t="s">
        <v>371</v>
      </c>
      <c r="N110" s="76"/>
      <c r="O110" s="76" t="s">
        <v>372</v>
      </c>
      <c r="P110" s="76"/>
      <c r="Q110" s="76" t="s">
        <v>82</v>
      </c>
    </row>
    <row r="112" spans="1:17">
      <c r="C112" s="81" t="s">
        <v>396</v>
      </c>
      <c r="E112" s="70" t="s">
        <v>397</v>
      </c>
    </row>
    <row r="113" spans="1:17">
      <c r="A113" s="76">
        <f>A96+1</f>
        <v>64</v>
      </c>
      <c r="B113" s="71"/>
      <c r="C113" s="71" t="s">
        <v>375</v>
      </c>
      <c r="D113" s="71"/>
      <c r="E113" s="86">
        <v>168937.9272040108</v>
      </c>
      <c r="F113" s="76"/>
      <c r="G113" s="367">
        <v>11.262528480267386</v>
      </c>
      <c r="H113" s="76"/>
      <c r="I113" s="86">
        <v>188020.14720401083</v>
      </c>
      <c r="J113" s="76"/>
      <c r="K113" s="367">
        <v>12.53467648026739</v>
      </c>
      <c r="L113" s="82"/>
      <c r="M113" s="368">
        <f>I113-E113</f>
        <v>19082.22000000003</v>
      </c>
      <c r="N113" s="82"/>
      <c r="O113" s="332">
        <f>M113/E113</f>
        <v>0.11295403179036397</v>
      </c>
      <c r="P113" s="334"/>
      <c r="Q113" s="332">
        <f>O113</f>
        <v>0.11295403179036397</v>
      </c>
    </row>
    <row r="114" spans="1:17">
      <c r="A114" s="76">
        <f>A113+1</f>
        <v>65</v>
      </c>
      <c r="B114" s="71"/>
      <c r="C114" s="71" t="s">
        <v>376</v>
      </c>
      <c r="D114" s="71"/>
      <c r="E114" s="86">
        <v>228750</v>
      </c>
      <c r="F114" s="369"/>
      <c r="G114" s="367">
        <v>15.25</v>
      </c>
      <c r="H114" s="82"/>
      <c r="I114" s="86">
        <v>228750</v>
      </c>
      <c r="J114" s="369"/>
      <c r="K114" s="367">
        <v>15.25</v>
      </c>
      <c r="L114" s="82"/>
      <c r="M114" s="368">
        <f>I114-E114</f>
        <v>0</v>
      </c>
      <c r="N114" s="82"/>
      <c r="O114" s="333">
        <f>IFERROR(M114/E114,"100.0%")</f>
        <v>0</v>
      </c>
      <c r="P114" s="334"/>
      <c r="Q114" s="333">
        <v>0</v>
      </c>
    </row>
    <row r="115" spans="1:17">
      <c r="A115" s="76">
        <f>A114+1</f>
        <v>66</v>
      </c>
      <c r="B115" s="71"/>
      <c r="C115" s="71" t="s">
        <v>377</v>
      </c>
      <c r="D115" s="71"/>
      <c r="E115" s="86">
        <v>66187.926315013552</v>
      </c>
      <c r="F115" s="369"/>
      <c r="G115" s="367">
        <v>4.4125284210009035</v>
      </c>
      <c r="H115" s="82"/>
      <c r="I115" s="86">
        <v>66219.426315013567</v>
      </c>
      <c r="J115" s="369"/>
      <c r="K115" s="367">
        <v>4.4146284210009048</v>
      </c>
      <c r="L115" s="82"/>
      <c r="M115" s="368">
        <f>I115-E115</f>
        <v>31.500000000014552</v>
      </c>
      <c r="N115" s="82"/>
      <c r="O115" s="333">
        <f>IFERROR(M115/E115,"100.0%")</f>
        <v>4.7591761449201556E-4</v>
      </c>
      <c r="P115" s="334"/>
      <c r="Q115" s="332">
        <f>O115</f>
        <v>4.7591761449201556E-4</v>
      </c>
    </row>
    <row r="116" spans="1:17">
      <c r="A116" s="76">
        <f>A115+1</f>
        <v>67</v>
      </c>
      <c r="B116" s="71"/>
      <c r="C116" s="71" t="s">
        <v>378</v>
      </c>
      <c r="D116" s="71"/>
      <c r="E116" s="86">
        <v>146468.43261876996</v>
      </c>
      <c r="F116" s="76"/>
      <c r="G116" s="367">
        <v>9.7645621745846629</v>
      </c>
      <c r="H116" s="76"/>
      <c r="I116" s="86">
        <v>146511.93261876999</v>
      </c>
      <c r="J116" s="76"/>
      <c r="K116" s="367">
        <v>9.7674621745846668</v>
      </c>
      <c r="L116" s="82"/>
      <c r="M116" s="368">
        <f>I116-E116</f>
        <v>43.500000000029104</v>
      </c>
      <c r="N116" s="71"/>
      <c r="O116" s="332">
        <f>M116/E116</f>
        <v>2.9699232266143993E-4</v>
      </c>
      <c r="P116" s="334"/>
      <c r="Q116" s="332">
        <f>O116</f>
        <v>2.9699232266143993E-4</v>
      </c>
    </row>
    <row r="117" spans="1:17">
      <c r="A117" s="76">
        <f>A116+1</f>
        <v>68</v>
      </c>
      <c r="B117" s="71"/>
      <c r="C117" s="71" t="s">
        <v>379</v>
      </c>
      <c r="D117" s="71"/>
      <c r="E117" s="370">
        <f>SUM(E113:E116)</f>
        <v>610344.28613779426</v>
      </c>
      <c r="F117" s="76"/>
      <c r="G117" s="371">
        <v>40.689619075852953</v>
      </c>
      <c r="H117" s="76"/>
      <c r="I117" s="370">
        <f>SUM(I113:I116)</f>
        <v>629501.50613779435</v>
      </c>
      <c r="J117" s="76"/>
      <c r="K117" s="371">
        <v>41.966767075852957</v>
      </c>
      <c r="L117" s="82"/>
      <c r="M117" s="372">
        <f>SUM(M113:M116)</f>
        <v>19157.220000000074</v>
      </c>
      <c r="N117" s="71"/>
      <c r="O117" s="373">
        <f>M117/E117</f>
        <v>3.1387563437720215E-2</v>
      </c>
      <c r="P117" s="374"/>
      <c r="Q117" s="373">
        <f>(M113+M116+M115)/(E113+E116+E115)</f>
        <v>5.0203110203496E-2</v>
      </c>
    </row>
    <row r="118" spans="1:17">
      <c r="A118" s="76"/>
      <c r="B118" s="71"/>
      <c r="C118" s="71"/>
      <c r="D118" s="71"/>
      <c r="E118" s="86"/>
      <c r="F118" s="76"/>
      <c r="G118" s="82"/>
      <c r="H118" s="76"/>
      <c r="I118" s="86"/>
      <c r="J118" s="76"/>
      <c r="K118" s="82"/>
      <c r="L118" s="82"/>
      <c r="M118" s="368"/>
      <c r="N118" s="71"/>
      <c r="O118" s="374"/>
      <c r="P118" s="374"/>
      <c r="Q118" s="374"/>
    </row>
    <row r="119" spans="1:17">
      <c r="A119" s="76">
        <f>A117+1</f>
        <v>69</v>
      </c>
      <c r="B119" s="71"/>
      <c r="C119" s="71" t="s">
        <v>380</v>
      </c>
      <c r="D119" s="71"/>
      <c r="E119" s="370">
        <v>610387.78613779438</v>
      </c>
      <c r="F119" s="76"/>
      <c r="G119" s="375">
        <v>40.692519075852957</v>
      </c>
      <c r="H119" s="76"/>
      <c r="I119" s="370">
        <v>629501.50613779435</v>
      </c>
      <c r="J119" s="76"/>
      <c r="K119" s="375">
        <v>41.966767075852957</v>
      </c>
      <c r="L119" s="82"/>
      <c r="M119" s="372">
        <v>19113.720000000045</v>
      </c>
      <c r="N119" s="71"/>
      <c r="O119" s="376">
        <v>3.1314060395836861E-2</v>
      </c>
      <c r="P119" s="374"/>
      <c r="Q119" s="376">
        <v>5.0083405507175938E-2</v>
      </c>
    </row>
    <row r="120" spans="1:17">
      <c r="A120" s="76">
        <f>A119+1</f>
        <v>70</v>
      </c>
      <c r="B120" s="71"/>
      <c r="C120" s="71" t="s">
        <v>381</v>
      </c>
      <c r="D120" s="71"/>
      <c r="E120" s="85"/>
      <c r="F120" s="85"/>
      <c r="G120" s="85"/>
      <c r="H120" s="85"/>
      <c r="I120" s="85"/>
      <c r="J120" s="85"/>
      <c r="K120" s="85"/>
      <c r="L120" s="85"/>
      <c r="M120" s="368"/>
      <c r="N120" s="71"/>
      <c r="O120" s="376">
        <v>4.1204386593957858E-2</v>
      </c>
      <c r="P120" s="374"/>
      <c r="Q120" s="376">
        <v>8.1291443343781536E-2</v>
      </c>
    </row>
    <row r="121" spans="1:17">
      <c r="A121" s="76">
        <f>A120+1</f>
        <v>71</v>
      </c>
      <c r="B121" s="71"/>
      <c r="C121" s="71" t="s">
        <v>382</v>
      </c>
      <c r="D121" s="71"/>
      <c r="E121" s="370">
        <v>558059.08831229224</v>
      </c>
      <c r="F121" s="76"/>
      <c r="G121" s="375">
        <v>37.203939220819478</v>
      </c>
      <c r="H121" s="76"/>
      <c r="I121" s="370">
        <v>577382.80831229233</v>
      </c>
      <c r="J121" s="76"/>
      <c r="K121" s="375">
        <v>38.492187220819488</v>
      </c>
      <c r="L121" s="82"/>
      <c r="M121" s="372">
        <v>19323.72000000003</v>
      </c>
      <c r="N121" s="71"/>
      <c r="O121" s="376">
        <v>3.4626655859041212E-2</v>
      </c>
      <c r="P121" s="374"/>
      <c r="Q121" s="376">
        <v>5.8679583059896762E-2</v>
      </c>
    </row>
    <row r="122" spans="1:17">
      <c r="A122" s="76">
        <f>A121+1</f>
        <v>72</v>
      </c>
      <c r="B122" s="71"/>
      <c r="C122" s="71" t="s">
        <v>383</v>
      </c>
      <c r="D122" s="71"/>
      <c r="E122" s="85"/>
      <c r="F122" s="85"/>
      <c r="G122" s="85"/>
      <c r="H122" s="85"/>
      <c r="I122" s="85"/>
      <c r="J122" s="85"/>
      <c r="K122" s="85"/>
      <c r="L122" s="85"/>
      <c r="M122" s="368"/>
      <c r="N122" s="71"/>
      <c r="O122" s="376">
        <v>4.6953841698739229E-2</v>
      </c>
      <c r="P122" s="374"/>
      <c r="Q122" s="376">
        <v>0.10571127284058063</v>
      </c>
    </row>
    <row r="123" spans="1:17">
      <c r="A123" s="76"/>
      <c r="B123" s="71"/>
      <c r="C123" s="71"/>
      <c r="D123" s="71"/>
      <c r="E123" s="76"/>
      <c r="F123" s="76"/>
      <c r="G123" s="76"/>
      <c r="H123" s="76"/>
      <c r="I123" s="76"/>
      <c r="J123" s="76"/>
      <c r="K123" s="76"/>
      <c r="L123" s="76"/>
      <c r="M123" s="368"/>
      <c r="N123" s="76"/>
      <c r="O123" s="378"/>
      <c r="P123" s="378"/>
      <c r="Q123" s="378"/>
    </row>
    <row r="124" spans="1:17">
      <c r="A124" s="76"/>
      <c r="B124" s="71"/>
      <c r="C124" s="81" t="s">
        <v>398</v>
      </c>
      <c r="D124" s="71"/>
      <c r="E124" s="71" t="s">
        <v>399</v>
      </c>
      <c r="F124" s="71"/>
      <c r="G124" s="71"/>
      <c r="H124" s="76"/>
      <c r="I124" s="76"/>
      <c r="J124" s="76"/>
      <c r="K124" s="76"/>
      <c r="L124" s="76"/>
      <c r="M124" s="368"/>
      <c r="N124" s="76"/>
      <c r="O124" s="378"/>
      <c r="P124" s="378"/>
      <c r="Q124" s="378"/>
    </row>
    <row r="125" spans="1:17">
      <c r="A125" s="76">
        <f>A122+1</f>
        <v>73</v>
      </c>
      <c r="B125" s="71"/>
      <c r="C125" s="71" t="s">
        <v>375</v>
      </c>
      <c r="D125" s="71"/>
      <c r="E125" s="86">
        <v>25122.525901374607</v>
      </c>
      <c r="F125" s="76"/>
      <c r="G125" s="367">
        <v>4.1971047402090669</v>
      </c>
      <c r="H125" s="76"/>
      <c r="I125" s="86">
        <v>25608.631173374604</v>
      </c>
      <c r="J125" s="76"/>
      <c r="K125" s="367">
        <v>4.2783161100116613</v>
      </c>
      <c r="L125" s="82"/>
      <c r="M125" s="368">
        <f>I125-E125</f>
        <v>486.10527199999706</v>
      </c>
      <c r="N125" s="82"/>
      <c r="O125" s="332">
        <f>M125/E125</f>
        <v>1.934937887648468E-2</v>
      </c>
      <c r="P125" s="334"/>
      <c r="Q125" s="332">
        <f>O125</f>
        <v>1.934937887648468E-2</v>
      </c>
    </row>
    <row r="126" spans="1:17">
      <c r="A126" s="76">
        <f>A125+1</f>
        <v>74</v>
      </c>
      <c r="B126" s="71"/>
      <c r="C126" s="71" t="s">
        <v>376</v>
      </c>
      <c r="D126" s="71"/>
      <c r="E126" s="86">
        <v>91281.62</v>
      </c>
      <c r="F126" s="369"/>
      <c r="G126" s="367">
        <v>15.25</v>
      </c>
      <c r="H126" s="82"/>
      <c r="I126" s="86">
        <v>91281.62</v>
      </c>
      <c r="J126" s="369"/>
      <c r="K126" s="367">
        <v>15.25</v>
      </c>
      <c r="L126" s="82"/>
      <c r="M126" s="368">
        <f>I126-E126</f>
        <v>0</v>
      </c>
      <c r="N126" s="82"/>
      <c r="O126" s="333">
        <f>IFERROR(M126/E126,"100.0%")</f>
        <v>0</v>
      </c>
      <c r="P126" s="334"/>
      <c r="Q126" s="333">
        <v>0</v>
      </c>
    </row>
    <row r="127" spans="1:17">
      <c r="A127" s="76">
        <f>A126+1</f>
        <v>75</v>
      </c>
      <c r="B127" s="71"/>
      <c r="C127" s="71" t="s">
        <v>377</v>
      </c>
      <c r="D127" s="71"/>
      <c r="E127" s="86">
        <v>26411.983131946341</v>
      </c>
      <c r="F127" s="369"/>
      <c r="G127" s="367">
        <v>4.4125284231610014</v>
      </c>
      <c r="H127" s="82"/>
      <c r="I127" s="86">
        <v>26424.553059946335</v>
      </c>
      <c r="J127" s="369"/>
      <c r="K127" s="367">
        <v>4.414628423161</v>
      </c>
      <c r="L127" s="82"/>
      <c r="M127" s="368">
        <f>I127-E127</f>
        <v>12.569927999993524</v>
      </c>
      <c r="N127" s="82"/>
      <c r="O127" s="333">
        <f>IFERROR(M127/E127,"100.0%")</f>
        <v>4.7591761425857105E-4</v>
      </c>
      <c r="P127" s="334"/>
      <c r="Q127" s="332">
        <f>O127</f>
        <v>4.7591761425857105E-4</v>
      </c>
    </row>
    <row r="128" spans="1:17">
      <c r="A128" s="76">
        <f>A127+1</f>
        <v>76</v>
      </c>
      <c r="B128" s="71"/>
      <c r="C128" s="71" t="s">
        <v>378</v>
      </c>
      <c r="D128" s="71"/>
      <c r="E128" s="86">
        <v>58080.218352096461</v>
      </c>
      <c r="F128" s="76"/>
      <c r="G128" s="367">
        <v>9.7031946833269505</v>
      </c>
      <c r="H128" s="76"/>
      <c r="I128" s="86">
        <v>58087.999736096441</v>
      </c>
      <c r="J128" s="76"/>
      <c r="K128" s="367">
        <v>9.7044946833269474</v>
      </c>
      <c r="L128" s="82"/>
      <c r="M128" s="368">
        <f>I128-E128</f>
        <v>7.7813839999798802</v>
      </c>
      <c r="N128" s="71"/>
      <c r="O128" s="332">
        <f>M128/E128</f>
        <v>1.3397649355942898E-4</v>
      </c>
      <c r="P128" s="334"/>
      <c r="Q128" s="332">
        <f>O128</f>
        <v>1.3397649355942898E-4</v>
      </c>
    </row>
    <row r="129" spans="1:17">
      <c r="A129" s="76">
        <f>A128+1</f>
        <v>77</v>
      </c>
      <c r="B129" s="71"/>
      <c r="C129" s="71" t="s">
        <v>379</v>
      </c>
      <c r="D129" s="71"/>
      <c r="E129" s="370">
        <f>SUM(E125:E128)</f>
        <v>200896.34738541738</v>
      </c>
      <c r="F129" s="76"/>
      <c r="G129" s="371">
        <v>33.562827846697012</v>
      </c>
      <c r="H129" s="76"/>
      <c r="I129" s="370">
        <f>SUM(I125:I128)</f>
        <v>201402.80396941738</v>
      </c>
      <c r="J129" s="76"/>
      <c r="K129" s="371">
        <v>33.647439216499606</v>
      </c>
      <c r="L129" s="82"/>
      <c r="M129" s="372">
        <f>SUM(M125:M128)</f>
        <v>506.45658399997046</v>
      </c>
      <c r="N129" s="71"/>
      <c r="O129" s="373">
        <f>M129/E129</f>
        <v>2.5209845305367309E-3</v>
      </c>
      <c r="P129" s="374"/>
      <c r="Q129" s="373">
        <f>(M125+M128+M127)/(E125+E128+E127)</f>
        <v>4.6203333811086671E-3</v>
      </c>
    </row>
    <row r="130" spans="1:17">
      <c r="A130" s="76"/>
      <c r="B130" s="71"/>
      <c r="C130" s="71"/>
      <c r="D130" s="71"/>
      <c r="E130" s="86"/>
      <c r="F130" s="76"/>
      <c r="G130" s="82"/>
      <c r="H130" s="76"/>
      <c r="I130" s="86"/>
      <c r="J130" s="76"/>
      <c r="K130" s="82"/>
      <c r="L130" s="82"/>
      <c r="M130" s="368"/>
      <c r="N130" s="71"/>
      <c r="O130" s="374"/>
      <c r="P130" s="374"/>
      <c r="Q130" s="374"/>
    </row>
    <row r="131" spans="1:17">
      <c r="A131" s="76">
        <f>A129+1</f>
        <v>78</v>
      </c>
      <c r="B131" s="71"/>
      <c r="C131" s="71" t="s">
        <v>380</v>
      </c>
      <c r="D131" s="71"/>
      <c r="E131" s="370">
        <v>200904.12876941738</v>
      </c>
      <c r="F131" s="76"/>
      <c r="G131" s="375">
        <v>33.564127846697012</v>
      </c>
      <c r="H131" s="76"/>
      <c r="I131" s="370">
        <v>201402.80396941738</v>
      </c>
      <c r="J131" s="76"/>
      <c r="K131" s="375">
        <v>33.647439216499606</v>
      </c>
      <c r="L131" s="82"/>
      <c r="M131" s="372">
        <v>498.67519999999058</v>
      </c>
      <c r="N131" s="71"/>
      <c r="O131" s="376">
        <v>2.4821550609959459E-3</v>
      </c>
      <c r="P131" s="374"/>
      <c r="Q131" s="376">
        <v>4.5490219627149385E-3</v>
      </c>
    </row>
    <row r="132" spans="1:17">
      <c r="A132" s="76">
        <f>A131+1</f>
        <v>79</v>
      </c>
      <c r="B132" s="71"/>
      <c r="C132" s="71" t="s">
        <v>381</v>
      </c>
      <c r="D132" s="71"/>
      <c r="E132" s="85"/>
      <c r="F132" s="85"/>
      <c r="G132" s="85"/>
      <c r="H132" s="85"/>
      <c r="I132" s="85"/>
      <c r="J132" s="85"/>
      <c r="K132" s="85"/>
      <c r="L132" s="85"/>
      <c r="M132" s="368"/>
      <c r="N132" s="71"/>
      <c r="O132" s="376">
        <v>3.4917288640671875E-3</v>
      </c>
      <c r="P132" s="374"/>
      <c r="Q132" s="376">
        <v>9.6765295595919888E-3</v>
      </c>
    </row>
    <row r="133" spans="1:17">
      <c r="A133" s="76">
        <f>A132+1</f>
        <v>80</v>
      </c>
      <c r="B133" s="71"/>
      <c r="C133" s="71" t="s">
        <v>382</v>
      </c>
      <c r="D133" s="71"/>
      <c r="E133" s="370">
        <v>180022.60603480253</v>
      </c>
      <c r="F133" s="76"/>
      <c r="G133" s="375">
        <v>30.075547980313438</v>
      </c>
      <c r="H133" s="76"/>
      <c r="I133" s="370">
        <v>180605.0807548025</v>
      </c>
      <c r="J133" s="76"/>
      <c r="K133" s="375">
        <v>30.172859350116028</v>
      </c>
      <c r="L133" s="82"/>
      <c r="M133" s="372">
        <v>582.47471999999834</v>
      </c>
      <c r="N133" s="71"/>
      <c r="O133" s="376">
        <v>3.2355643151138059E-3</v>
      </c>
      <c r="P133" s="374"/>
      <c r="Q133" s="376">
        <v>6.5637620904005151E-3</v>
      </c>
    </row>
    <row r="134" spans="1:17">
      <c r="A134" s="76">
        <f>A133+1</f>
        <v>81</v>
      </c>
      <c r="B134" s="71"/>
      <c r="C134" s="71" t="s">
        <v>383</v>
      </c>
      <c r="D134" s="71"/>
      <c r="E134" s="85"/>
      <c r="F134" s="85"/>
      <c r="G134" s="85"/>
      <c r="H134" s="85"/>
      <c r="I134" s="85"/>
      <c r="J134" s="85"/>
      <c r="K134" s="85"/>
      <c r="L134" s="85"/>
      <c r="M134" s="368"/>
      <c r="N134" s="71"/>
      <c r="O134" s="376">
        <v>4.7769434591283808E-3</v>
      </c>
      <c r="P134" s="374"/>
      <c r="Q134" s="376">
        <v>1.9002217739045729E-2</v>
      </c>
    </row>
    <row r="135" spans="1:17">
      <c r="A135" s="76"/>
      <c r="B135" s="71"/>
      <c r="C135" s="71"/>
      <c r="D135" s="71"/>
      <c r="E135" s="76"/>
      <c r="F135" s="76"/>
      <c r="G135" s="76"/>
      <c r="H135" s="76"/>
      <c r="I135" s="76"/>
      <c r="J135" s="76"/>
      <c r="K135" s="76"/>
      <c r="L135" s="76"/>
      <c r="M135" s="368"/>
      <c r="N135" s="76"/>
      <c r="O135" s="378"/>
      <c r="P135" s="378"/>
      <c r="Q135" s="374"/>
    </row>
    <row r="136" spans="1:17">
      <c r="A136" s="76"/>
      <c r="B136" s="71"/>
      <c r="C136" s="81" t="s">
        <v>400</v>
      </c>
      <c r="D136" s="71"/>
      <c r="E136" s="71" t="s">
        <v>401</v>
      </c>
      <c r="F136" s="71"/>
      <c r="G136" s="71"/>
      <c r="H136" s="71"/>
      <c r="I136" s="71"/>
      <c r="J136" s="71"/>
      <c r="K136" s="71"/>
      <c r="L136" s="71"/>
      <c r="M136" s="368"/>
      <c r="N136" s="71"/>
      <c r="O136" s="374"/>
      <c r="P136" s="374"/>
      <c r="Q136" s="374"/>
    </row>
    <row r="137" spans="1:17">
      <c r="A137" s="76">
        <f>A134+1</f>
        <v>82</v>
      </c>
      <c r="B137" s="71"/>
      <c r="C137" s="71" t="s">
        <v>375</v>
      </c>
      <c r="D137" s="71"/>
      <c r="E137" s="86">
        <v>241676.35560994607</v>
      </c>
      <c r="F137" s="76"/>
      <c r="G137" s="367">
        <v>2.422548602161422</v>
      </c>
      <c r="H137" s="76"/>
      <c r="I137" s="86">
        <v>245005.72290194611</v>
      </c>
      <c r="J137" s="76"/>
      <c r="K137" s="367">
        <v>2.4559219706854578</v>
      </c>
      <c r="L137" s="82"/>
      <c r="M137" s="368">
        <f>I137-E137</f>
        <v>3329.367292000039</v>
      </c>
      <c r="N137" s="82"/>
      <c r="O137" s="332">
        <f>M137/E137</f>
        <v>1.3776139927289687E-2</v>
      </c>
      <c r="P137" s="334"/>
      <c r="Q137" s="332">
        <f>O137</f>
        <v>1.3776139927289687E-2</v>
      </c>
    </row>
    <row r="138" spans="1:17">
      <c r="A138" s="76">
        <f>A137+1</f>
        <v>83</v>
      </c>
      <c r="B138" s="71"/>
      <c r="C138" s="71" t="s">
        <v>376</v>
      </c>
      <c r="D138" s="71"/>
      <c r="E138" s="86">
        <v>1521358.3</v>
      </c>
      <c r="F138" s="369"/>
      <c r="G138" s="367">
        <v>15.25</v>
      </c>
      <c r="H138" s="82"/>
      <c r="I138" s="86">
        <v>1521358.3</v>
      </c>
      <c r="J138" s="369"/>
      <c r="K138" s="367">
        <v>15.25</v>
      </c>
      <c r="L138" s="82"/>
      <c r="M138" s="368">
        <f>I138-E138</f>
        <v>0</v>
      </c>
      <c r="N138" s="82"/>
      <c r="O138" s="333">
        <f>IFERROR(M138/E138,"100.0%")</f>
        <v>0</v>
      </c>
      <c r="P138" s="334"/>
      <c r="Q138" s="333">
        <v>0</v>
      </c>
    </row>
    <row r="139" spans="1:17">
      <c r="A139" s="76">
        <f>A138+1</f>
        <v>84</v>
      </c>
      <c r="B139" s="71"/>
      <c r="C139" s="71" t="s">
        <v>377</v>
      </c>
      <c r="D139" s="71"/>
      <c r="E139" s="86">
        <v>440199.13052864914</v>
      </c>
      <c r="F139" s="369"/>
      <c r="G139" s="367">
        <v>4.4125284231609996</v>
      </c>
      <c r="H139" s="82"/>
      <c r="I139" s="86">
        <v>440408.62904864916</v>
      </c>
      <c r="J139" s="369"/>
      <c r="K139" s="367">
        <v>4.414628423161</v>
      </c>
      <c r="L139" s="82"/>
      <c r="M139" s="368">
        <f>I139-E139</f>
        <v>209.49852000002284</v>
      </c>
      <c r="N139" s="82"/>
      <c r="O139" s="333">
        <f>IFERROR(M139/E139,"100.0%")</f>
        <v>4.7591761425886823E-4</v>
      </c>
      <c r="P139" s="334"/>
      <c r="Q139" s="332">
        <f>O139</f>
        <v>4.7591761425886823E-4</v>
      </c>
    </row>
    <row r="140" spans="1:17">
      <c r="A140" s="76">
        <f>A139+1</f>
        <v>85</v>
      </c>
      <c r="B140" s="71"/>
      <c r="C140" s="71" t="s">
        <v>378</v>
      </c>
      <c r="D140" s="71"/>
      <c r="E140" s="86">
        <v>968002.34544231649</v>
      </c>
      <c r="F140" s="76"/>
      <c r="G140" s="367">
        <v>9.7031946833269505</v>
      </c>
      <c r="H140" s="76"/>
      <c r="I140" s="86">
        <v>968132.03500231623</v>
      </c>
      <c r="J140" s="76"/>
      <c r="K140" s="367">
        <v>9.7044946833269474</v>
      </c>
      <c r="L140" s="82"/>
      <c r="M140" s="368">
        <f>I140-E140</f>
        <v>129.68955999973696</v>
      </c>
      <c r="N140" s="71"/>
      <c r="O140" s="332">
        <f>M140/E140</f>
        <v>1.3397649355950366E-4</v>
      </c>
      <c r="P140" s="334"/>
      <c r="Q140" s="332">
        <f>O140</f>
        <v>1.3397649355950366E-4</v>
      </c>
    </row>
    <row r="141" spans="1:17">
      <c r="A141" s="76">
        <f>A140+1</f>
        <v>86</v>
      </c>
      <c r="B141" s="71"/>
      <c r="C141" s="71" t="s">
        <v>379</v>
      </c>
      <c r="D141" s="71"/>
      <c r="E141" s="370">
        <f>SUM(E137:E140)</f>
        <v>3171236.131580912</v>
      </c>
      <c r="F141" s="76"/>
      <c r="G141" s="371">
        <v>31.788271708649376</v>
      </c>
      <c r="H141" s="76"/>
      <c r="I141" s="370">
        <f>SUM(I137:I140)</f>
        <v>3174904.6869529118</v>
      </c>
      <c r="J141" s="76"/>
      <c r="K141" s="371">
        <v>31.825045077173407</v>
      </c>
      <c r="L141" s="82"/>
      <c r="M141" s="372">
        <f>SUM(M137:M140)</f>
        <v>3668.5553719997988</v>
      </c>
      <c r="N141" s="71"/>
      <c r="O141" s="373">
        <f>M141/E141</f>
        <v>1.1568218889367174E-3</v>
      </c>
      <c r="P141" s="374"/>
      <c r="Q141" s="373">
        <f>(M137+M140+M139)/(E137+E140+E139)</f>
        <v>2.2235315256552007E-3</v>
      </c>
    </row>
    <row r="142" spans="1:17">
      <c r="A142" s="76"/>
      <c r="B142" s="71"/>
      <c r="C142" s="71"/>
      <c r="D142" s="71"/>
      <c r="E142" s="86"/>
      <c r="F142" s="76"/>
      <c r="G142" s="82"/>
      <c r="H142" s="76"/>
      <c r="I142" s="86"/>
      <c r="J142" s="76"/>
      <c r="K142" s="82"/>
      <c r="L142" s="82"/>
      <c r="M142" s="368"/>
      <c r="N142" s="71"/>
      <c r="O142" s="374"/>
      <c r="P142" s="374"/>
      <c r="Q142" s="374"/>
    </row>
    <row r="143" spans="1:17">
      <c r="A143" s="76">
        <f>A141+1</f>
        <v>87</v>
      </c>
      <c r="B143" s="71"/>
      <c r="C143" s="71" t="s">
        <v>380</v>
      </c>
      <c r="D143" s="71"/>
      <c r="E143" s="370">
        <v>3171365.8211409119</v>
      </c>
      <c r="F143" s="76"/>
      <c r="G143" s="375">
        <v>31.789571708649373</v>
      </c>
      <c r="H143" s="76"/>
      <c r="I143" s="370">
        <v>3174904.6869529118</v>
      </c>
      <c r="J143" s="76"/>
      <c r="K143" s="375">
        <v>31.825045077173407</v>
      </c>
      <c r="L143" s="82"/>
      <c r="M143" s="372">
        <v>3538.8658120000619</v>
      </c>
      <c r="N143" s="71"/>
      <c r="O143" s="376">
        <v>1.1158806683257184E-3</v>
      </c>
      <c r="P143" s="374"/>
      <c r="Q143" s="376">
        <v>2.1447573824106472E-3</v>
      </c>
    </row>
    <row r="144" spans="1:17">
      <c r="A144" s="76">
        <f>A143+1</f>
        <v>88</v>
      </c>
      <c r="B144" s="71"/>
      <c r="C144" s="71" t="s">
        <v>381</v>
      </c>
      <c r="D144" s="71"/>
      <c r="E144" s="85"/>
      <c r="F144" s="85"/>
      <c r="G144" s="85"/>
      <c r="H144" s="85"/>
      <c r="I144" s="85"/>
      <c r="J144" s="85"/>
      <c r="K144" s="85"/>
      <c r="L144" s="85"/>
      <c r="M144" s="368"/>
      <c r="N144" s="71"/>
      <c r="O144" s="376">
        <v>1.6062143900771899E-3</v>
      </c>
      <c r="P144" s="374"/>
      <c r="Q144" s="376">
        <v>5.1899003321564871E-3</v>
      </c>
    </row>
    <row r="145" spans="1:17">
      <c r="A145" s="76">
        <f>A144+1</f>
        <v>89</v>
      </c>
      <c r="B145" s="71"/>
      <c r="C145" s="71" t="s">
        <v>382</v>
      </c>
      <c r="D145" s="71"/>
      <c r="E145" s="370">
        <v>2823340.907374646</v>
      </c>
      <c r="F145" s="76"/>
      <c r="G145" s="375">
        <v>28.300991842265795</v>
      </c>
      <c r="H145" s="76"/>
      <c r="I145" s="370">
        <v>2828276.4299866459</v>
      </c>
      <c r="J145" s="76"/>
      <c r="K145" s="375">
        <v>28.350465210789828</v>
      </c>
      <c r="L145" s="82"/>
      <c r="M145" s="372">
        <v>4935.5226120000298</v>
      </c>
      <c r="N145" s="71"/>
      <c r="O145" s="376">
        <v>1.7481142993070039E-3</v>
      </c>
      <c r="P145" s="374"/>
      <c r="Q145" s="376">
        <v>3.7907746110004917E-3</v>
      </c>
    </row>
    <row r="146" spans="1:17">
      <c r="A146" s="76">
        <f>A145+1</f>
        <v>90</v>
      </c>
      <c r="B146" s="71"/>
      <c r="C146" s="71" t="s">
        <v>383</v>
      </c>
      <c r="D146" s="71"/>
      <c r="E146" s="85"/>
      <c r="F146" s="85"/>
      <c r="G146" s="85"/>
      <c r="H146" s="85"/>
      <c r="I146" s="85"/>
      <c r="J146" s="85"/>
      <c r="K146" s="85"/>
      <c r="L146" s="85"/>
      <c r="M146" s="368"/>
      <c r="N146" s="71"/>
      <c r="O146" s="376">
        <v>2.6603595344435686E-3</v>
      </c>
      <c r="P146" s="374"/>
      <c r="Q146" s="376">
        <v>1.478362782764873E-2</v>
      </c>
    </row>
    <row r="147" spans="1:17">
      <c r="A147" s="76"/>
      <c r="B147" s="71"/>
      <c r="C147" s="71"/>
      <c r="D147" s="71"/>
      <c r="E147" s="76"/>
      <c r="F147" s="76"/>
      <c r="G147" s="76"/>
      <c r="H147" s="76"/>
      <c r="I147" s="76"/>
      <c r="J147" s="76"/>
      <c r="K147" s="76"/>
      <c r="L147" s="76"/>
      <c r="M147" s="368"/>
      <c r="N147" s="76"/>
      <c r="O147" s="378"/>
      <c r="P147" s="378"/>
      <c r="Q147" s="378"/>
    </row>
    <row r="148" spans="1:17">
      <c r="A148" s="76"/>
      <c r="B148" s="71"/>
      <c r="C148" s="81" t="s">
        <v>402</v>
      </c>
      <c r="D148" s="71"/>
      <c r="E148" s="71" t="s">
        <v>403</v>
      </c>
      <c r="F148" s="71"/>
      <c r="G148" s="71"/>
      <c r="H148" s="76"/>
      <c r="I148" s="76"/>
      <c r="J148" s="76"/>
      <c r="K148" s="76"/>
      <c r="L148" s="76"/>
      <c r="M148" s="368"/>
      <c r="N148" s="76"/>
      <c r="O148" s="378"/>
      <c r="P148" s="378"/>
      <c r="Q148" s="378"/>
    </row>
    <row r="149" spans="1:17">
      <c r="A149" s="76">
        <f>A146+1</f>
        <v>91</v>
      </c>
      <c r="B149" s="71"/>
      <c r="C149" s="71" t="s">
        <v>375</v>
      </c>
      <c r="D149" s="71"/>
      <c r="E149" s="86">
        <v>293713.68679906154</v>
      </c>
      <c r="F149" s="76"/>
      <c r="G149" s="367">
        <v>2.9441672449548433</v>
      </c>
      <c r="H149" s="76"/>
      <c r="I149" s="86">
        <v>298446.34361106157</v>
      </c>
      <c r="J149" s="76"/>
      <c r="K149" s="367">
        <v>2.9916070946920308</v>
      </c>
      <c r="L149" s="82"/>
      <c r="M149" s="368">
        <f>I149-E149</f>
        <v>4732.6568120000302</v>
      </c>
      <c r="N149" s="82"/>
      <c r="O149" s="332">
        <f>M149/E149</f>
        <v>1.6113164025746557E-2</v>
      </c>
      <c r="P149" s="334"/>
      <c r="Q149" s="332">
        <f>O149</f>
        <v>1.6113164025746557E-2</v>
      </c>
    </row>
    <row r="150" spans="1:17">
      <c r="A150" s="76">
        <f>A149+1</f>
        <v>92</v>
      </c>
      <c r="B150" s="71"/>
      <c r="C150" s="71" t="s">
        <v>376</v>
      </c>
      <c r="D150" s="71"/>
      <c r="E150" s="86">
        <v>1521358.4524999999</v>
      </c>
      <c r="F150" s="369"/>
      <c r="G150" s="367">
        <v>15.25</v>
      </c>
      <c r="H150" s="82"/>
      <c r="I150" s="86">
        <v>1521358.4524999999</v>
      </c>
      <c r="J150" s="369"/>
      <c r="K150" s="367">
        <v>15.25</v>
      </c>
      <c r="L150" s="82"/>
      <c r="M150" s="368">
        <f>I150-E150</f>
        <v>0</v>
      </c>
      <c r="N150" s="82"/>
      <c r="O150" s="333">
        <f>IFERROR(M150/E150,"100.0%")</f>
        <v>0</v>
      </c>
      <c r="P150" s="334"/>
      <c r="Q150" s="333">
        <v>0</v>
      </c>
    </row>
    <row r="151" spans="1:17">
      <c r="A151" s="76">
        <f>A150+1</f>
        <v>93</v>
      </c>
      <c r="B151" s="71"/>
      <c r="C151" s="71" t="s">
        <v>377</v>
      </c>
      <c r="D151" s="71"/>
      <c r="E151" s="86">
        <v>440199.17465393344</v>
      </c>
      <c r="F151" s="369"/>
      <c r="G151" s="367">
        <v>4.4125284231610005</v>
      </c>
      <c r="H151" s="82"/>
      <c r="I151" s="86">
        <v>440408.67319493339</v>
      </c>
      <c r="J151" s="369"/>
      <c r="K151" s="367">
        <v>4.414628423161</v>
      </c>
      <c r="L151" s="82"/>
      <c r="M151" s="368">
        <f>I151-E151</f>
        <v>209.49854099994991</v>
      </c>
      <c r="N151" s="82"/>
      <c r="O151" s="333">
        <f>IFERROR(M151/E151,"100.0%")</f>
        <v>4.7591761425870251E-4</v>
      </c>
      <c r="P151" s="334"/>
      <c r="Q151" s="332">
        <f>O151</f>
        <v>4.7591761425870251E-4</v>
      </c>
    </row>
    <row r="152" spans="1:17">
      <c r="A152" s="76">
        <f>A151+1</f>
        <v>94</v>
      </c>
      <c r="B152" s="71"/>
      <c r="C152" s="71" t="s">
        <v>378</v>
      </c>
      <c r="D152" s="71"/>
      <c r="E152" s="86">
        <v>968002.44247426349</v>
      </c>
      <c r="F152" s="76"/>
      <c r="G152" s="367">
        <v>9.7031946833269522</v>
      </c>
      <c r="H152" s="76"/>
      <c r="I152" s="86">
        <v>968132.13204726309</v>
      </c>
      <c r="J152" s="76"/>
      <c r="K152" s="367">
        <v>9.7044946833269474</v>
      </c>
      <c r="L152" s="82"/>
      <c r="M152" s="368">
        <f>I152-E152</f>
        <v>129.68957299960312</v>
      </c>
      <c r="N152" s="71"/>
      <c r="O152" s="332">
        <f>M152/E152</f>
        <v>1.3397649355936537E-4</v>
      </c>
      <c r="P152" s="334"/>
      <c r="Q152" s="332">
        <f>O152</f>
        <v>1.3397649355936537E-4</v>
      </c>
    </row>
    <row r="153" spans="1:17">
      <c r="A153" s="76">
        <f>A152+1</f>
        <v>95</v>
      </c>
      <c r="B153" s="71"/>
      <c r="C153" s="71" t="s">
        <v>379</v>
      </c>
      <c r="D153" s="71"/>
      <c r="E153" s="370">
        <f>SUM(E149:E152)</f>
        <v>3223273.7564272583</v>
      </c>
      <c r="F153" s="76"/>
      <c r="G153" s="371">
        <v>32.309890351442796</v>
      </c>
      <c r="H153" s="76"/>
      <c r="I153" s="370">
        <f>SUM(I149:I152)</f>
        <v>3228345.6013532579</v>
      </c>
      <c r="J153" s="76"/>
      <c r="K153" s="371">
        <v>32.360730201179976</v>
      </c>
      <c r="L153" s="82"/>
      <c r="M153" s="372">
        <f>SUM(M149:M152)</f>
        <v>5071.8449259995832</v>
      </c>
      <c r="N153" s="71"/>
      <c r="O153" s="373">
        <f>M153/E153</f>
        <v>1.5735073435466798E-3</v>
      </c>
      <c r="P153" s="374"/>
      <c r="Q153" s="373">
        <f>(M149+M152+M151)/(E149+E152+E151)</f>
        <v>2.980080685740375E-3</v>
      </c>
    </row>
    <row r="154" spans="1:17">
      <c r="A154" s="76"/>
      <c r="B154" s="71"/>
      <c r="C154" s="71"/>
      <c r="D154" s="71"/>
      <c r="E154" s="86"/>
      <c r="F154" s="76"/>
      <c r="G154" s="82"/>
      <c r="H154" s="76"/>
      <c r="I154" s="86"/>
      <c r="J154" s="76"/>
      <c r="K154" s="82"/>
      <c r="L154" s="82"/>
      <c r="M154" s="368"/>
      <c r="N154" s="71"/>
      <c r="O154" s="374"/>
      <c r="P154" s="374"/>
      <c r="Q154" s="374"/>
    </row>
    <row r="155" spans="1:17">
      <c r="A155" s="76">
        <f>A153+1</f>
        <v>96</v>
      </c>
      <c r="B155" s="71"/>
      <c r="C155" s="71" t="s">
        <v>380</v>
      </c>
      <c r="D155" s="71"/>
      <c r="E155" s="370">
        <v>3223403.446000258</v>
      </c>
      <c r="F155" s="76"/>
      <c r="G155" s="375">
        <v>32.311190351442789</v>
      </c>
      <c r="H155" s="76"/>
      <c r="I155" s="370">
        <v>3228345.6013532579</v>
      </c>
      <c r="J155" s="76"/>
      <c r="K155" s="375">
        <v>32.360730201179976</v>
      </c>
      <c r="L155" s="82"/>
      <c r="M155" s="372">
        <v>4942.1553529999801</v>
      </c>
      <c r="N155" s="71"/>
      <c r="O155" s="376">
        <v>1.533210296443787E-3</v>
      </c>
      <c r="P155" s="374"/>
      <c r="Q155" s="376">
        <v>2.9036572898325269E-3</v>
      </c>
    </row>
    <row r="156" spans="1:17">
      <c r="A156" s="76">
        <f>A155+1</f>
        <v>97</v>
      </c>
      <c r="B156" s="71"/>
      <c r="C156" s="71" t="s">
        <v>381</v>
      </c>
      <c r="D156" s="71"/>
      <c r="E156" s="85"/>
      <c r="F156" s="85"/>
      <c r="G156" s="85"/>
      <c r="H156" s="85"/>
      <c r="I156" s="85"/>
      <c r="J156" s="85"/>
      <c r="K156" s="85"/>
      <c r="L156" s="85"/>
      <c r="M156" s="368"/>
      <c r="N156" s="71"/>
      <c r="O156" s="376">
        <v>2.1913795127103657E-3</v>
      </c>
      <c r="P156" s="374"/>
      <c r="Q156" s="376">
        <v>6.7339811203410982E-3</v>
      </c>
    </row>
    <row r="157" spans="1:17">
      <c r="A157" s="76">
        <f>A156+1</f>
        <v>98</v>
      </c>
      <c r="B157" s="71"/>
      <c r="C157" s="71" t="s">
        <v>382</v>
      </c>
      <c r="D157" s="71"/>
      <c r="E157" s="370">
        <v>2875378.4973481935</v>
      </c>
      <c r="F157" s="76"/>
      <c r="G157" s="375">
        <v>28.822610485059208</v>
      </c>
      <c r="H157" s="76"/>
      <c r="I157" s="370">
        <v>2881717.3096411936</v>
      </c>
      <c r="J157" s="76"/>
      <c r="K157" s="375">
        <v>28.886150334796394</v>
      </c>
      <c r="L157" s="82"/>
      <c r="M157" s="372">
        <v>6338.8122930000245</v>
      </c>
      <c r="N157" s="71"/>
      <c r="O157" s="376">
        <v>2.204514048792522E-3</v>
      </c>
      <c r="P157" s="374"/>
      <c r="Q157" s="376">
        <v>4.6814759627215865E-3</v>
      </c>
    </row>
    <row r="158" spans="1:17">
      <c r="A158" s="76">
        <f>A157+1</f>
        <v>99</v>
      </c>
      <c r="B158" s="71"/>
      <c r="C158" s="71" t="s">
        <v>383</v>
      </c>
      <c r="D158" s="71"/>
      <c r="E158" s="85"/>
      <c r="F158" s="85"/>
      <c r="G158" s="85"/>
      <c r="H158" s="85"/>
      <c r="I158" s="85"/>
      <c r="J158" s="85"/>
      <c r="K158" s="85"/>
      <c r="L158" s="85"/>
      <c r="M158" s="368"/>
      <c r="N158" s="71"/>
      <c r="O158" s="376">
        <v>3.3235414198835656E-3</v>
      </c>
      <c r="P158" s="374"/>
      <c r="Q158" s="376">
        <v>1.6426563472772073E-2</v>
      </c>
    </row>
    <row r="159" spans="1:17">
      <c r="A159" s="76"/>
      <c r="B159" s="71"/>
      <c r="C159" s="71"/>
      <c r="D159" s="71"/>
      <c r="E159" s="85"/>
      <c r="F159" s="85"/>
      <c r="G159" s="85"/>
      <c r="H159" s="85"/>
      <c r="I159" s="85"/>
      <c r="J159" s="85"/>
      <c r="K159" s="85"/>
      <c r="L159" s="85"/>
      <c r="M159" s="368"/>
      <c r="N159" s="71"/>
      <c r="O159" s="334"/>
      <c r="P159" s="334"/>
      <c r="Q159" s="334"/>
    </row>
    <row r="160" spans="1:17">
      <c r="A160" s="76"/>
      <c r="B160" s="71"/>
      <c r="C160" s="81" t="s">
        <v>404</v>
      </c>
      <c r="D160" s="71"/>
      <c r="E160" s="71" t="s">
        <v>405</v>
      </c>
      <c r="F160" s="71"/>
      <c r="G160" s="71"/>
      <c r="H160" s="76"/>
      <c r="I160" s="76"/>
      <c r="J160" s="76"/>
      <c r="K160" s="76"/>
      <c r="L160" s="76"/>
      <c r="M160" s="368"/>
      <c r="N160" s="76"/>
      <c r="O160" s="378"/>
      <c r="P160" s="378"/>
      <c r="Q160" s="378"/>
    </row>
    <row r="161" spans="1:17">
      <c r="A161" s="76">
        <f>A158+1</f>
        <v>100</v>
      </c>
      <c r="B161" s="71"/>
      <c r="C161" s="71" t="s">
        <v>375</v>
      </c>
      <c r="D161" s="71"/>
      <c r="E161" s="86">
        <v>88402.969245919259</v>
      </c>
      <c r="F161" s="76"/>
      <c r="G161" s="367">
        <v>1.9769834358486904</v>
      </c>
      <c r="H161" s="76"/>
      <c r="I161" s="86">
        <v>94890.450207919232</v>
      </c>
      <c r="J161" s="76"/>
      <c r="K161" s="367">
        <v>2.1220650152533289</v>
      </c>
      <c r="L161" s="82"/>
      <c r="M161" s="368">
        <f>I161-E161</f>
        <v>6487.4809619999724</v>
      </c>
      <c r="N161" s="82"/>
      <c r="O161" s="332">
        <f>M161/E161</f>
        <v>7.3385328765972854E-2</v>
      </c>
      <c r="P161" s="334"/>
      <c r="Q161" s="332">
        <f>O161</f>
        <v>7.3385328765972854E-2</v>
      </c>
    </row>
    <row r="162" spans="1:17">
      <c r="A162" s="76">
        <f>A161+1</f>
        <v>101</v>
      </c>
      <c r="B162" s="71"/>
      <c r="C162" s="71" t="s">
        <v>376</v>
      </c>
      <c r="D162" s="71"/>
      <c r="E162" s="86">
        <v>681920.37250000006</v>
      </c>
      <c r="F162" s="369"/>
      <c r="G162" s="367">
        <v>15.25</v>
      </c>
      <c r="H162" s="82"/>
      <c r="I162" s="86">
        <v>681920.37250000006</v>
      </c>
      <c r="J162" s="369"/>
      <c r="K162" s="367">
        <v>15.25</v>
      </c>
      <c r="L162" s="82"/>
      <c r="M162" s="368">
        <f>I162-E162</f>
        <v>0</v>
      </c>
      <c r="N162" s="82"/>
      <c r="O162" s="333">
        <f>IFERROR(M162/E162,"100.0%")</f>
        <v>0</v>
      </c>
      <c r="P162" s="334"/>
      <c r="Q162" s="333">
        <v>0</v>
      </c>
    </row>
    <row r="163" spans="1:17">
      <c r="A163" s="76">
        <f>A162+1</f>
        <v>102</v>
      </c>
      <c r="B163" s="71"/>
      <c r="C163" s="71" t="s">
        <v>377</v>
      </c>
      <c r="D163" s="71"/>
      <c r="E163" s="86">
        <v>197311.06244794617</v>
      </c>
      <c r="F163" s="369"/>
      <c r="G163" s="367">
        <v>4.4125294149811891</v>
      </c>
      <c r="H163" s="82"/>
      <c r="I163" s="86">
        <v>197404.96623694617</v>
      </c>
      <c r="J163" s="369"/>
      <c r="K163" s="367">
        <v>4.4146294149811887</v>
      </c>
      <c r="L163" s="82"/>
      <c r="M163" s="368">
        <f>I163-E163</f>
        <v>93.903789000003599</v>
      </c>
      <c r="N163" s="82"/>
      <c r="O163" s="333">
        <f>IFERROR(M163/E163,"100.0%")</f>
        <v>4.7591750728511194E-4</v>
      </c>
      <c r="P163" s="334"/>
      <c r="Q163" s="332">
        <f>O163</f>
        <v>4.7591750728511194E-4</v>
      </c>
    </row>
    <row r="164" spans="1:17">
      <c r="A164" s="76">
        <f>A163+1</f>
        <v>103</v>
      </c>
      <c r="B164" s="71"/>
      <c r="C164" s="71" t="s">
        <v>378</v>
      </c>
      <c r="D164" s="71"/>
      <c r="E164" s="86">
        <v>433888.9267471694</v>
      </c>
      <c r="F164" s="76"/>
      <c r="G164" s="367">
        <v>9.7031946833269505</v>
      </c>
      <c r="H164" s="76"/>
      <c r="I164" s="86">
        <v>433947.05766416929</v>
      </c>
      <c r="J164" s="76"/>
      <c r="K164" s="367">
        <v>9.7044946833269474</v>
      </c>
      <c r="L164" s="82"/>
      <c r="M164" s="368">
        <f>I164-E164</f>
        <v>58.130916999885812</v>
      </c>
      <c r="N164" s="71"/>
      <c r="O164" s="332">
        <f>M164/E164</f>
        <v>1.3397649355951222E-4</v>
      </c>
      <c r="P164" s="334"/>
      <c r="Q164" s="332">
        <f>O164</f>
        <v>1.3397649355951222E-4</v>
      </c>
    </row>
    <row r="165" spans="1:17">
      <c r="A165" s="76">
        <f>A164+1</f>
        <v>104</v>
      </c>
      <c r="B165" s="71"/>
      <c r="C165" s="71" t="s">
        <v>379</v>
      </c>
      <c r="D165" s="71"/>
      <c r="E165" s="370">
        <f>SUM(E161:E164)</f>
        <v>1401523.3309410349</v>
      </c>
      <c r="F165" s="76"/>
      <c r="G165" s="371">
        <v>31.342707534156833</v>
      </c>
      <c r="H165" s="76"/>
      <c r="I165" s="370">
        <f>SUM(I161:I164)</f>
        <v>1408162.8466090348</v>
      </c>
      <c r="J165" s="76"/>
      <c r="K165" s="371">
        <v>31.491189113561468</v>
      </c>
      <c r="L165" s="82"/>
      <c r="M165" s="372">
        <f>SUM(M161:M164)</f>
        <v>6639.5156679998618</v>
      </c>
      <c r="N165" s="71"/>
      <c r="O165" s="373">
        <f>M165/E165</f>
        <v>4.7373565044699214E-3</v>
      </c>
      <c r="P165" s="374"/>
      <c r="Q165" s="373">
        <f>(M161+M164+M163)/(E161+E164+E163)</f>
        <v>9.2266375368770959E-3</v>
      </c>
    </row>
    <row r="166" spans="1:17">
      <c r="A166" s="76"/>
      <c r="B166" s="71"/>
      <c r="C166" s="71"/>
      <c r="D166" s="71"/>
      <c r="E166" s="86"/>
      <c r="F166" s="76"/>
      <c r="G166" s="82"/>
      <c r="H166" s="76"/>
      <c r="I166" s="86"/>
      <c r="J166" s="76"/>
      <c r="K166" s="82"/>
      <c r="L166" s="82"/>
      <c r="M166" s="368"/>
      <c r="N166" s="71"/>
      <c r="O166" s="374"/>
      <c r="P166" s="374"/>
      <c r="Q166" s="374"/>
    </row>
    <row r="167" spans="1:17">
      <c r="A167" s="76">
        <f>A165+1</f>
        <v>105</v>
      </c>
      <c r="B167" s="71"/>
      <c r="C167" s="71" t="s">
        <v>380</v>
      </c>
      <c r="D167" s="71"/>
      <c r="E167" s="370">
        <v>1401581.4618580348</v>
      </c>
      <c r="F167" s="76"/>
      <c r="G167" s="375">
        <v>31.34400753415683</v>
      </c>
      <c r="H167" s="76"/>
      <c r="I167" s="370">
        <v>1408162.8466090348</v>
      </c>
      <c r="J167" s="76"/>
      <c r="K167" s="375">
        <v>31.491189113561468</v>
      </c>
      <c r="L167" s="82"/>
      <c r="M167" s="372">
        <v>6581.3847509999759</v>
      </c>
      <c r="N167" s="71"/>
      <c r="O167" s="376">
        <v>4.6956847890062912E-3</v>
      </c>
      <c r="P167" s="374"/>
      <c r="Q167" s="376">
        <v>9.145116845028849E-3</v>
      </c>
    </row>
    <row r="168" spans="1:17">
      <c r="A168" s="76">
        <f>A167+1</f>
        <v>106</v>
      </c>
      <c r="B168" s="71"/>
      <c r="C168" s="71" t="s">
        <v>381</v>
      </c>
      <c r="D168" s="71"/>
      <c r="E168" s="85"/>
      <c r="F168" s="85"/>
      <c r="G168" s="85"/>
      <c r="H168" s="85"/>
      <c r="I168" s="85"/>
      <c r="J168" s="85"/>
      <c r="K168" s="85"/>
      <c r="L168" s="85"/>
      <c r="M168" s="368"/>
      <c r="N168" s="71"/>
      <c r="O168" s="376">
        <v>6.8015199981266853E-3</v>
      </c>
      <c r="P168" s="374"/>
      <c r="Q168" s="376">
        <v>2.3034867108143099E-2</v>
      </c>
    </row>
    <row r="169" spans="1:17">
      <c r="A169" s="76">
        <f>A168+1</f>
        <v>107</v>
      </c>
      <c r="B169" s="71"/>
      <c r="C169" s="71" t="s">
        <v>382</v>
      </c>
      <c r="D169" s="71"/>
      <c r="E169" s="370">
        <v>1245585.7687787947</v>
      </c>
      <c r="F169" s="76"/>
      <c r="G169" s="375">
        <v>27.85542673294545</v>
      </c>
      <c r="H169" s="76"/>
      <c r="I169" s="370">
        <v>1247873.0556646502</v>
      </c>
      <c r="J169" s="76"/>
      <c r="K169" s="375">
        <v>27.906578049750102</v>
      </c>
      <c r="L169" s="82"/>
      <c r="M169" s="372">
        <v>2287.2868858554284</v>
      </c>
      <c r="N169" s="71"/>
      <c r="O169" s="376">
        <v>1.8363142412087328E-3</v>
      </c>
      <c r="P169" s="374"/>
      <c r="Q169" s="376">
        <v>4.0578806166843579E-3</v>
      </c>
    </row>
    <row r="170" spans="1:17">
      <c r="A170" s="76">
        <f>A169+1</f>
        <v>108</v>
      </c>
      <c r="B170" s="71"/>
      <c r="C170" s="71" t="s">
        <v>383</v>
      </c>
      <c r="D170" s="71"/>
      <c r="E170" s="85"/>
      <c r="F170" s="85"/>
      <c r="G170" s="85"/>
      <c r="H170" s="85"/>
      <c r="I170" s="85"/>
      <c r="J170" s="85"/>
      <c r="K170" s="85"/>
      <c r="L170" s="85"/>
      <c r="M170" s="379"/>
      <c r="N170" s="71"/>
      <c r="O170" s="376">
        <v>2.8181096521558116E-3</v>
      </c>
      <c r="P170" s="374"/>
      <c r="Q170" s="376">
        <v>1.7632718012605988E-2</v>
      </c>
    </row>
    <row r="171" spans="1:17">
      <c r="A171" s="76"/>
      <c r="B171" s="71"/>
      <c r="C171" s="71"/>
      <c r="D171" s="71"/>
      <c r="E171" s="76"/>
      <c r="F171" s="76"/>
      <c r="G171" s="76"/>
      <c r="H171" s="76"/>
      <c r="I171" s="76"/>
      <c r="J171" s="76"/>
      <c r="K171" s="76"/>
      <c r="L171" s="76"/>
      <c r="M171" s="379"/>
      <c r="N171" s="76"/>
      <c r="O171" s="76"/>
      <c r="P171" s="76"/>
      <c r="Q171" s="76"/>
    </row>
    <row r="172" spans="1:17">
      <c r="A172" s="76"/>
      <c r="B172" s="71"/>
      <c r="C172" s="81" t="s">
        <v>406</v>
      </c>
      <c r="D172" s="71"/>
      <c r="E172" s="71" t="s">
        <v>407</v>
      </c>
      <c r="F172" s="71"/>
      <c r="G172" s="71"/>
      <c r="H172" s="76"/>
      <c r="I172" s="76"/>
      <c r="J172" s="76"/>
      <c r="K172" s="76"/>
      <c r="L172" s="76"/>
      <c r="M172" s="75"/>
      <c r="N172" s="76"/>
      <c r="O172" s="76"/>
      <c r="P172" s="76"/>
      <c r="Q172" s="76"/>
    </row>
    <row r="173" spans="1:17">
      <c r="A173" s="76">
        <f>A170+1</f>
        <v>109</v>
      </c>
      <c r="B173" s="71"/>
      <c r="C173" s="71" t="s">
        <v>375</v>
      </c>
      <c r="D173" s="71"/>
      <c r="E173" s="86">
        <v>1201807.8802227364</v>
      </c>
      <c r="F173" s="76"/>
      <c r="G173" s="367">
        <v>1.7209778495689869</v>
      </c>
      <c r="H173" s="76"/>
      <c r="I173" s="86">
        <v>1152314.4988767363</v>
      </c>
      <c r="J173" s="76"/>
      <c r="K173" s="367">
        <v>1.6501037819260367</v>
      </c>
      <c r="L173" s="82"/>
      <c r="M173" s="368">
        <f>I173-E173</f>
        <v>-49493.381346000126</v>
      </c>
      <c r="N173" s="82"/>
      <c r="O173" s="332">
        <f>M173/E173</f>
        <v>-4.1182440355464547E-2</v>
      </c>
      <c r="P173" s="334"/>
      <c r="Q173" s="332">
        <f>O173</f>
        <v>-4.1182440355464547E-2</v>
      </c>
    </row>
    <row r="174" spans="1:17">
      <c r="A174" s="76">
        <f>A173+1</f>
        <v>110</v>
      </c>
      <c r="B174" s="71"/>
      <c r="C174" s="71" t="s">
        <v>376</v>
      </c>
      <c r="D174" s="71"/>
      <c r="E174" s="86">
        <v>10649509.625</v>
      </c>
      <c r="F174" s="369"/>
      <c r="G174" s="367">
        <v>15.25</v>
      </c>
      <c r="H174" s="82"/>
      <c r="I174" s="86">
        <v>10649509.625</v>
      </c>
      <c r="J174" s="369"/>
      <c r="K174" s="367">
        <v>15.25</v>
      </c>
      <c r="L174" s="82"/>
      <c r="M174" s="368">
        <f>I174-E174</f>
        <v>0</v>
      </c>
      <c r="N174" s="82"/>
      <c r="O174" s="333">
        <f>IFERROR(M174/E174,"100.0%")</f>
        <v>0</v>
      </c>
      <c r="P174" s="334"/>
      <c r="Q174" s="333">
        <v>0</v>
      </c>
    </row>
    <row r="175" spans="1:17">
      <c r="A175" s="76">
        <f>A174+1</f>
        <v>111</v>
      </c>
      <c r="B175" s="71"/>
      <c r="C175" s="71" t="s">
        <v>377</v>
      </c>
      <c r="D175" s="71"/>
      <c r="E175" s="86">
        <v>3081395.0475696917</v>
      </c>
      <c r="F175" s="369"/>
      <c r="G175" s="367">
        <v>4.4125294149811891</v>
      </c>
      <c r="H175" s="82"/>
      <c r="I175" s="86">
        <v>3082861.5374196912</v>
      </c>
      <c r="J175" s="369"/>
      <c r="K175" s="367">
        <v>4.4146294149811887</v>
      </c>
      <c r="L175" s="82"/>
      <c r="M175" s="368">
        <f>I175-E175</f>
        <v>1466.489849999547</v>
      </c>
      <c r="N175" s="82"/>
      <c r="O175" s="333">
        <f>IFERROR(M175/E175,"100.0%")</f>
        <v>4.7591750728494654E-4</v>
      </c>
      <c r="P175" s="334"/>
      <c r="Q175" s="332">
        <f>O175</f>
        <v>4.7591750728494654E-4</v>
      </c>
    </row>
    <row r="176" spans="1:17">
      <c r="A176" s="76">
        <f>A175+1</f>
        <v>112</v>
      </c>
      <c r="B176" s="71"/>
      <c r="C176" s="71" t="s">
        <v>378</v>
      </c>
      <c r="D176" s="71"/>
      <c r="E176" s="86">
        <v>6776017.3884156849</v>
      </c>
      <c r="F176" s="76"/>
      <c r="G176" s="367">
        <v>9.7031946833269522</v>
      </c>
      <c r="H176" s="76"/>
      <c r="I176" s="86">
        <v>6776925.2154656826</v>
      </c>
      <c r="J176" s="76"/>
      <c r="K176" s="367">
        <v>9.7044946833269474</v>
      </c>
      <c r="L176" s="82"/>
      <c r="M176" s="368">
        <f>I176-E176</f>
        <v>907.82704999763519</v>
      </c>
      <c r="N176" s="71"/>
      <c r="O176" s="332">
        <f>M176/E176</f>
        <v>1.3397649355942638E-4</v>
      </c>
      <c r="P176" s="334"/>
      <c r="Q176" s="332">
        <f>O176</f>
        <v>1.3397649355942638E-4</v>
      </c>
    </row>
    <row r="177" spans="1:17">
      <c r="A177" s="76">
        <f>A176+1</f>
        <v>113</v>
      </c>
      <c r="B177" s="71"/>
      <c r="C177" s="71" t="s">
        <v>379</v>
      </c>
      <c r="D177" s="71"/>
      <c r="E177" s="370">
        <f>SUM(E173:E176)</f>
        <v>21708729.941208113</v>
      </c>
      <c r="F177" s="76"/>
      <c r="G177" s="371">
        <v>31.086701947877128</v>
      </c>
      <c r="H177" s="76"/>
      <c r="I177" s="370">
        <f>SUM(I173:I176)</f>
        <v>21661610.876762111</v>
      </c>
      <c r="J177" s="76"/>
      <c r="K177" s="371">
        <v>31.019227880234173</v>
      </c>
      <c r="L177" s="82"/>
      <c r="M177" s="372">
        <f>SUM(M173:M176)</f>
        <v>-47119.064446002943</v>
      </c>
      <c r="N177" s="71"/>
      <c r="O177" s="373">
        <f>M177/E177</f>
        <v>-2.1705122581381527E-3</v>
      </c>
      <c r="P177" s="374"/>
      <c r="Q177" s="373">
        <f>(M173+M176+M175)/(E173+E176+E175)</f>
        <v>-4.260613596507019E-3</v>
      </c>
    </row>
    <row r="178" spans="1:17">
      <c r="A178" s="76"/>
      <c r="B178" s="71"/>
      <c r="C178" s="71"/>
      <c r="D178" s="71"/>
      <c r="E178" s="86"/>
      <c r="F178" s="76"/>
      <c r="G178" s="82"/>
      <c r="H178" s="76"/>
      <c r="I178" s="86"/>
      <c r="J178" s="76"/>
      <c r="K178" s="82"/>
      <c r="L178" s="82"/>
      <c r="M178" s="368"/>
      <c r="N178" s="71"/>
      <c r="O178" s="374"/>
      <c r="P178" s="374"/>
      <c r="Q178" s="374"/>
    </row>
    <row r="179" spans="1:17">
      <c r="A179" s="76">
        <f>A177+1</f>
        <v>114</v>
      </c>
      <c r="B179" s="71"/>
      <c r="C179" s="71" t="s">
        <v>380</v>
      </c>
      <c r="D179" s="71"/>
      <c r="E179" s="370">
        <v>21709637.76825811</v>
      </c>
      <c r="F179" s="76"/>
      <c r="G179" s="375">
        <v>31.088001947877125</v>
      </c>
      <c r="H179" s="76"/>
      <c r="I179" s="370">
        <v>21661610.876762111</v>
      </c>
      <c r="J179" s="76"/>
      <c r="K179" s="375">
        <v>31.019227880234173</v>
      </c>
      <c r="L179" s="82"/>
      <c r="M179" s="372">
        <v>-48026.891496000579</v>
      </c>
      <c r="N179" s="71"/>
      <c r="O179" s="376">
        <v>-2.2122382698720657E-3</v>
      </c>
      <c r="P179" s="374"/>
      <c r="Q179" s="376">
        <v>-4.3423449415706987E-3</v>
      </c>
    </row>
    <row r="180" spans="1:17">
      <c r="A180" s="76">
        <f>A179+1</f>
        <v>115</v>
      </c>
      <c r="B180" s="71"/>
      <c r="C180" s="71" t="s">
        <v>381</v>
      </c>
      <c r="D180" s="71"/>
      <c r="E180" s="85"/>
      <c r="F180" s="85"/>
      <c r="G180" s="85"/>
      <c r="H180" s="85"/>
      <c r="I180" s="85"/>
      <c r="J180" s="85"/>
      <c r="K180" s="85"/>
      <c r="L180" s="85"/>
      <c r="M180" s="368"/>
      <c r="N180" s="71"/>
      <c r="O180" s="376">
        <v>-3.2162201827838381E-3</v>
      </c>
      <c r="P180" s="374"/>
      <c r="Q180" s="376">
        <v>-1.1212845224859271E-2</v>
      </c>
    </row>
    <row r="181" spans="1:17">
      <c r="A181" s="76">
        <f>A180+1</f>
        <v>116</v>
      </c>
      <c r="B181" s="71"/>
      <c r="C181" s="71" t="s">
        <v>382</v>
      </c>
      <c r="D181" s="71"/>
      <c r="E181" s="370">
        <v>19273462.370219372</v>
      </c>
      <c r="F181" s="76"/>
      <c r="G181" s="375">
        <v>27.599421146665748</v>
      </c>
      <c r="H181" s="76"/>
      <c r="I181" s="370">
        <v>19235212.077723369</v>
      </c>
      <c r="J181" s="76"/>
      <c r="K181" s="375">
        <v>27.544647079022795</v>
      </c>
      <c r="L181" s="82"/>
      <c r="M181" s="372">
        <v>-38250.292496000184</v>
      </c>
      <c r="N181" s="71"/>
      <c r="O181" s="376">
        <v>-1.9846092913281162E-3</v>
      </c>
      <c r="P181" s="374"/>
      <c r="Q181" s="376">
        <v>-4.4353550658314967E-3</v>
      </c>
    </row>
    <row r="182" spans="1:17">
      <c r="A182" s="76">
        <f>A181+1</f>
        <v>117</v>
      </c>
      <c r="B182" s="71"/>
      <c r="C182" s="71" t="s">
        <v>383</v>
      </c>
      <c r="D182" s="71"/>
      <c r="E182" s="85"/>
      <c r="F182" s="85"/>
      <c r="G182" s="85"/>
      <c r="H182" s="85"/>
      <c r="I182" s="85"/>
      <c r="J182" s="85"/>
      <c r="K182" s="85"/>
      <c r="L182" s="85"/>
      <c r="M182" s="368"/>
      <c r="N182" s="71"/>
      <c r="O182" s="376">
        <v>-3.0608713455831044E-3</v>
      </c>
      <c r="P182" s="374"/>
      <c r="Q182" s="376">
        <v>-2.070910794767692E-2</v>
      </c>
    </row>
    <row r="183" spans="1:17">
      <c r="A183" s="76"/>
      <c r="B183" s="71"/>
      <c r="C183" s="71"/>
      <c r="D183" s="71"/>
      <c r="E183" s="76"/>
      <c r="F183" s="76"/>
      <c r="G183" s="76"/>
      <c r="H183" s="76"/>
      <c r="I183" s="76"/>
      <c r="J183" s="76"/>
      <c r="K183" s="76"/>
      <c r="L183" s="76"/>
      <c r="M183" s="368"/>
      <c r="N183" s="76"/>
      <c r="O183" s="378"/>
      <c r="P183" s="378"/>
      <c r="Q183" s="378"/>
    </row>
    <row r="184" spans="1:17">
      <c r="A184" s="76"/>
      <c r="B184" s="71"/>
      <c r="C184" s="81" t="s">
        <v>408</v>
      </c>
      <c r="D184" s="71"/>
      <c r="E184" s="71" t="s">
        <v>409</v>
      </c>
      <c r="F184" s="71"/>
      <c r="G184" s="71"/>
      <c r="H184" s="76"/>
      <c r="I184" s="76"/>
      <c r="J184" s="76"/>
      <c r="K184" s="76"/>
      <c r="L184" s="76"/>
      <c r="M184" s="368"/>
      <c r="N184" s="76"/>
      <c r="O184" s="378"/>
      <c r="P184" s="378"/>
      <c r="Q184" s="378"/>
    </row>
    <row r="185" spans="1:17">
      <c r="A185" s="76">
        <f>A182+1</f>
        <v>118</v>
      </c>
      <c r="B185" s="71"/>
      <c r="C185" s="71" t="s">
        <v>375</v>
      </c>
      <c r="D185" s="71"/>
      <c r="E185" s="86">
        <v>3150902.1676275972</v>
      </c>
      <c r="F185" s="369"/>
      <c r="G185" s="367">
        <v>1.5295641590425231</v>
      </c>
      <c r="H185" s="82"/>
      <c r="I185" s="86">
        <v>3236002.6168275974</v>
      </c>
      <c r="J185" s="369"/>
      <c r="K185" s="367">
        <v>1.5708750567124259</v>
      </c>
      <c r="L185" s="82"/>
      <c r="M185" s="368">
        <f>I185-E185</f>
        <v>85100.449200000148</v>
      </c>
      <c r="N185" s="82"/>
      <c r="O185" s="333">
        <f>IFERROR(M185/E185,"100.0%")</f>
        <v>2.7008280382146765E-2</v>
      </c>
      <c r="P185" s="334"/>
      <c r="Q185" s="333">
        <f>O185</f>
        <v>2.7008280382146765E-2</v>
      </c>
    </row>
    <row r="186" spans="1:17">
      <c r="A186" s="76">
        <f>A185+1</f>
        <v>119</v>
      </c>
      <c r="B186" s="71"/>
      <c r="C186" s="71" t="s">
        <v>376</v>
      </c>
      <c r="D186" s="71"/>
      <c r="E186" s="86">
        <v>31415000</v>
      </c>
      <c r="F186" s="369"/>
      <c r="G186" s="367">
        <v>15.25</v>
      </c>
      <c r="H186" s="82"/>
      <c r="I186" s="86">
        <v>31415000</v>
      </c>
      <c r="J186" s="369"/>
      <c r="K186" s="367">
        <v>15.25</v>
      </c>
      <c r="L186" s="82"/>
      <c r="M186" s="368">
        <f>I186-E186</f>
        <v>0</v>
      </c>
      <c r="N186" s="82"/>
      <c r="O186" s="333">
        <f>IFERROR(M186/E186,"100.0%")</f>
        <v>0</v>
      </c>
      <c r="P186" s="334"/>
      <c r="Q186" s="332">
        <f>O186</f>
        <v>0</v>
      </c>
    </row>
    <row r="187" spans="1:17">
      <c r="A187" s="76">
        <f>A186+1</f>
        <v>120</v>
      </c>
      <c r="B187" s="71"/>
      <c r="C187" s="71" t="s">
        <v>378</v>
      </c>
      <c r="D187" s="71"/>
      <c r="E187" s="86">
        <v>19988581.047653519</v>
      </c>
      <c r="F187" s="76"/>
      <c r="G187" s="367">
        <v>9.7031946833269505</v>
      </c>
      <c r="H187" s="76"/>
      <c r="I187" s="86">
        <v>19991259.047653511</v>
      </c>
      <c r="J187" s="76"/>
      <c r="K187" s="367">
        <v>9.7044946833269474</v>
      </c>
      <c r="L187" s="82"/>
      <c r="M187" s="368">
        <f>I187-E187</f>
        <v>2677.9999999925494</v>
      </c>
      <c r="N187" s="71"/>
      <c r="O187" s="332">
        <f>M187/E187</f>
        <v>1.3397649355940264E-4</v>
      </c>
      <c r="P187" s="334"/>
      <c r="Q187" s="332">
        <f>O187</f>
        <v>1.3397649355940264E-4</v>
      </c>
    </row>
    <row r="188" spans="1:17">
      <c r="A188" s="76">
        <f>A187+1</f>
        <v>121</v>
      </c>
      <c r="B188" s="71"/>
      <c r="C188" s="71" t="s">
        <v>379</v>
      </c>
      <c r="D188" s="71"/>
      <c r="E188" s="370">
        <f>SUM(E185:E187)</f>
        <v>54554483.215281114</v>
      </c>
      <c r="F188" s="76"/>
      <c r="G188" s="371">
        <v>26.482758842369474</v>
      </c>
      <c r="H188" s="76"/>
      <c r="I188" s="370">
        <f>SUM(I185:I187)</f>
        <v>54642261.664481111</v>
      </c>
      <c r="J188" s="76"/>
      <c r="K188" s="371">
        <v>26.525369740039373</v>
      </c>
      <c r="L188" s="82"/>
      <c r="M188" s="372">
        <f>SUM(M185:M187)</f>
        <v>87778.449199992698</v>
      </c>
      <c r="N188" s="71"/>
      <c r="O188" s="373">
        <f>M188/E188</f>
        <v>1.60900523708756E-3</v>
      </c>
      <c r="P188" s="374"/>
      <c r="Q188" s="373">
        <f>(M187+M185)/(E187+E185)</f>
        <v>3.7934489886111444E-3</v>
      </c>
    </row>
    <row r="189" spans="1:17">
      <c r="A189" s="76"/>
      <c r="B189" s="71"/>
      <c r="C189" s="71"/>
      <c r="D189" s="71"/>
      <c r="E189" s="86"/>
      <c r="F189" s="76"/>
      <c r="G189" s="82"/>
      <c r="H189" s="76"/>
      <c r="I189" s="86"/>
      <c r="J189" s="76"/>
      <c r="K189" s="82"/>
      <c r="L189" s="82"/>
      <c r="M189" s="368"/>
      <c r="N189" s="71"/>
      <c r="O189" s="374"/>
      <c r="P189" s="374"/>
      <c r="Q189" s="374"/>
    </row>
    <row r="190" spans="1:17">
      <c r="A190" s="76">
        <f>A188+1</f>
        <v>122</v>
      </c>
      <c r="B190" s="71"/>
      <c r="C190" s="71" t="s">
        <v>410</v>
      </c>
      <c r="D190" s="71"/>
      <c r="E190" s="370">
        <v>54557161.215281107</v>
      </c>
      <c r="F190" s="76"/>
      <c r="G190" s="375">
        <v>26.484058842369468</v>
      </c>
      <c r="H190" s="76"/>
      <c r="I190" s="370">
        <v>54642261.664481111</v>
      </c>
      <c r="J190" s="76"/>
      <c r="K190" s="375">
        <v>26.525369740039373</v>
      </c>
      <c r="L190" s="82"/>
      <c r="M190" s="372">
        <v>85100.449200000148</v>
      </c>
      <c r="N190" s="71"/>
      <c r="O190" s="376">
        <v>1.559840125555581E-3</v>
      </c>
      <c r="P190" s="374"/>
      <c r="Q190" s="376">
        <v>3.6772904833022716E-3</v>
      </c>
    </row>
    <row r="191" spans="1:17">
      <c r="A191" s="76">
        <f>A190+1</f>
        <v>123</v>
      </c>
      <c r="B191" s="71"/>
      <c r="C191" s="71" t="s">
        <v>411</v>
      </c>
      <c r="D191" s="71"/>
      <c r="E191" s="85"/>
      <c r="F191" s="85"/>
      <c r="G191" s="85"/>
      <c r="H191" s="85"/>
      <c r="I191" s="85"/>
      <c r="J191" s="85"/>
      <c r="K191" s="85"/>
      <c r="L191" s="85"/>
      <c r="M191" s="368"/>
      <c r="N191" s="71"/>
      <c r="O191" s="376">
        <v>2.4619767997752493E-3</v>
      </c>
      <c r="P191" s="374"/>
      <c r="Q191" s="376">
        <v>2.7008280382146765E-2</v>
      </c>
    </row>
    <row r="192" spans="1:17">
      <c r="A192" s="76"/>
      <c r="B192" s="71"/>
      <c r="C192" s="71"/>
      <c r="D192" s="71"/>
      <c r="E192" s="85"/>
      <c r="F192" s="85"/>
      <c r="G192" s="85"/>
      <c r="H192" s="85"/>
      <c r="I192" s="85"/>
      <c r="J192" s="85"/>
      <c r="K192" s="85"/>
      <c r="L192" s="85"/>
      <c r="M192" s="368"/>
      <c r="N192" s="85"/>
      <c r="O192" s="374"/>
      <c r="P192" s="374"/>
      <c r="Q192" s="374"/>
    </row>
    <row r="193" spans="1:17">
      <c r="A193" s="76"/>
      <c r="B193" s="71"/>
      <c r="C193" s="81"/>
      <c r="D193" s="71"/>
      <c r="E193" s="1288"/>
      <c r="F193" s="1288"/>
      <c r="G193" s="1288"/>
      <c r="H193" s="85"/>
      <c r="I193" s="85"/>
      <c r="J193" s="85"/>
      <c r="K193" s="85"/>
      <c r="L193" s="85"/>
      <c r="M193" s="368"/>
      <c r="N193" s="85"/>
      <c r="O193" s="374"/>
      <c r="P193" s="374"/>
      <c r="Q193" s="374"/>
    </row>
    <row r="194" spans="1:17">
      <c r="A194" s="76"/>
      <c r="B194" s="71"/>
      <c r="C194" s="81"/>
      <c r="D194" s="71"/>
      <c r="E194" s="71"/>
      <c r="F194" s="71"/>
      <c r="G194" s="71"/>
      <c r="H194" s="71"/>
      <c r="I194" s="71"/>
      <c r="J194" s="71"/>
      <c r="K194" s="71"/>
      <c r="L194" s="71"/>
      <c r="M194" s="379"/>
      <c r="N194" s="71"/>
      <c r="O194" s="374"/>
      <c r="P194" s="374"/>
      <c r="Q194" s="374"/>
    </row>
    <row r="196" spans="1:17">
      <c r="A196" s="1286" t="s">
        <v>395</v>
      </c>
      <c r="B196" s="1286"/>
      <c r="C196" s="1286"/>
      <c r="D196" s="1286"/>
      <c r="E196" s="1286"/>
      <c r="F196" s="1286"/>
      <c r="G196" s="1286"/>
      <c r="H196" s="1286"/>
      <c r="I196" s="1286"/>
      <c r="J196" s="1286"/>
      <c r="K196" s="1286"/>
      <c r="L196" s="1286"/>
      <c r="M196" s="1286"/>
      <c r="N196" s="1286"/>
      <c r="O196" s="1286"/>
      <c r="P196" s="1286"/>
      <c r="Q196" s="1286"/>
    </row>
    <row r="197" spans="1:17">
      <c r="A197" s="1286" t="s">
        <v>11</v>
      </c>
      <c r="B197" s="1286"/>
      <c r="C197" s="1286"/>
      <c r="D197" s="1286"/>
      <c r="E197" s="1286"/>
      <c r="F197" s="1286"/>
      <c r="G197" s="1286"/>
      <c r="H197" s="1286"/>
      <c r="I197" s="1286"/>
      <c r="J197" s="1286"/>
      <c r="K197" s="1286"/>
      <c r="L197" s="1286"/>
      <c r="M197" s="1286"/>
      <c r="N197" s="1286"/>
      <c r="O197" s="1286"/>
      <c r="P197" s="1286"/>
      <c r="Q197" s="1286"/>
    </row>
    <row r="200" spans="1:17">
      <c r="A200" s="76"/>
      <c r="B200" s="71"/>
      <c r="C200" s="71"/>
      <c r="D200" s="71"/>
      <c r="E200" s="1287" t="s">
        <v>361</v>
      </c>
      <c r="F200" s="1287"/>
      <c r="G200" s="1287"/>
      <c r="H200" s="71"/>
      <c r="I200" s="1287" t="s">
        <v>362</v>
      </c>
      <c r="J200" s="1287"/>
      <c r="K200" s="1287"/>
      <c r="L200" s="1287"/>
      <c r="M200" s="1287"/>
      <c r="N200" s="71"/>
      <c r="O200" s="1287" t="s">
        <v>363</v>
      </c>
      <c r="P200" s="1287"/>
      <c r="Q200" s="1287"/>
    </row>
    <row r="201" spans="1:17">
      <c r="A201" s="76"/>
      <c r="B201" s="71"/>
      <c r="C201" s="71"/>
      <c r="D201" s="71"/>
      <c r="E201" s="76"/>
      <c r="F201" s="76"/>
      <c r="G201" s="76"/>
      <c r="H201" s="71"/>
      <c r="I201" s="76"/>
      <c r="J201" s="76"/>
      <c r="K201" s="76"/>
      <c r="L201" s="76"/>
      <c r="M201" s="76" t="s">
        <v>364</v>
      </c>
      <c r="N201" s="71"/>
      <c r="O201" s="76" t="s">
        <v>365</v>
      </c>
      <c r="P201" s="76"/>
      <c r="Q201" s="76" t="s">
        <v>366</v>
      </c>
    </row>
    <row r="202" spans="1:17">
      <c r="A202" s="76" t="s">
        <v>1</v>
      </c>
      <c r="B202" s="71"/>
      <c r="C202" s="71"/>
      <c r="D202" s="71"/>
      <c r="E202" s="76" t="s">
        <v>364</v>
      </c>
      <c r="F202" s="76"/>
      <c r="G202" s="76" t="s">
        <v>109</v>
      </c>
      <c r="H202" s="71"/>
      <c r="I202" s="76" t="s">
        <v>364</v>
      </c>
      <c r="J202" s="76"/>
      <c r="K202" s="76" t="s">
        <v>109</v>
      </c>
      <c r="L202" s="76"/>
      <c r="M202" s="76" t="s">
        <v>367</v>
      </c>
      <c r="N202" s="71"/>
      <c r="O202" s="76" t="s">
        <v>368</v>
      </c>
      <c r="P202" s="71"/>
      <c r="Q202" s="76" t="s">
        <v>368</v>
      </c>
    </row>
    <row r="203" spans="1:17">
      <c r="A203" s="79" t="s">
        <v>2</v>
      </c>
      <c r="B203" s="71"/>
      <c r="C203" s="366" t="s">
        <v>3</v>
      </c>
      <c r="D203" s="71"/>
      <c r="E203" s="79" t="s">
        <v>369</v>
      </c>
      <c r="F203" s="76"/>
      <c r="G203" s="79" t="s">
        <v>77</v>
      </c>
      <c r="H203" s="71"/>
      <c r="I203" s="79" t="s">
        <v>369</v>
      </c>
      <c r="J203" s="76"/>
      <c r="K203" s="79" t="s">
        <v>77</v>
      </c>
      <c r="L203" s="76"/>
      <c r="M203" s="79" t="s">
        <v>369</v>
      </c>
      <c r="N203" s="71"/>
      <c r="O203" s="79" t="s">
        <v>76</v>
      </c>
      <c r="P203" s="76"/>
      <c r="Q203" s="79" t="s">
        <v>76</v>
      </c>
    </row>
    <row r="204" spans="1:17">
      <c r="A204" s="76"/>
      <c r="B204" s="71"/>
      <c r="C204" s="71"/>
      <c r="D204" s="71"/>
      <c r="E204" s="76" t="s">
        <v>8</v>
      </c>
      <c r="F204" s="76"/>
      <c r="G204" s="76" t="s">
        <v>9</v>
      </c>
      <c r="H204" s="76"/>
      <c r="I204" s="76" t="s">
        <v>370</v>
      </c>
      <c r="J204" s="76"/>
      <c r="K204" s="76" t="s">
        <v>79</v>
      </c>
      <c r="L204" s="76"/>
      <c r="M204" s="76" t="s">
        <v>371</v>
      </c>
      <c r="N204" s="76"/>
      <c r="O204" s="76" t="s">
        <v>372</v>
      </c>
      <c r="P204" s="76"/>
      <c r="Q204" s="76" t="s">
        <v>82</v>
      </c>
    </row>
    <row r="206" spans="1:17">
      <c r="C206" s="70" t="s">
        <v>412</v>
      </c>
      <c r="E206" s="70" t="s">
        <v>413</v>
      </c>
    </row>
    <row r="207" spans="1:17">
      <c r="A207" s="76">
        <f>A191+1</f>
        <v>124</v>
      </c>
      <c r="B207" s="71"/>
      <c r="C207" s="71" t="s">
        <v>375</v>
      </c>
      <c r="D207" s="71"/>
      <c r="E207" s="86">
        <v>14207.541566320178</v>
      </c>
      <c r="F207" s="76"/>
      <c r="G207" s="367">
        <v>2.3735925245327887</v>
      </c>
      <c r="H207" s="76"/>
      <c r="I207" s="86">
        <v>22547.375616320176</v>
      </c>
      <c r="J207" s="76"/>
      <c r="K207" s="367">
        <v>3.7668925310483501</v>
      </c>
      <c r="L207" s="82"/>
      <c r="M207" s="368">
        <f>I207-E207</f>
        <v>8339.8340499999977</v>
      </c>
      <c r="N207" s="82"/>
      <c r="O207" s="332">
        <f>M207/E207</f>
        <v>0.5870005032939738</v>
      </c>
      <c r="P207" s="334"/>
      <c r="Q207" s="332">
        <f>O207</f>
        <v>0.5870005032939738</v>
      </c>
    </row>
    <row r="208" spans="1:17">
      <c r="A208" s="76">
        <f>A207+1</f>
        <v>125</v>
      </c>
      <c r="B208" s="71"/>
      <c r="C208" s="71" t="s">
        <v>376</v>
      </c>
      <c r="D208" s="71"/>
      <c r="E208" s="86">
        <v>91281.467499999999</v>
      </c>
      <c r="F208" s="369"/>
      <c r="G208" s="367">
        <v>15.25</v>
      </c>
      <c r="H208" s="82"/>
      <c r="I208" s="86">
        <v>91281.467499999999</v>
      </c>
      <c r="J208" s="369"/>
      <c r="K208" s="367">
        <v>15.25</v>
      </c>
      <c r="L208" s="82"/>
      <c r="M208" s="368">
        <f>I208-E208</f>
        <v>0</v>
      </c>
      <c r="N208" s="82"/>
      <c r="O208" s="333">
        <f>IFERROR(M208/E208,"100.0%")</f>
        <v>0</v>
      </c>
      <c r="P208" s="334"/>
      <c r="Q208" s="333">
        <v>0</v>
      </c>
    </row>
    <row r="209" spans="1:17">
      <c r="A209" s="76">
        <f>A208+1</f>
        <v>126</v>
      </c>
      <c r="B209" s="71"/>
      <c r="C209" s="71" t="s">
        <v>377</v>
      </c>
      <c r="D209" s="71"/>
      <c r="E209" s="86">
        <v>21361.019393109204</v>
      </c>
      <c r="F209" s="369"/>
      <c r="G209" s="367">
        <v>3.5686931276046296</v>
      </c>
      <c r="H209" s="82"/>
      <c r="I209" s="86">
        <v>21373.589300109201</v>
      </c>
      <c r="J209" s="369"/>
      <c r="K209" s="367">
        <v>3.5707931276046296</v>
      </c>
      <c r="L209" s="82"/>
      <c r="M209" s="368">
        <f>I209-E209</f>
        <v>12.569906999997329</v>
      </c>
      <c r="N209" s="82"/>
      <c r="O209" s="333">
        <f>IFERROR(M209/E209,"100.0%")</f>
        <v>5.8845070867976571E-4</v>
      </c>
      <c r="P209" s="334"/>
      <c r="Q209" s="332">
        <f>O209</f>
        <v>5.8845070867976571E-4</v>
      </c>
    </row>
    <row r="210" spans="1:17">
      <c r="A210" s="76">
        <f>A209+1</f>
        <v>127</v>
      </c>
      <c r="B210" s="71"/>
      <c r="C210" s="71" t="s">
        <v>378</v>
      </c>
      <c r="D210" s="71"/>
      <c r="E210" s="86">
        <v>58103.710134305948</v>
      </c>
      <c r="F210" s="76"/>
      <c r="G210" s="367">
        <v>9.7071355644908497</v>
      </c>
      <c r="H210" s="76"/>
      <c r="I210" s="86">
        <v>58111.491505305945</v>
      </c>
      <c r="J210" s="76"/>
      <c r="K210" s="367">
        <v>9.7084355644908502</v>
      </c>
      <c r="L210" s="82"/>
      <c r="M210" s="368">
        <f>I210-E210</f>
        <v>7.7813709999973071</v>
      </c>
      <c r="N210" s="71"/>
      <c r="O210" s="332">
        <f>M210/E210</f>
        <v>1.339221020828235E-4</v>
      </c>
      <c r="P210" s="334"/>
      <c r="Q210" s="332">
        <f>O210</f>
        <v>1.339221020828235E-4</v>
      </c>
    </row>
    <row r="211" spans="1:17">
      <c r="A211" s="76">
        <f>A210+1</f>
        <v>128</v>
      </c>
      <c r="B211" s="71"/>
      <c r="C211" s="71" t="s">
        <v>379</v>
      </c>
      <c r="D211" s="71"/>
      <c r="E211" s="370">
        <f>SUM(E207:E210)</f>
        <v>184953.73859373532</v>
      </c>
      <c r="F211" s="76"/>
      <c r="G211" s="371">
        <v>30.899421216628269</v>
      </c>
      <c r="H211" s="76"/>
      <c r="I211" s="370">
        <f>SUM(I207:I210)</f>
        <v>193313.92392173532</v>
      </c>
      <c r="J211" s="76"/>
      <c r="K211" s="371">
        <v>32.296121223143828</v>
      </c>
      <c r="L211" s="82"/>
      <c r="M211" s="372">
        <f>SUM(M207:M210)</f>
        <v>8360.1853279999923</v>
      </c>
      <c r="N211" s="71"/>
      <c r="O211" s="373">
        <f>M211/E211</f>
        <v>4.5201494122612804E-2</v>
      </c>
      <c r="P211" s="374"/>
      <c r="Q211" s="373">
        <f>(M207+M210+M209)/(E207+E210+E209)</f>
        <v>8.9249307509947931E-2</v>
      </c>
    </row>
    <row r="212" spans="1:17">
      <c r="A212" s="76"/>
      <c r="B212" s="71"/>
      <c r="C212" s="71"/>
      <c r="D212" s="71"/>
      <c r="E212" s="86"/>
      <c r="F212" s="76"/>
      <c r="G212" s="82"/>
      <c r="H212" s="76"/>
      <c r="I212" s="86"/>
      <c r="J212" s="76"/>
      <c r="K212" s="82"/>
      <c r="L212" s="82"/>
      <c r="M212" s="368"/>
      <c r="N212" s="71"/>
      <c r="O212" s="374"/>
      <c r="P212" s="374"/>
      <c r="Q212" s="374"/>
    </row>
    <row r="213" spans="1:17">
      <c r="A213" s="76">
        <f>A211+1</f>
        <v>129</v>
      </c>
      <c r="B213" s="71"/>
      <c r="C213" s="71" t="s">
        <v>380</v>
      </c>
      <c r="D213" s="71"/>
      <c r="E213" s="370">
        <v>184961.51996473531</v>
      </c>
      <c r="F213" s="76"/>
      <c r="G213" s="375">
        <v>30.90072121662827</v>
      </c>
      <c r="H213" s="76"/>
      <c r="I213" s="370">
        <v>193313.92392173532</v>
      </c>
      <c r="J213" s="76"/>
      <c r="K213" s="375">
        <v>32.296121223143828</v>
      </c>
      <c r="L213" s="82"/>
      <c r="M213" s="372">
        <v>8352.403956999995</v>
      </c>
      <c r="N213" s="71"/>
      <c r="O213" s="376">
        <v>4.5157522270537466E-2</v>
      </c>
      <c r="P213" s="374"/>
      <c r="Q213" s="376">
        <v>8.9158830906335723E-2</v>
      </c>
    </row>
    <row r="214" spans="1:17">
      <c r="A214" s="76">
        <f>A213+1</f>
        <v>130</v>
      </c>
      <c r="B214" s="71"/>
      <c r="C214" s="71" t="s">
        <v>381</v>
      </c>
      <c r="D214" s="71"/>
      <c r="E214" s="85"/>
      <c r="F214" s="85"/>
      <c r="G214" s="85"/>
      <c r="H214" s="85"/>
      <c r="I214" s="85"/>
      <c r="J214" s="85"/>
      <c r="K214" s="85"/>
      <c r="L214" s="85"/>
      <c r="M214" s="368"/>
      <c r="N214" s="71"/>
      <c r="O214" s="376">
        <v>6.584471488448547E-2</v>
      </c>
      <c r="P214" s="374"/>
      <c r="Q214" s="376">
        <v>0.23482546753935338</v>
      </c>
    </row>
    <row r="215" spans="1:17">
      <c r="A215" s="76">
        <f>A214+1</f>
        <v>131</v>
      </c>
      <c r="B215" s="71"/>
      <c r="C215" s="71" t="s">
        <v>382</v>
      </c>
      <c r="D215" s="71"/>
      <c r="E215" s="370">
        <v>164080.03699742141</v>
      </c>
      <c r="F215" s="76"/>
      <c r="G215" s="375">
        <v>27.412142165776167</v>
      </c>
      <c r="H215" s="76"/>
      <c r="I215" s="370">
        <v>172516.24033442143</v>
      </c>
      <c r="J215" s="76"/>
      <c r="K215" s="375">
        <v>28.821542172291725</v>
      </c>
      <c r="L215" s="82"/>
      <c r="M215" s="372">
        <v>8436.203336999999</v>
      </c>
      <c r="N215" s="71"/>
      <c r="O215" s="376">
        <v>5.1415172079297966E-2</v>
      </c>
      <c r="P215" s="374"/>
      <c r="Q215" s="376">
        <v>0.11588419106640298</v>
      </c>
    </row>
    <row r="216" spans="1:17">
      <c r="A216" s="76">
        <f>A215+1</f>
        <v>132</v>
      </c>
      <c r="B216" s="71"/>
      <c r="C216" s="71" t="s">
        <v>383</v>
      </c>
      <c r="D216" s="71"/>
      <c r="E216" s="85"/>
      <c r="F216" s="85"/>
      <c r="G216" s="85"/>
      <c r="H216" s="85"/>
      <c r="I216" s="85"/>
      <c r="J216" s="85"/>
      <c r="K216" s="85"/>
      <c r="L216" s="85"/>
      <c r="M216" s="368"/>
      <c r="N216" s="71"/>
      <c r="O216" s="376">
        <v>7.9610447589163996E-2</v>
      </c>
      <c r="P216" s="374"/>
      <c r="Q216" s="376">
        <v>0.57439630548219622</v>
      </c>
    </row>
    <row r="217" spans="1:17">
      <c r="A217" s="76"/>
      <c r="B217" s="71"/>
      <c r="C217" s="71"/>
      <c r="D217" s="71"/>
      <c r="E217" s="76"/>
      <c r="F217" s="76"/>
      <c r="G217" s="76"/>
      <c r="H217" s="76"/>
      <c r="I217" s="76"/>
      <c r="J217" s="76"/>
      <c r="K217" s="76"/>
      <c r="L217" s="76"/>
      <c r="M217" s="368"/>
      <c r="N217" s="76"/>
      <c r="O217" s="378"/>
      <c r="P217" s="378"/>
      <c r="Q217" s="378"/>
    </row>
    <row r="218" spans="1:17">
      <c r="A218" s="76"/>
      <c r="B218" s="71"/>
      <c r="C218" s="81" t="s">
        <v>414</v>
      </c>
      <c r="D218" s="71"/>
      <c r="E218" s="71" t="s">
        <v>392</v>
      </c>
      <c r="F218" s="71"/>
      <c r="G218" s="71"/>
      <c r="H218" s="76"/>
      <c r="I218" s="76"/>
      <c r="J218" s="76"/>
      <c r="K218" s="76"/>
      <c r="L218" s="76"/>
      <c r="M218" s="368"/>
      <c r="N218" s="76"/>
      <c r="O218" s="378"/>
      <c r="P218" s="378"/>
      <c r="Q218" s="378"/>
    </row>
    <row r="219" spans="1:17">
      <c r="A219" s="76">
        <f>A216+1</f>
        <v>133</v>
      </c>
      <c r="B219" s="71"/>
      <c r="C219" s="71" t="s">
        <v>375</v>
      </c>
      <c r="D219" s="71"/>
      <c r="E219" s="86">
        <v>29459.703393456006</v>
      </c>
      <c r="F219" s="76"/>
      <c r="G219" s="367">
        <v>8.6853613316084299</v>
      </c>
      <c r="H219" s="76"/>
      <c r="I219" s="86">
        <v>15048.731948456003</v>
      </c>
      <c r="J219" s="76"/>
      <c r="K219" s="367">
        <v>4.4366934999044787</v>
      </c>
      <c r="L219" s="82"/>
      <c r="M219" s="368">
        <f>I219-E219</f>
        <v>-14410.971445000003</v>
      </c>
      <c r="N219" s="82"/>
      <c r="O219" s="332">
        <f>M219/E219</f>
        <v>-0.48917571411126853</v>
      </c>
      <c r="P219" s="334"/>
      <c r="Q219" s="332">
        <f>O219</f>
        <v>-0.48917571411126853</v>
      </c>
    </row>
    <row r="220" spans="1:17">
      <c r="A220" s="76">
        <f>A219+1</f>
        <v>134</v>
      </c>
      <c r="B220" s="71"/>
      <c r="C220" s="71" t="s">
        <v>376</v>
      </c>
      <c r="D220" s="71"/>
      <c r="E220" s="86">
        <v>51726.17</v>
      </c>
      <c r="F220" s="369"/>
      <c r="G220" s="367">
        <v>15.25</v>
      </c>
      <c r="H220" s="82"/>
      <c r="I220" s="86">
        <v>51726.17</v>
      </c>
      <c r="J220" s="369"/>
      <c r="K220" s="367">
        <v>15.25</v>
      </c>
      <c r="L220" s="82"/>
      <c r="M220" s="368">
        <f>I220-E220</f>
        <v>0</v>
      </c>
      <c r="N220" s="82"/>
      <c r="O220" s="333">
        <f>IFERROR(M220/E220,"100.0%")</f>
        <v>0</v>
      </c>
      <c r="P220" s="334"/>
      <c r="Q220" s="333">
        <v>0</v>
      </c>
    </row>
    <row r="221" spans="1:17">
      <c r="A221" s="76">
        <f>A220+1</f>
        <v>135</v>
      </c>
      <c r="B221" s="71"/>
      <c r="C221" s="71" t="s">
        <v>377</v>
      </c>
      <c r="D221" s="71"/>
      <c r="E221" s="86">
        <v>13108.207464561845</v>
      </c>
      <c r="F221" s="369"/>
      <c r="G221" s="367">
        <v>3.864584674151752</v>
      </c>
      <c r="H221" s="82"/>
      <c r="I221" s="86">
        <v>13115.330412561845</v>
      </c>
      <c r="J221" s="369"/>
      <c r="K221" s="367">
        <v>3.866684674151752</v>
      </c>
      <c r="L221" s="82"/>
      <c r="M221" s="368">
        <f>I221-E221</f>
        <v>7.1229480000001786</v>
      </c>
      <c r="N221" s="82"/>
      <c r="O221" s="333">
        <f>IFERROR(M221/E221,"100.0%")</f>
        <v>5.4339603788367951E-4</v>
      </c>
      <c r="P221" s="334"/>
      <c r="Q221" s="332">
        <f>O221</f>
        <v>5.4339603788367951E-4</v>
      </c>
    </row>
    <row r="222" spans="1:17">
      <c r="A222" s="76">
        <f>A221+1</f>
        <v>136</v>
      </c>
      <c r="B222" s="71"/>
      <c r="C222" s="71" t="s">
        <v>378</v>
      </c>
      <c r="D222" s="71"/>
      <c r="E222" s="86">
        <v>32925.438978485225</v>
      </c>
      <c r="F222" s="76"/>
      <c r="G222" s="367">
        <v>9.7071355644908497</v>
      </c>
      <c r="H222" s="76"/>
      <c r="I222" s="86">
        <v>32929.848422485229</v>
      </c>
      <c r="J222" s="76"/>
      <c r="K222" s="367">
        <v>9.708435564490852</v>
      </c>
      <c r="L222" s="82"/>
      <c r="M222" s="368">
        <f>I222-E222</f>
        <v>4.4094440000044415</v>
      </c>
      <c r="N222" s="71"/>
      <c r="O222" s="332">
        <f>M222/E222</f>
        <v>1.3392210208300472E-4</v>
      </c>
      <c r="P222" s="334"/>
      <c r="Q222" s="332">
        <f>O222</f>
        <v>1.3392210208300472E-4</v>
      </c>
    </row>
    <row r="223" spans="1:17">
      <c r="A223" s="76">
        <f>A222+1</f>
        <v>137</v>
      </c>
      <c r="B223" s="71"/>
      <c r="C223" s="71" t="s">
        <v>379</v>
      </c>
      <c r="D223" s="71"/>
      <c r="E223" s="370">
        <f>SUM(E219:E222)</f>
        <v>127219.51983650307</v>
      </c>
      <c r="F223" s="76"/>
      <c r="G223" s="371">
        <v>37.507081570251032</v>
      </c>
      <c r="H223" s="76"/>
      <c r="I223" s="370">
        <f>SUM(I219:I222)</f>
        <v>112820.08078350307</v>
      </c>
      <c r="J223" s="76"/>
      <c r="K223" s="371">
        <v>33.261813738547083</v>
      </c>
      <c r="L223" s="82"/>
      <c r="M223" s="372">
        <f>SUM(M219:M222)</f>
        <v>-14399.439052999998</v>
      </c>
      <c r="N223" s="71"/>
      <c r="O223" s="373">
        <f>M223/E223</f>
        <v>-0.1131857679663115</v>
      </c>
      <c r="P223" s="374"/>
      <c r="Q223" s="373">
        <f>(M219+M222+M221)/(E219+E222+E221)</f>
        <v>-0.19073784756120971</v>
      </c>
    </row>
    <row r="224" spans="1:17">
      <c r="A224" s="76"/>
      <c r="B224" s="71"/>
      <c r="C224" s="71"/>
      <c r="D224" s="71"/>
      <c r="E224" s="86"/>
      <c r="F224" s="76"/>
      <c r="G224" s="82"/>
      <c r="H224" s="76"/>
      <c r="I224" s="86"/>
      <c r="J224" s="76"/>
      <c r="K224" s="82"/>
      <c r="L224" s="82"/>
      <c r="M224" s="368"/>
      <c r="N224" s="71"/>
      <c r="O224" s="374"/>
      <c r="P224" s="374"/>
      <c r="Q224" s="374"/>
    </row>
    <row r="225" spans="1:17">
      <c r="A225" s="76">
        <f>A223+1</f>
        <v>138</v>
      </c>
      <c r="B225" s="71"/>
      <c r="C225" s="71" t="s">
        <v>380</v>
      </c>
      <c r="D225" s="71"/>
      <c r="E225" s="370">
        <v>127223.92928050307</v>
      </c>
      <c r="F225" s="76"/>
      <c r="G225" s="375">
        <v>37.508381570251032</v>
      </c>
      <c r="H225" s="76"/>
      <c r="I225" s="370">
        <v>112820.08078350307</v>
      </c>
      <c r="J225" s="76"/>
      <c r="K225" s="375">
        <v>33.261813738547083</v>
      </c>
      <c r="L225" s="82"/>
      <c r="M225" s="372">
        <v>-14403.848497000003</v>
      </c>
      <c r="N225" s="71"/>
      <c r="O225" s="376">
        <v>-0.11321650398992493</v>
      </c>
      <c r="P225" s="374"/>
      <c r="Q225" s="376">
        <v>-0.19078511248902355</v>
      </c>
    </row>
    <row r="226" spans="1:17">
      <c r="A226" s="76">
        <f>A225+1</f>
        <v>139</v>
      </c>
      <c r="B226" s="71"/>
      <c r="C226" s="71" t="s">
        <v>381</v>
      </c>
      <c r="D226" s="71"/>
      <c r="E226" s="85"/>
      <c r="F226" s="85"/>
      <c r="G226" s="85"/>
      <c r="H226" s="85"/>
      <c r="I226" s="85"/>
      <c r="J226" s="85"/>
      <c r="K226" s="85"/>
      <c r="L226" s="85"/>
      <c r="M226" s="368"/>
      <c r="N226" s="71"/>
      <c r="O226" s="376">
        <v>-0.15275453523629359</v>
      </c>
      <c r="P226" s="374"/>
      <c r="Q226" s="376">
        <v>-0.33837339457515275</v>
      </c>
    </row>
    <row r="227" spans="1:17">
      <c r="A227" s="76">
        <f>A226+1</f>
        <v>140</v>
      </c>
      <c r="B227" s="71"/>
      <c r="C227" s="71" t="s">
        <v>382</v>
      </c>
      <c r="D227" s="71"/>
      <c r="E227" s="370">
        <v>115391.07821719476</v>
      </c>
      <c r="F227" s="76"/>
      <c r="G227" s="375">
        <v>34.019799703171913</v>
      </c>
      <c r="H227" s="76"/>
      <c r="I227" s="370">
        <v>101034.71604019476</v>
      </c>
      <c r="J227" s="76"/>
      <c r="K227" s="375">
        <v>29.787231871467966</v>
      </c>
      <c r="L227" s="82"/>
      <c r="M227" s="372">
        <v>-14356.362177000003</v>
      </c>
      <c r="N227" s="71"/>
      <c r="O227" s="376">
        <v>-0.12441483690773521</v>
      </c>
      <c r="P227" s="374"/>
      <c r="Q227" s="376">
        <v>-0.22549882783185421</v>
      </c>
    </row>
    <row r="228" spans="1:17">
      <c r="A228" s="76">
        <f>A227+1</f>
        <v>141</v>
      </c>
      <c r="B228" s="71"/>
      <c r="C228" s="71" t="s">
        <v>383</v>
      </c>
      <c r="D228" s="71"/>
      <c r="E228" s="85"/>
      <c r="F228" s="85"/>
      <c r="G228" s="85"/>
      <c r="H228" s="85"/>
      <c r="I228" s="85"/>
      <c r="J228" s="85"/>
      <c r="K228" s="85"/>
      <c r="L228" s="85"/>
      <c r="M228" s="368"/>
      <c r="N228" s="71"/>
      <c r="O228" s="376">
        <v>-0.17409832733201686</v>
      </c>
      <c r="P228" s="374"/>
      <c r="Q228" s="376">
        <v>-0.46710051234294908</v>
      </c>
    </row>
    <row r="229" spans="1:17">
      <c r="A229" s="76"/>
      <c r="B229" s="71"/>
      <c r="C229" s="71"/>
      <c r="D229" s="71"/>
      <c r="E229" s="76"/>
      <c r="F229" s="76"/>
      <c r="G229" s="76"/>
      <c r="H229" s="76"/>
      <c r="I229" s="76"/>
      <c r="J229" s="76"/>
      <c r="K229" s="76"/>
      <c r="L229" s="76"/>
      <c r="M229" s="368"/>
      <c r="N229" s="76"/>
      <c r="O229" s="378"/>
      <c r="P229" s="378"/>
      <c r="Q229" s="374"/>
    </row>
    <row r="230" spans="1:17">
      <c r="A230" s="76"/>
      <c r="B230" s="71"/>
      <c r="C230" s="81" t="s">
        <v>415</v>
      </c>
      <c r="D230" s="71"/>
      <c r="E230" s="71" t="s">
        <v>416</v>
      </c>
      <c r="F230" s="71"/>
      <c r="G230" s="71"/>
      <c r="H230" s="71"/>
      <c r="I230" s="71"/>
      <c r="J230" s="71"/>
      <c r="K230" s="71"/>
      <c r="L230" s="71"/>
      <c r="M230" s="368"/>
      <c r="N230" s="71"/>
      <c r="O230" s="374"/>
      <c r="P230" s="374"/>
      <c r="Q230" s="374"/>
    </row>
    <row r="231" spans="1:17">
      <c r="A231" s="76">
        <f>A228+1</f>
        <v>142</v>
      </c>
      <c r="B231" s="71"/>
      <c r="C231" s="71" t="s">
        <v>375</v>
      </c>
      <c r="D231" s="71"/>
      <c r="E231" s="86">
        <v>47584.400452738417</v>
      </c>
      <c r="F231" s="76"/>
      <c r="G231" s="367">
        <v>7.9497199900325972</v>
      </c>
      <c r="H231" s="76"/>
      <c r="I231" s="86">
        <v>24400.653402738411</v>
      </c>
      <c r="J231" s="76"/>
      <c r="K231" s="367">
        <v>4.076511635746443</v>
      </c>
      <c r="L231" s="82"/>
      <c r="M231" s="368">
        <f>I231-E231</f>
        <v>-23183.747050000005</v>
      </c>
      <c r="N231" s="82"/>
      <c r="O231" s="332">
        <f>M231/E231</f>
        <v>-0.48721317972738715</v>
      </c>
      <c r="P231" s="334"/>
      <c r="Q231" s="332">
        <f>O231</f>
        <v>-0.48721317972738715</v>
      </c>
    </row>
    <row r="232" spans="1:17">
      <c r="A232" s="76">
        <f>A231+1</f>
        <v>143</v>
      </c>
      <c r="B232" s="71"/>
      <c r="C232" s="71" t="s">
        <v>376</v>
      </c>
      <c r="D232" s="71"/>
      <c r="E232" s="86">
        <v>91281.467499999999</v>
      </c>
      <c r="F232" s="369"/>
      <c r="G232" s="367">
        <v>15.25</v>
      </c>
      <c r="H232" s="82"/>
      <c r="I232" s="86">
        <v>91281.467499999999</v>
      </c>
      <c r="J232" s="369"/>
      <c r="K232" s="367">
        <v>15.25</v>
      </c>
      <c r="L232" s="82"/>
      <c r="M232" s="368">
        <f>I232-E232</f>
        <v>0</v>
      </c>
      <c r="N232" s="82"/>
      <c r="O232" s="333">
        <f>IFERROR(M232/E232,"100.0%")</f>
        <v>0</v>
      </c>
      <c r="P232" s="334"/>
      <c r="Q232" s="333">
        <v>0</v>
      </c>
    </row>
    <row r="233" spans="1:17">
      <c r="A233" s="76">
        <f>A232+1</f>
        <v>144</v>
      </c>
      <c r="B233" s="71"/>
      <c r="C233" s="71" t="s">
        <v>377</v>
      </c>
      <c r="D233" s="71"/>
      <c r="E233" s="86">
        <v>23132.128546529922</v>
      </c>
      <c r="F233" s="369"/>
      <c r="G233" s="367">
        <v>3.8645846741517524</v>
      </c>
      <c r="H233" s="82"/>
      <c r="I233" s="86">
        <v>23144.698453529923</v>
      </c>
      <c r="J233" s="369"/>
      <c r="K233" s="367">
        <v>3.8666846741517533</v>
      </c>
      <c r="L233" s="82"/>
      <c r="M233" s="368">
        <f>I233-E233</f>
        <v>12.569907000000967</v>
      </c>
      <c r="N233" s="82"/>
      <c r="O233" s="333">
        <f>IFERROR(M233/E233,"100.0%")</f>
        <v>5.4339603788370759E-4</v>
      </c>
      <c r="P233" s="334"/>
      <c r="Q233" s="332">
        <f>O233</f>
        <v>5.4339603788370759E-4</v>
      </c>
    </row>
    <row r="234" spans="1:17">
      <c r="A234" s="76">
        <f>A233+1</f>
        <v>145</v>
      </c>
      <c r="B234" s="71"/>
      <c r="C234" s="71" t="s">
        <v>378</v>
      </c>
      <c r="D234" s="71"/>
      <c r="E234" s="86">
        <v>58103.710134305948</v>
      </c>
      <c r="F234" s="76"/>
      <c r="G234" s="367">
        <v>9.7071355644908497</v>
      </c>
      <c r="H234" s="76"/>
      <c r="I234" s="86">
        <v>58111.491505305945</v>
      </c>
      <c r="J234" s="76"/>
      <c r="K234" s="367">
        <v>9.7084355644908502</v>
      </c>
      <c r="L234" s="82"/>
      <c r="M234" s="368">
        <f>I234-E234</f>
        <v>7.7813709999973071</v>
      </c>
      <c r="N234" s="71"/>
      <c r="O234" s="332">
        <f>M234/E234</f>
        <v>1.339221020828235E-4</v>
      </c>
      <c r="P234" s="334"/>
      <c r="Q234" s="332">
        <f>O234</f>
        <v>1.339221020828235E-4</v>
      </c>
    </row>
    <row r="235" spans="1:17">
      <c r="A235" s="76">
        <f>A234+1</f>
        <v>146</v>
      </c>
      <c r="B235" s="71"/>
      <c r="C235" s="71" t="s">
        <v>379</v>
      </c>
      <c r="D235" s="71"/>
      <c r="E235" s="370">
        <f>SUM(E231:E234)</f>
        <v>220101.70663357427</v>
      </c>
      <c r="F235" s="76"/>
      <c r="G235" s="371">
        <v>36.771440228675196</v>
      </c>
      <c r="H235" s="76"/>
      <c r="I235" s="370">
        <f>SUM(I231:I234)</f>
        <v>196938.31086157428</v>
      </c>
      <c r="J235" s="76"/>
      <c r="K235" s="371">
        <v>32.901631874389047</v>
      </c>
      <c r="L235" s="82"/>
      <c r="M235" s="372">
        <f>SUM(M231:M234)</f>
        <v>-23163.395772000007</v>
      </c>
      <c r="N235" s="71"/>
      <c r="O235" s="373">
        <f>M235/E235</f>
        <v>-0.10523951007141653</v>
      </c>
      <c r="P235" s="374"/>
      <c r="Q235" s="373">
        <f>(M231+M234+M233)/(E231+E234+E233)</f>
        <v>-0.17981177435932083</v>
      </c>
    </row>
    <row r="236" spans="1:17">
      <c r="A236" s="76"/>
      <c r="B236" s="71"/>
      <c r="C236" s="71"/>
      <c r="D236" s="71"/>
      <c r="E236" s="86"/>
      <c r="F236" s="76"/>
      <c r="G236" s="82"/>
      <c r="H236" s="76"/>
      <c r="I236" s="86"/>
      <c r="J236" s="76"/>
      <c r="K236" s="82"/>
      <c r="L236" s="82"/>
      <c r="M236" s="368"/>
      <c r="N236" s="71"/>
      <c r="O236" s="374"/>
      <c r="P236" s="374"/>
      <c r="Q236" s="374"/>
    </row>
    <row r="237" spans="1:17">
      <c r="A237" s="76">
        <f>A235+1</f>
        <v>147</v>
      </c>
      <c r="B237" s="71"/>
      <c r="C237" s="71" t="s">
        <v>380</v>
      </c>
      <c r="D237" s="71"/>
      <c r="E237" s="370">
        <v>220109.48800457429</v>
      </c>
      <c r="F237" s="76"/>
      <c r="G237" s="375">
        <v>36.772740228675197</v>
      </c>
      <c r="H237" s="76"/>
      <c r="I237" s="370">
        <v>196938.31086157428</v>
      </c>
      <c r="J237" s="76"/>
      <c r="K237" s="375">
        <v>32.901631874389047</v>
      </c>
      <c r="L237" s="82"/>
      <c r="M237" s="372">
        <v>-23171.177143000004</v>
      </c>
      <c r="N237" s="71"/>
      <c r="O237" s="376">
        <v>-0.10527114188970566</v>
      </c>
      <c r="P237" s="374"/>
      <c r="Q237" s="376">
        <v>-0.17986131473763711</v>
      </c>
    </row>
    <row r="238" spans="1:17">
      <c r="A238" s="76">
        <f>A237+1</f>
        <v>148</v>
      </c>
      <c r="B238" s="71"/>
      <c r="C238" s="71" t="s">
        <v>381</v>
      </c>
      <c r="D238" s="71"/>
      <c r="E238" s="85"/>
      <c r="F238" s="85"/>
      <c r="G238" s="85"/>
      <c r="H238" s="85"/>
      <c r="I238" s="85"/>
      <c r="J238" s="85"/>
      <c r="K238" s="85"/>
      <c r="L238" s="85"/>
      <c r="M238" s="368"/>
      <c r="N238" s="71"/>
      <c r="O238" s="376">
        <v>-0.14303372661219707</v>
      </c>
      <c r="P238" s="374"/>
      <c r="Q238" s="376">
        <v>-0.32766281760293614</v>
      </c>
    </row>
    <row r="239" spans="1:17">
      <c r="A239" s="76">
        <f>A238+1</f>
        <v>149</v>
      </c>
      <c r="B239" s="71"/>
      <c r="C239" s="71" t="s">
        <v>382</v>
      </c>
      <c r="D239" s="71"/>
      <c r="E239" s="370">
        <v>199227.98818025485</v>
      </c>
      <c r="F239" s="76"/>
      <c r="G239" s="375">
        <v>33.284158361596091</v>
      </c>
      <c r="H239" s="76"/>
      <c r="I239" s="370">
        <v>176140.61041725482</v>
      </c>
      <c r="J239" s="76"/>
      <c r="K239" s="375">
        <v>29.42705000730993</v>
      </c>
      <c r="L239" s="82"/>
      <c r="M239" s="372">
        <v>-23087.377763000004</v>
      </c>
      <c r="N239" s="71"/>
      <c r="O239" s="376">
        <v>-0.11588420870922671</v>
      </c>
      <c r="P239" s="374"/>
      <c r="Q239" s="376">
        <v>-0.21387792415641108</v>
      </c>
    </row>
    <row r="240" spans="1:17">
      <c r="A240" s="76">
        <f>A239+1</f>
        <v>150</v>
      </c>
      <c r="B240" s="71"/>
      <c r="C240" s="71" t="s">
        <v>383</v>
      </c>
      <c r="D240" s="71"/>
      <c r="E240" s="85"/>
      <c r="F240" s="85"/>
      <c r="G240" s="85"/>
      <c r="H240" s="85"/>
      <c r="I240" s="85"/>
      <c r="J240" s="85"/>
      <c r="K240" s="85"/>
      <c r="L240" s="85"/>
      <c r="M240" s="368"/>
      <c r="N240" s="71"/>
      <c r="O240" s="376">
        <v>-0.1636050944219514</v>
      </c>
      <c r="P240" s="374"/>
      <c r="Q240" s="376">
        <v>-0.4632760960558559</v>
      </c>
    </row>
    <row r="241" spans="1:17">
      <c r="A241" s="76"/>
      <c r="B241" s="71"/>
      <c r="C241" s="71"/>
      <c r="D241" s="71"/>
      <c r="E241" s="85"/>
      <c r="F241" s="85"/>
      <c r="G241" s="85"/>
      <c r="H241" s="85"/>
      <c r="I241" s="85"/>
      <c r="J241" s="85"/>
      <c r="K241" s="85"/>
      <c r="L241" s="85"/>
      <c r="M241" s="368"/>
      <c r="N241" s="71"/>
      <c r="O241" s="334"/>
      <c r="P241" s="334"/>
      <c r="Q241" s="334"/>
    </row>
    <row r="242" spans="1:17">
      <c r="A242" s="76"/>
      <c r="B242" s="71"/>
      <c r="C242" s="81" t="s">
        <v>417</v>
      </c>
      <c r="D242" s="71"/>
      <c r="E242" s="71" t="s">
        <v>401</v>
      </c>
      <c r="F242" s="71"/>
      <c r="G242" s="71"/>
      <c r="H242" s="76"/>
      <c r="I242" s="76"/>
      <c r="J242" s="76"/>
      <c r="K242" s="76"/>
      <c r="L242" s="76"/>
      <c r="M242" s="368"/>
      <c r="N242" s="76"/>
      <c r="O242" s="378"/>
      <c r="P242" s="378"/>
      <c r="Q242" s="378"/>
    </row>
    <row r="243" spans="1:17">
      <c r="A243" s="76">
        <f>A240+1</f>
        <v>151</v>
      </c>
      <c r="B243" s="71"/>
      <c r="C243" s="71" t="s">
        <v>375</v>
      </c>
      <c r="D243" s="71"/>
      <c r="E243" s="86">
        <v>102167.43368413835</v>
      </c>
      <c r="F243" s="76"/>
      <c r="G243" s="367">
        <v>1.0241199352467527</v>
      </c>
      <c r="H243" s="76"/>
      <c r="I243" s="86">
        <v>85437.445956138341</v>
      </c>
      <c r="J243" s="76"/>
      <c r="K243" s="367">
        <v>0.85641958954120778</v>
      </c>
      <c r="L243" s="82"/>
      <c r="M243" s="368">
        <f>I243-E243</f>
        <v>-16729.987728000007</v>
      </c>
      <c r="N243" s="82"/>
      <c r="O243" s="332">
        <f>M243/E243</f>
        <v>-0.163750689673997</v>
      </c>
      <c r="P243" s="334"/>
      <c r="Q243" s="332">
        <f>O243</f>
        <v>-0.163750689673997</v>
      </c>
    </row>
    <row r="244" spans="1:17">
      <c r="A244" s="76">
        <f>A243+1</f>
        <v>152</v>
      </c>
      <c r="B244" s="71"/>
      <c r="C244" s="71" t="s">
        <v>376</v>
      </c>
      <c r="D244" s="71"/>
      <c r="E244" s="86">
        <v>1521358.3</v>
      </c>
      <c r="F244" s="369"/>
      <c r="G244" s="367">
        <v>15.25</v>
      </c>
      <c r="H244" s="82"/>
      <c r="I244" s="86">
        <v>1521358.3</v>
      </c>
      <c r="J244" s="369"/>
      <c r="K244" s="367">
        <v>15.25</v>
      </c>
      <c r="L244" s="82"/>
      <c r="M244" s="368">
        <f>I244-E244</f>
        <v>0</v>
      </c>
      <c r="N244" s="82"/>
      <c r="O244" s="333">
        <f>IFERROR(M244/E244,"100.0%")</f>
        <v>0</v>
      </c>
      <c r="P244" s="334"/>
      <c r="Q244" s="333">
        <v>0</v>
      </c>
    </row>
    <row r="245" spans="1:17">
      <c r="A245" s="76">
        <f>A244+1</f>
        <v>153</v>
      </c>
      <c r="B245" s="71"/>
      <c r="C245" s="71" t="s">
        <v>377</v>
      </c>
      <c r="D245" s="71"/>
      <c r="E245" s="86">
        <v>319939.07471623819</v>
      </c>
      <c r="F245" s="369"/>
      <c r="G245" s="367">
        <v>3.2070491806056678</v>
      </c>
      <c r="H245" s="82"/>
      <c r="I245" s="380">
        <v>320148.57323623821</v>
      </c>
      <c r="J245" s="369"/>
      <c r="K245" s="381">
        <v>3.2091491806056687</v>
      </c>
      <c r="L245" s="82"/>
      <c r="M245" s="368">
        <f>I245-E245</f>
        <v>209.49852000002284</v>
      </c>
      <c r="N245" s="82"/>
      <c r="O245" s="333">
        <f>IFERROR(M245/E245,"100.0%")</f>
        <v>6.5480754479843454E-4</v>
      </c>
      <c r="P245" s="334"/>
      <c r="Q245" s="332">
        <f>O245</f>
        <v>6.5480754479843454E-4</v>
      </c>
    </row>
    <row r="246" spans="1:17">
      <c r="A246" s="76">
        <f>A245+1</f>
        <v>154</v>
      </c>
      <c r="B246" s="71"/>
      <c r="C246" s="71" t="s">
        <v>378</v>
      </c>
      <c r="D246" s="71"/>
      <c r="E246" s="86">
        <v>968002.3204944348</v>
      </c>
      <c r="F246" s="76"/>
      <c r="G246" s="367">
        <v>9.7031944332509514</v>
      </c>
      <c r="H246" s="76"/>
      <c r="I246" s="86">
        <v>968132.01005443453</v>
      </c>
      <c r="J246" s="76"/>
      <c r="K246" s="367">
        <v>9.7044944332509484</v>
      </c>
      <c r="L246" s="82"/>
      <c r="M246" s="368">
        <f>I246-E246</f>
        <v>129.68955999973696</v>
      </c>
      <c r="N246" s="71"/>
      <c r="O246" s="332">
        <f>M246/E246</f>
        <v>1.3397649701241864E-4</v>
      </c>
      <c r="P246" s="334"/>
      <c r="Q246" s="332">
        <f>O246</f>
        <v>1.3397649701241864E-4</v>
      </c>
    </row>
    <row r="247" spans="1:17">
      <c r="A247" s="76">
        <f>A246+1</f>
        <v>155</v>
      </c>
      <c r="B247" s="71"/>
      <c r="C247" s="71" t="s">
        <v>379</v>
      </c>
      <c r="D247" s="71"/>
      <c r="E247" s="370">
        <f>SUM(E243:E246)</f>
        <v>2911467.1288948115</v>
      </c>
      <c r="F247" s="76"/>
      <c r="G247" s="371">
        <v>29.184363549103377</v>
      </c>
      <c r="H247" s="76"/>
      <c r="I247" s="370">
        <f>SUM(I243:I246)</f>
        <v>2895076.3292468111</v>
      </c>
      <c r="J247" s="76"/>
      <c r="K247" s="371">
        <v>29.020063203397822</v>
      </c>
      <c r="L247" s="82"/>
      <c r="M247" s="372">
        <f>SUM(M243:M246)</f>
        <v>-16390.799648000248</v>
      </c>
      <c r="N247" s="71"/>
      <c r="O247" s="373">
        <f>M247/E247</f>
        <v>-5.6297388644130667E-3</v>
      </c>
      <c r="P247" s="374"/>
      <c r="Q247" s="373">
        <f>(M243+M246+M245)/(E243+E246+E245)</f>
        <v>-1.1791019024770564E-2</v>
      </c>
    </row>
    <row r="248" spans="1:17">
      <c r="A248" s="76"/>
      <c r="B248" s="71"/>
      <c r="C248" s="71"/>
      <c r="D248" s="71"/>
      <c r="E248" s="86"/>
      <c r="F248" s="76"/>
      <c r="G248" s="82"/>
      <c r="H248" s="76"/>
      <c r="I248" s="86"/>
      <c r="J248" s="76"/>
      <c r="K248" s="82"/>
      <c r="L248" s="82"/>
      <c r="M248" s="368"/>
      <c r="N248" s="71"/>
      <c r="O248" s="374"/>
      <c r="P248" s="374"/>
      <c r="Q248" s="374"/>
    </row>
    <row r="249" spans="1:17">
      <c r="A249" s="76">
        <f>A247+1</f>
        <v>156</v>
      </c>
      <c r="B249" s="71"/>
      <c r="C249" s="71" t="s">
        <v>380</v>
      </c>
      <c r="D249" s="71"/>
      <c r="E249" s="370">
        <v>2911596.8184548113</v>
      </c>
      <c r="F249" s="76"/>
      <c r="G249" s="375">
        <v>29.185663549103374</v>
      </c>
      <c r="H249" s="76"/>
      <c r="I249" s="370">
        <v>2895076.3292468111</v>
      </c>
      <c r="J249" s="76"/>
      <c r="K249" s="375">
        <v>29.020063203397822</v>
      </c>
      <c r="L249" s="82"/>
      <c r="M249" s="372">
        <v>-16520.489207999985</v>
      </c>
      <c r="N249" s="71"/>
      <c r="O249" s="376">
        <v>-5.6740305193654639E-3</v>
      </c>
      <c r="P249" s="374"/>
      <c r="Q249" s="376">
        <v>-1.1883204923973607E-2</v>
      </c>
    </row>
    <row r="250" spans="1:17">
      <c r="A250" s="76">
        <f>A249+1</f>
        <v>157</v>
      </c>
      <c r="B250" s="71"/>
      <c r="C250" s="71" t="s">
        <v>381</v>
      </c>
      <c r="D250" s="71"/>
      <c r="E250" s="85"/>
      <c r="F250" s="85"/>
      <c r="G250" s="85"/>
      <c r="H250" s="85"/>
      <c r="I250" s="85"/>
      <c r="J250" s="85"/>
      <c r="K250" s="85"/>
      <c r="L250" s="85"/>
      <c r="M250" s="368"/>
      <c r="N250" s="71"/>
      <c r="O250" s="376">
        <v>-8.500534270850851E-3</v>
      </c>
      <c r="P250" s="374"/>
      <c r="Q250" s="376">
        <v>-3.9138200618148176E-2</v>
      </c>
    </row>
    <row r="251" spans="1:17">
      <c r="A251" s="76">
        <f>A250+1</f>
        <v>158</v>
      </c>
      <c r="B251" s="71"/>
      <c r="C251" s="71" t="s">
        <v>382</v>
      </c>
      <c r="D251" s="71"/>
      <c r="E251" s="370">
        <v>2563571.8871030356</v>
      </c>
      <c r="F251" s="76"/>
      <c r="G251" s="375">
        <v>25.69708350644374</v>
      </c>
      <c r="H251" s="76"/>
      <c r="I251" s="370">
        <v>2548448.0546950358</v>
      </c>
      <c r="J251" s="76"/>
      <c r="K251" s="375">
        <v>25.545483160738204</v>
      </c>
      <c r="L251" s="82"/>
      <c r="M251" s="372">
        <v>-15123.832408000017</v>
      </c>
      <c r="N251" s="71"/>
      <c r="O251" s="376">
        <v>-5.8995156266480608E-3</v>
      </c>
      <c r="P251" s="374"/>
      <c r="Q251" s="376">
        <v>-1.451126006717934E-2</v>
      </c>
    </row>
    <row r="252" spans="1:17">
      <c r="A252" s="76">
        <f>A251+1</f>
        <v>159</v>
      </c>
      <c r="B252" s="71"/>
      <c r="C252" s="71" t="s">
        <v>383</v>
      </c>
      <c r="D252" s="71"/>
      <c r="E252" s="85"/>
      <c r="F252" s="85"/>
      <c r="G252" s="85"/>
      <c r="H252" s="85"/>
      <c r="I252" s="85"/>
      <c r="J252" s="85"/>
      <c r="K252" s="85"/>
      <c r="L252" s="85"/>
      <c r="M252" s="368"/>
      <c r="N252" s="71"/>
      <c r="O252" s="376">
        <v>-9.4794123085211734E-3</v>
      </c>
      <c r="P252" s="374"/>
      <c r="Q252" s="376">
        <v>-0.20415105901536165</v>
      </c>
    </row>
    <row r="253" spans="1:17">
      <c r="A253" s="76"/>
      <c r="B253" s="71"/>
      <c r="C253" s="71"/>
      <c r="D253" s="71"/>
      <c r="E253" s="76"/>
      <c r="F253" s="76"/>
      <c r="G253" s="76"/>
      <c r="H253" s="76"/>
      <c r="I253" s="76"/>
      <c r="J253" s="76"/>
      <c r="K253" s="76"/>
      <c r="L253" s="76"/>
      <c r="M253" s="382"/>
      <c r="N253" s="76"/>
      <c r="O253" s="378"/>
      <c r="P253" s="378"/>
      <c r="Q253" s="374"/>
    </row>
    <row r="254" spans="1:17">
      <c r="A254" s="76"/>
      <c r="B254" s="71"/>
      <c r="C254" s="81" t="s">
        <v>418</v>
      </c>
      <c r="D254" s="71"/>
      <c r="E254" s="71" t="s">
        <v>403</v>
      </c>
      <c r="F254" s="71"/>
      <c r="G254" s="71"/>
      <c r="H254" s="71"/>
      <c r="I254" s="71"/>
      <c r="J254" s="71"/>
      <c r="K254" s="71"/>
      <c r="L254" s="71"/>
      <c r="M254" s="87"/>
      <c r="N254" s="71"/>
      <c r="O254" s="374"/>
      <c r="P254" s="374"/>
      <c r="Q254" s="374"/>
    </row>
    <row r="255" spans="1:17">
      <c r="A255" s="76">
        <f>A252+1</f>
        <v>160</v>
      </c>
      <c r="B255" s="71"/>
      <c r="C255" s="71" t="s">
        <v>375</v>
      </c>
      <c r="D255" s="71"/>
      <c r="E255" s="86">
        <v>110171.83325324468</v>
      </c>
      <c r="F255" s="76"/>
      <c r="G255" s="367">
        <v>1.1043554228466623</v>
      </c>
      <c r="H255" s="76"/>
      <c r="I255" s="86">
        <v>95106.961697244667</v>
      </c>
      <c r="J255" s="76"/>
      <c r="K255" s="367">
        <v>0.9533461121536585</v>
      </c>
      <c r="L255" s="82"/>
      <c r="M255" s="87">
        <f>I255-E255</f>
        <v>-15064.871556000013</v>
      </c>
      <c r="N255" s="82"/>
      <c r="O255" s="332">
        <f>M255/E255</f>
        <v>-0.13673977378021288</v>
      </c>
      <c r="P255" s="334"/>
      <c r="Q255" s="332">
        <f>O255</f>
        <v>-0.13673977378021288</v>
      </c>
    </row>
    <row r="256" spans="1:17">
      <c r="A256" s="76">
        <f>A255+1</f>
        <v>161</v>
      </c>
      <c r="B256" s="71"/>
      <c r="C256" s="71" t="s">
        <v>376</v>
      </c>
      <c r="D256" s="71"/>
      <c r="E256" s="86">
        <v>1521358.4524999999</v>
      </c>
      <c r="F256" s="369"/>
      <c r="G256" s="367">
        <v>15.25</v>
      </c>
      <c r="H256" s="82"/>
      <c r="I256" s="86">
        <v>1521358.4524999999</v>
      </c>
      <c r="J256" s="369"/>
      <c r="K256" s="367">
        <v>15.25</v>
      </c>
      <c r="L256" s="82"/>
      <c r="M256" s="87">
        <f>I256-E256</f>
        <v>0</v>
      </c>
      <c r="N256" s="82"/>
      <c r="O256" s="333">
        <f>IFERROR(M256/E256,"100.0%")</f>
        <v>0</v>
      </c>
      <c r="P256" s="334"/>
      <c r="Q256" s="333">
        <v>0</v>
      </c>
    </row>
    <row r="257" spans="1:17">
      <c r="A257" s="76">
        <f>A256+1</f>
        <v>162</v>
      </c>
      <c r="B257" s="71"/>
      <c r="C257" s="71" t="s">
        <v>377</v>
      </c>
      <c r="D257" s="71"/>
      <c r="E257" s="86">
        <v>319939.10678673</v>
      </c>
      <c r="F257" s="369"/>
      <c r="G257" s="367">
        <v>3.2070491806056687</v>
      </c>
      <c r="H257" s="82"/>
      <c r="I257" s="380">
        <v>320148.60532773001</v>
      </c>
      <c r="J257" s="369"/>
      <c r="K257" s="381">
        <v>3.2091491806056687</v>
      </c>
      <c r="L257" s="82"/>
      <c r="M257" s="87">
        <f>I257-E257</f>
        <v>209.49854100000812</v>
      </c>
      <c r="N257" s="82"/>
      <c r="O257" s="333">
        <f>IFERROR(M257/E257,"100.0%")</f>
        <v>6.5480754479838857E-4</v>
      </c>
      <c r="P257" s="334"/>
      <c r="Q257" s="332">
        <f>O257</f>
        <v>6.5480754479838857E-4</v>
      </c>
    </row>
    <row r="258" spans="1:17">
      <c r="A258" s="76">
        <f>A257+1</f>
        <v>163</v>
      </c>
      <c r="B258" s="71"/>
      <c r="C258" s="71" t="s">
        <v>378</v>
      </c>
      <c r="D258" s="71"/>
      <c r="E258" s="86">
        <v>968002.41752637911</v>
      </c>
      <c r="F258" s="76"/>
      <c r="G258" s="367">
        <v>9.7031944332509514</v>
      </c>
      <c r="H258" s="76"/>
      <c r="I258" s="86">
        <v>968132.10709937883</v>
      </c>
      <c r="J258" s="76"/>
      <c r="K258" s="367">
        <v>9.7044944332509484</v>
      </c>
      <c r="L258" s="82"/>
      <c r="M258" s="87">
        <f>I258-E258</f>
        <v>129.68957299971953</v>
      </c>
      <c r="N258" s="71"/>
      <c r="O258" s="332">
        <f>M258/E258</f>
        <v>1.3397649701240064E-4</v>
      </c>
      <c r="P258" s="334"/>
      <c r="Q258" s="332">
        <f>O258</f>
        <v>1.3397649701240064E-4</v>
      </c>
    </row>
    <row r="259" spans="1:17">
      <c r="A259" s="76">
        <f>A258+1</f>
        <v>164</v>
      </c>
      <c r="B259" s="71"/>
      <c r="C259" s="71" t="s">
        <v>379</v>
      </c>
      <c r="D259" s="71"/>
      <c r="E259" s="370">
        <f>SUM(E255:E258)</f>
        <v>2919471.8100663535</v>
      </c>
      <c r="F259" s="76"/>
      <c r="G259" s="371">
        <v>29.264599036703281</v>
      </c>
      <c r="H259" s="76"/>
      <c r="I259" s="370">
        <f>SUM(I255:I258)</f>
        <v>2904746.1266243537</v>
      </c>
      <c r="J259" s="76"/>
      <c r="K259" s="371">
        <v>29.116989726010278</v>
      </c>
      <c r="L259" s="82"/>
      <c r="M259" s="383">
        <f>SUM(M255:M258)</f>
        <v>-14725.683442000285</v>
      </c>
      <c r="N259" s="71"/>
      <c r="O259" s="373">
        <f>M259/E259</f>
        <v>-5.0439546603005562E-3</v>
      </c>
      <c r="P259" s="374"/>
      <c r="Q259" s="373">
        <f>(M255+M258+M257)/(E255+E258+E257)</f>
        <v>-1.0532538983557641E-2</v>
      </c>
    </row>
    <row r="260" spans="1:17">
      <c r="A260" s="76"/>
      <c r="B260" s="71"/>
      <c r="C260" s="71"/>
      <c r="D260" s="71"/>
      <c r="E260" s="86"/>
      <c r="F260" s="76"/>
      <c r="G260" s="82"/>
      <c r="H260" s="76"/>
      <c r="I260" s="86"/>
      <c r="J260" s="76"/>
      <c r="K260" s="82"/>
      <c r="L260" s="82"/>
      <c r="M260" s="87"/>
      <c r="N260" s="71"/>
      <c r="O260" s="374"/>
      <c r="P260" s="374"/>
      <c r="Q260" s="374"/>
    </row>
    <row r="261" spans="1:17">
      <c r="A261" s="76">
        <f>A259+1</f>
        <v>165</v>
      </c>
      <c r="B261" s="71"/>
      <c r="C261" s="71" t="s">
        <v>380</v>
      </c>
      <c r="D261" s="71"/>
      <c r="E261" s="370">
        <v>2919601.4996393532</v>
      </c>
      <c r="F261" s="76"/>
      <c r="G261" s="375">
        <v>29.265899036703274</v>
      </c>
      <c r="H261" s="76"/>
      <c r="I261" s="370">
        <v>2904746.1266243537</v>
      </c>
      <c r="J261" s="76"/>
      <c r="K261" s="375">
        <v>29.116989726010278</v>
      </c>
      <c r="L261" s="82"/>
      <c r="M261" s="383">
        <v>-14855.373015000005</v>
      </c>
      <c r="N261" s="71"/>
      <c r="O261" s="376">
        <v>-5.0881509058119849E-3</v>
      </c>
      <c r="P261" s="374"/>
      <c r="Q261" s="376">
        <v>-1.0624313881189977E-2</v>
      </c>
    </row>
    <row r="262" spans="1:17">
      <c r="A262" s="76">
        <f>A261+1</f>
        <v>166</v>
      </c>
      <c r="B262" s="71"/>
      <c r="C262" s="71" t="s">
        <v>381</v>
      </c>
      <c r="D262" s="71"/>
      <c r="E262" s="85"/>
      <c r="F262" s="85"/>
      <c r="G262" s="85"/>
      <c r="H262" s="85"/>
      <c r="I262" s="85"/>
      <c r="J262" s="85"/>
      <c r="K262" s="85"/>
      <c r="L262" s="85"/>
      <c r="M262" s="87"/>
      <c r="N262" s="71"/>
      <c r="O262" s="376">
        <v>-7.6124037977683542E-3</v>
      </c>
      <c r="P262" s="374"/>
      <c r="Q262" s="376">
        <v>-3.4538468176650752E-2</v>
      </c>
    </row>
    <row r="263" spans="1:17">
      <c r="A263" s="76">
        <f>A262+1</f>
        <v>167</v>
      </c>
      <c r="B263" s="71"/>
      <c r="C263" s="71" t="s">
        <v>382</v>
      </c>
      <c r="D263" s="71"/>
      <c r="E263" s="370">
        <v>2571576.5334017775</v>
      </c>
      <c r="F263" s="76"/>
      <c r="G263" s="375">
        <v>25.777318994043654</v>
      </c>
      <c r="H263" s="76"/>
      <c r="I263" s="370">
        <v>2558117.8173267776</v>
      </c>
      <c r="J263" s="76"/>
      <c r="K263" s="375">
        <v>25.642409683350646</v>
      </c>
      <c r="L263" s="82"/>
      <c r="M263" s="383">
        <v>-13458.716075000018</v>
      </c>
      <c r="N263" s="71"/>
      <c r="O263" s="376">
        <v>-5.2336439923863845E-3</v>
      </c>
      <c r="P263" s="374"/>
      <c r="Q263" s="376">
        <v>-1.2815163173960585E-2</v>
      </c>
    </row>
    <row r="264" spans="1:17">
      <c r="A264" s="76">
        <f>A263+1</f>
        <v>168</v>
      </c>
      <c r="B264" s="71"/>
      <c r="C264" s="71" t="s">
        <v>383</v>
      </c>
      <c r="D264" s="71"/>
      <c r="E264" s="85"/>
      <c r="F264" s="85"/>
      <c r="G264" s="85"/>
      <c r="H264" s="85"/>
      <c r="I264" s="85"/>
      <c r="J264" s="85"/>
      <c r="K264" s="85"/>
      <c r="L264" s="85"/>
      <c r="M264" s="87"/>
      <c r="N264" s="71"/>
      <c r="O264" s="376">
        <v>-8.3936280261588548E-3</v>
      </c>
      <c r="P264" s="374"/>
      <c r="Q264" s="376">
        <v>-0.16395877945480036</v>
      </c>
    </row>
    <row r="265" spans="1:17">
      <c r="A265" s="76"/>
      <c r="B265" s="71"/>
      <c r="C265" s="71"/>
      <c r="D265" s="71"/>
      <c r="E265" s="76"/>
      <c r="F265" s="76"/>
      <c r="G265" s="76"/>
      <c r="H265" s="76"/>
      <c r="I265" s="76"/>
      <c r="J265" s="76"/>
      <c r="K265" s="76"/>
      <c r="L265" s="76"/>
      <c r="M265" s="382"/>
      <c r="N265" s="76"/>
      <c r="O265" s="378"/>
      <c r="P265" s="378"/>
      <c r="Q265" s="378"/>
    </row>
    <row r="266" spans="1:17">
      <c r="A266" s="76"/>
      <c r="B266" s="71"/>
      <c r="C266" s="81" t="s">
        <v>419</v>
      </c>
      <c r="D266" s="71"/>
      <c r="E266" s="71" t="s">
        <v>420</v>
      </c>
      <c r="F266" s="71"/>
      <c r="G266" s="71"/>
      <c r="H266" s="71"/>
      <c r="I266" s="71"/>
      <c r="J266" s="71"/>
      <c r="K266" s="71"/>
      <c r="L266" s="71"/>
      <c r="M266" s="87"/>
      <c r="N266" s="71"/>
      <c r="O266" s="374"/>
      <c r="P266" s="374"/>
      <c r="Q266" s="374"/>
    </row>
    <row r="267" spans="1:17">
      <c r="A267" s="76">
        <f>A264+1</f>
        <v>169</v>
      </c>
      <c r="B267" s="71"/>
      <c r="C267" s="71" t="s">
        <v>375</v>
      </c>
      <c r="D267" s="71"/>
      <c r="E267" s="86">
        <v>575281.83475377341</v>
      </c>
      <c r="F267" s="76"/>
      <c r="G267" s="367">
        <v>0.82379830517267072</v>
      </c>
      <c r="H267" s="76"/>
      <c r="I267" s="86">
        <v>575560.57456977339</v>
      </c>
      <c r="J267" s="76"/>
      <c r="K267" s="367">
        <v>0.82419745802981459</v>
      </c>
      <c r="L267" s="82"/>
      <c r="M267" s="87">
        <f>I267-E267</f>
        <v>278.7398159999866</v>
      </c>
      <c r="N267" s="82"/>
      <c r="O267" s="332">
        <f>M267/E267</f>
        <v>4.8452740754327859E-4</v>
      </c>
      <c r="P267" s="334"/>
      <c r="Q267" s="332">
        <f>O267</f>
        <v>4.8452740754327859E-4</v>
      </c>
    </row>
    <row r="268" spans="1:17">
      <c r="A268" s="76">
        <f>A267+1</f>
        <v>170</v>
      </c>
      <c r="B268" s="71"/>
      <c r="C268" s="71" t="s">
        <v>376</v>
      </c>
      <c r="D268" s="71"/>
      <c r="E268" s="86">
        <v>10649509.625</v>
      </c>
      <c r="F268" s="369"/>
      <c r="G268" s="367">
        <v>15.25</v>
      </c>
      <c r="H268" s="82"/>
      <c r="I268" s="86">
        <v>10649509.625</v>
      </c>
      <c r="J268" s="369"/>
      <c r="K268" s="367">
        <v>15.25</v>
      </c>
      <c r="L268" s="82"/>
      <c r="M268" s="87">
        <f>I268-E268</f>
        <v>0</v>
      </c>
      <c r="N268" s="82"/>
      <c r="O268" s="333">
        <f>IFERROR(M268/E268,"100.0%")</f>
        <v>0</v>
      </c>
      <c r="P268" s="334"/>
      <c r="Q268" s="333">
        <v>0</v>
      </c>
    </row>
    <row r="269" spans="1:17">
      <c r="A269" s="76">
        <f>A268+1</f>
        <v>171</v>
      </c>
      <c r="B269" s="71"/>
      <c r="C269" s="71" t="s">
        <v>377</v>
      </c>
      <c r="D269" s="71"/>
      <c r="E269" s="86">
        <v>2239573.8437185856</v>
      </c>
      <c r="F269" s="369"/>
      <c r="G269" s="367">
        <v>3.2070491806056687</v>
      </c>
      <c r="H269" s="82"/>
      <c r="I269" s="380">
        <v>2241040.3335685856</v>
      </c>
      <c r="J269" s="369"/>
      <c r="K269" s="381">
        <v>3.2091491806056687</v>
      </c>
      <c r="L269" s="82"/>
      <c r="M269" s="87">
        <f>I269-E269</f>
        <v>1466.4898500000127</v>
      </c>
      <c r="N269" s="82"/>
      <c r="O269" s="333">
        <f>IFERROR(M269/E269,"100.0%")</f>
        <v>6.5480754479836872E-4</v>
      </c>
      <c r="P269" s="334"/>
      <c r="Q269" s="332">
        <f>O269</f>
        <v>6.5480754479836872E-4</v>
      </c>
    </row>
    <row r="270" spans="1:17">
      <c r="A270" s="76">
        <f>A269+1</f>
        <v>172</v>
      </c>
      <c r="B270" s="71"/>
      <c r="C270" s="71" t="s">
        <v>378</v>
      </c>
      <c r="D270" s="71"/>
      <c r="E270" s="86">
        <v>6776017.213780487</v>
      </c>
      <c r="F270" s="76"/>
      <c r="G270" s="367">
        <v>9.7031944332509514</v>
      </c>
      <c r="H270" s="76"/>
      <c r="I270" s="86">
        <v>6776925.0408304846</v>
      </c>
      <c r="J270" s="76"/>
      <c r="K270" s="367">
        <v>9.7044944332509466</v>
      </c>
      <c r="L270" s="82"/>
      <c r="M270" s="87">
        <f>I270-E270</f>
        <v>907.82704999763519</v>
      </c>
      <c r="N270" s="71"/>
      <c r="O270" s="332">
        <f>M270/E270</f>
        <v>1.3397649701234139E-4</v>
      </c>
      <c r="P270" s="334"/>
      <c r="Q270" s="332">
        <f>O270</f>
        <v>1.3397649701234139E-4</v>
      </c>
    </row>
    <row r="271" spans="1:17">
      <c r="A271" s="76">
        <f>A270+1</f>
        <v>173</v>
      </c>
      <c r="B271" s="71"/>
      <c r="C271" s="71" t="s">
        <v>379</v>
      </c>
      <c r="D271" s="71"/>
      <c r="E271" s="370">
        <f>SUM(E267:E270)</f>
        <v>20240382.517252848</v>
      </c>
      <c r="F271" s="76"/>
      <c r="G271" s="371">
        <v>28.984041919029291</v>
      </c>
      <c r="H271" s="76"/>
      <c r="I271" s="370">
        <f>SUM(I267:I270)</f>
        <v>20243035.573968843</v>
      </c>
      <c r="J271" s="76"/>
      <c r="K271" s="371">
        <v>28.987841071886429</v>
      </c>
      <c r="L271" s="82"/>
      <c r="M271" s="383">
        <f>SUM(M267:M270)</f>
        <v>2653.0567159976345</v>
      </c>
      <c r="N271" s="71"/>
      <c r="O271" s="373">
        <f>M271/E271</f>
        <v>1.310774000311593E-4</v>
      </c>
      <c r="P271" s="374"/>
      <c r="Q271" s="373">
        <f>(M267+M270+M269)/(E267+E270+E269)</f>
        <v>2.7662307130987796E-4</v>
      </c>
    </row>
    <row r="272" spans="1:17">
      <c r="A272" s="76"/>
      <c r="B272" s="71"/>
      <c r="C272" s="71"/>
      <c r="D272" s="71"/>
      <c r="E272" s="86"/>
      <c r="F272" s="76"/>
      <c r="G272" s="82"/>
      <c r="H272" s="76"/>
      <c r="I272" s="86"/>
      <c r="J272" s="76"/>
      <c r="K272" s="82"/>
      <c r="L272" s="82"/>
      <c r="M272" s="87"/>
      <c r="N272" s="71"/>
      <c r="O272" s="374"/>
      <c r="P272" s="374"/>
      <c r="Q272" s="374"/>
    </row>
    <row r="273" spans="1:17">
      <c r="A273" s="76">
        <f>A271+1</f>
        <v>174</v>
      </c>
      <c r="B273" s="71"/>
      <c r="C273" s="71" t="s">
        <v>380</v>
      </c>
      <c r="D273" s="71"/>
      <c r="E273" s="370">
        <v>20241290.344302844</v>
      </c>
      <c r="F273" s="76"/>
      <c r="G273" s="375">
        <v>28.985341919029288</v>
      </c>
      <c r="H273" s="76"/>
      <c r="I273" s="370">
        <v>20243035.573968843</v>
      </c>
      <c r="J273" s="76"/>
      <c r="K273" s="375">
        <v>28.987841071886429</v>
      </c>
      <c r="L273" s="82"/>
      <c r="M273" s="383">
        <v>1745.2296659999993</v>
      </c>
      <c r="N273" s="71"/>
      <c r="O273" s="376">
        <v>8.6221265359755843E-5</v>
      </c>
      <c r="P273" s="374"/>
      <c r="Q273" s="376">
        <v>1.8195053839041965E-4</v>
      </c>
    </row>
    <row r="274" spans="1:17">
      <c r="A274" s="76">
        <f>A273+1</f>
        <v>175</v>
      </c>
      <c r="B274" s="71"/>
      <c r="C274" s="71" t="s">
        <v>381</v>
      </c>
      <c r="D274" s="71"/>
      <c r="E274" s="85"/>
      <c r="F274" s="85"/>
      <c r="G274" s="85"/>
      <c r="H274" s="85"/>
      <c r="I274" s="85"/>
      <c r="J274" s="85"/>
      <c r="K274" s="85"/>
      <c r="L274" s="85"/>
      <c r="M274" s="87"/>
      <c r="N274" s="71"/>
      <c r="O274" s="376">
        <v>1.2961841324595654E-4</v>
      </c>
      <c r="P274" s="374"/>
      <c r="Q274" s="376">
        <v>6.2000680153774252E-4</v>
      </c>
    </row>
    <row r="275" spans="1:17">
      <c r="A275" s="76">
        <f>A274+1</f>
        <v>176</v>
      </c>
      <c r="B275" s="71"/>
      <c r="C275" s="71" t="s">
        <v>382</v>
      </c>
      <c r="D275" s="71"/>
      <c r="E275" s="370">
        <v>17805115.475982413</v>
      </c>
      <c r="F275" s="76"/>
      <c r="G275" s="375">
        <v>25.496761876369661</v>
      </c>
      <c r="H275" s="76"/>
      <c r="I275" s="370">
        <v>17816637.304648411</v>
      </c>
      <c r="J275" s="76"/>
      <c r="K275" s="375">
        <v>25.513261029226804</v>
      </c>
      <c r="L275" s="82"/>
      <c r="M275" s="383">
        <v>11521.828666000045</v>
      </c>
      <c r="N275" s="71"/>
      <c r="O275" s="376">
        <v>6.4710777537736351E-4</v>
      </c>
      <c r="P275" s="374"/>
      <c r="Q275" s="376">
        <v>1.6101821293606027E-3</v>
      </c>
    </row>
    <row r="276" spans="1:17">
      <c r="A276" s="76">
        <f>A275+1</f>
        <v>177</v>
      </c>
      <c r="B276" s="71"/>
      <c r="C276" s="71" t="s">
        <v>383</v>
      </c>
      <c r="D276" s="71"/>
      <c r="E276" s="85"/>
      <c r="F276" s="85"/>
      <c r="G276" s="85"/>
      <c r="H276" s="85"/>
      <c r="I276" s="85"/>
      <c r="J276" s="85"/>
      <c r="K276" s="85"/>
      <c r="L276" s="85"/>
      <c r="M276" s="87"/>
      <c r="N276" s="71"/>
      <c r="O276" s="376">
        <v>1.0447614895436213E-3</v>
      </c>
      <c r="P276" s="374"/>
      <c r="Q276" s="376">
        <v>3.0426227992322891E-2</v>
      </c>
    </row>
    <row r="277" spans="1:17">
      <c r="A277" s="76"/>
      <c r="B277" s="71"/>
      <c r="C277" s="71"/>
      <c r="D277" s="71"/>
      <c r="E277" s="85"/>
      <c r="F277" s="85"/>
      <c r="G277" s="85"/>
      <c r="H277" s="85"/>
      <c r="I277" s="85"/>
      <c r="J277" s="85"/>
      <c r="K277" s="85"/>
      <c r="L277" s="85"/>
      <c r="M277" s="87"/>
      <c r="N277" s="71"/>
      <c r="O277" s="334"/>
      <c r="P277" s="334"/>
      <c r="Q277" s="334"/>
    </row>
    <row r="278" spans="1:17">
      <c r="A278" s="76"/>
      <c r="B278" s="71"/>
      <c r="C278" s="81" t="s">
        <v>421</v>
      </c>
      <c r="D278" s="71"/>
      <c r="E278" s="71" t="s">
        <v>422</v>
      </c>
      <c r="F278" s="71"/>
      <c r="G278" s="71"/>
      <c r="H278" s="71"/>
      <c r="I278" s="71"/>
      <c r="J278" s="71"/>
      <c r="K278" s="71"/>
      <c r="L278" s="71"/>
      <c r="M278" s="87"/>
      <c r="N278" s="71"/>
      <c r="O278" s="374"/>
      <c r="P278" s="374"/>
      <c r="Q278" s="374"/>
    </row>
    <row r="279" spans="1:17">
      <c r="A279" s="76">
        <f>A276+1</f>
        <v>178</v>
      </c>
      <c r="B279" s="71"/>
      <c r="C279" s="71" t="s">
        <v>375</v>
      </c>
      <c r="D279" s="71"/>
      <c r="E279" s="86">
        <v>6122721.1373399328</v>
      </c>
      <c r="F279" s="76"/>
      <c r="G279" s="367">
        <v>4.3638465872637529</v>
      </c>
      <c r="H279" s="76"/>
      <c r="I279" s="86">
        <v>6191111.8541399334</v>
      </c>
      <c r="J279" s="76"/>
      <c r="K279" s="367">
        <v>4.4125906978338234</v>
      </c>
      <c r="L279" s="82"/>
      <c r="M279" s="87">
        <f>I279-E279</f>
        <v>68390.716800000519</v>
      </c>
      <c r="N279" s="82"/>
      <c r="O279" s="374"/>
      <c r="P279" s="334"/>
      <c r="Q279" s="332">
        <f>M279/E279</f>
        <v>1.1169987210901039E-2</v>
      </c>
    </row>
    <row r="280" spans="1:17">
      <c r="A280" s="76">
        <f>A279+1</f>
        <v>179</v>
      </c>
      <c r="B280" s="71"/>
      <c r="C280" s="71" t="s">
        <v>377</v>
      </c>
      <c r="D280" s="71"/>
      <c r="E280" s="86">
        <v>5930511.8664666349</v>
      </c>
      <c r="F280" s="369"/>
      <c r="G280" s="367">
        <v>4.2268532877280984</v>
      </c>
      <c r="H280" s="82"/>
      <c r="I280" s="86">
        <v>5933458.2840666333</v>
      </c>
      <c r="J280" s="369"/>
      <c r="K280" s="367">
        <v>4.2289532877280971</v>
      </c>
      <c r="L280" s="82"/>
      <c r="M280" s="87">
        <f>I280-E280</f>
        <v>2946.4175999984145</v>
      </c>
      <c r="N280" s="82"/>
      <c r="O280" s="374"/>
      <c r="P280" s="334"/>
      <c r="Q280" s="332">
        <f>M280/E280</f>
        <v>4.9682348949651003E-4</v>
      </c>
    </row>
    <row r="281" spans="1:17">
      <c r="A281" s="76">
        <f>A280+1</f>
        <v>180</v>
      </c>
      <c r="B281" s="71"/>
      <c r="C281" s="71" t="s">
        <v>378</v>
      </c>
      <c r="D281" s="71"/>
      <c r="E281" s="86">
        <v>13613984.22866158</v>
      </c>
      <c r="F281" s="76"/>
      <c r="G281" s="367">
        <v>9.7030939810396593</v>
      </c>
      <c r="H281" s="76"/>
      <c r="I281" s="86">
        <v>13615808.201461576</v>
      </c>
      <c r="J281" s="76"/>
      <c r="K281" s="367">
        <v>9.7043939810396562</v>
      </c>
      <c r="L281" s="82"/>
      <c r="M281" s="87">
        <f>I281-E281</f>
        <v>1823.9727999959141</v>
      </c>
      <c r="N281" s="71"/>
      <c r="O281" s="374"/>
      <c r="P281" s="334"/>
      <c r="Q281" s="332">
        <f>M281/E281</f>
        <v>1.3397788401692845E-4</v>
      </c>
    </row>
    <row r="282" spans="1:17">
      <c r="A282" s="76">
        <f>A281+1</f>
        <v>181</v>
      </c>
      <c r="B282" s="71"/>
      <c r="C282" s="71" t="s">
        <v>379</v>
      </c>
      <c r="D282" s="71"/>
      <c r="E282" s="370">
        <f>SUM(E279:E281)</f>
        <v>25667217.232468151</v>
      </c>
      <c r="F282" s="76"/>
      <c r="G282" s="371">
        <v>18.293793856031513</v>
      </c>
      <c r="H282" s="76"/>
      <c r="I282" s="370">
        <f>SUM(I279:I281)</f>
        <v>25740378.339668144</v>
      </c>
      <c r="J282" s="76"/>
      <c r="K282" s="371">
        <v>18.345937966601578</v>
      </c>
      <c r="L282" s="82"/>
      <c r="M282" s="383">
        <f>SUM(M279:M281)</f>
        <v>73161.107199994847</v>
      </c>
      <c r="N282" s="71"/>
      <c r="O282" s="374"/>
      <c r="P282" s="374"/>
      <c r="Q282" s="373">
        <f>(M279+M281+M280)/(E279+E281+E280)</f>
        <v>2.8503716058259935E-3</v>
      </c>
    </row>
    <row r="283" spans="1:17">
      <c r="A283" s="76"/>
      <c r="B283" s="71"/>
      <c r="C283" s="71"/>
      <c r="D283" s="71"/>
      <c r="E283" s="86"/>
      <c r="F283" s="76"/>
      <c r="G283" s="82"/>
      <c r="H283" s="76"/>
      <c r="I283" s="86"/>
      <c r="J283" s="76"/>
      <c r="K283" s="82"/>
      <c r="L283" s="82"/>
      <c r="M283" s="87"/>
      <c r="N283" s="71"/>
      <c r="O283" s="374"/>
      <c r="P283" s="374"/>
      <c r="Q283" s="374"/>
    </row>
    <row r="284" spans="1:17">
      <c r="A284" s="76">
        <f>A282+1</f>
        <v>182</v>
      </c>
      <c r="B284" s="71"/>
      <c r="C284" s="71" t="s">
        <v>380</v>
      </c>
      <c r="D284" s="71"/>
      <c r="E284" s="370">
        <v>25669041.205268145</v>
      </c>
      <c r="F284" s="76"/>
      <c r="G284" s="375">
        <v>18.295093856031507</v>
      </c>
      <c r="H284" s="76"/>
      <c r="I284" s="370">
        <v>25740378.339668144</v>
      </c>
      <c r="J284" s="76"/>
      <c r="K284" s="375">
        <v>18.345937966601578</v>
      </c>
      <c r="L284" s="82"/>
      <c r="M284" s="383">
        <v>71337.134399998933</v>
      </c>
      <c r="N284" s="71"/>
      <c r="O284" s="374"/>
      <c r="P284" s="374"/>
      <c r="Q284" s="376">
        <v>2.7791117646169881E-3</v>
      </c>
    </row>
    <row r="285" spans="1:17">
      <c r="A285" s="76">
        <f>A284+1</f>
        <v>183</v>
      </c>
      <c r="B285" s="71"/>
      <c r="C285" s="71" t="s">
        <v>381</v>
      </c>
      <c r="D285" s="71"/>
      <c r="E285" s="85"/>
      <c r="F285" s="85"/>
      <c r="G285" s="85"/>
      <c r="H285" s="85"/>
      <c r="I285" s="85"/>
      <c r="J285" s="85"/>
      <c r="K285" s="85"/>
      <c r="L285" s="85"/>
      <c r="M285" s="87"/>
      <c r="N285" s="71"/>
      <c r="O285" s="374"/>
      <c r="P285" s="374"/>
      <c r="Q285" s="376">
        <v>5.9185062113600332E-3</v>
      </c>
    </row>
    <row r="286" spans="1:17">
      <c r="A286" s="76">
        <f>A285+1</f>
        <v>184</v>
      </c>
      <c r="B286" s="71"/>
      <c r="C286" s="71" t="s">
        <v>382</v>
      </c>
      <c r="D286" s="71"/>
      <c r="E286" s="370">
        <v>20774368.316799983</v>
      </c>
      <c r="F286" s="76"/>
      <c r="G286" s="375">
        <v>14.806514007138691</v>
      </c>
      <c r="H286" s="76"/>
      <c r="I286" s="370">
        <v>20865348.235199988</v>
      </c>
      <c r="J286" s="76"/>
      <c r="K286" s="375">
        <v>14.871358117708763</v>
      </c>
      <c r="L286" s="82"/>
      <c r="M286" s="383">
        <v>90979.918400000315</v>
      </c>
      <c r="N286" s="71"/>
      <c r="O286" s="374"/>
      <c r="P286" s="374"/>
      <c r="Q286" s="376">
        <v>4.3794312786120167E-3</v>
      </c>
    </row>
    <row r="287" spans="1:17">
      <c r="A287" s="76">
        <f>A286+1</f>
        <v>185</v>
      </c>
      <c r="B287" s="71"/>
      <c r="C287" s="71" t="s">
        <v>383</v>
      </c>
      <c r="D287" s="71"/>
      <c r="E287" s="85"/>
      <c r="F287" s="85"/>
      <c r="G287" s="85"/>
      <c r="H287" s="85"/>
      <c r="I287" s="85"/>
      <c r="J287" s="85"/>
      <c r="K287" s="85"/>
      <c r="L287" s="85"/>
      <c r="M287" s="87"/>
      <c r="N287" s="71"/>
      <c r="O287" s="374"/>
      <c r="P287" s="374"/>
      <c r="Q287" s="376">
        <v>1.270924835918618E-2</v>
      </c>
    </row>
    <row r="288" spans="1:17">
      <c r="A288" s="76"/>
      <c r="B288" s="71"/>
      <c r="C288" s="71"/>
      <c r="D288" s="71"/>
      <c r="E288" s="76"/>
      <c r="F288" s="76"/>
      <c r="G288" s="76"/>
      <c r="H288" s="76"/>
      <c r="I288" s="76"/>
      <c r="J288" s="76"/>
      <c r="K288" s="76"/>
      <c r="L288" s="76"/>
      <c r="M288" s="382"/>
      <c r="N288" s="76"/>
      <c r="O288" s="76"/>
      <c r="P288" s="76"/>
      <c r="Q288" s="76"/>
    </row>
    <row r="289" spans="1:17">
      <c r="A289" s="91" t="s">
        <v>39</v>
      </c>
      <c r="B289" s="81"/>
      <c r="C289" s="71"/>
      <c r="D289" s="71"/>
      <c r="E289" s="71"/>
      <c r="F289" s="71"/>
      <c r="G289" s="82"/>
      <c r="H289" s="71"/>
      <c r="I289" s="71"/>
      <c r="J289" s="71"/>
      <c r="K289" s="71"/>
      <c r="L289" s="71"/>
      <c r="M289" s="87"/>
      <c r="N289" s="71"/>
      <c r="O289" s="71"/>
      <c r="P289" s="71"/>
      <c r="Q289" s="71"/>
    </row>
    <row r="290" spans="1:17">
      <c r="A290" s="176" t="s">
        <v>40</v>
      </c>
      <c r="B290" s="88"/>
      <c r="C290" s="89" t="s">
        <v>423</v>
      </c>
      <c r="D290" s="71"/>
      <c r="E290" s="86"/>
      <c r="F290" s="71"/>
      <c r="G290" s="82"/>
      <c r="H290" s="71"/>
      <c r="I290" s="86"/>
      <c r="J290" s="71"/>
      <c r="K290" s="82"/>
      <c r="L290" s="82"/>
      <c r="M290" s="83"/>
      <c r="N290" s="71"/>
      <c r="O290" s="85"/>
      <c r="P290" s="85"/>
      <c r="Q290" s="85"/>
    </row>
    <row r="291" spans="1:17">
      <c r="A291" s="176" t="s">
        <v>42</v>
      </c>
      <c r="B291" s="71"/>
      <c r="C291" s="1284" t="s">
        <v>424</v>
      </c>
      <c r="D291" s="1285"/>
      <c r="E291" s="1285"/>
      <c r="F291" s="1285"/>
      <c r="G291" s="1285"/>
      <c r="H291" s="1285"/>
      <c r="I291" s="1285"/>
      <c r="J291" s="1285"/>
      <c r="K291" s="1285"/>
      <c r="L291" s="1285"/>
      <c r="M291" s="1285"/>
      <c r="N291" s="1285"/>
      <c r="O291" s="1285"/>
      <c r="P291" s="1285"/>
      <c r="Q291" s="1285"/>
    </row>
    <row r="292" spans="1:17">
      <c r="A292" s="76"/>
      <c r="B292" s="71"/>
      <c r="C292" s="81"/>
      <c r="D292" s="81"/>
      <c r="E292" s="81"/>
      <c r="F292" s="81"/>
      <c r="G292" s="81"/>
      <c r="H292" s="81"/>
      <c r="I292" s="81"/>
      <c r="J292" s="81"/>
      <c r="K292" s="81"/>
      <c r="L292" s="81"/>
      <c r="M292" s="81"/>
      <c r="N292" s="71"/>
      <c r="O292" s="90"/>
      <c r="P292" s="90"/>
      <c r="Q292" s="90"/>
    </row>
    <row r="293" spans="1:17">
      <c r="A293" s="76"/>
      <c r="B293" s="71"/>
      <c r="C293" s="81"/>
      <c r="D293" s="81"/>
      <c r="E293" s="81"/>
      <c r="F293" s="81"/>
      <c r="G293" s="81"/>
      <c r="H293" s="81"/>
      <c r="I293" s="81"/>
      <c r="J293" s="81"/>
      <c r="K293" s="81"/>
      <c r="L293" s="81"/>
      <c r="M293" s="81"/>
      <c r="N293" s="71"/>
      <c r="O293" s="90"/>
      <c r="P293" s="90"/>
      <c r="Q293" s="90"/>
    </row>
    <row r="294" spans="1:17">
      <c r="A294" s="76"/>
      <c r="B294" s="71"/>
      <c r="C294" s="81"/>
      <c r="D294" s="81"/>
      <c r="E294" s="81"/>
      <c r="F294" s="81"/>
      <c r="G294" s="81"/>
      <c r="H294" s="81"/>
      <c r="I294" s="81"/>
      <c r="J294" s="81"/>
      <c r="K294" s="81"/>
      <c r="L294" s="81"/>
      <c r="M294" s="81"/>
      <c r="N294" s="71"/>
      <c r="O294" s="90"/>
      <c r="P294" s="90"/>
      <c r="Q294" s="90"/>
    </row>
    <row r="295" spans="1:17">
      <c r="A295" s="76"/>
      <c r="B295" s="71"/>
      <c r="C295" s="81"/>
      <c r="D295" s="81"/>
      <c r="E295" s="81"/>
      <c r="F295" s="81"/>
      <c r="G295" s="81"/>
      <c r="H295" s="81"/>
      <c r="I295" s="81"/>
      <c r="J295" s="81"/>
      <c r="K295" s="81"/>
      <c r="L295" s="81"/>
      <c r="M295" s="81"/>
      <c r="N295" s="71"/>
      <c r="O295" s="75"/>
      <c r="P295" s="75"/>
      <c r="Q295" s="75"/>
    </row>
    <row r="296" spans="1:17">
      <c r="A296" s="76"/>
      <c r="B296" s="71"/>
      <c r="C296" s="91"/>
      <c r="D296" s="91"/>
      <c r="E296" s="91"/>
      <c r="F296" s="91"/>
      <c r="G296" s="91"/>
      <c r="H296" s="91"/>
      <c r="I296" s="91"/>
      <c r="J296" s="91"/>
      <c r="K296" s="91"/>
      <c r="L296" s="91"/>
      <c r="M296" s="91"/>
      <c r="N296" s="81"/>
      <c r="O296" s="92"/>
      <c r="P296" s="92"/>
      <c r="Q296" s="75"/>
    </row>
    <row r="718" spans="1:17">
      <c r="A718" s="76"/>
      <c r="B718" s="88"/>
      <c r="C718" s="71"/>
      <c r="D718" s="71"/>
      <c r="E718" s="71"/>
      <c r="F718" s="71"/>
      <c r="G718" s="71"/>
      <c r="H718" s="71"/>
      <c r="I718" s="71"/>
      <c r="J718" s="71"/>
      <c r="K718" s="71"/>
      <c r="L718" s="71"/>
      <c r="M718" s="71"/>
      <c r="N718" s="71"/>
      <c r="O718" s="71"/>
      <c r="P718" s="71"/>
      <c r="Q718" s="71"/>
    </row>
  </sheetData>
  <mergeCells count="21">
    <mergeCell ref="E26:G26"/>
    <mergeCell ref="E38:G38"/>
    <mergeCell ref="E50:G50"/>
    <mergeCell ref="E193:G193"/>
    <mergeCell ref="E14:G14"/>
    <mergeCell ref="A4:Q4"/>
    <mergeCell ref="A5:Q5"/>
    <mergeCell ref="E8:G8"/>
    <mergeCell ref="I8:M8"/>
    <mergeCell ref="O8:Q8"/>
    <mergeCell ref="C291:Q291"/>
    <mergeCell ref="A102:Q102"/>
    <mergeCell ref="A103:Q103"/>
    <mergeCell ref="E106:G106"/>
    <mergeCell ref="I106:M106"/>
    <mergeCell ref="O106:Q106"/>
    <mergeCell ref="A196:Q196"/>
    <mergeCell ref="A197:Q197"/>
    <mergeCell ref="E200:G200"/>
    <mergeCell ref="I200:M200"/>
    <mergeCell ref="O200:Q200"/>
  </mergeCells>
  <printOptions horizontalCentered="1"/>
  <pageMargins left="0" right="0.25" top="0.75" bottom="0.75" header="0.3" footer="0.3"/>
  <pageSetup scale="45" orientation="portrait" r:id="rId1"/>
  <headerFooter>
    <oddHeader>&amp;R&amp;10Updated: 2024-03-15
EB-2022-0200
Rate Order
Working Papers
Schedule 24
Page &amp;P of 8</oddHeader>
  </headerFooter>
  <rowBreaks count="2" manualBreakCount="2">
    <brk id="99" max="16" man="1"/>
    <brk id="192"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0B4C-E2E9-4E5F-9DF9-35B58CF337A1}">
  <sheetPr>
    <pageSetUpPr fitToPage="1"/>
  </sheetPr>
  <dimension ref="A1:V65"/>
  <sheetViews>
    <sheetView showWhiteSpace="0" view="pageBreakPreview" zoomScale="130" zoomScaleNormal="100" zoomScaleSheetLayoutView="130" zoomScalePageLayoutView="90" workbookViewId="0">
      <selection activeCell="C18" sqref="C18"/>
    </sheetView>
  </sheetViews>
  <sheetFormatPr defaultColWidth="4.375" defaultRowHeight="12.75"/>
  <cols>
    <col min="1" max="1" width="4.125" style="628" bestFit="1" customWidth="1"/>
    <col min="2" max="2" width="1" style="628" customWidth="1"/>
    <col min="3" max="3" width="43.5" style="268" customWidth="1"/>
    <col min="4" max="4" width="10.5" style="318" bestFit="1" customWidth="1"/>
    <col min="5" max="5" width="2" style="318" customWidth="1"/>
    <col min="6" max="6" width="7.125" style="268" customWidth="1"/>
    <col min="7" max="7" width="2" style="268" customWidth="1"/>
    <col min="8" max="8" width="8.75" style="268" bestFit="1" customWidth="1"/>
    <col min="9" max="9" width="2" style="268" customWidth="1"/>
    <col min="10" max="10" width="7.75" style="268" bestFit="1" customWidth="1"/>
    <col min="11" max="11" width="2" style="268" customWidth="1"/>
    <col min="12" max="12" width="9.25" style="268" customWidth="1"/>
    <col min="13" max="21" width="4.375" style="268"/>
    <col min="22" max="22" width="13.75" style="268" bestFit="1" customWidth="1"/>
    <col min="23" max="16384" width="4.375" style="268"/>
  </cols>
  <sheetData>
    <row r="1" spans="1:14">
      <c r="L1" s="629"/>
    </row>
    <row r="2" spans="1:14">
      <c r="L2" s="629"/>
    </row>
    <row r="3" spans="1:14">
      <c r="L3" s="629"/>
    </row>
    <row r="4" spans="1:14">
      <c r="L4" s="629"/>
    </row>
    <row r="5" spans="1:14">
      <c r="L5" s="629"/>
    </row>
    <row r="6" spans="1:14">
      <c r="A6" s="1317" t="s">
        <v>555</v>
      </c>
      <c r="B6" s="1317"/>
      <c r="C6" s="1317"/>
      <c r="D6" s="1317"/>
      <c r="E6" s="1317"/>
      <c r="F6" s="1317"/>
      <c r="G6" s="1317"/>
      <c r="H6" s="1317"/>
      <c r="I6" s="1317"/>
      <c r="J6" s="1317"/>
      <c r="K6" s="1317"/>
      <c r="L6" s="1317"/>
    </row>
    <row r="7" spans="1:14">
      <c r="A7" s="1317" t="s">
        <v>556</v>
      </c>
      <c r="B7" s="1317"/>
      <c r="C7" s="1317"/>
      <c r="D7" s="1317"/>
      <c r="E7" s="1317"/>
      <c r="F7" s="1317"/>
      <c r="G7" s="1317"/>
      <c r="H7" s="1317"/>
      <c r="I7" s="1317"/>
      <c r="J7" s="1317"/>
      <c r="K7" s="1317"/>
      <c r="L7" s="1317"/>
    </row>
    <row r="8" spans="1:14">
      <c r="A8" s="630"/>
      <c r="B8" s="630"/>
      <c r="C8" s="631"/>
      <c r="D8" s="631"/>
      <c r="E8" s="631"/>
      <c r="F8" s="631"/>
      <c r="G8" s="631"/>
      <c r="H8" s="632"/>
      <c r="I8" s="632"/>
      <c r="J8" s="632"/>
      <c r="K8" s="632"/>
      <c r="L8" s="632"/>
    </row>
    <row r="9" spans="1:14">
      <c r="A9" s="633"/>
      <c r="B9" s="633"/>
      <c r="C9" s="634"/>
      <c r="D9" s="631"/>
      <c r="E9" s="631"/>
      <c r="F9" s="634"/>
      <c r="G9" s="634"/>
      <c r="H9" s="632"/>
      <c r="I9" s="632"/>
      <c r="J9" s="632"/>
      <c r="K9" s="632"/>
      <c r="L9" s="632"/>
    </row>
    <row r="10" spans="1:14">
      <c r="A10" s="630" t="s">
        <v>1</v>
      </c>
      <c r="B10" s="630"/>
      <c r="C10" s="634"/>
      <c r="D10" s="631"/>
      <c r="E10" s="631"/>
      <c r="F10" s="634"/>
      <c r="G10" s="634"/>
      <c r="H10" s="635"/>
      <c r="I10" s="635"/>
      <c r="J10" s="635"/>
      <c r="K10" s="635"/>
      <c r="L10" s="635"/>
    </row>
    <row r="11" spans="1:14">
      <c r="A11" s="636" t="s">
        <v>2</v>
      </c>
      <c r="B11" s="630"/>
      <c r="C11" s="637" t="s">
        <v>557</v>
      </c>
      <c r="D11" s="638" t="s">
        <v>558</v>
      </c>
      <c r="E11" s="631"/>
      <c r="F11" s="638" t="s">
        <v>559</v>
      </c>
      <c r="G11" s="639"/>
      <c r="H11" s="640" t="s">
        <v>560</v>
      </c>
      <c r="I11" s="635"/>
      <c r="J11" s="640" t="s">
        <v>561</v>
      </c>
      <c r="K11" s="635"/>
      <c r="L11" s="640" t="s">
        <v>562</v>
      </c>
    </row>
    <row r="12" spans="1:14">
      <c r="A12" s="630"/>
      <c r="B12" s="630"/>
      <c r="C12" s="639"/>
      <c r="D12" s="631"/>
      <c r="E12" s="631"/>
      <c r="F12" s="631"/>
      <c r="G12" s="639"/>
      <c r="H12" s="635" t="s">
        <v>8</v>
      </c>
      <c r="I12" s="635"/>
      <c r="J12" s="635" t="s">
        <v>9</v>
      </c>
      <c r="K12" s="635"/>
      <c r="L12" s="641" t="s">
        <v>563</v>
      </c>
    </row>
    <row r="13" spans="1:14">
      <c r="A13" s="633"/>
      <c r="B13" s="633"/>
      <c r="C13" s="631"/>
      <c r="D13" s="631"/>
      <c r="E13" s="631"/>
      <c r="F13" s="634"/>
      <c r="G13" s="634"/>
      <c r="H13" s="635"/>
      <c r="I13" s="635"/>
      <c r="J13" s="635"/>
      <c r="K13" s="635"/>
      <c r="L13" s="635"/>
    </row>
    <row r="14" spans="1:14">
      <c r="A14" s="630">
        <v>1</v>
      </c>
      <c r="B14" s="630"/>
      <c r="C14" s="639" t="s">
        <v>564</v>
      </c>
      <c r="D14" s="631" t="s">
        <v>565</v>
      </c>
      <c r="E14" s="631"/>
      <c r="F14" s="631">
        <v>2023</v>
      </c>
      <c r="G14" s="631"/>
      <c r="H14" s="642">
        <v>0</v>
      </c>
      <c r="I14" s="643"/>
      <c r="J14" s="642">
        <v>0</v>
      </c>
      <c r="K14" s="642"/>
      <c r="L14" s="642">
        <f>SUM(H14:J14)</f>
        <v>0</v>
      </c>
      <c r="N14" s="644"/>
    </row>
    <row r="15" spans="1:14">
      <c r="A15" s="630"/>
      <c r="B15" s="630"/>
      <c r="C15" s="639"/>
      <c r="D15" s="631"/>
      <c r="E15" s="631"/>
      <c r="F15" s="631"/>
      <c r="G15" s="631"/>
      <c r="H15" s="645"/>
      <c r="I15" s="645"/>
      <c r="J15" s="642"/>
      <c r="K15" s="642"/>
      <c r="L15" s="645"/>
    </row>
    <row r="16" spans="1:14">
      <c r="A16" s="630">
        <v>2</v>
      </c>
      <c r="B16" s="630"/>
      <c r="C16" s="634" t="s">
        <v>566</v>
      </c>
      <c r="D16" s="631" t="s">
        <v>565</v>
      </c>
      <c r="E16" s="631"/>
      <c r="F16" s="631">
        <v>2019</v>
      </c>
      <c r="G16" s="631"/>
      <c r="H16" s="643">
        <f>-1749.5/1000</f>
        <v>-1.7495000000000001</v>
      </c>
      <c r="I16" s="643"/>
      <c r="J16" s="643">
        <f>-158.69026/1000</f>
        <v>-0.15869026</v>
      </c>
      <c r="K16" s="643"/>
      <c r="L16" s="643">
        <f>SUM(H16:J16)</f>
        <v>-1.90819026</v>
      </c>
    </row>
    <row r="17" spans="1:22">
      <c r="A17" s="630">
        <v>3</v>
      </c>
      <c r="B17" s="630"/>
      <c r="C17" s="634" t="s">
        <v>566</v>
      </c>
      <c r="D17" s="631" t="s">
        <v>565</v>
      </c>
      <c r="E17" s="631"/>
      <c r="F17" s="631">
        <v>2020</v>
      </c>
      <c r="G17" s="631"/>
      <c r="H17" s="643">
        <f>-14789.5/1000</f>
        <v>-14.7895</v>
      </c>
      <c r="I17" s="643"/>
      <c r="J17" s="643">
        <f>-1144.59801/1000</f>
        <v>-1.1445980099999999</v>
      </c>
      <c r="K17" s="643"/>
      <c r="L17" s="643">
        <f>SUM(H17:J17)</f>
        <v>-15.93409801</v>
      </c>
    </row>
    <row r="18" spans="1:22">
      <c r="A18" s="630">
        <v>4</v>
      </c>
      <c r="B18" s="630"/>
      <c r="C18" s="634" t="s">
        <v>566</v>
      </c>
      <c r="D18" s="631" t="s">
        <v>565</v>
      </c>
      <c r="E18" s="631"/>
      <c r="F18" s="631">
        <v>2021</v>
      </c>
      <c r="G18" s="631"/>
      <c r="H18" s="643">
        <f>-13864.6/1000</f>
        <v>-13.864600000000001</v>
      </c>
      <c r="I18" s="643"/>
      <c r="J18" s="643">
        <f>-1007.89532/1000</f>
        <v>-1.00789532</v>
      </c>
      <c r="K18" s="643"/>
      <c r="L18" s="643">
        <f>SUM(H18:J18)</f>
        <v>-14.872495320000001</v>
      </c>
    </row>
    <row r="19" spans="1:22">
      <c r="A19" s="630">
        <v>5</v>
      </c>
      <c r="B19" s="630"/>
      <c r="C19" s="634" t="s">
        <v>566</v>
      </c>
      <c r="D19" s="631" t="str">
        <f>D18</f>
        <v>179-120</v>
      </c>
      <c r="E19" s="631"/>
      <c r="F19" s="631">
        <v>2022</v>
      </c>
      <c r="G19" s="631"/>
      <c r="H19" s="643">
        <f>(-14061+64900)/1000</f>
        <v>50.838999999999999</v>
      </c>
      <c r="I19" s="643"/>
      <c r="J19" s="643">
        <f>2952.1939/1000</f>
        <v>2.9521939000000001</v>
      </c>
      <c r="K19" s="643"/>
      <c r="L19" s="643">
        <f>SUM(H19:J19)</f>
        <v>53.791193899999996</v>
      </c>
    </row>
    <row r="20" spans="1:22">
      <c r="A20" s="630">
        <v>6</v>
      </c>
      <c r="B20" s="630"/>
      <c r="C20" s="634" t="s">
        <v>566</v>
      </c>
      <c r="D20" s="631" t="str">
        <f>D19</f>
        <v>179-120</v>
      </c>
      <c r="E20" s="631"/>
      <c r="F20" s="631">
        <v>2023</v>
      </c>
      <c r="G20" s="631"/>
      <c r="H20" s="646">
        <f>-33392.7/1000</f>
        <v>-33.392699999999998</v>
      </c>
      <c r="I20" s="643"/>
      <c r="J20" s="646">
        <f>-958.7265/1000</f>
        <v>-0.95872650000000004</v>
      </c>
      <c r="K20" s="643"/>
      <c r="L20" s="646">
        <f>SUM(H20:J20)</f>
        <v>-34.351426499999995</v>
      </c>
      <c r="N20" s="647"/>
    </row>
    <row r="21" spans="1:22">
      <c r="A21" s="630">
        <v>7</v>
      </c>
      <c r="B21" s="630"/>
      <c r="C21" s="639" t="s">
        <v>567</v>
      </c>
      <c r="D21" s="631"/>
      <c r="E21" s="631"/>
      <c r="F21" s="631"/>
      <c r="G21" s="631"/>
      <c r="H21" s="648">
        <f>SUM(H16:H20)</f>
        <v>-12.957300000000004</v>
      </c>
      <c r="I21" s="643"/>
      <c r="J21" s="648">
        <f>SUM(J16:J20)</f>
        <v>-0.31771618999999962</v>
      </c>
      <c r="K21" s="643"/>
      <c r="L21" s="648">
        <f>SUM(L16:L20)</f>
        <v>-13.275016190000002</v>
      </c>
    </row>
    <row r="22" spans="1:22">
      <c r="A22" s="630"/>
      <c r="B22" s="630"/>
      <c r="C22" s="649"/>
      <c r="D22" s="631"/>
      <c r="E22" s="631"/>
      <c r="F22" s="631"/>
      <c r="G22" s="631"/>
      <c r="H22" s="645"/>
      <c r="I22" s="645"/>
      <c r="J22" s="645"/>
      <c r="K22" s="645"/>
      <c r="L22" s="645"/>
    </row>
    <row r="23" spans="1:22">
      <c r="A23" s="630">
        <v>8</v>
      </c>
      <c r="B23" s="630"/>
      <c r="C23" s="634" t="s">
        <v>568</v>
      </c>
      <c r="D23" s="631" t="s">
        <v>565</v>
      </c>
      <c r="E23" s="631"/>
      <c r="F23" s="631">
        <v>2023</v>
      </c>
      <c r="G23" s="631"/>
      <c r="H23" s="648">
        <f>H14+H21</f>
        <v>-12.957300000000004</v>
      </c>
      <c r="I23" s="643"/>
      <c r="J23" s="648">
        <f t="shared" ref="J23:L23" si="0">J14+J21</f>
        <v>-0.31771618999999962</v>
      </c>
      <c r="K23" s="643"/>
      <c r="L23" s="648">
        <f t="shared" si="0"/>
        <v>-13.275016190000002</v>
      </c>
      <c r="V23" s="650"/>
    </row>
    <row r="24" spans="1:22">
      <c r="A24" s="630"/>
      <c r="B24" s="630"/>
      <c r="C24" s="634"/>
      <c r="D24" s="631"/>
      <c r="E24" s="631"/>
      <c r="F24" s="631"/>
      <c r="G24" s="631"/>
      <c r="H24" s="645"/>
      <c r="I24" s="645"/>
      <c r="J24" s="645"/>
      <c r="K24" s="645"/>
      <c r="L24" s="645"/>
    </row>
    <row r="25" spans="1:22">
      <c r="A25" s="630">
        <f>A23+1</f>
        <v>9</v>
      </c>
      <c r="B25" s="630"/>
      <c r="C25" s="639" t="s">
        <v>569</v>
      </c>
      <c r="D25" s="631" t="s">
        <v>570</v>
      </c>
      <c r="E25" s="631"/>
      <c r="F25" s="631">
        <v>2020</v>
      </c>
      <c r="G25" s="631"/>
      <c r="H25" s="642">
        <v>0</v>
      </c>
      <c r="I25" s="642"/>
      <c r="J25" s="642">
        <v>0</v>
      </c>
      <c r="K25" s="642"/>
      <c r="L25" s="642">
        <f>SUM(H25:J25)</f>
        <v>0</v>
      </c>
    </row>
    <row r="26" spans="1:22">
      <c r="A26" s="630">
        <f t="shared" ref="A26:A35" si="1">A25+1</f>
        <v>10</v>
      </c>
      <c r="B26" s="630"/>
      <c r="C26" s="639" t="s">
        <v>569</v>
      </c>
      <c r="D26" s="631" t="s">
        <v>570</v>
      </c>
      <c r="E26" s="631"/>
      <c r="F26" s="631">
        <v>2021</v>
      </c>
      <c r="G26" s="631"/>
      <c r="H26" s="642">
        <v>0</v>
      </c>
      <c r="I26" s="642"/>
      <c r="J26" s="642">
        <v>0</v>
      </c>
      <c r="K26" s="642"/>
      <c r="L26" s="642">
        <f>SUM(H26:J26)</f>
        <v>0</v>
      </c>
    </row>
    <row r="27" spans="1:22">
      <c r="A27" s="630">
        <f t="shared" si="1"/>
        <v>11</v>
      </c>
      <c r="B27" s="630"/>
      <c r="C27" s="639" t="s">
        <v>569</v>
      </c>
      <c r="D27" s="631" t="s">
        <v>570</v>
      </c>
      <c r="E27" s="631"/>
      <c r="F27" s="631">
        <v>2022</v>
      </c>
      <c r="G27" s="631"/>
      <c r="H27" s="642">
        <v>0</v>
      </c>
      <c r="I27" s="642"/>
      <c r="J27" s="642">
        <v>0</v>
      </c>
      <c r="K27" s="642"/>
      <c r="L27" s="642">
        <f>SUM(H27:J27)</f>
        <v>0</v>
      </c>
    </row>
    <row r="28" spans="1:22">
      <c r="A28" s="630">
        <f t="shared" si="1"/>
        <v>12</v>
      </c>
      <c r="B28" s="630"/>
      <c r="C28" s="639" t="s">
        <v>569</v>
      </c>
      <c r="D28" s="631" t="s">
        <v>570</v>
      </c>
      <c r="E28" s="631"/>
      <c r="F28" s="631">
        <v>2023</v>
      </c>
      <c r="G28" s="631"/>
      <c r="H28" s="642">
        <v>0</v>
      </c>
      <c r="I28" s="642"/>
      <c r="J28" s="642">
        <v>0</v>
      </c>
      <c r="K28" s="642"/>
      <c r="L28" s="642">
        <f>SUM(H28:J28)</f>
        <v>0</v>
      </c>
    </row>
    <row r="29" spans="1:22">
      <c r="A29" s="630">
        <f t="shared" si="1"/>
        <v>13</v>
      </c>
      <c r="B29" s="630"/>
      <c r="C29" s="639" t="s">
        <v>567</v>
      </c>
      <c r="D29" s="631"/>
      <c r="E29" s="631"/>
      <c r="F29" s="631"/>
      <c r="G29" s="631"/>
      <c r="H29" s="651">
        <f>SUM(H25:H28)</f>
        <v>0</v>
      </c>
      <c r="I29" s="643"/>
      <c r="J29" s="651">
        <f>SUM(J25:J28)</f>
        <v>0</v>
      </c>
      <c r="K29" s="643"/>
      <c r="L29" s="651">
        <f>SUM(L25:L28)</f>
        <v>0</v>
      </c>
    </row>
    <row r="30" spans="1:22">
      <c r="A30" s="630"/>
      <c r="B30" s="630"/>
      <c r="C30" s="639"/>
      <c r="D30" s="631"/>
      <c r="E30" s="631"/>
      <c r="F30" s="631"/>
      <c r="G30" s="631"/>
      <c r="H30" s="645"/>
      <c r="I30" s="645"/>
      <c r="J30" s="645"/>
      <c r="K30" s="645"/>
      <c r="L30" s="645"/>
    </row>
    <row r="31" spans="1:22">
      <c r="A31" s="630">
        <f>A29+1</f>
        <v>14</v>
      </c>
      <c r="B31" s="630"/>
      <c r="C31" s="639" t="s">
        <v>571</v>
      </c>
      <c r="D31" s="631" t="s">
        <v>572</v>
      </c>
      <c r="E31" s="631"/>
      <c r="F31" s="631">
        <v>2020</v>
      </c>
      <c r="G31" s="631"/>
      <c r="H31" s="643">
        <f>-254/1000</f>
        <v>-0.254</v>
      </c>
      <c r="I31" s="643"/>
      <c r="J31" s="643">
        <f>-18.62146/1000</f>
        <v>-1.8621459999999999E-2</v>
      </c>
      <c r="K31" s="643"/>
      <c r="L31" s="643">
        <f>SUM(H31:J31)</f>
        <v>-0.27262145999999998</v>
      </c>
    </row>
    <row r="32" spans="1:22">
      <c r="A32" s="630">
        <f t="shared" si="1"/>
        <v>15</v>
      </c>
      <c r="B32" s="630"/>
      <c r="C32" s="639" t="s">
        <v>571</v>
      </c>
      <c r="D32" s="631" t="s">
        <v>572</v>
      </c>
      <c r="E32" s="631"/>
      <c r="F32" s="631">
        <v>2021</v>
      </c>
      <c r="G32" s="631"/>
      <c r="H32" s="643">
        <f>175.5/1000</f>
        <v>0.17549999999999999</v>
      </c>
      <c r="I32" s="643"/>
      <c r="J32" s="643">
        <f>12.70566/1000</f>
        <v>1.2705660000000001E-2</v>
      </c>
      <c r="K32" s="643"/>
      <c r="L32" s="643">
        <f>SUM(H32:J32)</f>
        <v>0.18820566</v>
      </c>
    </row>
    <row r="33" spans="1:22">
      <c r="A33" s="630">
        <f t="shared" si="1"/>
        <v>16</v>
      </c>
      <c r="B33" s="630"/>
      <c r="C33" s="639" t="s">
        <v>571</v>
      </c>
      <c r="D33" s="631" t="s">
        <v>572</v>
      </c>
      <c r="E33" s="631"/>
      <c r="F33" s="631">
        <v>2022</v>
      </c>
      <c r="G33" s="631"/>
      <c r="H33" s="643">
        <f>-4830.24292934561/1000</f>
        <v>-4.8302429293456095</v>
      </c>
      <c r="I33" s="643"/>
      <c r="J33" s="643">
        <f>-352.20761/1000</f>
        <v>-0.35220761</v>
      </c>
      <c r="K33" s="643"/>
      <c r="L33" s="643">
        <f>SUM(H33:J33)</f>
        <v>-5.1824505393456093</v>
      </c>
    </row>
    <row r="34" spans="1:22">
      <c r="A34" s="630">
        <f t="shared" si="1"/>
        <v>17</v>
      </c>
      <c r="B34" s="630"/>
      <c r="C34" s="639" t="s">
        <v>571</v>
      </c>
      <c r="D34" s="631" t="s">
        <v>572</v>
      </c>
      <c r="E34" s="631"/>
      <c r="F34" s="631">
        <v>2023</v>
      </c>
      <c r="G34" s="631"/>
      <c r="H34" s="643">
        <f>6939.88981011514/1000</f>
        <v>6.9398898101151403</v>
      </c>
      <c r="I34" s="643"/>
      <c r="J34" s="643">
        <f>110.41491/1000</f>
        <v>0.11041491</v>
      </c>
      <c r="K34" s="643"/>
      <c r="L34" s="643">
        <f>SUM(H34:J34)</f>
        <v>7.0503047201151405</v>
      </c>
    </row>
    <row r="35" spans="1:22">
      <c r="A35" s="630">
        <f t="shared" si="1"/>
        <v>18</v>
      </c>
      <c r="B35" s="630"/>
      <c r="C35" s="639" t="s">
        <v>567</v>
      </c>
      <c r="D35" s="631"/>
      <c r="E35" s="631"/>
      <c r="F35" s="631"/>
      <c r="G35" s="631"/>
      <c r="H35" s="648">
        <f>SUM(H31:H34)</f>
        <v>2.0311468807695308</v>
      </c>
      <c r="I35" s="643"/>
      <c r="J35" s="648">
        <f t="shared" ref="J35:L35" si="2">SUM(J31:J34)</f>
        <v>-0.24770850000000003</v>
      </c>
      <c r="K35" s="643"/>
      <c r="L35" s="648">
        <f t="shared" si="2"/>
        <v>1.7834383807695309</v>
      </c>
    </row>
    <row r="36" spans="1:22">
      <c r="A36" s="630"/>
      <c r="B36" s="630"/>
      <c r="C36" s="639"/>
      <c r="D36" s="631"/>
      <c r="E36" s="631"/>
      <c r="F36" s="631"/>
      <c r="G36" s="631"/>
      <c r="H36" s="652"/>
      <c r="I36" s="652"/>
      <c r="J36" s="652"/>
      <c r="K36" s="652"/>
      <c r="L36" s="652"/>
    </row>
    <row r="37" spans="1:22">
      <c r="A37" s="630">
        <f>A35+1</f>
        <v>19</v>
      </c>
      <c r="B37" s="630"/>
      <c r="C37" s="639" t="s">
        <v>573</v>
      </c>
      <c r="D37" s="631" t="s">
        <v>574</v>
      </c>
      <c r="E37" s="631"/>
      <c r="F37" s="631">
        <v>2019</v>
      </c>
      <c r="G37" s="631"/>
      <c r="H37" s="643">
        <f>-6869.6/1000</f>
        <v>-6.8696000000000002</v>
      </c>
      <c r="I37" s="643"/>
      <c r="J37" s="643">
        <f>-611.88758/1000</f>
        <v>-0.61188757999999999</v>
      </c>
      <c r="K37" s="643"/>
      <c r="L37" s="643">
        <f>SUM(H37:J37)</f>
        <v>-7.4814875800000005</v>
      </c>
    </row>
    <row r="38" spans="1:22">
      <c r="A38" s="630">
        <f>A37+1</f>
        <v>20</v>
      </c>
      <c r="B38" s="630"/>
      <c r="C38" s="639" t="s">
        <v>573</v>
      </c>
      <c r="D38" s="631" t="s">
        <v>574</v>
      </c>
      <c r="E38" s="631"/>
      <c r="F38" s="631">
        <v>2020</v>
      </c>
      <c r="G38" s="631"/>
      <c r="H38" s="643">
        <f>-5615.4/1000</f>
        <v>-5.6153999999999993</v>
      </c>
      <c r="I38" s="643"/>
      <c r="J38" s="643">
        <f>-431.75006/1000</f>
        <v>-0.43175006000000005</v>
      </c>
      <c r="K38" s="643"/>
      <c r="L38" s="643">
        <f>SUM(H38:J38)</f>
        <v>-6.047150059999999</v>
      </c>
    </row>
    <row r="39" spans="1:22">
      <c r="A39" s="630">
        <f>A38+1</f>
        <v>21</v>
      </c>
      <c r="B39" s="630"/>
      <c r="C39" s="639" t="s">
        <v>573</v>
      </c>
      <c r="D39" s="631" t="s">
        <v>574</v>
      </c>
      <c r="E39" s="631"/>
      <c r="F39" s="631">
        <v>2021</v>
      </c>
      <c r="G39" s="631"/>
      <c r="H39" s="643">
        <f>-14353.4/1000</f>
        <v>-14.353399999999999</v>
      </c>
      <c r="I39" s="643"/>
      <c r="J39" s="643">
        <f>-1015.92495/1000</f>
        <v>-1.01592495</v>
      </c>
      <c r="K39" s="643"/>
      <c r="L39" s="643">
        <f>SUM(H39:J39)</f>
        <v>-15.369324949999999</v>
      </c>
    </row>
    <row r="40" spans="1:22">
      <c r="A40" s="630">
        <f>A39+1</f>
        <v>22</v>
      </c>
      <c r="B40" s="630"/>
      <c r="C40" s="639" t="s">
        <v>573</v>
      </c>
      <c r="D40" s="631" t="s">
        <v>574</v>
      </c>
      <c r="E40" s="631"/>
      <c r="F40" s="631">
        <v>2022</v>
      </c>
      <c r="G40" s="631"/>
      <c r="H40" s="643">
        <f>-731.424649369693/1000</f>
        <v>-0.73142464936969309</v>
      </c>
      <c r="I40" s="643"/>
      <c r="J40" s="643">
        <f>-104.56192/1000</f>
        <v>-0.10456192</v>
      </c>
      <c r="K40" s="643"/>
      <c r="L40" s="643">
        <f>SUM(H40:J40)</f>
        <v>-0.83598656936969307</v>
      </c>
    </row>
    <row r="41" spans="1:22">
      <c r="A41" s="630">
        <f>A40+1</f>
        <v>23</v>
      </c>
      <c r="B41" s="630"/>
      <c r="C41" s="639" t="s">
        <v>573</v>
      </c>
      <c r="D41" s="631" t="s">
        <v>574</v>
      </c>
      <c r="E41" s="631"/>
      <c r="F41" s="631">
        <v>2023</v>
      </c>
      <c r="G41" s="631"/>
      <c r="H41" s="643">
        <f>1173.8915798336/1000</f>
        <v>1.1738915798336</v>
      </c>
      <c r="I41" s="643"/>
      <c r="J41" s="643">
        <f>27.07357/1000</f>
        <v>2.7073570000000002E-2</v>
      </c>
      <c r="K41" s="643"/>
      <c r="L41" s="643">
        <f>SUM(H41:J41)</f>
        <v>1.2009651498336</v>
      </c>
    </row>
    <row r="42" spans="1:22">
      <c r="A42" s="630">
        <f>A41+1</f>
        <v>24</v>
      </c>
      <c r="B42" s="630"/>
      <c r="C42" s="639" t="s">
        <v>567</v>
      </c>
      <c r="D42" s="631"/>
      <c r="E42" s="631"/>
      <c r="F42" s="631"/>
      <c r="G42" s="631"/>
      <c r="H42" s="648">
        <f>SUM(H37:H41)</f>
        <v>-26.395933069536092</v>
      </c>
      <c r="I42" s="643"/>
      <c r="J42" s="648">
        <f t="shared" ref="J42:L42" si="3">SUM(J37:J41)</f>
        <v>-2.13705094</v>
      </c>
      <c r="K42" s="643"/>
      <c r="L42" s="648">
        <f t="shared" si="3"/>
        <v>-28.532984009536094</v>
      </c>
    </row>
    <row r="43" spans="1:22">
      <c r="A43" s="630"/>
      <c r="B43" s="630"/>
      <c r="C43" s="649"/>
      <c r="D43" s="631"/>
      <c r="E43" s="631"/>
      <c r="F43" s="631"/>
      <c r="G43" s="631"/>
      <c r="H43" s="645"/>
      <c r="I43" s="645"/>
      <c r="J43" s="645"/>
      <c r="K43" s="645"/>
      <c r="L43" s="645"/>
    </row>
    <row r="44" spans="1:22">
      <c r="A44" s="630">
        <v>25</v>
      </c>
      <c r="B44" s="630"/>
      <c r="C44" s="634" t="s">
        <v>575</v>
      </c>
      <c r="D44" s="631" t="s">
        <v>576</v>
      </c>
      <c r="E44" s="631"/>
      <c r="F44" s="631">
        <v>2023</v>
      </c>
      <c r="G44" s="631"/>
      <c r="H44" s="648">
        <f>SUM(H42,H35)</f>
        <v>-24.364786188766562</v>
      </c>
      <c r="I44" s="643"/>
      <c r="J44" s="648">
        <f t="shared" ref="J44:L44" si="4">SUM(J42,J35)</f>
        <v>-2.3847594399999998</v>
      </c>
      <c r="K44" s="643"/>
      <c r="L44" s="648">
        <f t="shared" si="4"/>
        <v>-26.749545628766562</v>
      </c>
      <c r="V44" s="650"/>
    </row>
    <row r="45" spans="1:22">
      <c r="A45" s="630"/>
      <c r="B45" s="630"/>
      <c r="C45" s="649"/>
      <c r="D45" s="631"/>
      <c r="E45" s="631"/>
      <c r="F45" s="631"/>
      <c r="G45" s="631"/>
      <c r="H45" s="645"/>
      <c r="I45" s="645"/>
      <c r="J45" s="645"/>
      <c r="K45" s="645"/>
      <c r="L45" s="645"/>
    </row>
    <row r="46" spans="1:22">
      <c r="A46" s="630">
        <f>A44+1</f>
        <v>26</v>
      </c>
      <c r="B46" s="630"/>
      <c r="C46" s="639" t="s">
        <v>577</v>
      </c>
      <c r="D46" s="631" t="s">
        <v>578</v>
      </c>
      <c r="E46" s="631"/>
      <c r="F46" s="631">
        <v>2022</v>
      </c>
      <c r="G46" s="631"/>
      <c r="H46" s="642">
        <v>0</v>
      </c>
      <c r="I46" s="642"/>
      <c r="J46" s="642">
        <v>0</v>
      </c>
      <c r="K46" s="642"/>
      <c r="L46" s="642">
        <f>SUM(H46:J46)</f>
        <v>0</v>
      </c>
    </row>
    <row r="47" spans="1:22">
      <c r="A47" s="630">
        <f>A46+1</f>
        <v>27</v>
      </c>
      <c r="B47" s="630"/>
      <c r="C47" s="639" t="s">
        <v>577</v>
      </c>
      <c r="D47" s="631" t="s">
        <v>578</v>
      </c>
      <c r="E47" s="631"/>
      <c r="F47" s="631">
        <v>2023</v>
      </c>
      <c r="G47" s="631"/>
      <c r="H47" s="642">
        <v>0</v>
      </c>
      <c r="I47" s="642"/>
      <c r="J47" s="642">
        <v>0</v>
      </c>
      <c r="K47" s="642"/>
      <c r="L47" s="642">
        <f>SUM(H47:J47)</f>
        <v>0</v>
      </c>
    </row>
    <row r="48" spans="1:22">
      <c r="A48" s="630">
        <f>A47+1</f>
        <v>28</v>
      </c>
      <c r="B48" s="630"/>
      <c r="C48" s="639" t="s">
        <v>567</v>
      </c>
      <c r="D48" s="631"/>
      <c r="E48" s="631"/>
      <c r="F48" s="631"/>
      <c r="G48" s="631"/>
      <c r="H48" s="651">
        <v>0</v>
      </c>
      <c r="I48" s="642"/>
      <c r="J48" s="651">
        <v>0</v>
      </c>
      <c r="K48" s="642"/>
      <c r="L48" s="651">
        <v>0</v>
      </c>
    </row>
    <row r="49" spans="1:12">
      <c r="A49" s="630"/>
      <c r="B49" s="630"/>
      <c r="C49" s="639"/>
      <c r="D49" s="631"/>
      <c r="E49" s="631"/>
      <c r="F49" s="631"/>
      <c r="G49" s="631"/>
      <c r="H49" s="652"/>
      <c r="I49" s="652"/>
      <c r="J49" s="652"/>
      <c r="K49" s="652"/>
      <c r="L49" s="652"/>
    </row>
    <row r="50" spans="1:12">
      <c r="A50" s="630">
        <f>A48+1</f>
        <v>29</v>
      </c>
      <c r="B50" s="630"/>
      <c r="C50" s="639" t="s">
        <v>579</v>
      </c>
      <c r="D50" s="631" t="s">
        <v>580</v>
      </c>
      <c r="E50" s="631"/>
      <c r="F50" s="631">
        <v>2020</v>
      </c>
      <c r="G50" s="631"/>
      <c r="H50" s="643">
        <f>1377.5/1000</f>
        <v>1.3774999999999999</v>
      </c>
      <c r="I50" s="643"/>
      <c r="J50" s="643">
        <f>103.72575/1000</f>
        <v>0.10372575000000001</v>
      </c>
      <c r="K50" s="643"/>
      <c r="L50" s="643">
        <f>SUM(H50:J50)</f>
        <v>1.4812257499999999</v>
      </c>
    </row>
    <row r="51" spans="1:12">
      <c r="A51" s="630">
        <f>A50+1</f>
        <v>30</v>
      </c>
      <c r="B51" s="630"/>
      <c r="C51" s="639" t="s">
        <v>579</v>
      </c>
      <c r="D51" s="631" t="s">
        <v>580</v>
      </c>
      <c r="E51" s="631"/>
      <c r="F51" s="631">
        <v>2021</v>
      </c>
      <c r="G51" s="631"/>
      <c r="H51" s="643">
        <f>34.3/1000</f>
        <v>3.4299999999999997E-2</v>
      </c>
      <c r="I51" s="643"/>
      <c r="J51" s="643">
        <f>2.40276/1000</f>
        <v>2.4027599999999999E-3</v>
      </c>
      <c r="K51" s="643"/>
      <c r="L51" s="646">
        <f>SUM(H51:J51)</f>
        <v>3.6702759999999994E-2</v>
      </c>
    </row>
    <row r="52" spans="1:12">
      <c r="A52" s="630">
        <f>A51+1</f>
        <v>31</v>
      </c>
      <c r="B52" s="630"/>
      <c r="C52" s="639" t="s">
        <v>567</v>
      </c>
      <c r="D52" s="631"/>
      <c r="E52" s="631"/>
      <c r="F52" s="631"/>
      <c r="G52" s="631"/>
      <c r="H52" s="648">
        <f>SUM(H50:H51)</f>
        <v>1.4117999999999999</v>
      </c>
      <c r="I52" s="643"/>
      <c r="J52" s="648">
        <f t="shared" ref="J52" si="5">SUM(J50:J51)</f>
        <v>0.10612851000000001</v>
      </c>
      <c r="K52" s="643"/>
      <c r="L52" s="648">
        <f>SUM(L50:L51)</f>
        <v>1.51792851</v>
      </c>
    </row>
    <row r="53" spans="1:12">
      <c r="A53" s="630"/>
      <c r="B53" s="630"/>
      <c r="C53" s="649"/>
      <c r="D53" s="631"/>
      <c r="E53" s="631"/>
      <c r="F53" s="631"/>
      <c r="G53" s="631"/>
      <c r="H53" s="652"/>
      <c r="I53" s="652"/>
      <c r="J53" s="652"/>
      <c r="K53" s="652"/>
      <c r="L53" s="652"/>
    </row>
    <row r="54" spans="1:12">
      <c r="A54" s="630">
        <f>A52+1</f>
        <v>32</v>
      </c>
      <c r="B54" s="630"/>
      <c r="C54" s="268" t="s">
        <v>581</v>
      </c>
      <c r="D54" s="631" t="s">
        <v>582</v>
      </c>
      <c r="E54" s="631"/>
      <c r="F54" s="631">
        <v>2023</v>
      </c>
      <c r="G54" s="631"/>
      <c r="H54" s="643">
        <f>39922.2/1000</f>
        <v>39.922199999999997</v>
      </c>
      <c r="I54" s="643"/>
      <c r="J54" s="642">
        <v>0</v>
      </c>
      <c r="K54" s="642"/>
      <c r="L54" s="643">
        <f>SUM(H54:J54)</f>
        <v>39.922199999999997</v>
      </c>
    </row>
    <row r="55" spans="1:12">
      <c r="A55" s="630"/>
      <c r="B55" s="630"/>
      <c r="D55" s="631"/>
      <c r="E55" s="631"/>
      <c r="F55" s="631"/>
      <c r="G55" s="631"/>
      <c r="H55" s="652"/>
      <c r="I55" s="652"/>
      <c r="J55" s="652"/>
      <c r="K55" s="652"/>
      <c r="L55" s="652"/>
    </row>
    <row r="56" spans="1:12">
      <c r="A56" s="630">
        <f>A54+1</f>
        <v>33</v>
      </c>
      <c r="B56" s="630"/>
      <c r="C56" s="639" t="s">
        <v>583</v>
      </c>
      <c r="D56" s="631"/>
      <c r="E56" s="631"/>
      <c r="F56" s="631">
        <v>2023</v>
      </c>
      <c r="G56" s="631"/>
      <c r="H56" s="643">
        <f>-254560.5/1000</f>
        <v>-254.56049999999999</v>
      </c>
      <c r="I56" s="643"/>
      <c r="J56" s="642">
        <v>0</v>
      </c>
      <c r="K56" s="642"/>
      <c r="L56" s="643">
        <f>SUM(H56:J56)</f>
        <v>-254.56049999999999</v>
      </c>
    </row>
    <row r="57" spans="1:12">
      <c r="A57" s="630"/>
      <c r="B57" s="630"/>
      <c r="C57" s="639"/>
      <c r="D57" s="631"/>
      <c r="E57" s="631"/>
      <c r="F57" s="631"/>
      <c r="G57" s="631"/>
      <c r="H57" s="652"/>
      <c r="I57" s="652"/>
      <c r="J57" s="652"/>
      <c r="K57" s="652"/>
      <c r="L57" s="645"/>
    </row>
    <row r="58" spans="1:12" ht="13.5" thickBot="1">
      <c r="A58" s="630">
        <f>A56+1</f>
        <v>34</v>
      </c>
      <c r="B58" s="630"/>
      <c r="C58" s="639" t="s">
        <v>584</v>
      </c>
      <c r="D58" s="631"/>
      <c r="E58" s="631"/>
      <c r="F58" s="631"/>
      <c r="G58" s="631"/>
      <c r="H58" s="653">
        <f>H14+H21+H29+H42+H35+H48+H54+H56+H52</f>
        <v>-250.54858618876656</v>
      </c>
      <c r="I58" s="643"/>
      <c r="J58" s="653">
        <f>J14+J21+J29+J42+J35+J48+J54+J56+J52</f>
        <v>-2.5963471199999995</v>
      </c>
      <c r="K58" s="643"/>
      <c r="L58" s="653">
        <f>L14+L21+L29+L42+L35+L48+L54+L56+L52</f>
        <v>-253.14493330876655</v>
      </c>
    </row>
    <row r="59" spans="1:12" ht="13.5" thickTop="1"/>
    <row r="61" spans="1:12">
      <c r="A61" s="644" t="s">
        <v>189</v>
      </c>
      <c r="B61" s="268"/>
      <c r="D61" s="268"/>
      <c r="E61" s="268"/>
    </row>
    <row r="62" spans="1:12">
      <c r="A62" s="654" t="s">
        <v>40</v>
      </c>
      <c r="B62" s="268"/>
      <c r="C62" s="1318" t="s">
        <v>585</v>
      </c>
      <c r="D62" s="1318"/>
      <c r="E62" s="1318"/>
    </row>
    <row r="65" spans="3:12">
      <c r="C65" s="639"/>
      <c r="D65" s="631"/>
      <c r="E65" s="631"/>
      <c r="F65" s="631"/>
      <c r="G65" s="631"/>
      <c r="H65" s="655"/>
      <c r="I65" s="655"/>
      <c r="J65" s="655"/>
      <c r="K65" s="655"/>
      <c r="L65" s="655"/>
    </row>
  </sheetData>
  <mergeCells count="3">
    <mergeCell ref="A6:L6"/>
    <mergeCell ref="A7:L7"/>
    <mergeCell ref="C62:E62"/>
  </mergeCells>
  <pageMargins left="0.7" right="0.7" top="0.75" bottom="0.75" header="0.3" footer="0.3"/>
  <pageSetup scale="79" orientation="portrait" r:id="rId1"/>
  <headerFooter>
    <oddHeader>&amp;R&amp;10Updated: 2024-03-15
EB-2022-0200
Rate Order
Working Papers
Schedule 27
Page &amp;P of 6</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4004E-754F-4712-8B84-1F2BEADE1B0A}">
  <dimension ref="A6:M60"/>
  <sheetViews>
    <sheetView view="pageBreakPreview" topLeftCell="A8" zoomScale="90" zoomScaleNormal="70" zoomScaleSheetLayoutView="90" workbookViewId="0">
      <selection activeCell="C18" sqref="C18"/>
    </sheetView>
  </sheetViews>
  <sheetFormatPr defaultColWidth="8" defaultRowHeight="12.75"/>
  <cols>
    <col min="1" max="1" width="5.75" style="318" customWidth="1"/>
    <col min="2" max="2" width="1.5" style="268" customWidth="1"/>
    <col min="3" max="3" width="50" style="268" bestFit="1" customWidth="1"/>
    <col min="4" max="4" width="10.875" style="268" customWidth="1"/>
    <col min="5" max="5" width="2" style="268" customWidth="1"/>
    <col min="6" max="6" width="9.625" style="268" customWidth="1"/>
    <col min="7" max="7" width="2" style="268" customWidth="1"/>
    <col min="8" max="8" width="11.125" style="268" customWidth="1"/>
    <col min="9" max="9" width="2" style="268" customWidth="1"/>
    <col min="10" max="10" width="12.75" style="268" customWidth="1"/>
    <col min="11" max="16384" width="8" style="268"/>
  </cols>
  <sheetData>
    <row r="6" spans="1:10">
      <c r="A6" s="1317" t="s">
        <v>555</v>
      </c>
      <c r="B6" s="1317"/>
      <c r="C6" s="1317"/>
      <c r="D6" s="1317"/>
      <c r="E6" s="1317"/>
      <c r="F6" s="1317"/>
      <c r="G6" s="1317"/>
      <c r="H6" s="1317"/>
      <c r="I6" s="1317"/>
      <c r="J6" s="1317"/>
    </row>
    <row r="7" spans="1:10">
      <c r="A7" s="1317" t="s">
        <v>586</v>
      </c>
      <c r="B7" s="1317"/>
      <c r="C7" s="1317"/>
      <c r="D7" s="1317"/>
      <c r="E7" s="1317"/>
      <c r="F7" s="1317"/>
      <c r="G7" s="1317"/>
      <c r="H7" s="1317"/>
      <c r="I7" s="1317"/>
      <c r="J7" s="1317"/>
    </row>
    <row r="9" spans="1:10">
      <c r="A9" s="630" t="s">
        <v>1</v>
      </c>
      <c r="B9" s="630"/>
      <c r="C9" s="630"/>
      <c r="D9" s="634"/>
    </row>
    <row r="10" spans="1:10">
      <c r="A10" s="636" t="s">
        <v>2</v>
      </c>
      <c r="B10" s="630"/>
      <c r="C10" s="637" t="s">
        <v>557</v>
      </c>
      <c r="D10" s="638" t="s">
        <v>558</v>
      </c>
      <c r="F10" s="640" t="s">
        <v>560</v>
      </c>
      <c r="G10" s="635"/>
      <c r="H10" s="640" t="s">
        <v>561</v>
      </c>
      <c r="I10" s="635"/>
      <c r="J10" s="640" t="s">
        <v>562</v>
      </c>
    </row>
    <row r="11" spans="1:10">
      <c r="F11" s="635" t="s">
        <v>8</v>
      </c>
      <c r="G11" s="635"/>
      <c r="H11" s="635" t="s">
        <v>9</v>
      </c>
      <c r="I11" s="635"/>
      <c r="J11" s="641" t="s">
        <v>563</v>
      </c>
    </row>
    <row r="12" spans="1:10">
      <c r="A12" s="630"/>
      <c r="B12" s="630"/>
      <c r="D12" s="639"/>
    </row>
    <row r="13" spans="1:10">
      <c r="A13" s="630"/>
      <c r="B13" s="630"/>
      <c r="C13" s="656" t="s">
        <v>11</v>
      </c>
      <c r="D13" s="639"/>
    </row>
    <row r="14" spans="1:10">
      <c r="A14" s="630"/>
      <c r="B14" s="630"/>
      <c r="C14" s="639" t="s">
        <v>587</v>
      </c>
      <c r="D14" s="639"/>
    </row>
    <row r="15" spans="1:10">
      <c r="A15" s="630">
        <v>1</v>
      </c>
      <c r="B15" s="630"/>
      <c r="C15" s="657" t="s">
        <v>588</v>
      </c>
      <c r="D15" s="631" t="s">
        <v>565</v>
      </c>
      <c r="F15" s="643">
        <v>7.899</v>
      </c>
      <c r="G15" s="643"/>
      <c r="H15" s="643">
        <v>0.19322471342114411</v>
      </c>
      <c r="I15" s="643"/>
      <c r="J15" s="658">
        <f>F15+H15</f>
        <v>8.0922247134211442</v>
      </c>
    </row>
    <row r="16" spans="1:10">
      <c r="A16" s="630">
        <v>2</v>
      </c>
      <c r="B16" s="630"/>
      <c r="C16" s="657" t="s">
        <v>589</v>
      </c>
      <c r="D16" s="631" t="s">
        <v>565</v>
      </c>
      <c r="F16" s="643">
        <v>2.36</v>
      </c>
      <c r="G16" s="643"/>
      <c r="H16" s="643">
        <v>5.7730133393328276E-2</v>
      </c>
      <c r="I16" s="643"/>
      <c r="J16" s="658">
        <f t="shared" ref="J16:J20" si="0">F16+H16</f>
        <v>2.4177301333933281</v>
      </c>
    </row>
    <row r="17" spans="1:10">
      <c r="A17" s="630">
        <v>3</v>
      </c>
      <c r="B17" s="630"/>
      <c r="C17" s="657" t="s">
        <v>590</v>
      </c>
      <c r="D17" s="631" t="s">
        <v>565</v>
      </c>
      <c r="F17" s="642">
        <v>0</v>
      </c>
      <c r="G17" s="643"/>
      <c r="H17" s="642">
        <v>0</v>
      </c>
      <c r="I17" s="643"/>
      <c r="J17" s="642">
        <f t="shared" si="0"/>
        <v>0</v>
      </c>
    </row>
    <row r="18" spans="1:10">
      <c r="A18" s="630">
        <v>4</v>
      </c>
      <c r="B18" s="630"/>
      <c r="C18" s="657" t="s">
        <v>591</v>
      </c>
      <c r="D18" s="631" t="s">
        <v>565</v>
      </c>
      <c r="F18" s="643">
        <v>22.626999999999999</v>
      </c>
      <c r="G18" s="643"/>
      <c r="H18" s="643">
        <v>0.55349988486899959</v>
      </c>
      <c r="I18" s="643"/>
      <c r="J18" s="658">
        <f t="shared" si="0"/>
        <v>23.180499884868997</v>
      </c>
    </row>
    <row r="19" spans="1:10">
      <c r="A19" s="630">
        <v>5</v>
      </c>
      <c r="B19" s="630"/>
      <c r="C19" s="657" t="s">
        <v>592</v>
      </c>
      <c r="D19" s="631" t="s">
        <v>565</v>
      </c>
      <c r="F19" s="643">
        <v>64.900000000000006</v>
      </c>
      <c r="G19" s="643"/>
      <c r="H19" s="643">
        <v>1.5875786683165281</v>
      </c>
      <c r="I19" s="643"/>
      <c r="J19" s="658">
        <f t="shared" si="0"/>
        <v>66.48757866831653</v>
      </c>
    </row>
    <row r="20" spans="1:10">
      <c r="A20" s="630">
        <v>6</v>
      </c>
      <c r="B20" s="630"/>
      <c r="C20" s="657" t="s">
        <v>593</v>
      </c>
      <c r="D20" s="631" t="s">
        <v>565</v>
      </c>
      <c r="F20" s="642">
        <v>0</v>
      </c>
      <c r="G20" s="643"/>
      <c r="H20" s="642">
        <v>0</v>
      </c>
      <c r="I20" s="643"/>
      <c r="J20" s="642">
        <f t="shared" si="0"/>
        <v>0</v>
      </c>
    </row>
    <row r="21" spans="1:10">
      <c r="A21" s="630">
        <v>7</v>
      </c>
      <c r="C21" s="639" t="s">
        <v>594</v>
      </c>
      <c r="D21" s="631"/>
      <c r="F21" s="648">
        <f>SUM(F15:F20)</f>
        <v>97.786000000000001</v>
      </c>
      <c r="G21" s="643"/>
      <c r="H21" s="648">
        <f>SUM(H15:H20)</f>
        <v>2.3920333999999999</v>
      </c>
      <c r="I21" s="643"/>
      <c r="J21" s="648">
        <f>SUM(J15:J20)</f>
        <v>100.1780334</v>
      </c>
    </row>
    <row r="22" spans="1:10">
      <c r="F22" s="326"/>
      <c r="G22" s="326"/>
      <c r="H22" s="326"/>
      <c r="I22" s="326"/>
      <c r="J22" s="658"/>
    </row>
    <row r="23" spans="1:10">
      <c r="C23" s="639" t="s">
        <v>595</v>
      </c>
      <c r="D23" s="631"/>
      <c r="E23" s="631"/>
      <c r="F23" s="326"/>
      <c r="G23" s="326"/>
      <c r="H23" s="326"/>
      <c r="I23" s="326"/>
      <c r="J23" s="658"/>
    </row>
    <row r="24" spans="1:10">
      <c r="A24" s="318">
        <v>8</v>
      </c>
      <c r="C24" s="659" t="s">
        <v>596</v>
      </c>
      <c r="D24" s="631" t="s">
        <v>572</v>
      </c>
      <c r="E24" s="631"/>
      <c r="F24" s="643">
        <v>0</v>
      </c>
      <c r="G24" s="643"/>
      <c r="H24" s="643">
        <v>0</v>
      </c>
      <c r="I24" s="643"/>
      <c r="J24" s="658">
        <f t="shared" ref="J24:J25" si="1">F24+H24</f>
        <v>0</v>
      </c>
    </row>
    <row r="25" spans="1:10">
      <c r="A25" s="318">
        <v>9</v>
      </c>
      <c r="C25" s="659" t="s">
        <v>597</v>
      </c>
      <c r="D25" s="631" t="s">
        <v>572</v>
      </c>
      <c r="E25" s="631"/>
      <c r="F25" s="643">
        <v>2</v>
      </c>
      <c r="G25" s="643"/>
      <c r="H25" s="643">
        <v>-0.24770849</v>
      </c>
      <c r="I25" s="643"/>
      <c r="J25" s="658">
        <f t="shared" si="1"/>
        <v>1.7522915100000001</v>
      </c>
    </row>
    <row r="26" spans="1:10">
      <c r="A26" s="318">
        <v>10</v>
      </c>
      <c r="C26" s="639" t="s">
        <v>598</v>
      </c>
      <c r="D26" s="631"/>
      <c r="E26" s="631"/>
      <c r="F26" s="648">
        <f>SUM(F24:F25)</f>
        <v>2</v>
      </c>
      <c r="G26" s="643"/>
      <c r="H26" s="648">
        <f>SUM(H24:H25)</f>
        <v>-0.24770849</v>
      </c>
      <c r="I26" s="643"/>
      <c r="J26" s="648">
        <f>SUM(J24:J25)</f>
        <v>1.7522915100000001</v>
      </c>
    </row>
    <row r="27" spans="1:10">
      <c r="C27" s="639"/>
      <c r="D27" s="631"/>
      <c r="E27" s="631"/>
      <c r="F27" s="643"/>
      <c r="G27" s="643"/>
      <c r="H27" s="643"/>
      <c r="I27" s="643"/>
      <c r="J27" s="643"/>
    </row>
    <row r="28" spans="1:10">
      <c r="A28" s="318">
        <v>11</v>
      </c>
      <c r="C28" s="639" t="s">
        <v>579</v>
      </c>
      <c r="D28" s="631" t="s">
        <v>580</v>
      </c>
      <c r="F28" s="643">
        <f>1.41178807*0.559</f>
        <v>0.78918953113000012</v>
      </c>
      <c r="G28" s="643"/>
      <c r="H28" s="660">
        <f>0.10612851*0.559</f>
        <v>5.932583709E-2</v>
      </c>
      <c r="I28" s="661"/>
      <c r="J28" s="658">
        <f t="shared" ref="J28" si="2">F28+H28</f>
        <v>0.84851536822000018</v>
      </c>
    </row>
    <row r="29" spans="1:10">
      <c r="F29" s="326"/>
      <c r="G29" s="326"/>
      <c r="H29" s="326"/>
      <c r="I29" s="326"/>
      <c r="J29" s="658"/>
    </row>
    <row r="30" spans="1:10">
      <c r="A30" s="318">
        <v>12</v>
      </c>
      <c r="C30" s="268" t="s">
        <v>581</v>
      </c>
      <c r="D30" s="631" t="s">
        <v>582</v>
      </c>
      <c r="E30" s="631"/>
      <c r="F30" s="643">
        <f>39922.2/1000</f>
        <v>39.922199999999997</v>
      </c>
      <c r="G30" s="643"/>
      <c r="H30" s="642">
        <v>0</v>
      </c>
      <c r="I30" s="642"/>
      <c r="J30" s="643">
        <f>SUM(F30:H30)</f>
        <v>39.922199999999997</v>
      </c>
    </row>
    <row r="31" spans="1:10">
      <c r="F31" s="326"/>
      <c r="G31" s="326"/>
      <c r="H31" s="326"/>
      <c r="I31" s="326"/>
      <c r="J31" s="658"/>
    </row>
    <row r="32" spans="1:10">
      <c r="A32" s="318">
        <v>13</v>
      </c>
      <c r="C32" s="639" t="s">
        <v>583</v>
      </c>
      <c r="D32" s="631"/>
      <c r="E32" s="631"/>
      <c r="F32" s="643">
        <f>-254560.5/1000</f>
        <v>-254.56049999999999</v>
      </c>
      <c r="G32" s="643"/>
      <c r="H32" s="642">
        <v>0</v>
      </c>
      <c r="I32" s="642"/>
      <c r="J32" s="643">
        <f>SUM(F32:H32)</f>
        <v>-254.56049999999999</v>
      </c>
    </row>
    <row r="33" spans="1:13">
      <c r="F33" s="326"/>
      <c r="G33" s="326"/>
      <c r="H33" s="326"/>
      <c r="I33" s="326"/>
      <c r="J33" s="658"/>
    </row>
    <row r="34" spans="1:13">
      <c r="A34" s="318">
        <v>14</v>
      </c>
      <c r="C34" s="639" t="s">
        <v>467</v>
      </c>
      <c r="D34" s="662"/>
      <c r="E34" s="662"/>
      <c r="F34" s="648">
        <f>F21+F26+F30+F32+F28</f>
        <v>-114.06311046886998</v>
      </c>
      <c r="G34" s="643"/>
      <c r="H34" s="648">
        <f>H21+H26+H30+H32+H28</f>
        <v>2.2036507470899998</v>
      </c>
      <c r="I34" s="643"/>
      <c r="J34" s="648">
        <f>J21+J26+J30+J32+J28</f>
        <v>-111.85945972177998</v>
      </c>
      <c r="M34" s="268" t="s">
        <v>38</v>
      </c>
    </row>
    <row r="35" spans="1:13">
      <c r="C35" s="268" t="s">
        <v>38</v>
      </c>
      <c r="F35" s="326"/>
      <c r="G35" s="326"/>
      <c r="H35" s="326"/>
      <c r="I35" s="326"/>
      <c r="J35" s="663"/>
    </row>
    <row r="36" spans="1:13">
      <c r="C36" s="656" t="s">
        <v>599</v>
      </c>
      <c r="F36" s="326"/>
      <c r="G36" s="326"/>
      <c r="H36" s="326"/>
      <c r="I36" s="326"/>
      <c r="J36" s="326"/>
    </row>
    <row r="37" spans="1:13">
      <c r="C37" s="639" t="s">
        <v>587</v>
      </c>
      <c r="F37" s="326"/>
      <c r="G37" s="326"/>
      <c r="H37" s="326"/>
      <c r="I37" s="326"/>
      <c r="J37" s="326"/>
    </row>
    <row r="38" spans="1:13">
      <c r="A38" s="318">
        <v>15</v>
      </c>
      <c r="C38" s="657" t="s">
        <v>588</v>
      </c>
      <c r="D38" s="631" t="s">
        <v>565</v>
      </c>
      <c r="F38" s="643">
        <f>-19.565</f>
        <v>-19.565000000000001</v>
      </c>
      <c r="G38" s="643"/>
      <c r="H38" s="643">
        <v>-0.47841329942072564</v>
      </c>
      <c r="I38" s="643"/>
      <c r="J38" s="658">
        <f t="shared" ref="J38:J43" si="3">F38+H38</f>
        <v>-20.043413299420727</v>
      </c>
    </row>
    <row r="39" spans="1:13">
      <c r="A39" s="318">
        <f>A38+1</f>
        <v>16</v>
      </c>
      <c r="C39" s="657" t="s">
        <v>589</v>
      </c>
      <c r="D39" s="631" t="s">
        <v>565</v>
      </c>
      <c r="F39" s="643">
        <v>-0.82699999999999996</v>
      </c>
      <c r="G39" s="643"/>
      <c r="H39" s="643">
        <v>-2.0222223287551241E-2</v>
      </c>
      <c r="I39" s="643"/>
      <c r="J39" s="658">
        <f t="shared" si="3"/>
        <v>-0.84722222328755115</v>
      </c>
    </row>
    <row r="40" spans="1:13">
      <c r="A40" s="318">
        <f t="shared" ref="A40:A44" si="4">A39+1</f>
        <v>17</v>
      </c>
      <c r="C40" s="657" t="s">
        <v>590</v>
      </c>
      <c r="D40" s="631" t="s">
        <v>565</v>
      </c>
      <c r="F40" s="643">
        <v>-31.228999999999999</v>
      </c>
      <c r="G40" s="643"/>
      <c r="H40" s="643">
        <v>-0.76362734104829233</v>
      </c>
      <c r="I40" s="643"/>
      <c r="J40" s="658">
        <f t="shared" si="3"/>
        <v>-31.992627341048291</v>
      </c>
    </row>
    <row r="41" spans="1:13">
      <c r="A41" s="318">
        <f t="shared" si="4"/>
        <v>18</v>
      </c>
      <c r="C41" s="657" t="s">
        <v>591</v>
      </c>
      <c r="D41" s="631" t="s">
        <v>565</v>
      </c>
      <c r="F41" s="643">
        <v>-59.121000000000002</v>
      </c>
      <c r="G41" s="643"/>
      <c r="H41" s="643">
        <v>-1.4456566662434305</v>
      </c>
      <c r="I41" s="643"/>
      <c r="J41" s="658">
        <f t="shared" si="3"/>
        <v>-60.566656666243432</v>
      </c>
    </row>
    <row r="42" spans="1:13">
      <c r="A42" s="318">
        <f t="shared" si="4"/>
        <v>19</v>
      </c>
      <c r="C42" s="657" t="s">
        <v>592</v>
      </c>
      <c r="D42" s="631" t="s">
        <v>565</v>
      </c>
      <c r="F42" s="642">
        <v>0</v>
      </c>
      <c r="G42" s="643"/>
      <c r="H42" s="642">
        <v>0</v>
      </c>
      <c r="I42" s="643"/>
      <c r="J42" s="642">
        <f t="shared" si="3"/>
        <v>0</v>
      </c>
    </row>
    <row r="43" spans="1:13">
      <c r="A43" s="318">
        <f t="shared" si="4"/>
        <v>20</v>
      </c>
      <c r="C43" s="657" t="s">
        <v>593</v>
      </c>
      <c r="D43" s="631" t="s">
        <v>565</v>
      </c>
      <c r="F43" s="642">
        <v>0</v>
      </c>
      <c r="G43" s="643"/>
      <c r="H43" s="642">
        <v>0</v>
      </c>
      <c r="I43" s="643"/>
      <c r="J43" s="642">
        <f t="shared" si="3"/>
        <v>0</v>
      </c>
    </row>
    <row r="44" spans="1:13">
      <c r="A44" s="318">
        <f t="shared" si="4"/>
        <v>21</v>
      </c>
      <c r="C44" s="639" t="s">
        <v>594</v>
      </c>
      <c r="D44" s="631"/>
      <c r="F44" s="648">
        <f>SUM(F38:F43)</f>
        <v>-110.742</v>
      </c>
      <c r="G44" s="643"/>
      <c r="H44" s="648">
        <f>SUM(H38:H42)</f>
        <v>-2.7079195299999999</v>
      </c>
      <c r="I44" s="643"/>
      <c r="J44" s="648">
        <f>SUM(J38:J42)</f>
        <v>-113.44991953</v>
      </c>
    </row>
    <row r="45" spans="1:13">
      <c r="F45" s="326"/>
      <c r="G45" s="326"/>
      <c r="H45" s="326"/>
      <c r="I45" s="326"/>
      <c r="J45" s="326"/>
    </row>
    <row r="46" spans="1:13">
      <c r="C46" s="639" t="s">
        <v>595</v>
      </c>
      <c r="D46" s="631"/>
      <c r="E46" s="631"/>
      <c r="F46" s="326"/>
      <c r="G46" s="326"/>
      <c r="H46" s="326"/>
      <c r="I46" s="326"/>
      <c r="J46" s="326"/>
    </row>
    <row r="47" spans="1:13">
      <c r="A47" s="318">
        <f>A44+1</f>
        <v>22</v>
      </c>
      <c r="C47" s="659" t="s">
        <v>600</v>
      </c>
      <c r="D47" s="631" t="s">
        <v>574</v>
      </c>
      <c r="E47" s="631"/>
      <c r="F47" s="664">
        <f>-14.1+0.04</f>
        <v>-14.06</v>
      </c>
      <c r="G47" s="643"/>
      <c r="H47" s="643">
        <v>-1.1415553363702167</v>
      </c>
      <c r="I47" s="643"/>
      <c r="J47" s="658">
        <f t="shared" ref="J47:J49" si="5">F47+H47</f>
        <v>-15.201555336370218</v>
      </c>
    </row>
    <row r="48" spans="1:13">
      <c r="A48" s="318">
        <f>A47+1</f>
        <v>23</v>
      </c>
      <c r="C48" s="659" t="s">
        <v>601</v>
      </c>
      <c r="D48" s="631" t="s">
        <v>574</v>
      </c>
      <c r="E48" s="631"/>
      <c r="F48" s="643">
        <v>-8.1</v>
      </c>
      <c r="G48" s="643"/>
      <c r="H48" s="643">
        <v>-0.65578710812757124</v>
      </c>
      <c r="I48" s="643"/>
      <c r="J48" s="658">
        <f t="shared" si="5"/>
        <v>-8.7557871081275707</v>
      </c>
    </row>
    <row r="49" spans="1:10">
      <c r="A49" s="318">
        <f t="shared" ref="A49:A50" si="6">A48+1</f>
        <v>24</v>
      </c>
      <c r="C49" s="659" t="s">
        <v>602</v>
      </c>
      <c r="D49" s="631" t="s">
        <v>574</v>
      </c>
      <c r="E49" s="631"/>
      <c r="F49" s="643">
        <v>-4.1959330695360926</v>
      </c>
      <c r="G49" s="643"/>
      <c r="H49" s="643">
        <v>-0.33970849550221205</v>
      </c>
      <c r="I49" s="643"/>
      <c r="J49" s="658">
        <f t="shared" si="5"/>
        <v>-4.5356415650383042</v>
      </c>
    </row>
    <row r="50" spans="1:10">
      <c r="A50" s="318">
        <f t="shared" si="6"/>
        <v>25</v>
      </c>
      <c r="C50" s="639" t="s">
        <v>598</v>
      </c>
      <c r="D50" s="631"/>
      <c r="E50" s="631"/>
      <c r="F50" s="648">
        <f>SUM(F47:F49)</f>
        <v>-26.355933069536093</v>
      </c>
      <c r="G50" s="643"/>
      <c r="H50" s="648">
        <f>SUM(H47:H49)</f>
        <v>-2.13705094</v>
      </c>
      <c r="I50" s="643"/>
      <c r="J50" s="648">
        <f>SUM(J47:J49)</f>
        <v>-28.492984009536094</v>
      </c>
    </row>
    <row r="51" spans="1:10">
      <c r="C51" s="639" t="s">
        <v>38</v>
      </c>
      <c r="D51" s="631"/>
      <c r="E51" s="631"/>
      <c r="F51" s="643"/>
      <c r="G51" s="643"/>
      <c r="H51" s="643"/>
      <c r="I51" s="643"/>
      <c r="J51" s="643"/>
    </row>
    <row r="52" spans="1:10">
      <c r="A52" s="318">
        <f>A50+1</f>
        <v>26</v>
      </c>
      <c r="C52" s="639" t="s">
        <v>579</v>
      </c>
      <c r="D52" s="631" t="s">
        <v>580</v>
      </c>
      <c r="E52" s="631"/>
      <c r="F52" s="643">
        <f>1.41178807*0.441</f>
        <v>0.62259853887000005</v>
      </c>
      <c r="G52" s="643"/>
      <c r="H52" s="660">
        <f>0.10612851*0.441</f>
        <v>4.6802672909999996E-2</v>
      </c>
      <c r="I52" s="661"/>
      <c r="J52" s="658">
        <f t="shared" ref="J52" si="7">F52+H52</f>
        <v>0.66940121178000001</v>
      </c>
    </row>
    <row r="53" spans="1:10">
      <c r="C53" s="639"/>
      <c r="D53" s="631"/>
      <c r="E53" s="631"/>
      <c r="F53" s="643"/>
      <c r="G53" s="643"/>
      <c r="H53" s="643"/>
      <c r="I53" s="643"/>
      <c r="J53" s="643"/>
    </row>
    <row r="54" spans="1:10">
      <c r="A54" s="318">
        <v>27</v>
      </c>
      <c r="B54" s="318"/>
      <c r="C54" s="639" t="s">
        <v>603</v>
      </c>
      <c r="D54" s="662"/>
      <c r="E54" s="662"/>
      <c r="F54" s="648">
        <f>F44+F50+F52</f>
        <v>-136.47533453066612</v>
      </c>
      <c r="G54" s="643"/>
      <c r="H54" s="648">
        <f>H44+H50+H52</f>
        <v>-4.7981677970899996</v>
      </c>
      <c r="I54" s="643"/>
      <c r="J54" s="648">
        <f>J44+J50+J52</f>
        <v>-141.27350232775609</v>
      </c>
    </row>
    <row r="55" spans="1:10">
      <c r="F55" s="326"/>
      <c r="G55" s="326"/>
      <c r="H55" s="326"/>
      <c r="I55" s="326"/>
      <c r="J55" s="326"/>
    </row>
    <row r="56" spans="1:10" ht="13.5" thickBot="1">
      <c r="A56" s="318">
        <v>28</v>
      </c>
      <c r="C56" s="268" t="s">
        <v>100</v>
      </c>
      <c r="D56" s="662"/>
      <c r="E56" s="662"/>
      <c r="F56" s="653">
        <f>F54+F34</f>
        <v>-250.5384449995361</v>
      </c>
      <c r="G56" s="643"/>
      <c r="H56" s="653">
        <f t="shared" ref="H56" si="8">H54+H34</f>
        <v>-2.5945170499999999</v>
      </c>
      <c r="I56" s="643"/>
      <c r="J56" s="653">
        <f>J54+J34</f>
        <v>-253.13296204953608</v>
      </c>
    </row>
    <row r="57" spans="1:10" ht="13.5" thickTop="1"/>
    <row r="59" spans="1:10">
      <c r="A59" s="665" t="s">
        <v>189</v>
      </c>
    </row>
    <row r="60" spans="1:10">
      <c r="A60" s="654" t="s">
        <v>40</v>
      </c>
      <c r="C60" s="1318" t="s">
        <v>585</v>
      </c>
      <c r="D60" s="1318"/>
      <c r="E60" s="1318"/>
    </row>
  </sheetData>
  <mergeCells count="3">
    <mergeCell ref="A6:J6"/>
    <mergeCell ref="A7:J7"/>
    <mergeCell ref="C60:E60"/>
  </mergeCells>
  <pageMargins left="0.7" right="0.7" top="0.75" bottom="0.75" header="0.3" footer="0.3"/>
  <pageSetup scale="62" firstPageNumber="2" orientation="portrait" useFirstPageNumber="1" r:id="rId1"/>
  <headerFooter>
    <oddHeader>&amp;R&amp;10Updated: 2024-03-15
EB-2022-0200
Rate Order
Working Papers
Schedule 27
Page &amp;P of 6</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796C5-74E5-4512-A44C-531003F2493E}">
  <dimension ref="A1:AG36"/>
  <sheetViews>
    <sheetView view="pageBreakPreview" zoomScale="130" zoomScaleNormal="85" zoomScaleSheetLayoutView="130" workbookViewId="0">
      <selection activeCell="G17" sqref="G17"/>
    </sheetView>
  </sheetViews>
  <sheetFormatPr defaultColWidth="8" defaultRowHeight="12.75"/>
  <cols>
    <col min="1" max="1" width="4.875" style="318" customWidth="1"/>
    <col min="2" max="2" width="1.5" style="318" customWidth="1"/>
    <col min="3" max="3" width="15" style="318" customWidth="1"/>
    <col min="4" max="4" width="1.875" style="318" customWidth="1"/>
    <col min="5" max="5" width="10.375" style="318" customWidth="1"/>
    <col min="6" max="6" width="2.375" style="318" customWidth="1"/>
    <col min="7" max="7" width="12.875" style="318" customWidth="1"/>
    <col min="8" max="8" width="1.75" style="318" customWidth="1"/>
    <col min="9" max="9" width="15" style="318" customWidth="1"/>
    <col min="10" max="10" width="3" style="318" customWidth="1"/>
    <col min="11" max="11" width="18.25" style="268" customWidth="1"/>
    <col min="12" max="12" width="3" style="268" customWidth="1"/>
    <col min="13" max="13" width="10.375" style="268" customWidth="1"/>
    <col min="14" max="14" width="2.625" style="268" customWidth="1"/>
    <col min="15" max="15" width="16.625" style="268" customWidth="1"/>
    <col min="16" max="16" width="3" style="268" customWidth="1"/>
    <col min="17" max="17" width="10.75" style="268" customWidth="1"/>
    <col min="18" max="16384" width="8" style="268"/>
  </cols>
  <sheetData>
    <row r="1" spans="1:20">
      <c r="K1" s="318"/>
      <c r="L1" s="318"/>
      <c r="M1" s="318"/>
      <c r="N1" s="318"/>
      <c r="Q1" s="326"/>
    </row>
    <row r="2" spans="1:20">
      <c r="K2" s="318"/>
      <c r="L2" s="318"/>
      <c r="M2" s="318"/>
      <c r="N2" s="318"/>
      <c r="Q2" s="326"/>
    </row>
    <row r="3" spans="1:20">
      <c r="K3" s="318"/>
      <c r="L3" s="318"/>
      <c r="M3" s="318"/>
      <c r="N3" s="318"/>
      <c r="Q3" s="326"/>
    </row>
    <row r="4" spans="1:20">
      <c r="Q4" s="666"/>
    </row>
    <row r="5" spans="1:20">
      <c r="Q5" s="666"/>
    </row>
    <row r="6" spans="1:20" ht="12.75" customHeight="1">
      <c r="A6" s="1319" t="s">
        <v>604</v>
      </c>
      <c r="B6" s="1319"/>
      <c r="C6" s="1319"/>
      <c r="D6" s="1319"/>
      <c r="E6" s="1319"/>
      <c r="F6" s="1319"/>
      <c r="G6" s="1319"/>
      <c r="H6" s="1319"/>
      <c r="I6" s="1319"/>
      <c r="J6" s="1319"/>
      <c r="K6" s="1319"/>
      <c r="L6" s="1319"/>
      <c r="M6" s="1319"/>
      <c r="N6" s="1319"/>
      <c r="O6" s="1319"/>
      <c r="P6" s="1319"/>
      <c r="Q6" s="1319"/>
    </row>
    <row r="7" spans="1:20" ht="12.75" customHeight="1">
      <c r="A7" s="665"/>
      <c r="B7" s="665"/>
      <c r="C7" s="665"/>
      <c r="D7" s="665"/>
      <c r="E7" s="665"/>
      <c r="F7" s="665"/>
      <c r="G7" s="665"/>
      <c r="H7" s="665"/>
      <c r="I7" s="665"/>
      <c r="J7" s="665"/>
      <c r="K7" s="665"/>
      <c r="L7" s="665"/>
      <c r="M7" s="665"/>
      <c r="N7" s="665"/>
      <c r="O7" s="665"/>
      <c r="P7" s="665"/>
      <c r="Q7" s="665"/>
    </row>
    <row r="8" spans="1:20">
      <c r="A8" s="665"/>
      <c r="B8" s="665"/>
      <c r="C8" s="665"/>
      <c r="D8" s="665"/>
      <c r="E8" s="1320" t="s">
        <v>605</v>
      </c>
      <c r="F8" s="1320"/>
      <c r="G8" s="1320"/>
      <c r="H8" s="1320"/>
      <c r="I8" s="1320"/>
      <c r="K8" s="1320" t="s">
        <v>62</v>
      </c>
      <c r="L8" s="1320"/>
      <c r="M8" s="1320"/>
      <c r="N8" s="1320"/>
      <c r="O8" s="1320"/>
      <c r="P8" s="1320"/>
      <c r="Q8" s="1320"/>
    </row>
    <row r="9" spans="1:20" ht="12.75" customHeight="1">
      <c r="A9" s="1321" t="s">
        <v>606</v>
      </c>
      <c r="H9" s="667"/>
      <c r="J9" s="667"/>
      <c r="K9" s="318" t="s">
        <v>607</v>
      </c>
      <c r="L9" s="318"/>
      <c r="M9" s="667"/>
      <c r="N9" s="667"/>
      <c r="O9" s="667" t="s">
        <v>608</v>
      </c>
      <c r="P9" s="667"/>
      <c r="Q9" s="667"/>
    </row>
    <row r="10" spans="1:20" ht="12.75" customHeight="1">
      <c r="A10" s="1321"/>
      <c r="E10" s="318" t="s">
        <v>609</v>
      </c>
      <c r="G10" s="667" t="s">
        <v>610</v>
      </c>
      <c r="H10" s="667"/>
      <c r="I10" s="667" t="s">
        <v>611</v>
      </c>
      <c r="J10" s="667"/>
      <c r="K10" s="318" t="s">
        <v>612</v>
      </c>
      <c r="L10" s="318"/>
      <c r="N10" s="667"/>
      <c r="O10" s="667" t="s">
        <v>613</v>
      </c>
      <c r="P10" s="667"/>
      <c r="Q10" s="667" t="s">
        <v>100</v>
      </c>
    </row>
    <row r="11" spans="1:20" ht="12.75" customHeight="1">
      <c r="A11" s="1321"/>
      <c r="E11" s="318" t="s">
        <v>614</v>
      </c>
      <c r="G11" s="667" t="s">
        <v>615</v>
      </c>
      <c r="H11" s="667"/>
      <c r="I11" s="667" t="s">
        <v>616</v>
      </c>
      <c r="J11" s="667"/>
      <c r="K11" s="318" t="s">
        <v>617</v>
      </c>
      <c r="L11" s="318"/>
      <c r="M11" s="667" t="s">
        <v>595</v>
      </c>
      <c r="N11" s="667"/>
      <c r="O11" s="667" t="s">
        <v>618</v>
      </c>
      <c r="P11" s="667"/>
      <c r="Q11" s="667" t="s">
        <v>62</v>
      </c>
    </row>
    <row r="12" spans="1:20" ht="14.25">
      <c r="A12" s="1322"/>
      <c r="B12" s="667"/>
      <c r="C12" s="668" t="s">
        <v>619</v>
      </c>
      <c r="D12" s="668"/>
      <c r="E12" s="669" t="s">
        <v>20</v>
      </c>
      <c r="F12" s="667"/>
      <c r="G12" s="669" t="s">
        <v>620</v>
      </c>
      <c r="H12" s="667"/>
      <c r="I12" s="669" t="s">
        <v>621</v>
      </c>
      <c r="J12" s="667"/>
      <c r="K12" s="669" t="s">
        <v>20</v>
      </c>
      <c r="L12" s="667"/>
      <c r="M12" s="669" t="s">
        <v>20</v>
      </c>
      <c r="N12" s="667"/>
      <c r="O12" s="669" t="s">
        <v>20</v>
      </c>
      <c r="P12" s="667"/>
      <c r="Q12" s="669" t="s">
        <v>20</v>
      </c>
    </row>
    <row r="13" spans="1:20" ht="12.75" customHeight="1">
      <c r="A13" s="665"/>
      <c r="B13" s="665"/>
      <c r="C13" s="665"/>
      <c r="D13" s="665"/>
      <c r="E13" s="670" t="s">
        <v>8</v>
      </c>
      <c r="F13" s="670"/>
      <c r="G13" s="670" t="s">
        <v>9</v>
      </c>
      <c r="H13" s="670"/>
      <c r="I13" s="670" t="s">
        <v>370</v>
      </c>
      <c r="J13" s="670"/>
      <c r="K13" s="670" t="s">
        <v>79</v>
      </c>
      <c r="L13" s="670"/>
      <c r="M13" s="670" t="s">
        <v>115</v>
      </c>
      <c r="N13" s="670"/>
      <c r="O13" s="670" t="s">
        <v>81</v>
      </c>
      <c r="P13" s="670"/>
      <c r="Q13" s="654" t="s">
        <v>622</v>
      </c>
      <c r="T13" s="657"/>
    </row>
    <row r="14" spans="1:20" ht="12.75" customHeight="1">
      <c r="A14" s="665"/>
      <c r="B14" s="665"/>
      <c r="C14" s="665"/>
      <c r="D14" s="665"/>
      <c r="E14" s="670"/>
      <c r="F14" s="670"/>
      <c r="G14" s="670"/>
      <c r="H14" s="670"/>
      <c r="I14" s="670"/>
      <c r="J14" s="670"/>
      <c r="K14" s="670"/>
      <c r="L14" s="670"/>
      <c r="M14" s="670"/>
      <c r="N14" s="670"/>
      <c r="O14" s="670"/>
      <c r="P14" s="670"/>
      <c r="Q14" s="654"/>
    </row>
    <row r="15" spans="1:20" ht="12.75" customHeight="1">
      <c r="C15" s="671" t="s">
        <v>11</v>
      </c>
      <c r="D15" s="671"/>
      <c r="I15" s="670"/>
      <c r="J15" s="670"/>
      <c r="K15" s="644"/>
      <c r="L15" s="644"/>
    </row>
    <row r="16" spans="1:20" ht="12.75" customHeight="1">
      <c r="A16" s="318">
        <v>1</v>
      </c>
      <c r="C16" s="672" t="s">
        <v>162</v>
      </c>
      <c r="D16" s="672"/>
      <c r="E16" s="673">
        <v>3843092.7202052455</v>
      </c>
      <c r="F16" s="673"/>
      <c r="G16" s="673">
        <v>53399.772576577401</v>
      </c>
      <c r="H16" s="673"/>
      <c r="I16" s="674">
        <v>31.54231608119094</v>
      </c>
      <c r="J16" s="675"/>
      <c r="K16" s="673">
        <f t="shared" ref="K16:K26" si="0">E16/$E$28*$K$28</f>
        <v>-122179.35421938174</v>
      </c>
      <c r="L16" s="673"/>
      <c r="M16" s="673">
        <f t="shared" ref="M16:M26" si="1">G16/$G$28*$M$28</f>
        <v>811.92923893415127</v>
      </c>
      <c r="N16" s="673"/>
      <c r="O16" s="673">
        <f t="shared" ref="O16:O26" si="2">I16/$I$28*$O$28</f>
        <v>36540.288762226926</v>
      </c>
      <c r="P16" s="673"/>
      <c r="Q16" s="673">
        <f t="shared" ref="Q16:Q26" si="3">SUM(K16:O16)</f>
        <v>-84827.136218220665</v>
      </c>
      <c r="S16" s="323"/>
    </row>
    <row r="17" spans="1:33" ht="12.75" customHeight="1">
      <c r="A17" s="318">
        <v>2</v>
      </c>
      <c r="C17" s="672" t="s">
        <v>163</v>
      </c>
      <c r="D17" s="672"/>
      <c r="E17" s="673">
        <v>1637398.3511202063</v>
      </c>
      <c r="F17" s="673"/>
      <c r="G17" s="673">
        <v>46838.797511509983</v>
      </c>
      <c r="H17" s="673"/>
      <c r="I17" s="674">
        <v>25.134594097067204</v>
      </c>
      <c r="J17" s="675"/>
      <c r="K17" s="673">
        <f t="shared" si="0"/>
        <v>-52056.06205854514</v>
      </c>
      <c r="L17" s="673"/>
      <c r="M17" s="673">
        <f t="shared" si="1"/>
        <v>712.17137042250306</v>
      </c>
      <c r="N17" s="673"/>
      <c r="O17" s="673">
        <f t="shared" si="2"/>
        <v>29117.244398418414</v>
      </c>
      <c r="P17" s="673"/>
      <c r="Q17" s="673">
        <f t="shared" si="3"/>
        <v>-22226.646289704222</v>
      </c>
      <c r="S17" s="323"/>
      <c r="V17" s="673"/>
      <c r="AF17" s="673"/>
      <c r="AG17" s="673"/>
    </row>
    <row r="18" spans="1:33" ht="12.75" customHeight="1">
      <c r="A18" s="318">
        <v>3</v>
      </c>
      <c r="C18" s="672" t="s">
        <v>164</v>
      </c>
      <c r="D18" s="672"/>
      <c r="E18" s="673">
        <v>4.8548256792162443E-6</v>
      </c>
      <c r="F18" s="673"/>
      <c r="G18" s="673">
        <v>0</v>
      </c>
      <c r="H18" s="673"/>
      <c r="I18" s="674">
        <v>0</v>
      </c>
      <c r="J18" s="675"/>
      <c r="K18" s="673">
        <f t="shared" si="0"/>
        <v>-1.5434430275797083E-7</v>
      </c>
      <c r="L18" s="673"/>
      <c r="M18" s="673">
        <f t="shared" si="1"/>
        <v>0</v>
      </c>
      <c r="N18" s="673"/>
      <c r="O18" s="673">
        <f t="shared" si="2"/>
        <v>0</v>
      </c>
      <c r="P18" s="673"/>
      <c r="Q18" s="673">
        <f t="shared" si="3"/>
        <v>-1.5434430275797083E-7</v>
      </c>
      <c r="S18" s="323"/>
    </row>
    <row r="19" spans="1:33" ht="12.75" customHeight="1">
      <c r="A19" s="318">
        <v>4</v>
      </c>
      <c r="C19" s="672" t="s">
        <v>165</v>
      </c>
      <c r="D19" s="672"/>
      <c r="E19" s="673">
        <v>70161.905570384508</v>
      </c>
      <c r="F19" s="673"/>
      <c r="G19" s="673">
        <v>2611.201268709322</v>
      </c>
      <c r="H19" s="673"/>
      <c r="I19" s="674">
        <v>0.13252449378879172</v>
      </c>
      <c r="J19" s="675"/>
      <c r="K19" s="673">
        <f t="shared" si="0"/>
        <v>-2230.5827461100148</v>
      </c>
      <c r="L19" s="673"/>
      <c r="M19" s="673">
        <f t="shared" si="1"/>
        <v>39.702615882244203</v>
      </c>
      <c r="N19" s="673"/>
      <c r="O19" s="673">
        <f t="shared" si="2"/>
        <v>153.52338929854389</v>
      </c>
      <c r="P19" s="673"/>
      <c r="Q19" s="673">
        <f t="shared" si="3"/>
        <v>-2037.3567409292268</v>
      </c>
      <c r="S19" s="323"/>
      <c r="Y19" s="673"/>
      <c r="Z19" s="673"/>
    </row>
    <row r="20" spans="1:33" ht="12.75" customHeight="1">
      <c r="A20" s="318">
        <v>5</v>
      </c>
      <c r="C20" s="672" t="s">
        <v>166</v>
      </c>
      <c r="D20" s="672"/>
      <c r="E20" s="673">
        <v>25743.716840720768</v>
      </c>
      <c r="F20" s="673"/>
      <c r="G20" s="673">
        <v>1617.1763264055564</v>
      </c>
      <c r="H20" s="673"/>
      <c r="I20" s="674">
        <v>5.2555975405556454E-2</v>
      </c>
      <c r="J20" s="675"/>
      <c r="K20" s="673">
        <f t="shared" si="0"/>
        <v>-818.44257419787266</v>
      </c>
      <c r="L20" s="673"/>
      <c r="M20" s="673">
        <f t="shared" si="1"/>
        <v>24.588732883419098</v>
      </c>
      <c r="N20" s="673"/>
      <c r="O20" s="673">
        <f t="shared" si="2"/>
        <v>60.883624162421384</v>
      </c>
      <c r="P20" s="673"/>
      <c r="Q20" s="673">
        <f t="shared" si="3"/>
        <v>-732.97021715203221</v>
      </c>
      <c r="S20" s="323"/>
    </row>
    <row r="21" spans="1:33" ht="12.75" customHeight="1">
      <c r="A21" s="318">
        <v>6</v>
      </c>
      <c r="C21" s="672" t="s">
        <v>167</v>
      </c>
      <c r="D21" s="672"/>
      <c r="E21" s="673">
        <v>56369.83760692252</v>
      </c>
      <c r="F21" s="673"/>
      <c r="G21" s="673">
        <v>9260.357</v>
      </c>
      <c r="H21" s="673"/>
      <c r="I21" s="674">
        <v>0</v>
      </c>
      <c r="J21" s="675"/>
      <c r="K21" s="673">
        <f t="shared" si="0"/>
        <v>-1792.1062169682418</v>
      </c>
      <c r="L21" s="673"/>
      <c r="M21" s="673">
        <f t="shared" si="1"/>
        <v>140.8012478046858</v>
      </c>
      <c r="N21" s="673"/>
      <c r="O21" s="673">
        <f t="shared" si="2"/>
        <v>0</v>
      </c>
      <c r="P21" s="673"/>
      <c r="Q21" s="673">
        <f t="shared" si="3"/>
        <v>-1651.3049691635561</v>
      </c>
      <c r="S21" s="323"/>
    </row>
    <row r="22" spans="1:33" ht="12.75" customHeight="1">
      <c r="A22" s="318">
        <v>7</v>
      </c>
      <c r="C22" s="672" t="s">
        <v>168</v>
      </c>
      <c r="D22" s="672"/>
      <c r="E22" s="673">
        <v>3223.5850497242259</v>
      </c>
      <c r="F22" s="673"/>
      <c r="G22" s="673">
        <v>5.3458073149643512</v>
      </c>
      <c r="H22" s="673"/>
      <c r="I22" s="674">
        <v>0</v>
      </c>
      <c r="J22" s="675"/>
      <c r="K22" s="673">
        <f t="shared" si="0"/>
        <v>-102.48400658559315</v>
      </c>
      <c r="L22" s="673"/>
      <c r="M22" s="673">
        <f t="shared" si="1"/>
        <v>8.1281568353185285E-2</v>
      </c>
      <c r="N22" s="673"/>
      <c r="O22" s="673">
        <f t="shared" si="2"/>
        <v>0</v>
      </c>
      <c r="P22" s="673"/>
      <c r="Q22" s="673">
        <f t="shared" si="3"/>
        <v>-102.40272501723996</v>
      </c>
      <c r="S22" s="323"/>
    </row>
    <row r="23" spans="1:33" ht="12.75" customHeight="1">
      <c r="A23" s="318">
        <v>8</v>
      </c>
      <c r="C23" s="672" t="s">
        <v>169</v>
      </c>
      <c r="D23" s="672"/>
      <c r="E23" s="673">
        <v>5770.3010874024676</v>
      </c>
      <c r="F23" s="673"/>
      <c r="G23" s="673">
        <v>106.83226264537009</v>
      </c>
      <c r="H23" s="673"/>
      <c r="I23" s="674">
        <v>0</v>
      </c>
      <c r="J23" s="675"/>
      <c r="K23" s="673">
        <f t="shared" si="0"/>
        <v>-183.4490374909762</v>
      </c>
      <c r="L23" s="673"/>
      <c r="M23" s="673">
        <f t="shared" si="1"/>
        <v>1.624355938574078</v>
      </c>
      <c r="N23" s="673"/>
      <c r="O23" s="673">
        <f t="shared" si="2"/>
        <v>0</v>
      </c>
      <c r="P23" s="673"/>
      <c r="Q23" s="673">
        <f t="shared" si="3"/>
        <v>-181.82468155240213</v>
      </c>
      <c r="S23" s="323"/>
    </row>
    <row r="24" spans="1:33" ht="12.75" customHeight="1">
      <c r="A24" s="318">
        <v>9</v>
      </c>
      <c r="C24" s="672" t="s">
        <v>170</v>
      </c>
      <c r="D24" s="672"/>
      <c r="E24" s="673">
        <v>8087.7248991694305</v>
      </c>
      <c r="F24" s="673"/>
      <c r="G24" s="673">
        <v>104.65324683880911</v>
      </c>
      <c r="H24" s="673"/>
      <c r="I24" s="674">
        <v>0</v>
      </c>
      <c r="J24" s="675"/>
      <c r="K24" s="673">
        <f t="shared" si="0"/>
        <v>-257.12442483869131</v>
      </c>
      <c r="L24" s="673"/>
      <c r="M24" s="673">
        <f t="shared" si="1"/>
        <v>1.5912245868832178</v>
      </c>
      <c r="N24" s="673"/>
      <c r="O24" s="673">
        <f t="shared" si="2"/>
        <v>0</v>
      </c>
      <c r="P24" s="673"/>
      <c r="Q24" s="673">
        <f t="shared" si="3"/>
        <v>-255.5332002518081</v>
      </c>
      <c r="S24" s="323"/>
    </row>
    <row r="25" spans="1:33" ht="12.75" customHeight="1">
      <c r="A25" s="318">
        <v>10</v>
      </c>
      <c r="C25" s="672" t="s">
        <v>171</v>
      </c>
      <c r="D25" s="672"/>
      <c r="E25" s="673">
        <v>14640.944867644952</v>
      </c>
      <c r="F25" s="673"/>
      <c r="G25" s="673">
        <v>1286.7209999985994</v>
      </c>
      <c r="H25" s="673"/>
      <c r="I25" s="674">
        <v>0.53143159602508949</v>
      </c>
      <c r="J25" s="675"/>
      <c r="K25" s="673">
        <f t="shared" si="0"/>
        <v>-465.46396855990957</v>
      </c>
      <c r="L25" s="673"/>
      <c r="M25" s="673">
        <f t="shared" si="1"/>
        <v>19.564248157635383</v>
      </c>
      <c r="N25" s="673"/>
      <c r="O25" s="673">
        <f t="shared" si="2"/>
        <v>615.63849421024213</v>
      </c>
      <c r="P25" s="673"/>
      <c r="Q25" s="673">
        <f t="shared" si="3"/>
        <v>169.73877380796796</v>
      </c>
      <c r="S25" s="323"/>
    </row>
    <row r="26" spans="1:33" ht="12.75" customHeight="1">
      <c r="A26" s="318">
        <v>11</v>
      </c>
      <c r="C26" s="672" t="s">
        <v>455</v>
      </c>
      <c r="D26" s="672"/>
      <c r="E26" s="673">
        <v>448.56178882096469</v>
      </c>
      <c r="F26" s="673"/>
      <c r="G26" s="673">
        <v>15.6</v>
      </c>
      <c r="H26" s="673"/>
      <c r="I26" s="674">
        <v>0</v>
      </c>
      <c r="J26" s="675"/>
      <c r="K26" s="673">
        <f t="shared" si="0"/>
        <v>-14.260647263985144</v>
      </c>
      <c r="L26" s="673"/>
      <c r="M26" s="673">
        <f t="shared" si="1"/>
        <v>0.2371938215506269</v>
      </c>
      <c r="N26" s="673"/>
      <c r="O26" s="673">
        <f t="shared" si="2"/>
        <v>0</v>
      </c>
      <c r="P26" s="673"/>
      <c r="Q26" s="673">
        <f t="shared" si="3"/>
        <v>-14.023453442434517</v>
      </c>
    </row>
    <row r="27" spans="1:33">
      <c r="C27" s="317"/>
      <c r="D27" s="317"/>
      <c r="E27" s="675"/>
      <c r="F27" s="675"/>
      <c r="G27" s="675"/>
      <c r="H27" s="675"/>
      <c r="I27" s="676"/>
      <c r="J27" s="676"/>
      <c r="K27" s="677"/>
      <c r="L27" s="677"/>
      <c r="M27" s="678"/>
      <c r="N27" s="678"/>
      <c r="O27" s="678"/>
      <c r="P27" s="678"/>
      <c r="Q27" s="327"/>
    </row>
    <row r="28" spans="1:33" ht="13.5" thickBot="1">
      <c r="A28" s="318">
        <v>12</v>
      </c>
      <c r="C28" s="317" t="s">
        <v>467</v>
      </c>
      <c r="D28" s="317"/>
      <c r="E28" s="679">
        <f>SUM(E16:E26)</f>
        <v>5664937.6490410967</v>
      </c>
      <c r="F28" s="675"/>
      <c r="G28" s="679">
        <f>SUM(G16:G26)</f>
        <v>115246.45700000001</v>
      </c>
      <c r="H28" s="675"/>
      <c r="I28" s="679">
        <f>SUM(I16:I26)</f>
        <v>57.393422243477573</v>
      </c>
      <c r="J28" s="675"/>
      <c r="K28" s="680">
        <f>SUM('Sch.27 p.2'!J21-'Sch.27 p.2'!J19+'Sch.27 p.2'!J28+'Sch.27 p.2'!J30+'Sch.27 p.2'!J32)*1000</f>
        <v>-180099.32990009652</v>
      </c>
      <c r="L28" s="681" t="s">
        <v>46</v>
      </c>
      <c r="M28" s="680">
        <f>'Sch.27 p.2'!J26*1000</f>
        <v>1752.29151</v>
      </c>
      <c r="N28" s="682" t="s">
        <v>48</v>
      </c>
      <c r="O28" s="680">
        <f>'Sch.27 p.2'!J19*1000</f>
        <v>66487.578668316535</v>
      </c>
      <c r="P28" s="682" t="s">
        <v>50</v>
      </c>
      <c r="Q28" s="680">
        <f>SUM(Q16:Q26)</f>
        <v>-111859.45972177996</v>
      </c>
    </row>
    <row r="29" spans="1:33" ht="13.5" thickTop="1">
      <c r="P29" s="317"/>
    </row>
    <row r="30" spans="1:33">
      <c r="A30" s="671" t="s">
        <v>39</v>
      </c>
    </row>
    <row r="31" spans="1:33" ht="12.75" customHeight="1">
      <c r="A31" s="654" t="s">
        <v>40</v>
      </c>
      <c r="C31" s="268" t="s">
        <v>623</v>
      </c>
      <c r="D31" s="268"/>
      <c r="E31" s="268"/>
      <c r="F31" s="268"/>
      <c r="G31" s="268"/>
      <c r="H31" s="268"/>
      <c r="I31" s="268"/>
      <c r="J31" s="268"/>
    </row>
    <row r="32" spans="1:33">
      <c r="A32" s="654" t="s">
        <v>42</v>
      </c>
      <c r="C32" s="268" t="s">
        <v>624</v>
      </c>
      <c r="D32" s="268"/>
      <c r="E32" s="268"/>
      <c r="F32" s="268"/>
      <c r="G32" s="268"/>
      <c r="H32" s="268"/>
      <c r="I32" s="268"/>
      <c r="J32" s="268"/>
    </row>
    <row r="33" spans="1:4">
      <c r="A33" s="654" t="s">
        <v>44</v>
      </c>
      <c r="C33" s="268" t="s">
        <v>625</v>
      </c>
      <c r="D33" s="268"/>
    </row>
    <row r="34" spans="1:4">
      <c r="A34" s="654" t="s">
        <v>46</v>
      </c>
      <c r="C34" s="268" t="s">
        <v>626</v>
      </c>
      <c r="D34" s="317"/>
    </row>
    <row r="35" spans="1:4">
      <c r="A35" s="654" t="s">
        <v>48</v>
      </c>
      <c r="C35" s="268" t="s">
        <v>627</v>
      </c>
      <c r="D35" s="317"/>
    </row>
    <row r="36" spans="1:4">
      <c r="A36" s="654" t="s">
        <v>50</v>
      </c>
      <c r="C36" s="268" t="s">
        <v>628</v>
      </c>
      <c r="D36" s="317"/>
    </row>
  </sheetData>
  <mergeCells count="4">
    <mergeCell ref="A6:Q6"/>
    <mergeCell ref="E8:I8"/>
    <mergeCell ref="K8:Q8"/>
    <mergeCell ref="A9:A12"/>
  </mergeCells>
  <printOptions horizontalCentered="1"/>
  <pageMargins left="0.45" right="0.45" top="0.75" bottom="0.75" header="0.3" footer="0.3"/>
  <pageSetup scale="65" firstPageNumber="3" orientation="landscape" useFirstPageNumber="1" r:id="rId1"/>
  <headerFooter>
    <oddHeader>&amp;R&amp;10Updated: 2024-03-15
EB-2022-0200
Rate Order
Working Papers
Schedule 27
Page &amp;P of 6</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ACF8-C283-420A-850F-1B909245757B}">
  <dimension ref="A1:AL59"/>
  <sheetViews>
    <sheetView view="pageBreakPreview" topLeftCell="C1" zoomScale="90" zoomScaleNormal="85" zoomScaleSheetLayoutView="90" workbookViewId="0">
      <selection activeCell="C18" sqref="C18"/>
    </sheetView>
  </sheetViews>
  <sheetFormatPr defaultColWidth="8" defaultRowHeight="12.75"/>
  <cols>
    <col min="1" max="1" width="4.875" style="318" customWidth="1"/>
    <col min="2" max="2" width="1.5" style="318" customWidth="1"/>
    <col min="3" max="3" width="24.75" style="318" customWidth="1"/>
    <col min="4" max="4" width="2.5" style="318" customWidth="1"/>
    <col min="5" max="5" width="11.875" style="318" customWidth="1"/>
    <col min="6" max="6" width="2.5" style="318" customWidth="1"/>
    <col min="7" max="7" width="11.875" style="318" customWidth="1"/>
    <col min="8" max="8" width="2.5" style="318" customWidth="1"/>
    <col min="9" max="9" width="12.25" style="318" customWidth="1"/>
    <col min="10" max="10" width="2.5" style="318" customWidth="1"/>
    <col min="11" max="11" width="11.875" style="318" customWidth="1"/>
    <col min="12" max="12" width="2.5" style="318" customWidth="1"/>
    <col min="13" max="13" width="11.875" style="268" customWidth="1"/>
    <col min="14" max="14" width="3" style="268" customWidth="1"/>
    <col min="15" max="15" width="11.875" style="268" customWidth="1"/>
    <col min="16" max="16" width="2.5" style="268" customWidth="1"/>
    <col min="17" max="17" width="11.875" style="268" customWidth="1"/>
    <col min="18" max="18" width="2.5" style="268" customWidth="1"/>
    <col min="19" max="19" width="11.875" style="268" customWidth="1"/>
    <col min="20" max="20" width="2.5" style="268" customWidth="1"/>
    <col min="21" max="21" width="11.875" style="268" customWidth="1"/>
    <col min="22" max="16384" width="8" style="268"/>
  </cols>
  <sheetData>
    <row r="1" spans="1:29">
      <c r="M1" s="318"/>
      <c r="N1" s="318"/>
      <c r="O1" s="318"/>
      <c r="P1" s="318"/>
      <c r="U1" s="326"/>
    </row>
    <row r="2" spans="1:29">
      <c r="M2" s="318"/>
      <c r="N2" s="318"/>
      <c r="O2" s="318"/>
      <c r="P2" s="318"/>
      <c r="U2" s="326"/>
    </row>
    <row r="3" spans="1:29">
      <c r="G3" s="683"/>
      <c r="H3" s="683"/>
      <c r="M3" s="318"/>
      <c r="N3" s="318"/>
      <c r="O3" s="318"/>
      <c r="P3" s="318"/>
      <c r="U3" s="326"/>
    </row>
    <row r="4" spans="1:29">
      <c r="A4" s="1319" t="s">
        <v>629</v>
      </c>
      <c r="B4" s="1319"/>
      <c r="C4" s="1319"/>
      <c r="D4" s="1319"/>
      <c r="E4" s="1319"/>
      <c r="F4" s="1319"/>
      <c r="G4" s="1319"/>
      <c r="H4" s="1319"/>
      <c r="I4" s="1319"/>
      <c r="J4" s="1319"/>
      <c r="K4" s="1319"/>
      <c r="L4" s="1319"/>
      <c r="M4" s="1319"/>
      <c r="N4" s="1319"/>
      <c r="O4" s="1319"/>
      <c r="P4" s="1319"/>
      <c r="Q4" s="1319"/>
      <c r="R4" s="1319"/>
      <c r="S4" s="1319"/>
      <c r="T4" s="1319"/>
      <c r="U4" s="1319"/>
    </row>
    <row r="6" spans="1:29" ht="12.75" customHeight="1"/>
    <row r="7" spans="1:29" ht="12.75" customHeight="1">
      <c r="A7" s="665"/>
      <c r="B7" s="665"/>
      <c r="C7" s="665"/>
      <c r="D7" s="665"/>
      <c r="E7" s="1320" t="s">
        <v>630</v>
      </c>
      <c r="F7" s="1320"/>
      <c r="G7" s="1320"/>
      <c r="H7" s="1320"/>
      <c r="I7" s="1320"/>
      <c r="J7" s="1320"/>
      <c r="K7" s="1320"/>
      <c r="L7" s="665"/>
      <c r="M7" s="1320" t="s">
        <v>62</v>
      </c>
      <c r="N7" s="1323"/>
      <c r="O7" s="1323"/>
      <c r="P7" s="1323"/>
      <c r="Q7" s="1323"/>
      <c r="R7" s="1323"/>
      <c r="S7" s="1323"/>
      <c r="T7" s="665"/>
      <c r="U7" s="665"/>
    </row>
    <row r="8" spans="1:29">
      <c r="A8" s="665"/>
      <c r="B8" s="665"/>
      <c r="C8" s="665"/>
      <c r="D8" s="665"/>
      <c r="G8" s="318">
        <v>2019</v>
      </c>
      <c r="K8" s="318">
        <v>2021</v>
      </c>
      <c r="O8" s="318" t="s">
        <v>631</v>
      </c>
      <c r="T8" s="318"/>
      <c r="U8" s="318"/>
    </row>
    <row r="9" spans="1:29">
      <c r="A9" s="665"/>
      <c r="B9" s="665"/>
      <c r="C9" s="665"/>
      <c r="D9" s="665"/>
      <c r="E9" s="318">
        <v>2013</v>
      </c>
      <c r="G9" s="513" t="s">
        <v>632</v>
      </c>
      <c r="I9" s="318">
        <v>2020</v>
      </c>
      <c r="K9" s="318" t="s">
        <v>632</v>
      </c>
      <c r="M9" s="318" t="s">
        <v>587</v>
      </c>
      <c r="N9" s="318"/>
      <c r="O9" s="318" t="s">
        <v>633</v>
      </c>
      <c r="P9" s="318"/>
      <c r="Q9" s="318" t="s">
        <v>634</v>
      </c>
      <c r="R9" s="318"/>
      <c r="S9" s="318" t="s">
        <v>635</v>
      </c>
      <c r="T9" s="318"/>
      <c r="U9" s="318"/>
    </row>
    <row r="10" spans="1:29">
      <c r="A10" s="665"/>
      <c r="B10" s="665"/>
      <c r="C10" s="665"/>
      <c r="D10" s="665"/>
      <c r="E10" s="513" t="s">
        <v>609</v>
      </c>
      <c r="F10" s="684"/>
      <c r="G10" s="318" t="s">
        <v>633</v>
      </c>
      <c r="I10" s="318" t="s">
        <v>65</v>
      </c>
      <c r="K10" s="318" t="s">
        <v>633</v>
      </c>
      <c r="M10" s="513" t="s">
        <v>636</v>
      </c>
      <c r="N10" s="684"/>
      <c r="O10" s="318" t="s">
        <v>637</v>
      </c>
      <c r="P10" s="318"/>
      <c r="Q10" s="318" t="s">
        <v>638</v>
      </c>
      <c r="R10" s="318"/>
      <c r="S10" s="318" t="s">
        <v>638</v>
      </c>
      <c r="T10" s="318"/>
      <c r="U10" s="318" t="s">
        <v>100</v>
      </c>
    </row>
    <row r="11" spans="1:29" ht="12.75" customHeight="1">
      <c r="A11" s="1321" t="s">
        <v>606</v>
      </c>
      <c r="E11" s="318" t="s">
        <v>614</v>
      </c>
      <c r="G11" s="667" t="s">
        <v>639</v>
      </c>
      <c r="H11" s="667"/>
      <c r="I11" s="667" t="s">
        <v>640</v>
      </c>
      <c r="J11" s="667"/>
      <c r="K11" s="667" t="s">
        <v>641</v>
      </c>
      <c r="L11" s="667"/>
      <c r="M11" s="318" t="s">
        <v>579</v>
      </c>
      <c r="N11" s="318"/>
      <c r="O11" s="667" t="s">
        <v>642</v>
      </c>
      <c r="P11" s="667"/>
      <c r="Q11" s="667" t="s">
        <v>642</v>
      </c>
      <c r="R11" s="667"/>
      <c r="S11" s="667" t="s">
        <v>642</v>
      </c>
      <c r="T11" s="667"/>
      <c r="U11" s="667" t="s">
        <v>62</v>
      </c>
    </row>
    <row r="12" spans="1:29" ht="14.25">
      <c r="A12" s="1322"/>
      <c r="B12" s="667"/>
      <c r="C12" s="668" t="s">
        <v>619</v>
      </c>
      <c r="D12" s="685"/>
      <c r="E12" s="686" t="s">
        <v>20</v>
      </c>
      <c r="F12" s="687"/>
      <c r="G12" s="669" t="s">
        <v>620</v>
      </c>
      <c r="H12" s="667"/>
      <c r="I12" s="669" t="s">
        <v>620</v>
      </c>
      <c r="J12" s="667"/>
      <c r="K12" s="669" t="s">
        <v>620</v>
      </c>
      <c r="L12" s="667"/>
      <c r="M12" s="686" t="s">
        <v>20</v>
      </c>
      <c r="N12" s="688"/>
      <c r="O12" s="686" t="s">
        <v>20</v>
      </c>
      <c r="P12" s="689"/>
      <c r="Q12" s="686" t="s">
        <v>20</v>
      </c>
      <c r="R12" s="689"/>
      <c r="S12" s="690" t="s">
        <v>20</v>
      </c>
      <c r="T12" s="689"/>
      <c r="U12" s="669" t="s">
        <v>20</v>
      </c>
    </row>
    <row r="13" spans="1:29" ht="12.75" customHeight="1">
      <c r="A13" s="665"/>
      <c r="B13" s="665"/>
      <c r="C13" s="665"/>
      <c r="D13" s="665"/>
      <c r="E13" s="670" t="s">
        <v>8</v>
      </c>
      <c r="F13" s="670"/>
      <c r="G13" s="670" t="s">
        <v>9</v>
      </c>
      <c r="H13" s="670"/>
      <c r="I13" s="670" t="s">
        <v>370</v>
      </c>
      <c r="J13" s="670"/>
      <c r="K13" s="670" t="s">
        <v>79</v>
      </c>
      <c r="L13" s="670"/>
      <c r="M13" s="670" t="s">
        <v>115</v>
      </c>
      <c r="N13" s="670"/>
      <c r="O13" s="670" t="s">
        <v>81</v>
      </c>
      <c r="P13" s="670"/>
      <c r="Q13" s="670" t="s">
        <v>82</v>
      </c>
      <c r="R13" s="670"/>
      <c r="S13" s="654" t="s">
        <v>118</v>
      </c>
      <c r="T13" s="654"/>
      <c r="U13" s="654" t="s">
        <v>643</v>
      </c>
    </row>
    <row r="14" spans="1:29" ht="12.75" customHeight="1">
      <c r="A14" s="665"/>
      <c r="B14" s="665"/>
      <c r="C14" s="665"/>
      <c r="D14" s="665"/>
      <c r="E14" s="670"/>
      <c r="F14" s="670"/>
      <c r="G14" s="670"/>
      <c r="H14" s="670"/>
      <c r="I14" s="670"/>
      <c r="J14" s="670"/>
      <c r="K14" s="670"/>
      <c r="L14" s="670"/>
      <c r="M14" s="670"/>
      <c r="N14" s="670"/>
      <c r="O14" s="670"/>
      <c r="P14" s="670"/>
      <c r="Q14" s="670"/>
      <c r="R14" s="670"/>
      <c r="S14" s="670"/>
      <c r="T14" s="670"/>
      <c r="U14" s="654"/>
    </row>
    <row r="15" spans="1:29" ht="12.75" customHeight="1">
      <c r="C15" s="671" t="s">
        <v>172</v>
      </c>
      <c r="D15" s="671"/>
      <c r="L15" s="691"/>
      <c r="W15" s="323"/>
    </row>
    <row r="16" spans="1:29" ht="12.75" customHeight="1">
      <c r="A16" s="318">
        <v>1</v>
      </c>
      <c r="C16" s="692" t="s">
        <v>120</v>
      </c>
      <c r="D16" s="692"/>
      <c r="E16" s="693">
        <v>659800.29893860384</v>
      </c>
      <c r="F16" s="691"/>
      <c r="G16" s="693">
        <v>0</v>
      </c>
      <c r="H16" s="691"/>
      <c r="I16" s="693">
        <v>0</v>
      </c>
      <c r="J16" s="691"/>
      <c r="K16" s="693">
        <v>0</v>
      </c>
      <c r="L16" s="691"/>
      <c r="M16" s="693">
        <f>E16/$E$48*$M$48</f>
        <v>-20159.070414704027</v>
      </c>
      <c r="N16" s="691"/>
      <c r="O16" s="693">
        <f>G16/$G$48*$O$48</f>
        <v>0</v>
      </c>
      <c r="P16" s="691"/>
      <c r="Q16" s="693">
        <f>I16/$I$48*$Q$48</f>
        <v>0</v>
      </c>
      <c r="R16" s="691"/>
      <c r="S16" s="693">
        <f>K16/$K$48*$S$48</f>
        <v>0</v>
      </c>
      <c r="T16" s="691"/>
      <c r="U16" s="693">
        <f>SUM(M16:S16)</f>
        <v>-20159.070414704027</v>
      </c>
      <c r="W16" s="323"/>
      <c r="AB16" s="673"/>
      <c r="AC16" s="673"/>
    </row>
    <row r="17" spans="1:38" ht="12.75" customHeight="1">
      <c r="A17" s="318">
        <f>A16+1</f>
        <v>2</v>
      </c>
      <c r="C17" s="692" t="s">
        <v>121</v>
      </c>
      <c r="D17" s="692"/>
      <c r="E17" s="693">
        <v>101688.2375654888</v>
      </c>
      <c r="F17" s="691"/>
      <c r="G17" s="693">
        <v>0</v>
      </c>
      <c r="H17" s="691"/>
      <c r="I17" s="693">
        <v>0</v>
      </c>
      <c r="J17" s="691"/>
      <c r="K17" s="693">
        <v>0</v>
      </c>
      <c r="L17" s="691"/>
      <c r="M17" s="693">
        <f>E17/$E$48*$M$48</f>
        <v>-3106.9102950203305</v>
      </c>
      <c r="N17" s="691"/>
      <c r="O17" s="693">
        <f>G17/$G$48*$O$48</f>
        <v>0</v>
      </c>
      <c r="P17" s="691"/>
      <c r="Q17" s="693">
        <f>I17/$I$48*$Q$48</f>
        <v>0</v>
      </c>
      <c r="R17" s="691"/>
      <c r="S17" s="693">
        <f>K17/$K$48*$S$48</f>
        <v>0</v>
      </c>
      <c r="T17" s="691"/>
      <c r="U17" s="693">
        <f>SUM(M17:S17)</f>
        <v>-3106.9102950203305</v>
      </c>
      <c r="W17" s="323"/>
      <c r="X17" s="673"/>
      <c r="Y17" s="673"/>
      <c r="Z17" s="673"/>
      <c r="AA17" s="673"/>
      <c r="AB17" s="673"/>
      <c r="AC17" s="673"/>
    </row>
    <row r="18" spans="1:38" ht="12.75" customHeight="1">
      <c r="A18" s="318">
        <f>A17+1</f>
        <v>3</v>
      </c>
      <c r="C18" s="692" t="s">
        <v>122</v>
      </c>
      <c r="D18" s="692"/>
      <c r="E18" s="693">
        <v>72026.961111354627</v>
      </c>
      <c r="F18" s="691"/>
      <c r="G18" s="693">
        <v>0</v>
      </c>
      <c r="H18" s="691"/>
      <c r="I18" s="693">
        <v>0</v>
      </c>
      <c r="J18" s="691"/>
      <c r="K18" s="693">
        <v>0</v>
      </c>
      <c r="L18" s="691"/>
      <c r="M18" s="693">
        <f>E18/$E$48*$M$48</f>
        <v>-2200.6606895097188</v>
      </c>
      <c r="N18" s="691"/>
      <c r="O18" s="693">
        <f>G18/$G$48*$O$48</f>
        <v>0</v>
      </c>
      <c r="P18" s="691"/>
      <c r="Q18" s="693">
        <f>I18/$I$48*$Q$48</f>
        <v>0</v>
      </c>
      <c r="R18" s="691"/>
      <c r="S18" s="693">
        <f>K18/$K$48*$S$48</f>
        <v>0</v>
      </c>
      <c r="T18" s="691"/>
      <c r="U18" s="693">
        <f>SUM(M18:S18)</f>
        <v>-2200.6606895097188</v>
      </c>
      <c r="W18" s="323"/>
      <c r="Y18" s="659"/>
    </row>
    <row r="19" spans="1:38" ht="12.75" customHeight="1">
      <c r="A19" s="318">
        <f>A18+1</f>
        <v>4</v>
      </c>
      <c r="C19" s="692" t="s">
        <v>123</v>
      </c>
      <c r="D19" s="692"/>
      <c r="E19" s="693">
        <v>19711.826077864825</v>
      </c>
      <c r="F19" s="691"/>
      <c r="G19" s="693">
        <v>0</v>
      </c>
      <c r="H19" s="691"/>
      <c r="I19" s="693">
        <v>0</v>
      </c>
      <c r="J19" s="691"/>
      <c r="K19" s="693">
        <v>0</v>
      </c>
      <c r="L19" s="691"/>
      <c r="M19" s="693">
        <f>E19/$E$48*$M$48</f>
        <v>-602.26115469379727</v>
      </c>
      <c r="N19" s="691"/>
      <c r="O19" s="693">
        <f>G19/$G$48*$O$48</f>
        <v>0</v>
      </c>
      <c r="P19" s="691"/>
      <c r="Q19" s="693">
        <f>I19/$I$48*$Q$48</f>
        <v>0</v>
      </c>
      <c r="R19" s="691"/>
      <c r="S19" s="693">
        <f>K19/$K$48*$S$48</f>
        <v>0</v>
      </c>
      <c r="T19" s="691"/>
      <c r="U19" s="693">
        <f>SUM(M19:S19)</f>
        <v>-602.26115469379727</v>
      </c>
      <c r="W19" s="323"/>
    </row>
    <row r="20" spans="1:38" ht="12.75" customHeight="1">
      <c r="A20" s="318">
        <f>A19+1</f>
        <v>5</v>
      </c>
      <c r="C20" s="692" t="s">
        <v>88</v>
      </c>
      <c r="D20" s="692"/>
      <c r="E20" s="693">
        <v>55495.107023813114</v>
      </c>
      <c r="F20" s="691"/>
      <c r="G20" s="693">
        <v>0</v>
      </c>
      <c r="H20" s="691"/>
      <c r="I20" s="693">
        <v>0</v>
      </c>
      <c r="J20" s="691"/>
      <c r="K20" s="693">
        <v>0</v>
      </c>
      <c r="L20" s="691"/>
      <c r="M20" s="693">
        <f>E20/$E$48*$M$48</f>
        <v>-1695.5581438266147</v>
      </c>
      <c r="N20" s="691"/>
      <c r="O20" s="693">
        <f>G20/$G$48*$O$48</f>
        <v>0</v>
      </c>
      <c r="P20" s="691"/>
      <c r="Q20" s="693">
        <f>I20/$I$48*$Q$48</f>
        <v>0</v>
      </c>
      <c r="R20" s="691"/>
      <c r="S20" s="693">
        <f>K20/$K$48*$S$48</f>
        <v>0</v>
      </c>
      <c r="T20" s="691"/>
      <c r="U20" s="693">
        <f>SUM(M20:S20)</f>
        <v>-1695.5581438266147</v>
      </c>
      <c r="W20" s="323"/>
    </row>
    <row r="21" spans="1:38" ht="12.75" customHeight="1">
      <c r="A21" s="318">
        <f>A20+1</f>
        <v>6</v>
      </c>
      <c r="C21" s="694" t="s">
        <v>475</v>
      </c>
      <c r="D21" s="694"/>
      <c r="E21" s="695">
        <f>SUM(E16:E20)</f>
        <v>908722.43071712519</v>
      </c>
      <c r="F21" s="676"/>
      <c r="G21" s="695">
        <f>SUM(G16:G20)</f>
        <v>0</v>
      </c>
      <c r="H21" s="676"/>
      <c r="I21" s="695">
        <f>SUM(I16:I20)</f>
        <v>0</v>
      </c>
      <c r="J21" s="676"/>
      <c r="K21" s="695">
        <f>SUM(K16:K20)</f>
        <v>0</v>
      </c>
      <c r="L21" s="676"/>
      <c r="M21" s="695">
        <f t="shared" ref="M21:U21" si="0">SUM(M16:M20)</f>
        <v>-27764.46069775449</v>
      </c>
      <c r="N21" s="676"/>
      <c r="O21" s="695">
        <f t="shared" si="0"/>
        <v>0</v>
      </c>
      <c r="P21" s="676"/>
      <c r="Q21" s="695">
        <f t="shared" si="0"/>
        <v>0</v>
      </c>
      <c r="R21" s="676"/>
      <c r="S21" s="695">
        <f t="shared" si="0"/>
        <v>0</v>
      </c>
      <c r="T21" s="676"/>
      <c r="U21" s="695">
        <f t="shared" si="0"/>
        <v>-27764.46069775449</v>
      </c>
      <c r="W21" s="323"/>
    </row>
    <row r="22" spans="1:38" ht="12.75" customHeight="1">
      <c r="C22" s="317"/>
      <c r="D22" s="317"/>
      <c r="M22" s="696"/>
      <c r="N22" s="696"/>
      <c r="W22" s="323"/>
    </row>
    <row r="23" spans="1:38" ht="12.75" customHeight="1">
      <c r="C23" s="671" t="s">
        <v>177</v>
      </c>
      <c r="D23" s="671"/>
      <c r="M23" s="697"/>
      <c r="N23" s="696"/>
      <c r="W23" s="323"/>
    </row>
    <row r="24" spans="1:38" ht="12.75" customHeight="1">
      <c r="A24" s="318">
        <f>A21+1</f>
        <v>7</v>
      </c>
      <c r="C24" s="692" t="s">
        <v>124</v>
      </c>
      <c r="D24" s="692"/>
      <c r="E24" s="693">
        <v>1441159.4400405877</v>
      </c>
      <c r="F24" s="691"/>
      <c r="G24" s="693">
        <v>31973.580827786744</v>
      </c>
      <c r="H24" s="691"/>
      <c r="I24" s="693">
        <v>31030.012236682513</v>
      </c>
      <c r="J24" s="691"/>
      <c r="K24" s="693">
        <v>30972.414605110811</v>
      </c>
      <c r="L24" s="691"/>
      <c r="M24" s="693">
        <f t="shared" ref="M24:M36" si="1">E24/$E$48*$M$48</f>
        <v>-44032.16348542006</v>
      </c>
      <c r="N24" s="691"/>
      <c r="O24" s="693">
        <f t="shared" ref="O24:O36" si="2">G24/$G$48*$O$48</f>
        <v>-6041.1689824821251</v>
      </c>
      <c r="P24" s="691"/>
      <c r="Q24" s="693">
        <f t="shared" ref="Q24:Q36" si="3">I24/$I$48*$Q$48</f>
        <v>-4637.151763016619</v>
      </c>
      <c r="R24" s="691"/>
      <c r="S24" s="693">
        <f t="shared" ref="S24:S36" si="4">K24/$K$48*$S$48</f>
        <v>-1717.5415363064599</v>
      </c>
      <c r="T24" s="691"/>
      <c r="U24" s="693">
        <f t="shared" ref="U24:U36" si="5">SUM(M24:S24)</f>
        <v>-56428.025767225263</v>
      </c>
      <c r="W24" s="323"/>
      <c r="AL24" s="673"/>
    </row>
    <row r="25" spans="1:38" ht="12.75" customHeight="1">
      <c r="A25" s="318">
        <f t="shared" ref="A25:A37" si="6">A24+1</f>
        <v>8</v>
      </c>
      <c r="C25" s="692" t="s">
        <v>125</v>
      </c>
      <c r="D25" s="692"/>
      <c r="E25" s="693">
        <f>218197.060003395+137.672417939007</f>
        <v>218334.73242133399</v>
      </c>
      <c r="F25" s="691"/>
      <c r="G25" s="693">
        <v>10989.997912981442</v>
      </c>
      <c r="H25" s="691"/>
      <c r="I25" s="693">
        <v>11714.202516693596</v>
      </c>
      <c r="J25" s="691"/>
      <c r="K25" s="693">
        <v>11802.000324895414</v>
      </c>
      <c r="L25" s="691"/>
      <c r="M25" s="693">
        <f t="shared" si="1"/>
        <v>-6670.8445751504551</v>
      </c>
      <c r="N25" s="691"/>
      <c r="O25" s="693">
        <f t="shared" si="2"/>
        <v>-2076.4779167852298</v>
      </c>
      <c r="P25" s="691"/>
      <c r="Q25" s="693">
        <f t="shared" si="3"/>
        <v>-1750.5805166394275</v>
      </c>
      <c r="R25" s="691"/>
      <c r="S25" s="693">
        <f t="shared" si="4"/>
        <v>-654.46708072173851</v>
      </c>
      <c r="T25" s="691"/>
      <c r="U25" s="693">
        <f t="shared" si="5"/>
        <v>-11152.370089296852</v>
      </c>
      <c r="W25" s="323"/>
    </row>
    <row r="26" spans="1:38" ht="12.75" customHeight="1">
      <c r="A26" s="318">
        <f t="shared" si="6"/>
        <v>9</v>
      </c>
      <c r="C26" s="692" t="s">
        <v>644</v>
      </c>
      <c r="D26" s="692"/>
      <c r="E26" s="693">
        <v>54282.404614249623</v>
      </c>
      <c r="F26" s="691"/>
      <c r="G26" s="693">
        <v>5860.4598387337974</v>
      </c>
      <c r="H26" s="691"/>
      <c r="I26" s="693">
        <v>5059.0597195249675</v>
      </c>
      <c r="J26" s="691"/>
      <c r="K26" s="693">
        <v>4756.3251966324424</v>
      </c>
      <c r="L26" s="691"/>
      <c r="M26" s="693">
        <f t="shared" si="1"/>
        <v>-1658.5060944325805</v>
      </c>
      <c r="N26" s="691"/>
      <c r="O26" s="693">
        <f t="shared" si="2"/>
        <v>-1107.290058987476</v>
      </c>
      <c r="P26" s="691"/>
      <c r="Q26" s="693">
        <f t="shared" si="3"/>
        <v>-756.03024319366784</v>
      </c>
      <c r="R26" s="691"/>
      <c r="S26" s="693">
        <f t="shared" si="4"/>
        <v>-263.75683618962012</v>
      </c>
      <c r="T26" s="691"/>
      <c r="U26" s="693">
        <f t="shared" si="5"/>
        <v>-3785.5832328033448</v>
      </c>
      <c r="W26" s="323"/>
    </row>
    <row r="27" spans="1:38" ht="12.75" customHeight="1">
      <c r="A27" s="318">
        <f t="shared" si="6"/>
        <v>10</v>
      </c>
      <c r="C27" s="692" t="s">
        <v>645</v>
      </c>
      <c r="D27" s="692"/>
      <c r="E27" s="693">
        <v>0</v>
      </c>
      <c r="F27" s="691"/>
      <c r="G27" s="693">
        <v>0</v>
      </c>
      <c r="H27" s="691"/>
      <c r="I27" s="693">
        <v>86.849663287554833</v>
      </c>
      <c r="J27" s="691"/>
      <c r="K27" s="693">
        <v>0</v>
      </c>
      <c r="L27" s="691"/>
      <c r="M27" s="693">
        <f t="shared" si="1"/>
        <v>0</v>
      </c>
      <c r="N27" s="691"/>
      <c r="O27" s="693">
        <f t="shared" si="2"/>
        <v>0</v>
      </c>
      <c r="P27" s="691"/>
      <c r="Q27" s="693">
        <f t="shared" si="3"/>
        <v>-12.978888508306371</v>
      </c>
      <c r="R27" s="691"/>
      <c r="S27" s="693">
        <f t="shared" si="4"/>
        <v>0</v>
      </c>
      <c r="T27" s="691"/>
      <c r="U27" s="693">
        <f t="shared" si="5"/>
        <v>-12.978888508306371</v>
      </c>
      <c r="W27" s="323"/>
    </row>
    <row r="28" spans="1:38" ht="12.75" customHeight="1">
      <c r="A28" s="318">
        <f t="shared" si="6"/>
        <v>11</v>
      </c>
      <c r="C28" s="692" t="s">
        <v>127</v>
      </c>
      <c r="D28" s="692"/>
      <c r="E28" s="693">
        <f>889.742361016308+45144.0289451327</f>
        <v>46033.771306149007</v>
      </c>
      <c r="F28" s="691"/>
      <c r="G28" s="693">
        <v>86.554000000000002</v>
      </c>
      <c r="H28" s="691"/>
      <c r="I28" s="693">
        <v>346.11679496263451</v>
      </c>
      <c r="J28" s="691"/>
      <c r="K28" s="693">
        <v>58.981045083446617</v>
      </c>
      <c r="L28" s="691"/>
      <c r="M28" s="693">
        <f t="shared" si="1"/>
        <v>-1406.483202126273</v>
      </c>
      <c r="N28" s="691"/>
      <c r="O28" s="693">
        <f t="shared" si="2"/>
        <v>-16.353731004546759</v>
      </c>
      <c r="P28" s="691"/>
      <c r="Q28" s="693">
        <f t="shared" si="3"/>
        <v>-51.723992041268893</v>
      </c>
      <c r="R28" s="691"/>
      <c r="S28" s="693">
        <f t="shared" si="4"/>
        <v>-3.2707296501470502</v>
      </c>
      <c r="T28" s="691"/>
      <c r="U28" s="693">
        <f t="shared" si="5"/>
        <v>-1477.8316548222358</v>
      </c>
      <c r="W28" s="323"/>
    </row>
    <row r="29" spans="1:38" ht="12.75" customHeight="1">
      <c r="A29" s="318">
        <f>A28+1</f>
        <v>12</v>
      </c>
      <c r="C29" s="692" t="s">
        <v>646</v>
      </c>
      <c r="D29" s="692"/>
      <c r="E29" s="693">
        <v>18421.462413893954</v>
      </c>
      <c r="F29" s="691"/>
      <c r="G29" s="693">
        <v>2496.386973830246</v>
      </c>
      <c r="H29" s="691"/>
      <c r="I29" s="693">
        <v>2304.268076096103</v>
      </c>
      <c r="J29" s="691"/>
      <c r="K29" s="693">
        <v>3756.1137236669888</v>
      </c>
      <c r="L29" s="691"/>
      <c r="M29" s="693">
        <f t="shared" si="1"/>
        <v>-562.8362984086308</v>
      </c>
      <c r="N29" s="691"/>
      <c r="O29" s="693">
        <f t="shared" si="2"/>
        <v>-471.67364943589382</v>
      </c>
      <c r="P29" s="691"/>
      <c r="Q29" s="693">
        <f t="shared" si="3"/>
        <v>-344.35180656810275</v>
      </c>
      <c r="R29" s="691"/>
      <c r="S29" s="693">
        <f t="shared" si="4"/>
        <v>-208.29119775583271</v>
      </c>
      <c r="T29" s="691"/>
      <c r="U29" s="693">
        <f t="shared" si="5"/>
        <v>-1587.1529521684599</v>
      </c>
      <c r="W29" s="323"/>
    </row>
    <row r="30" spans="1:38" ht="12.75" customHeight="1">
      <c r="A30" s="318">
        <f t="shared" si="6"/>
        <v>13</v>
      </c>
      <c r="C30" s="692" t="s">
        <v>647</v>
      </c>
      <c r="D30" s="692"/>
      <c r="E30" s="693">
        <v>481.44576836975148</v>
      </c>
      <c r="F30" s="691"/>
      <c r="G30" s="693">
        <v>0</v>
      </c>
      <c r="H30" s="691"/>
      <c r="I30" s="693">
        <v>478.07999999999993</v>
      </c>
      <c r="J30" s="691"/>
      <c r="K30" s="693">
        <v>0</v>
      </c>
      <c r="L30" s="691"/>
      <c r="M30" s="693">
        <f t="shared" si="1"/>
        <v>-14.709752573680218</v>
      </c>
      <c r="N30" s="691"/>
      <c r="O30" s="693">
        <f t="shared" si="2"/>
        <v>0</v>
      </c>
      <c r="P30" s="691"/>
      <c r="Q30" s="693">
        <f t="shared" si="3"/>
        <v>-71.444687096907245</v>
      </c>
      <c r="R30" s="691"/>
      <c r="S30" s="693">
        <f t="shared" si="4"/>
        <v>0</v>
      </c>
      <c r="T30" s="691"/>
      <c r="U30" s="693">
        <f t="shared" si="5"/>
        <v>-86.154439670587465</v>
      </c>
      <c r="W30" s="323"/>
    </row>
    <row r="31" spans="1:38" ht="12.75" customHeight="1">
      <c r="A31" s="318">
        <f t="shared" si="6"/>
        <v>14</v>
      </c>
      <c r="C31" s="692" t="s">
        <v>129</v>
      </c>
      <c r="D31" s="692"/>
      <c r="E31" s="693">
        <f>3583.20180973728</f>
        <v>3583.2018097372802</v>
      </c>
      <c r="F31" s="691"/>
      <c r="G31" s="693">
        <v>546.43700000000001</v>
      </c>
      <c r="H31" s="691"/>
      <c r="I31" s="693">
        <v>0</v>
      </c>
      <c r="J31" s="691"/>
      <c r="K31" s="693">
        <v>544.74929999999995</v>
      </c>
      <c r="L31" s="691"/>
      <c r="M31" s="693">
        <f t="shared" si="1"/>
        <v>-109.47860694938893</v>
      </c>
      <c r="N31" s="691"/>
      <c r="O31" s="693">
        <f t="shared" si="2"/>
        <v>-103.24518461228271</v>
      </c>
      <c r="P31" s="691"/>
      <c r="Q31" s="693">
        <f t="shared" si="3"/>
        <v>0</v>
      </c>
      <c r="R31" s="691"/>
      <c r="S31" s="693">
        <f t="shared" si="4"/>
        <v>-30.208479434131</v>
      </c>
      <c r="T31" s="691"/>
      <c r="U31" s="693">
        <f t="shared" si="5"/>
        <v>-242.93227099580264</v>
      </c>
      <c r="W31" s="323"/>
    </row>
    <row r="32" spans="1:38" ht="12.75" customHeight="1">
      <c r="A32" s="318">
        <f t="shared" si="6"/>
        <v>15</v>
      </c>
      <c r="C32" s="692" t="s">
        <v>648</v>
      </c>
      <c r="D32" s="692"/>
      <c r="E32" s="693">
        <v>35715.070367576373</v>
      </c>
      <c r="F32" s="691"/>
      <c r="G32" s="693">
        <v>2572.3598027522262</v>
      </c>
      <c r="H32" s="691"/>
      <c r="I32" s="693">
        <v>2092.0461491908472</v>
      </c>
      <c r="J32" s="691"/>
      <c r="K32" s="693">
        <v>2128.8787880535256</v>
      </c>
      <c r="L32" s="691"/>
      <c r="M32" s="693">
        <f t="shared" si="1"/>
        <v>-1091.2129314950153</v>
      </c>
      <c r="N32" s="691"/>
      <c r="O32" s="693">
        <f t="shared" si="2"/>
        <v>-486.02814729670342</v>
      </c>
      <c r="P32" s="691"/>
      <c r="Q32" s="693">
        <f t="shared" si="3"/>
        <v>-312.63717896843593</v>
      </c>
      <c r="R32" s="691"/>
      <c r="S32" s="693">
        <f t="shared" si="4"/>
        <v>-118.05465575939732</v>
      </c>
      <c r="T32" s="691"/>
      <c r="U32" s="693">
        <f t="shared" si="5"/>
        <v>-2007.9329135195519</v>
      </c>
      <c r="W32" s="323"/>
    </row>
    <row r="33" spans="1:23" ht="12.75" customHeight="1">
      <c r="A33" s="318">
        <f t="shared" si="6"/>
        <v>16</v>
      </c>
      <c r="C33" s="692" t="s">
        <v>649</v>
      </c>
      <c r="D33" s="692"/>
      <c r="E33" s="693">
        <v>1929.5821361090043</v>
      </c>
      <c r="F33" s="691"/>
      <c r="G33" s="693">
        <v>0</v>
      </c>
      <c r="H33" s="691"/>
      <c r="I33" s="693">
        <v>0</v>
      </c>
      <c r="J33" s="691"/>
      <c r="K33" s="693">
        <v>0</v>
      </c>
      <c r="L33" s="691"/>
      <c r="M33" s="693">
        <f t="shared" si="1"/>
        <v>-58.955084160087722</v>
      </c>
      <c r="N33" s="691"/>
      <c r="O33" s="693">
        <f t="shared" si="2"/>
        <v>0</v>
      </c>
      <c r="P33" s="691"/>
      <c r="Q33" s="693">
        <f t="shared" si="3"/>
        <v>0</v>
      </c>
      <c r="R33" s="691"/>
      <c r="S33" s="693">
        <f t="shared" si="4"/>
        <v>0</v>
      </c>
      <c r="T33" s="691"/>
      <c r="U33" s="693">
        <f t="shared" si="5"/>
        <v>-58.955084160087722</v>
      </c>
      <c r="W33" s="323"/>
    </row>
    <row r="34" spans="1:23" ht="12.75" customHeight="1">
      <c r="A34" s="318">
        <f t="shared" si="6"/>
        <v>17</v>
      </c>
      <c r="C34" s="692" t="s">
        <v>650</v>
      </c>
      <c r="D34" s="692"/>
      <c r="E34" s="693">
        <v>154209.62260773982</v>
      </c>
      <c r="F34" s="691"/>
      <c r="G34" s="693">
        <v>23429.185562249531</v>
      </c>
      <c r="H34" s="691"/>
      <c r="I34" s="693">
        <v>4107.8302281446267</v>
      </c>
      <c r="J34" s="691"/>
      <c r="K34" s="693">
        <v>25296.533467216694</v>
      </c>
      <c r="L34" s="691"/>
      <c r="M34" s="693">
        <f t="shared" si="1"/>
        <v>-4711.6114463349704</v>
      </c>
      <c r="N34" s="691"/>
      <c r="O34" s="693">
        <f t="shared" si="2"/>
        <v>-4426.7693964535365</v>
      </c>
      <c r="P34" s="691"/>
      <c r="Q34" s="693">
        <f t="shared" si="3"/>
        <v>-613.87768845592802</v>
      </c>
      <c r="R34" s="691"/>
      <c r="S34" s="693">
        <f t="shared" si="4"/>
        <v>-1402.791726394549</v>
      </c>
      <c r="T34" s="691"/>
      <c r="U34" s="693">
        <f t="shared" si="5"/>
        <v>-11155.050257638984</v>
      </c>
      <c r="W34" s="323"/>
    </row>
    <row r="35" spans="1:23" ht="12.75" customHeight="1">
      <c r="A35" s="318">
        <f t="shared" si="6"/>
        <v>18</v>
      </c>
      <c r="C35" s="692" t="s">
        <v>651</v>
      </c>
      <c r="D35" s="692"/>
      <c r="E35" s="693">
        <v>12167.966215872308</v>
      </c>
      <c r="F35" s="691"/>
      <c r="G35" s="693">
        <v>0</v>
      </c>
      <c r="H35" s="691"/>
      <c r="I35" s="693">
        <v>1371.8493154563857</v>
      </c>
      <c r="J35" s="691"/>
      <c r="K35" s="693">
        <v>0</v>
      </c>
      <c r="L35" s="691"/>
      <c r="M35" s="693">
        <f t="shared" si="1"/>
        <v>-371.771410446625</v>
      </c>
      <c r="N35" s="691"/>
      <c r="O35" s="693">
        <f t="shared" si="2"/>
        <v>0</v>
      </c>
      <c r="P35" s="691"/>
      <c r="Q35" s="693">
        <f t="shared" si="3"/>
        <v>-205.01034363890543</v>
      </c>
      <c r="R35" s="691"/>
      <c r="S35" s="693">
        <f t="shared" si="4"/>
        <v>0</v>
      </c>
      <c r="T35" s="691"/>
      <c r="U35" s="693">
        <f t="shared" si="5"/>
        <v>-576.78175408553045</v>
      </c>
      <c r="W35" s="323"/>
    </row>
    <row r="36" spans="1:23" ht="12.75" customHeight="1">
      <c r="A36" s="318">
        <f t="shared" si="6"/>
        <v>19</v>
      </c>
      <c r="C36" s="692" t="s">
        <v>134</v>
      </c>
      <c r="D36" s="692"/>
      <c r="E36" s="693">
        <v>21976.041331708588</v>
      </c>
      <c r="F36" s="691"/>
      <c r="G36" s="693">
        <v>2501.0159999999996</v>
      </c>
      <c r="H36" s="691"/>
      <c r="I36" s="693">
        <v>0</v>
      </c>
      <c r="J36" s="691"/>
      <c r="K36" s="693">
        <v>2475.1964159999998</v>
      </c>
      <c r="L36" s="691"/>
      <c r="M36" s="693">
        <f t="shared" si="1"/>
        <v>-671.4403818170797</v>
      </c>
      <c r="N36" s="691"/>
      <c r="O36" s="693">
        <f t="shared" si="2"/>
        <v>-472.54826931242354</v>
      </c>
      <c r="P36" s="691"/>
      <c r="Q36" s="693">
        <f t="shared" si="3"/>
        <v>0</v>
      </c>
      <c r="R36" s="691"/>
      <c r="S36" s="693">
        <f t="shared" si="4"/>
        <v>-137.25932282642816</v>
      </c>
      <c r="T36" s="691"/>
      <c r="U36" s="693">
        <f t="shared" si="5"/>
        <v>-1281.2479739559315</v>
      </c>
      <c r="W36" s="323"/>
    </row>
    <row r="37" spans="1:23" ht="12.75" customHeight="1">
      <c r="A37" s="318">
        <f t="shared" si="6"/>
        <v>20</v>
      </c>
      <c r="C37" s="317" t="s">
        <v>490</v>
      </c>
      <c r="D37" s="317"/>
      <c r="E37" s="695">
        <f>SUM(E24:E36)</f>
        <v>2008294.7410333275</v>
      </c>
      <c r="F37" s="676"/>
      <c r="G37" s="695">
        <f>SUM(G24:G36)</f>
        <v>80455.977918333985</v>
      </c>
      <c r="H37" s="676"/>
      <c r="I37" s="695">
        <f>SUM(I24:I36)</f>
        <v>58590.314700039227</v>
      </c>
      <c r="J37" s="676"/>
      <c r="K37" s="695">
        <f>SUM(K24:K36)</f>
        <v>81791.19286665933</v>
      </c>
      <c r="L37" s="676"/>
      <c r="M37" s="695">
        <f>SUM(M24:M36)</f>
        <v>-61360.013269314855</v>
      </c>
      <c r="N37" s="676"/>
      <c r="O37" s="695">
        <f>SUM(O24:O36)</f>
        <v>-15201.555336370215</v>
      </c>
      <c r="P37" s="676"/>
      <c r="Q37" s="695">
        <f>SUM(Q24:Q36)</f>
        <v>-8755.787108127568</v>
      </c>
      <c r="R37" s="676"/>
      <c r="S37" s="695">
        <f>SUM(S24:S36)</f>
        <v>-4535.6415650383042</v>
      </c>
      <c r="T37" s="676"/>
      <c r="U37" s="695">
        <f>SUM(U24:U36)</f>
        <v>-89852.997278850948</v>
      </c>
      <c r="W37" s="323"/>
    </row>
    <row r="38" spans="1:23" ht="12.75" customHeight="1"/>
    <row r="39" spans="1:23" ht="12.75" customHeight="1">
      <c r="C39" s="671" t="s">
        <v>652</v>
      </c>
      <c r="D39" s="671"/>
      <c r="M39" s="697"/>
      <c r="N39" s="696"/>
      <c r="O39" s="697"/>
      <c r="P39" s="696"/>
      <c r="Q39" s="697"/>
      <c r="R39" s="696"/>
      <c r="S39" s="697"/>
      <c r="T39" s="696"/>
    </row>
    <row r="40" spans="1:23">
      <c r="A40" s="318">
        <f>A37+1</f>
        <v>21</v>
      </c>
      <c r="C40" s="692" t="s">
        <v>136</v>
      </c>
      <c r="D40" s="692"/>
      <c r="E40" s="693">
        <v>765893.13624700462</v>
      </c>
      <c r="F40" s="691"/>
      <c r="G40" s="693">
        <v>0</v>
      </c>
      <c r="H40" s="691"/>
      <c r="I40" s="676">
        <v>0</v>
      </c>
      <c r="J40" s="676"/>
      <c r="K40" s="676">
        <v>0</v>
      </c>
      <c r="L40" s="676"/>
      <c r="M40" s="693">
        <f t="shared" ref="M40:M45" si="7">E40/$E$48*$M$48</f>
        <v>-23400.555726602626</v>
      </c>
      <c r="N40" s="691"/>
      <c r="O40" s="693">
        <f t="shared" ref="O40:O45" si="8">G40/$G$48*$O$48</f>
        <v>0</v>
      </c>
      <c r="P40" s="691"/>
      <c r="Q40" s="693">
        <f t="shared" ref="Q40:Q45" si="9">I40/$I$48*$Q$48</f>
        <v>0</v>
      </c>
      <c r="R40" s="691"/>
      <c r="S40" s="693">
        <f t="shared" ref="S40:S45" si="10">K40/$K$48*$S$48</f>
        <v>0</v>
      </c>
      <c r="T40" s="691"/>
      <c r="U40" s="693">
        <f t="shared" ref="U40:U45" si="11">SUM(M40:S40)</f>
        <v>-23400.555726602626</v>
      </c>
    </row>
    <row r="41" spans="1:23">
      <c r="A41" s="318">
        <f t="shared" ref="A41:A46" si="12">A40+1</f>
        <v>22</v>
      </c>
      <c r="C41" s="692" t="s">
        <v>137</v>
      </c>
      <c r="D41" s="692"/>
      <c r="E41" s="693">
        <v>520.97980940705907</v>
      </c>
      <c r="F41" s="691"/>
      <c r="G41" s="693">
        <v>0</v>
      </c>
      <c r="H41" s="691"/>
      <c r="I41" s="676">
        <v>0</v>
      </c>
      <c r="J41" s="676"/>
      <c r="K41" s="676">
        <v>0</v>
      </c>
      <c r="L41" s="676"/>
      <c r="M41" s="693">
        <f t="shared" si="7"/>
        <v>-15.917647626669643</v>
      </c>
      <c r="N41" s="691"/>
      <c r="O41" s="693">
        <f t="shared" si="8"/>
        <v>0</v>
      </c>
      <c r="P41" s="691"/>
      <c r="Q41" s="693">
        <f t="shared" si="9"/>
        <v>0</v>
      </c>
      <c r="R41" s="691"/>
      <c r="S41" s="693">
        <f t="shared" si="10"/>
        <v>0</v>
      </c>
      <c r="T41" s="691"/>
      <c r="U41" s="693">
        <f t="shared" si="11"/>
        <v>-15.917647626669643</v>
      </c>
    </row>
    <row r="42" spans="1:23">
      <c r="A42" s="318">
        <f t="shared" si="12"/>
        <v>23</v>
      </c>
      <c r="C42" s="692" t="s">
        <v>138</v>
      </c>
      <c r="D42" s="692"/>
      <c r="E42" s="693">
        <v>947.0536840007843</v>
      </c>
      <c r="F42" s="691"/>
      <c r="G42" s="693">
        <v>0</v>
      </c>
      <c r="H42" s="691"/>
      <c r="I42" s="676">
        <v>0</v>
      </c>
      <c r="J42" s="676"/>
      <c r="K42" s="676">
        <v>0</v>
      </c>
      <c r="L42" s="676"/>
      <c r="M42" s="693">
        <f t="shared" si="7"/>
        <v>-28.935606626715398</v>
      </c>
      <c r="N42" s="691"/>
      <c r="O42" s="693">
        <f t="shared" si="8"/>
        <v>0</v>
      </c>
      <c r="P42" s="691"/>
      <c r="Q42" s="693">
        <f t="shared" si="9"/>
        <v>0</v>
      </c>
      <c r="R42" s="691"/>
      <c r="S42" s="693">
        <f t="shared" si="10"/>
        <v>0</v>
      </c>
      <c r="T42" s="691"/>
      <c r="U42" s="693">
        <f t="shared" si="11"/>
        <v>-28.935606626715398</v>
      </c>
    </row>
    <row r="43" spans="1:23">
      <c r="A43" s="318">
        <f t="shared" si="12"/>
        <v>24</v>
      </c>
      <c r="C43" s="692" t="s">
        <v>140</v>
      </c>
      <c r="D43" s="692"/>
      <c r="E43" s="693">
        <v>0</v>
      </c>
      <c r="F43" s="691"/>
      <c r="G43" s="693">
        <v>0</v>
      </c>
      <c r="H43" s="691"/>
      <c r="I43" s="676">
        <v>0</v>
      </c>
      <c r="J43" s="676"/>
      <c r="K43" s="676">
        <v>0</v>
      </c>
      <c r="L43" s="676"/>
      <c r="M43" s="693">
        <f t="shared" si="7"/>
        <v>0</v>
      </c>
      <c r="N43" s="691"/>
      <c r="O43" s="693">
        <f t="shared" si="8"/>
        <v>0</v>
      </c>
      <c r="P43" s="691"/>
      <c r="Q43" s="693">
        <f t="shared" si="9"/>
        <v>0</v>
      </c>
      <c r="R43" s="691"/>
      <c r="S43" s="693">
        <f t="shared" si="10"/>
        <v>0</v>
      </c>
      <c r="T43" s="691"/>
      <c r="U43" s="693">
        <f t="shared" si="11"/>
        <v>0</v>
      </c>
    </row>
    <row r="44" spans="1:23">
      <c r="A44" s="318">
        <f t="shared" si="12"/>
        <v>25</v>
      </c>
      <c r="C44" s="692" t="s">
        <v>653</v>
      </c>
      <c r="D44" s="692"/>
      <c r="E44" s="693">
        <f>5512.93647831191</f>
        <v>5512.9364783119099</v>
      </c>
      <c r="F44" s="691"/>
      <c r="G44" s="693">
        <v>0</v>
      </c>
      <c r="H44" s="691"/>
      <c r="I44" s="676">
        <v>0</v>
      </c>
      <c r="J44" s="676"/>
      <c r="K44" s="676">
        <v>0</v>
      </c>
      <c r="L44" s="676"/>
      <c r="M44" s="693">
        <f t="shared" si="7"/>
        <v>-168.43835147825797</v>
      </c>
      <c r="N44" s="691"/>
      <c r="O44" s="693">
        <f t="shared" si="8"/>
        <v>0</v>
      </c>
      <c r="P44" s="691"/>
      <c r="Q44" s="693">
        <f t="shared" si="9"/>
        <v>0</v>
      </c>
      <c r="R44" s="691"/>
      <c r="S44" s="693">
        <f t="shared" si="10"/>
        <v>0</v>
      </c>
      <c r="T44" s="691"/>
      <c r="U44" s="693">
        <f t="shared" si="11"/>
        <v>-168.43835147825797</v>
      </c>
    </row>
    <row r="45" spans="1:23">
      <c r="A45" s="318">
        <f t="shared" si="12"/>
        <v>26</v>
      </c>
      <c r="C45" s="692" t="s">
        <v>654</v>
      </c>
      <c r="D45" s="692"/>
      <c r="E45" s="693">
        <f>1381.09570811669</f>
        <v>1381.09570811669</v>
      </c>
      <c r="F45" s="691"/>
      <c r="G45" s="693">
        <v>0</v>
      </c>
      <c r="H45" s="691"/>
      <c r="I45" s="676">
        <v>0</v>
      </c>
      <c r="J45" s="676"/>
      <c r="K45" s="676">
        <v>0</v>
      </c>
      <c r="L45" s="676"/>
      <c r="M45" s="693">
        <f t="shared" si="7"/>
        <v>-42.197018816386759</v>
      </c>
      <c r="N45" s="691"/>
      <c r="O45" s="693">
        <f t="shared" si="8"/>
        <v>0</v>
      </c>
      <c r="P45" s="691"/>
      <c r="Q45" s="693">
        <f t="shared" si="9"/>
        <v>0</v>
      </c>
      <c r="R45" s="691"/>
      <c r="S45" s="693">
        <f t="shared" si="10"/>
        <v>0</v>
      </c>
      <c r="T45" s="691"/>
      <c r="U45" s="693">
        <f t="shared" si="11"/>
        <v>-42.197018816386759</v>
      </c>
    </row>
    <row r="46" spans="1:23">
      <c r="A46" s="318">
        <f t="shared" si="12"/>
        <v>27</v>
      </c>
      <c r="C46" s="317" t="s">
        <v>655</v>
      </c>
      <c r="D46" s="317"/>
      <c r="E46" s="695">
        <f>SUM(E40:E45)</f>
        <v>774255.20192684093</v>
      </c>
      <c r="F46" s="676"/>
      <c r="G46" s="695">
        <f>SUM(G40:G45)</f>
        <v>0</v>
      </c>
      <c r="H46" s="676"/>
      <c r="I46" s="695">
        <f>SUM(I40:I45)</f>
        <v>0</v>
      </c>
      <c r="J46" s="676"/>
      <c r="K46" s="695">
        <f>SUM(K40:K45)</f>
        <v>0</v>
      </c>
      <c r="L46" s="676"/>
      <c r="M46" s="695">
        <f>SUM(M40:M45)</f>
        <v>-23656.044351150653</v>
      </c>
      <c r="N46" s="691"/>
      <c r="O46" s="695">
        <f>SUM(O40:O45)</f>
        <v>0</v>
      </c>
      <c r="P46" s="691"/>
      <c r="Q46" s="695">
        <f>SUM(Q40:Q45)</f>
        <v>0</v>
      </c>
      <c r="R46" s="691"/>
      <c r="S46" s="695">
        <f>SUM(S40:S45)</f>
        <v>0</v>
      </c>
      <c r="T46" s="691"/>
      <c r="U46" s="695">
        <f>SUM(U40:U45)</f>
        <v>-23656.044351150653</v>
      </c>
    </row>
    <row r="47" spans="1:23">
      <c r="C47" s="317"/>
      <c r="D47" s="317"/>
      <c r="E47" s="676"/>
      <c r="F47" s="676"/>
      <c r="G47" s="676"/>
      <c r="H47" s="676"/>
      <c r="I47" s="676"/>
      <c r="J47" s="676"/>
      <c r="K47" s="676"/>
      <c r="L47" s="676"/>
      <c r="M47" s="691"/>
      <c r="N47" s="691"/>
      <c r="O47" s="691"/>
      <c r="P47" s="691"/>
      <c r="Q47" s="691"/>
      <c r="R47" s="691"/>
      <c r="S47" s="691"/>
      <c r="T47" s="691"/>
      <c r="U47" s="691"/>
    </row>
    <row r="48" spans="1:23" ht="13.5" thickBot="1">
      <c r="A48" s="318">
        <f>A46+1</f>
        <v>28</v>
      </c>
      <c r="C48" s="317" t="s">
        <v>603</v>
      </c>
      <c r="D48" s="317"/>
      <c r="E48" s="698">
        <f>E21+E37+E46</f>
        <v>3691272.3736772938</v>
      </c>
      <c r="F48" s="691"/>
      <c r="G48" s="698">
        <f>G21+G37+G46</f>
        <v>80455.977918333985</v>
      </c>
      <c r="H48" s="691"/>
      <c r="I48" s="698">
        <f>I21+I37+I46</f>
        <v>58590.314700039227</v>
      </c>
      <c r="J48" s="691"/>
      <c r="K48" s="698">
        <f>K21+K37+K46</f>
        <v>81791.19286665933</v>
      </c>
      <c r="L48" s="691"/>
      <c r="M48" s="699">
        <f>SUM('Sch.27 p.2'!$J$44+'Sch.27 p.2'!$J$52)*1000</f>
        <v>-112780.51831822</v>
      </c>
      <c r="N48" s="700" t="s">
        <v>48</v>
      </c>
      <c r="O48" s="698">
        <f>'Sch.27 p.2'!$J$47*1000</f>
        <v>-15201.555336370218</v>
      </c>
      <c r="P48" s="701" t="s">
        <v>50</v>
      </c>
      <c r="Q48" s="698">
        <f>'Sch.27 p.2'!$J$48*1000</f>
        <v>-8755.7871081275698</v>
      </c>
      <c r="R48" s="701" t="s">
        <v>52</v>
      </c>
      <c r="S48" s="698">
        <f>'Sch.27 p.2'!$J$49*1000</f>
        <v>-4535.6415650383042</v>
      </c>
      <c r="T48" s="701" t="s">
        <v>54</v>
      </c>
      <c r="U48" s="698">
        <f>U21+U37+U46</f>
        <v>-141273.50232775608</v>
      </c>
    </row>
    <row r="49" spans="1:20" ht="13.5" thickTop="1">
      <c r="M49" s="323"/>
      <c r="N49" s="323"/>
      <c r="O49" s="323"/>
      <c r="P49" s="323"/>
      <c r="Q49" s="323"/>
      <c r="R49" s="323"/>
      <c r="S49" s="323"/>
      <c r="T49" s="323"/>
    </row>
    <row r="50" spans="1:20">
      <c r="A50" s="665" t="s">
        <v>39</v>
      </c>
    </row>
    <row r="51" spans="1:20">
      <c r="A51" s="654" t="s">
        <v>40</v>
      </c>
      <c r="C51" s="268" t="s">
        <v>656</v>
      </c>
      <c r="D51" s="268"/>
    </row>
    <row r="52" spans="1:20">
      <c r="A52" s="654" t="s">
        <v>42</v>
      </c>
      <c r="C52" s="268" t="s">
        <v>657</v>
      </c>
      <c r="D52" s="268"/>
    </row>
    <row r="53" spans="1:20">
      <c r="A53" s="654" t="s">
        <v>44</v>
      </c>
      <c r="C53" s="268" t="s">
        <v>658</v>
      </c>
      <c r="D53" s="268"/>
    </row>
    <row r="54" spans="1:20">
      <c r="A54" s="654" t="s">
        <v>46</v>
      </c>
      <c r="C54" s="268" t="s">
        <v>659</v>
      </c>
      <c r="D54" s="268"/>
    </row>
    <row r="55" spans="1:20">
      <c r="A55" s="654" t="s">
        <v>48</v>
      </c>
      <c r="C55" s="268" t="s">
        <v>660</v>
      </c>
      <c r="D55" s="268"/>
    </row>
    <row r="56" spans="1:20">
      <c r="A56" s="654" t="s">
        <v>50</v>
      </c>
      <c r="C56" s="268" t="s">
        <v>661</v>
      </c>
      <c r="D56" s="268"/>
    </row>
    <row r="57" spans="1:20">
      <c r="A57" s="654" t="s">
        <v>52</v>
      </c>
      <c r="C57" s="268" t="s">
        <v>662</v>
      </c>
      <c r="D57" s="268"/>
    </row>
    <row r="58" spans="1:20">
      <c r="A58" s="654" t="s">
        <v>54</v>
      </c>
      <c r="C58" s="268" t="s">
        <v>663</v>
      </c>
      <c r="D58" s="268"/>
    </row>
    <row r="59" spans="1:20">
      <c r="A59" s="654"/>
    </row>
  </sheetData>
  <mergeCells count="4">
    <mergeCell ref="A4:U4"/>
    <mergeCell ref="E7:K7"/>
    <mergeCell ref="M7:S7"/>
    <mergeCell ref="A11:A12"/>
  </mergeCells>
  <printOptions horizontalCentered="1"/>
  <pageMargins left="0.45" right="0.45" top="0.75" bottom="0.75" header="0.3" footer="0.3"/>
  <pageSetup scale="55" firstPageNumber="4" orientation="landscape" useFirstPageNumber="1" r:id="rId1"/>
  <headerFooter>
    <oddHeader>&amp;R&amp;10Updated: 2024-03-15
EB-2022-0200
Rate Order
Working Papers
Schedule 27
Page &amp;P of 6</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2DDD-FBFA-46BA-B3ED-1969917094A4}">
  <dimension ref="A1:X68"/>
  <sheetViews>
    <sheetView view="pageBreakPreview" zoomScale="85" zoomScaleNormal="100" zoomScaleSheetLayoutView="85" workbookViewId="0">
      <selection activeCell="C18" sqref="C18"/>
    </sheetView>
  </sheetViews>
  <sheetFormatPr defaultColWidth="8" defaultRowHeight="12.75"/>
  <cols>
    <col min="1" max="1" width="4.875" style="318" customWidth="1"/>
    <col min="2" max="2" width="1.5" style="318" customWidth="1"/>
    <col min="3" max="3" width="22.625" style="318" customWidth="1"/>
    <col min="4" max="5" width="13.625" style="318" customWidth="1"/>
    <col min="6" max="6" width="10.375" style="318" customWidth="1"/>
    <col min="7" max="7" width="13.625" style="318" customWidth="1"/>
    <col min="8" max="8" width="1.5" style="318" customWidth="1"/>
    <col min="9" max="16384" width="8" style="268"/>
  </cols>
  <sheetData>
    <row r="1" spans="1:12">
      <c r="G1" s="326"/>
    </row>
    <row r="2" spans="1:12">
      <c r="G2" s="326"/>
    </row>
    <row r="3" spans="1:12">
      <c r="G3" s="326"/>
    </row>
    <row r="4" spans="1:12">
      <c r="G4" s="326"/>
    </row>
    <row r="5" spans="1:12">
      <c r="G5" s="326"/>
    </row>
    <row r="6" spans="1:12">
      <c r="G6" s="666"/>
    </row>
    <row r="7" spans="1:12" ht="12.75" customHeight="1">
      <c r="A7" s="1319" t="s">
        <v>664</v>
      </c>
      <c r="B7" s="1319"/>
      <c r="C7" s="1319"/>
      <c r="D7" s="1319"/>
      <c r="E7" s="1319"/>
      <c r="F7" s="1319"/>
      <c r="G7" s="1319"/>
      <c r="H7" s="1319"/>
    </row>
    <row r="8" spans="1:12" ht="12.75" customHeight="1">
      <c r="A8" s="665"/>
      <c r="B8" s="665"/>
      <c r="C8" s="665"/>
      <c r="D8" s="665"/>
      <c r="E8" s="665"/>
      <c r="F8" s="665"/>
      <c r="G8" s="665"/>
      <c r="H8" s="665"/>
    </row>
    <row r="9" spans="1:12">
      <c r="A9" s="665"/>
      <c r="B9" s="665"/>
      <c r="C9" s="665"/>
      <c r="D9" s="318" t="s">
        <v>665</v>
      </c>
      <c r="E9" s="318">
        <v>2024</v>
      </c>
      <c r="H9" s="665"/>
      <c r="I9" s="665"/>
      <c r="J9" s="665"/>
      <c r="K9" s="665"/>
    </row>
    <row r="10" spans="1:12">
      <c r="A10" s="665"/>
      <c r="B10" s="665"/>
      <c r="C10" s="665"/>
      <c r="D10" s="318" t="s">
        <v>666</v>
      </c>
      <c r="E10" s="318" t="s">
        <v>667</v>
      </c>
      <c r="G10" s="318" t="s">
        <v>109</v>
      </c>
      <c r="H10" s="665"/>
      <c r="I10" s="665"/>
      <c r="J10" s="665"/>
      <c r="K10" s="665"/>
    </row>
    <row r="11" spans="1:12">
      <c r="A11" s="1321" t="s">
        <v>606</v>
      </c>
      <c r="D11" s="318" t="s">
        <v>668</v>
      </c>
      <c r="E11" s="667" t="s">
        <v>669</v>
      </c>
      <c r="F11" s="318" t="s">
        <v>670</v>
      </c>
      <c r="G11" s="318" t="s">
        <v>671</v>
      </c>
      <c r="H11" s="667"/>
    </row>
    <row r="12" spans="1:12">
      <c r="A12" s="1322"/>
      <c r="B12" s="667"/>
      <c r="C12" s="668" t="s">
        <v>3</v>
      </c>
      <c r="D12" s="702" t="s">
        <v>20</v>
      </c>
      <c r="E12" s="702" t="s">
        <v>465</v>
      </c>
      <c r="F12" s="667" t="s">
        <v>4</v>
      </c>
      <c r="G12" s="703" t="s">
        <v>672</v>
      </c>
      <c r="H12" s="667"/>
    </row>
    <row r="13" spans="1:12" ht="12.75" customHeight="1">
      <c r="A13" s="665"/>
      <c r="B13" s="665"/>
      <c r="C13" s="665"/>
      <c r="D13" s="670" t="s">
        <v>8</v>
      </c>
      <c r="E13" s="670" t="s">
        <v>9</v>
      </c>
      <c r="F13" s="704" t="s">
        <v>370</v>
      </c>
      <c r="G13" s="670" t="s">
        <v>673</v>
      </c>
      <c r="H13" s="670"/>
    </row>
    <row r="14" spans="1:12" ht="12.75" customHeight="1">
      <c r="A14" s="665"/>
      <c r="B14" s="665"/>
      <c r="C14" s="665"/>
      <c r="D14" s="670"/>
      <c r="E14" s="670"/>
      <c r="F14" s="670"/>
      <c r="G14" s="670"/>
      <c r="H14" s="670"/>
    </row>
    <row r="15" spans="1:12" ht="12.75" customHeight="1">
      <c r="C15" s="671" t="s">
        <v>11</v>
      </c>
      <c r="E15" s="673"/>
      <c r="G15" s="670"/>
      <c r="H15" s="670"/>
    </row>
    <row r="16" spans="1:12" ht="12.75" customHeight="1">
      <c r="A16" s="318">
        <v>1</v>
      </c>
      <c r="C16" s="672" t="s">
        <v>86</v>
      </c>
      <c r="D16" s="693">
        <f>+'Sch. 27 p.3'!Q16</f>
        <v>-84827.136218220665</v>
      </c>
      <c r="E16" s="693">
        <v>2146382.684925254</v>
      </c>
      <c r="F16" s="318" t="s">
        <v>674</v>
      </c>
      <c r="G16" s="705">
        <f t="shared" ref="G16:G25" si="0">D16/E16*100</f>
        <v>-3.9520974900696566</v>
      </c>
      <c r="H16" s="675"/>
      <c r="I16" s="706"/>
      <c r="L16" s="673"/>
    </row>
    <row r="17" spans="1:24" ht="12.75" customHeight="1">
      <c r="A17" s="318">
        <f>A16+1</f>
        <v>2</v>
      </c>
      <c r="C17" s="672" t="s">
        <v>87</v>
      </c>
      <c r="D17" s="693">
        <f>+'Sch. 27 p.3'!Q17</f>
        <v>-22226.646289704222</v>
      </c>
      <c r="E17" s="693">
        <v>2078899.301296097</v>
      </c>
      <c r="F17" s="318" t="s">
        <v>674</v>
      </c>
      <c r="G17" s="705">
        <f t="shared" si="0"/>
        <v>-1.0691545413405519</v>
      </c>
      <c r="H17" s="675"/>
      <c r="M17" s="673"/>
      <c r="W17" s="673"/>
      <c r="X17" s="673"/>
    </row>
    <row r="18" spans="1:24" ht="12.75" customHeight="1">
      <c r="A18" s="318">
        <f t="shared" ref="A18:A27" si="1">A17+1</f>
        <v>3</v>
      </c>
      <c r="C18" s="672" t="s">
        <v>88</v>
      </c>
      <c r="D18" s="693">
        <f>+'Sch. 27 p.3'!Q18</f>
        <v>-1.5434430275797083E-7</v>
      </c>
      <c r="E18" s="693">
        <v>3002.24</v>
      </c>
      <c r="F18" s="318" t="s">
        <v>675</v>
      </c>
      <c r="G18" s="705">
        <f t="shared" si="0"/>
        <v>-5.1409714998791178E-9</v>
      </c>
      <c r="H18" s="675"/>
    </row>
    <row r="19" spans="1:24" ht="12.75" customHeight="1">
      <c r="A19" s="318">
        <f t="shared" si="1"/>
        <v>4</v>
      </c>
      <c r="C19" s="672" t="s">
        <v>89</v>
      </c>
      <c r="D19" s="693">
        <f>+'Sch. 27 p.3'!Q19</f>
        <v>-2037.3567409292268</v>
      </c>
      <c r="E19" s="693">
        <v>50435.911999999997</v>
      </c>
      <c r="F19" s="318" t="s">
        <v>675</v>
      </c>
      <c r="G19" s="705">
        <f t="shared" si="0"/>
        <v>-4.0394961846416635</v>
      </c>
      <c r="H19" s="675"/>
      <c r="P19" s="673"/>
      <c r="Q19" s="673"/>
    </row>
    <row r="20" spans="1:24" ht="12.75" customHeight="1">
      <c r="A20" s="318">
        <f t="shared" si="1"/>
        <v>5</v>
      </c>
      <c r="C20" s="672" t="s">
        <v>90</v>
      </c>
      <c r="D20" s="693">
        <f>+'Sch. 27 p.3'!Q20</f>
        <v>-732.97021715203221</v>
      </c>
      <c r="E20" s="693">
        <v>9653.8799999999992</v>
      </c>
      <c r="F20" s="318" t="s">
        <v>675</v>
      </c>
      <c r="G20" s="705">
        <f t="shared" si="0"/>
        <v>-7.5924935585695312</v>
      </c>
      <c r="H20" s="675"/>
    </row>
    <row r="21" spans="1:24" ht="12.75" customHeight="1">
      <c r="A21" s="318">
        <f t="shared" si="1"/>
        <v>6</v>
      </c>
      <c r="C21" s="672" t="s">
        <v>91</v>
      </c>
      <c r="D21" s="693">
        <f>+'Sch. 27 p.3'!Q21</f>
        <v>-1651.3049691635561</v>
      </c>
      <c r="E21" s="693">
        <v>74082.856</v>
      </c>
      <c r="F21" s="318" t="s">
        <v>675</v>
      </c>
      <c r="G21" s="705">
        <f t="shared" si="0"/>
        <v>-2.2289974473494327</v>
      </c>
      <c r="H21" s="675"/>
    </row>
    <row r="22" spans="1:24" ht="12.75" customHeight="1">
      <c r="A22" s="318">
        <f t="shared" si="1"/>
        <v>7</v>
      </c>
      <c r="C22" s="672" t="s">
        <v>92</v>
      </c>
      <c r="D22" s="693">
        <f>+'Sch. 27 p.3'!Q22</f>
        <v>-102.40272501723996</v>
      </c>
      <c r="E22" s="693">
        <v>51097.080999999998</v>
      </c>
      <c r="F22" s="318" t="s">
        <v>674</v>
      </c>
      <c r="G22" s="705">
        <f t="shared" si="0"/>
        <v>-0.20040817012079412</v>
      </c>
      <c r="H22" s="675"/>
    </row>
    <row r="23" spans="1:24" ht="12.75" customHeight="1">
      <c r="A23" s="318">
        <f t="shared" si="1"/>
        <v>8</v>
      </c>
      <c r="C23" s="672" t="s">
        <v>93</v>
      </c>
      <c r="D23" s="693">
        <f>+'Sch. 27 p.3'!Q23</f>
        <v>-181.82468155240213</v>
      </c>
      <c r="E23" s="693">
        <v>4092.3199999999997</v>
      </c>
      <c r="F23" s="318" t="s">
        <v>675</v>
      </c>
      <c r="G23" s="705">
        <f t="shared" si="0"/>
        <v>-4.4430709610294921</v>
      </c>
      <c r="H23" s="675"/>
    </row>
    <row r="24" spans="1:24" ht="12.75" customHeight="1">
      <c r="A24" s="318">
        <f t="shared" si="1"/>
        <v>9</v>
      </c>
      <c r="C24" s="672" t="s">
        <v>94</v>
      </c>
      <c r="D24" s="693">
        <f>+'Sch. 27 p.3'!Q24</f>
        <v>-255.5332002518081</v>
      </c>
      <c r="E24" s="693">
        <v>20618.511999999999</v>
      </c>
      <c r="F24" s="318" t="s">
        <v>675</v>
      </c>
      <c r="G24" s="705">
        <f t="shared" si="0"/>
        <v>-1.2393387081075884</v>
      </c>
      <c r="H24" s="675"/>
    </row>
    <row r="25" spans="1:24" ht="12.75" customHeight="1">
      <c r="A25" s="318">
        <f t="shared" si="1"/>
        <v>10</v>
      </c>
      <c r="C25" s="672" t="s">
        <v>95</v>
      </c>
      <c r="D25" s="693">
        <f>+'Sch. 27 p.3'!Q25</f>
        <v>169.73877380796796</v>
      </c>
      <c r="E25" s="693">
        <v>10016.799999999999</v>
      </c>
      <c r="F25" s="318" t="s">
        <v>675</v>
      </c>
      <c r="G25" s="705">
        <f t="shared" si="0"/>
        <v>1.6945409093519683</v>
      </c>
      <c r="H25" s="675"/>
    </row>
    <row r="26" spans="1:24" ht="12.75" customHeight="1">
      <c r="A26" s="318">
        <f t="shared" si="1"/>
        <v>11</v>
      </c>
      <c r="C26" s="672" t="s">
        <v>96</v>
      </c>
      <c r="D26" s="693">
        <f>+'Sch. 27 p.3'!Q26</f>
        <v>-14.023453442434517</v>
      </c>
      <c r="E26" s="693">
        <v>0</v>
      </c>
      <c r="F26" s="318" t="s">
        <v>675</v>
      </c>
      <c r="G26" s="705">
        <v>0</v>
      </c>
      <c r="H26" s="675"/>
    </row>
    <row r="27" spans="1:24" ht="12.75" customHeight="1">
      <c r="A27" s="318">
        <f t="shared" si="1"/>
        <v>12</v>
      </c>
      <c r="C27" s="317" t="s">
        <v>467</v>
      </c>
      <c r="D27" s="707">
        <f>SUM(D16:D26)</f>
        <v>-111859.45972177996</v>
      </c>
      <c r="E27" s="675"/>
      <c r="F27" s="675"/>
      <c r="G27" s="691"/>
      <c r="H27" s="675"/>
    </row>
    <row r="28" spans="1:24" ht="12.75" customHeight="1">
      <c r="C28" s="671"/>
      <c r="E28" s="673"/>
      <c r="G28" s="670"/>
      <c r="H28" s="670"/>
    </row>
    <row r="29" spans="1:24" ht="12.75" customHeight="1">
      <c r="C29" s="671" t="s">
        <v>172</v>
      </c>
      <c r="E29" s="693"/>
      <c r="H29" s="670"/>
    </row>
    <row r="30" spans="1:24" ht="12.75" customHeight="1">
      <c r="A30" s="318">
        <f>A27+1</f>
        <v>13</v>
      </c>
      <c r="C30" s="692" t="s">
        <v>120</v>
      </c>
      <c r="D30" s="673">
        <f>'Sch. 27 p.4'!U16</f>
        <v>-20159.070414704027</v>
      </c>
      <c r="E30" s="693">
        <v>419838.37399899703</v>
      </c>
      <c r="F30" s="318" t="s">
        <v>674</v>
      </c>
      <c r="G30" s="705">
        <f>D30/E30*100</f>
        <v>-4.8016264503616304</v>
      </c>
      <c r="H30" s="670"/>
    </row>
    <row r="31" spans="1:24" ht="12.75" customHeight="1">
      <c r="A31" s="318">
        <f>A30+1</f>
        <v>14</v>
      </c>
      <c r="C31" s="692" t="s">
        <v>121</v>
      </c>
      <c r="D31" s="673">
        <f>'Sch. 27 p.4'!U17</f>
        <v>-3106.9102950203305</v>
      </c>
      <c r="E31" s="693">
        <v>166805.14384610107</v>
      </c>
      <c r="F31" s="318" t="s">
        <v>674</v>
      </c>
      <c r="G31" s="705">
        <f>D31/E31*100</f>
        <v>-1.8625986125984519</v>
      </c>
      <c r="H31" s="670"/>
    </row>
    <row r="32" spans="1:24" ht="12.75" customHeight="1">
      <c r="A32" s="318">
        <f>A31+1</f>
        <v>15</v>
      </c>
      <c r="C32" s="692" t="s">
        <v>122</v>
      </c>
      <c r="D32" s="673">
        <f>'Sch. 27 p.4'!U18</f>
        <v>-2200.6606895097188</v>
      </c>
      <c r="E32" s="693">
        <v>61154.512000000002</v>
      </c>
      <c r="F32" s="318" t="s">
        <v>675</v>
      </c>
      <c r="G32" s="705">
        <f>D32/E32*100</f>
        <v>-3.5985254685863879</v>
      </c>
      <c r="H32" s="670"/>
    </row>
    <row r="33" spans="1:8" ht="12.75" customHeight="1">
      <c r="A33" s="318">
        <f>A32+1</f>
        <v>16</v>
      </c>
      <c r="C33" s="692" t="s">
        <v>123</v>
      </c>
      <c r="D33" s="673">
        <f>'Sch. 27 p.4'!U19</f>
        <v>-602.26115469379727</v>
      </c>
      <c r="E33" s="693">
        <v>93495.360420000012</v>
      </c>
      <c r="F33" s="318" t="s">
        <v>674</v>
      </c>
      <c r="G33" s="705">
        <f>D33/E33*100</f>
        <v>-0.64416154126613201</v>
      </c>
      <c r="H33" s="670"/>
    </row>
    <row r="34" spans="1:8" ht="12.75" customHeight="1">
      <c r="A34" s="318">
        <f>A33+1</f>
        <v>17</v>
      </c>
      <c r="C34" s="692" t="s">
        <v>88</v>
      </c>
      <c r="D34" s="673">
        <f>'Sch. 27 p.4'!U20</f>
        <v>-1695.5581438266147</v>
      </c>
      <c r="E34" s="673">
        <v>28033.360000000001</v>
      </c>
      <c r="F34" s="318" t="s">
        <v>675</v>
      </c>
      <c r="G34" s="705">
        <f>D34/E34*100</f>
        <v>-6.0483586121200412</v>
      </c>
      <c r="H34" s="670"/>
    </row>
    <row r="35" spans="1:8" ht="12.75" customHeight="1">
      <c r="A35" s="318">
        <f>A34+1</f>
        <v>18</v>
      </c>
      <c r="C35" s="694" t="s">
        <v>475</v>
      </c>
      <c r="D35" s="708">
        <f>SUM(D30:D34)</f>
        <v>-27764.46069775449</v>
      </c>
      <c r="E35" s="675"/>
      <c r="F35" s="676"/>
      <c r="G35" s="676"/>
      <c r="H35" s="670"/>
    </row>
    <row r="36" spans="1:8" ht="12.75" customHeight="1">
      <c r="C36" s="317"/>
      <c r="E36" s="673"/>
      <c r="H36" s="670"/>
    </row>
    <row r="37" spans="1:8" ht="12.75" customHeight="1">
      <c r="C37" s="671" t="s">
        <v>177</v>
      </c>
      <c r="E37" s="693"/>
      <c r="H37" s="670"/>
    </row>
    <row r="38" spans="1:8" ht="12.75" customHeight="1">
      <c r="A38" s="318">
        <f>A35+1</f>
        <v>19</v>
      </c>
      <c r="C38" s="692" t="s">
        <v>124</v>
      </c>
      <c r="D38" s="673">
        <f>'Sch. 27 p.4'!U24</f>
        <v>-56428.025767225263</v>
      </c>
      <c r="E38" s="693">
        <v>1418219.956172256</v>
      </c>
      <c r="F38" s="318" t="s">
        <v>674</v>
      </c>
      <c r="G38" s="705">
        <f t="shared" ref="G38:G50" si="2">D38/E38*100</f>
        <v>-3.9787922544485448</v>
      </c>
      <c r="H38" s="670"/>
    </row>
    <row r="39" spans="1:8" ht="12.75" customHeight="1">
      <c r="A39" s="318">
        <f t="shared" ref="A39:A51" si="3">A38+1</f>
        <v>20</v>
      </c>
      <c r="C39" s="692" t="s">
        <v>125</v>
      </c>
      <c r="D39" s="673">
        <f>'Sch. 27 p.4'!U25</f>
        <v>-11152.370089296852</v>
      </c>
      <c r="E39" s="693">
        <v>672042.15088004968</v>
      </c>
      <c r="F39" s="318" t="s">
        <v>674</v>
      </c>
      <c r="G39" s="705">
        <f t="shared" si="2"/>
        <v>-1.6594747925695805</v>
      </c>
      <c r="H39" s="670"/>
    </row>
    <row r="40" spans="1:8" ht="12.75" customHeight="1">
      <c r="A40" s="318">
        <f t="shared" si="3"/>
        <v>21</v>
      </c>
      <c r="C40" s="692" t="s">
        <v>644</v>
      </c>
      <c r="D40" s="673">
        <f>'Sch. 27 p.4'!U26</f>
        <v>-3785.5832328033448</v>
      </c>
      <c r="E40" s="693">
        <v>31301.096000000001</v>
      </c>
      <c r="F40" s="318" t="s">
        <v>675</v>
      </c>
      <c r="G40" s="705">
        <f t="shared" si="2"/>
        <v>-12.094091634373903</v>
      </c>
      <c r="H40" s="670"/>
    </row>
    <row r="41" spans="1:8" ht="12.75" customHeight="1">
      <c r="A41" s="318">
        <f t="shared" si="3"/>
        <v>22</v>
      </c>
      <c r="C41" s="692" t="s">
        <v>645</v>
      </c>
      <c r="D41" s="673">
        <f>'Sch. 27 p.4'!U27</f>
        <v>-12.978888508306371</v>
      </c>
      <c r="E41" s="693">
        <v>229.77864000000002</v>
      </c>
      <c r="F41" s="318" t="s">
        <v>674</v>
      </c>
      <c r="G41" s="705">
        <f t="shared" si="2"/>
        <v>-5.6484312503139407</v>
      </c>
      <c r="H41" s="670"/>
    </row>
    <row r="42" spans="1:8" ht="12.75" customHeight="1">
      <c r="A42" s="318">
        <f t="shared" si="3"/>
        <v>23</v>
      </c>
      <c r="C42" s="692" t="s">
        <v>676</v>
      </c>
      <c r="D42" s="673">
        <f>'Sch. 27 p.4'!U28</f>
        <v>-1477.8316548222358</v>
      </c>
      <c r="E42" s="693">
        <v>41729.039689999998</v>
      </c>
      <c r="F42" s="318" t="s">
        <v>674</v>
      </c>
      <c r="G42" s="705">
        <f t="shared" si="2"/>
        <v>-3.5414945222820098</v>
      </c>
      <c r="H42" s="670"/>
    </row>
    <row r="43" spans="1:8" ht="12.75" customHeight="1">
      <c r="A43" s="318">
        <f>A42+1</f>
        <v>24</v>
      </c>
      <c r="C43" s="692" t="s">
        <v>646</v>
      </c>
      <c r="D43" s="673">
        <f>'Sch. 27 p.4'!U29</f>
        <v>-1587.1529521684599</v>
      </c>
      <c r="E43" s="673">
        <v>48214.168000000005</v>
      </c>
      <c r="F43" s="318" t="s">
        <v>675</v>
      </c>
      <c r="G43" s="705">
        <f t="shared" si="2"/>
        <v>-3.2918808267488089</v>
      </c>
      <c r="H43" s="670"/>
    </row>
    <row r="44" spans="1:8" ht="12.75" customHeight="1">
      <c r="A44" s="318">
        <f t="shared" si="3"/>
        <v>25</v>
      </c>
      <c r="C44" s="692" t="s">
        <v>647</v>
      </c>
      <c r="D44" s="673">
        <f>'Sch. 27 p.4'!U30</f>
        <v>-86.154439670587465</v>
      </c>
      <c r="E44" s="693">
        <v>41749.229210000005</v>
      </c>
      <c r="F44" s="318" t="s">
        <v>674</v>
      </c>
      <c r="G44" s="705">
        <f t="shared" si="2"/>
        <v>-0.20636174918877612</v>
      </c>
      <c r="H44" s="670"/>
    </row>
    <row r="45" spans="1:8" ht="12.75" customHeight="1">
      <c r="A45" s="318">
        <f t="shared" si="3"/>
        <v>26</v>
      </c>
      <c r="C45" s="692" t="s">
        <v>129</v>
      </c>
      <c r="D45" s="673">
        <f>'Sch. 27 p.4'!U31</f>
        <v>-242.93227099580264</v>
      </c>
      <c r="E45" s="673">
        <v>4026.9759999999997</v>
      </c>
      <c r="F45" s="318" t="s">
        <v>675</v>
      </c>
      <c r="G45" s="705">
        <f t="shared" si="2"/>
        <v>-6.0326227669547237</v>
      </c>
      <c r="H45" s="670"/>
    </row>
    <row r="46" spans="1:8" ht="12.75" customHeight="1">
      <c r="A46" s="318">
        <f t="shared" si="3"/>
        <v>27</v>
      </c>
      <c r="C46" s="692" t="s">
        <v>648</v>
      </c>
      <c r="D46" s="673">
        <f>'Sch. 27 p.4'!U32</f>
        <v>-2007.9329135195519</v>
      </c>
      <c r="E46" s="673">
        <v>17693.232</v>
      </c>
      <c r="F46" s="318" t="s">
        <v>675</v>
      </c>
      <c r="G46" s="705">
        <f t="shared" si="2"/>
        <v>-11.348593142957441</v>
      </c>
      <c r="H46" s="670"/>
    </row>
    <row r="47" spans="1:8" ht="12.75" customHeight="1">
      <c r="A47" s="318">
        <f t="shared" si="3"/>
        <v>28</v>
      </c>
      <c r="C47" s="692" t="s">
        <v>649</v>
      </c>
      <c r="D47" s="673">
        <f>'Sch. 27 p.4'!U33</f>
        <v>-58.955084160087722</v>
      </c>
      <c r="E47" s="693">
        <v>24634.758120000002</v>
      </c>
      <c r="F47" s="318" t="s">
        <v>674</v>
      </c>
      <c r="G47" s="705">
        <f t="shared" si="2"/>
        <v>-0.23931667553993308</v>
      </c>
      <c r="H47" s="670"/>
    </row>
    <row r="48" spans="1:8" ht="12.75" customHeight="1">
      <c r="A48" s="318">
        <f t="shared" si="3"/>
        <v>29</v>
      </c>
      <c r="C48" s="692" t="s">
        <v>650</v>
      </c>
      <c r="D48" s="673">
        <f>'Sch. 27 p.4'!U34</f>
        <v>-11155.050257638984</v>
      </c>
      <c r="E48" s="673">
        <v>207033.016</v>
      </c>
      <c r="F48" s="318" t="s">
        <v>675</v>
      </c>
      <c r="G48" s="705">
        <f t="shared" si="2"/>
        <v>-5.3880537863772338</v>
      </c>
      <c r="H48" s="670"/>
    </row>
    <row r="49" spans="1:8" ht="12.75" customHeight="1">
      <c r="A49" s="318">
        <f t="shared" si="3"/>
        <v>30</v>
      </c>
      <c r="C49" s="692" t="s">
        <v>651</v>
      </c>
      <c r="D49" s="673">
        <f>'Sch. 27 p.4'!U35</f>
        <v>-576.78175408553045</v>
      </c>
      <c r="E49" s="693">
        <v>18840.365090000003</v>
      </c>
      <c r="F49" s="318" t="s">
        <v>674</v>
      </c>
      <c r="G49" s="705">
        <f t="shared" si="2"/>
        <v>-3.0614149531086947</v>
      </c>
      <c r="H49" s="670"/>
    </row>
    <row r="50" spans="1:8" ht="12.75" customHeight="1">
      <c r="A50" s="318">
        <f t="shared" si="3"/>
        <v>31</v>
      </c>
      <c r="C50" s="692" t="s">
        <v>134</v>
      </c>
      <c r="D50" s="673">
        <f>'Sch. 27 p.4'!U36</f>
        <v>-1281.2479739559315</v>
      </c>
      <c r="E50" s="673">
        <v>18800</v>
      </c>
      <c r="F50" s="318" t="s">
        <v>675</v>
      </c>
      <c r="G50" s="705">
        <f t="shared" si="2"/>
        <v>-6.8151487976379332</v>
      </c>
      <c r="H50" s="670"/>
    </row>
    <row r="51" spans="1:8" ht="12.75" customHeight="1">
      <c r="A51" s="318">
        <f t="shared" si="3"/>
        <v>32</v>
      </c>
      <c r="C51" s="317" t="s">
        <v>490</v>
      </c>
      <c r="D51" s="708">
        <f>SUM(D38:D50)</f>
        <v>-89852.997278850948</v>
      </c>
      <c r="E51" s="675"/>
      <c r="F51" s="676"/>
      <c r="G51" s="676"/>
      <c r="H51" s="670"/>
    </row>
    <row r="52" spans="1:8" ht="12.75" customHeight="1">
      <c r="E52" s="673"/>
      <c r="H52" s="670"/>
    </row>
    <row r="53" spans="1:8" ht="12.75" customHeight="1">
      <c r="C53" s="671" t="s">
        <v>677</v>
      </c>
      <c r="H53" s="670"/>
    </row>
    <row r="54" spans="1:8" ht="12.75" customHeight="1">
      <c r="A54" s="318">
        <f>A51+1</f>
        <v>33</v>
      </c>
      <c r="C54" s="692" t="s">
        <v>136</v>
      </c>
      <c r="D54" s="673">
        <f>'Sch. 27 p.4'!U40</f>
        <v>-23400.555726602626</v>
      </c>
      <c r="F54" s="675"/>
      <c r="H54" s="670"/>
    </row>
    <row r="55" spans="1:8" ht="12.75" customHeight="1">
      <c r="A55" s="318">
        <f t="shared" ref="A55:A59" si="4">A54+1</f>
        <v>34</v>
      </c>
      <c r="C55" s="692" t="s">
        <v>137</v>
      </c>
      <c r="D55" s="673">
        <f>'Sch. 27 p.4'!U41</f>
        <v>-15.917647626669643</v>
      </c>
      <c r="F55" s="675"/>
      <c r="H55" s="670"/>
    </row>
    <row r="56" spans="1:8" ht="12.75" customHeight="1">
      <c r="A56" s="318">
        <f t="shared" si="4"/>
        <v>35</v>
      </c>
      <c r="C56" s="692" t="s">
        <v>138</v>
      </c>
      <c r="D56" s="673">
        <f>'Sch. 27 p.4'!U42</f>
        <v>-28.935606626715398</v>
      </c>
      <c r="F56" s="675"/>
      <c r="H56" s="670"/>
    </row>
    <row r="57" spans="1:8" ht="12.75" customHeight="1">
      <c r="A57" s="318">
        <f t="shared" si="4"/>
        <v>36</v>
      </c>
      <c r="C57" s="692" t="s">
        <v>140</v>
      </c>
      <c r="D57" s="673">
        <f>'Sch. 27 p.4'!U43</f>
        <v>0</v>
      </c>
      <c r="F57" s="675"/>
      <c r="H57" s="670"/>
    </row>
    <row r="58" spans="1:8" ht="12.75" customHeight="1">
      <c r="A58" s="318">
        <f t="shared" si="4"/>
        <v>37</v>
      </c>
      <c r="C58" s="692" t="s">
        <v>135</v>
      </c>
      <c r="D58" s="673">
        <f>'Sch. 27 p.4'!U44</f>
        <v>-168.43835147825797</v>
      </c>
      <c r="F58" s="675"/>
      <c r="H58" s="670"/>
    </row>
    <row r="59" spans="1:8" ht="12.75" customHeight="1">
      <c r="A59" s="318">
        <f t="shared" si="4"/>
        <v>38</v>
      </c>
      <c r="C59" s="317" t="s">
        <v>655</v>
      </c>
      <c r="D59" s="709">
        <f>SUM(D54:D58)</f>
        <v>-23613.847332334266</v>
      </c>
      <c r="F59" s="675"/>
      <c r="H59" s="670"/>
    </row>
    <row r="60" spans="1:8" ht="12.75" customHeight="1">
      <c r="C60" s="317"/>
      <c r="D60" s="675"/>
      <c r="F60" s="675"/>
      <c r="H60" s="670"/>
    </row>
    <row r="61" spans="1:8">
      <c r="A61" s="318">
        <f>A59+1</f>
        <v>39</v>
      </c>
      <c r="C61" s="317" t="s">
        <v>603</v>
      </c>
      <c r="D61" s="710">
        <f>D35+D51+D59</f>
        <v>-141231.30530893971</v>
      </c>
      <c r="E61" s="675"/>
      <c r="F61" s="675"/>
      <c r="G61" s="675"/>
      <c r="H61" s="676"/>
    </row>
    <row r="62" spans="1:8">
      <c r="C62" s="317"/>
      <c r="D62" s="675"/>
      <c r="E62" s="675"/>
      <c r="F62" s="675"/>
      <c r="G62" s="675"/>
      <c r="H62" s="676"/>
    </row>
    <row r="63" spans="1:8">
      <c r="A63" s="318">
        <f>A61+1</f>
        <v>40</v>
      </c>
      <c r="C63" s="317" t="s">
        <v>100</v>
      </c>
      <c r="D63" s="710">
        <f>D61+D27</f>
        <v>-253090.76503071969</v>
      </c>
      <c r="E63" s="675"/>
      <c r="F63" s="675"/>
      <c r="G63" s="675"/>
      <c r="H63" s="675"/>
    </row>
    <row r="64" spans="1:8">
      <c r="F64" s="675"/>
      <c r="G64" s="675"/>
    </row>
    <row r="65" spans="1:3">
      <c r="A65" s="671" t="s">
        <v>39</v>
      </c>
    </row>
    <row r="66" spans="1:3">
      <c r="A66" s="654" t="s">
        <v>40</v>
      </c>
      <c r="C66" s="317" t="s">
        <v>678</v>
      </c>
    </row>
    <row r="67" spans="1:3">
      <c r="A67" s="654" t="s">
        <v>42</v>
      </c>
      <c r="C67" s="317" t="s">
        <v>679</v>
      </c>
    </row>
    <row r="68" spans="1:3">
      <c r="A68" s="654" t="s">
        <v>44</v>
      </c>
      <c r="C68" s="317" t="s">
        <v>680</v>
      </c>
    </row>
  </sheetData>
  <mergeCells count="2">
    <mergeCell ref="A7:H7"/>
    <mergeCell ref="A11:A12"/>
  </mergeCells>
  <printOptions horizontalCentered="1"/>
  <pageMargins left="0.7" right="0.7" top="0.75" bottom="0.75" header="0.3" footer="0.3"/>
  <pageSetup scale="73" firstPageNumber="5" orientation="portrait" useFirstPageNumber="1" r:id="rId1"/>
  <headerFooter>
    <oddHeader xml:space="preserve">&amp;R&amp;10Updated: 2024-03-15
EB-2022-0200
Rate Order
Working Papers
Schedule 27
Page &amp;P of 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D651-D7AC-430B-B7F3-BD00563C727B}">
  <sheetPr>
    <pageSetUpPr fitToPage="1"/>
  </sheetPr>
  <dimension ref="A1:AM1088"/>
  <sheetViews>
    <sheetView view="pageLayout" topLeftCell="A58" zoomScaleNormal="70" zoomScaleSheetLayoutView="80" workbookViewId="0">
      <selection activeCell="C81" sqref="C81"/>
    </sheetView>
  </sheetViews>
  <sheetFormatPr defaultColWidth="8" defaultRowHeight="12.75"/>
  <cols>
    <col min="1" max="1" width="4" style="1" customWidth="1"/>
    <col min="2" max="2" width="2.75" style="2" customWidth="1"/>
    <col min="3" max="3" width="39.875" style="2" customWidth="1"/>
    <col min="4" max="4" width="1.375" style="2" customWidth="1"/>
    <col min="5" max="5" width="8.375" style="2" customWidth="1"/>
    <col min="6" max="6" width="1.375" style="2" customWidth="1"/>
    <col min="7" max="7" width="11" style="2" bestFit="1" customWidth="1"/>
    <col min="8" max="8" width="1.375" style="2" customWidth="1"/>
    <col min="9" max="9" width="9" style="2" customWidth="1"/>
    <col min="10" max="10" width="9.75" style="2" bestFit="1" customWidth="1"/>
    <col min="11" max="11" width="1.375" style="2" customWidth="1"/>
    <col min="12" max="13" width="8" style="268"/>
    <col min="14" max="14" width="8.25" style="268" bestFit="1" customWidth="1"/>
    <col min="15" max="15" width="8.625" style="268" customWidth="1"/>
    <col min="16" max="16" width="10.375" style="268" customWidth="1"/>
    <col min="17" max="17" width="13.625" style="268" customWidth="1"/>
    <col min="18" max="18" width="1.375" style="2" customWidth="1"/>
    <col min="19" max="19" width="11.875" style="2" bestFit="1" customWidth="1"/>
    <col min="20" max="21" width="8" style="268" customWidth="1"/>
    <col min="22" max="22" width="8.25" style="268" bestFit="1" customWidth="1"/>
    <col min="23" max="23" width="8.625" style="268" customWidth="1"/>
    <col min="24" max="24" width="10.375" style="268" customWidth="1"/>
    <col min="25" max="25" width="1.375" style="2" customWidth="1"/>
    <col min="26" max="26" width="10.375" style="2" customWidth="1"/>
    <col min="27" max="27" width="9" style="2" customWidth="1"/>
    <col min="28" max="28" width="11.375" style="268" customWidth="1"/>
    <col min="29" max="29" width="13.375" style="268" bestFit="1" customWidth="1"/>
    <col min="30" max="30" width="9.25" style="268" customWidth="1"/>
    <col min="31" max="31" width="8" style="268"/>
    <col min="32" max="32" width="9.25" style="728" customWidth="1"/>
    <col min="33" max="33" width="5.625" style="728" bestFit="1" customWidth="1"/>
    <col min="34" max="34" width="3.375" style="728" customWidth="1"/>
    <col min="35" max="35" width="8.75" style="728" customWidth="1"/>
    <col min="36" max="36" width="5.625" style="728" bestFit="1" customWidth="1"/>
    <col min="37" max="37" width="12.625" style="728" customWidth="1"/>
    <col min="38" max="38" width="5.625" style="728" bestFit="1" customWidth="1"/>
    <col min="39" max="39" width="10" style="268" bestFit="1" customWidth="1"/>
    <col min="40" max="40" width="13.25" style="268" customWidth="1"/>
    <col min="41" max="16384" width="8" style="268"/>
  </cols>
  <sheetData>
    <row r="1" spans="1:39">
      <c r="L1" s="2"/>
      <c r="M1" s="2"/>
      <c r="N1" s="2"/>
      <c r="O1" s="2"/>
      <c r="P1" s="504"/>
      <c r="Q1" s="504"/>
      <c r="T1" s="504"/>
      <c r="U1" s="504"/>
      <c r="V1" s="504"/>
      <c r="W1" s="504"/>
      <c r="X1" s="504"/>
      <c r="AB1" s="504"/>
      <c r="AC1" s="504"/>
    </row>
    <row r="2" spans="1:39">
      <c r="L2" s="2"/>
      <c r="M2" s="2"/>
      <c r="N2" s="2"/>
      <c r="O2" s="2"/>
      <c r="P2" s="504"/>
      <c r="Q2" s="504"/>
      <c r="T2" s="504"/>
      <c r="U2" s="504"/>
      <c r="V2" s="504"/>
      <c r="W2" s="504"/>
      <c r="X2" s="504"/>
      <c r="AB2" s="504"/>
      <c r="AC2" s="504"/>
    </row>
    <row r="3" spans="1:39">
      <c r="L3" s="2"/>
      <c r="M3" s="2"/>
      <c r="N3" s="2"/>
      <c r="O3" s="2"/>
      <c r="P3" s="504"/>
      <c r="Q3" s="504"/>
      <c r="T3" s="504"/>
      <c r="U3" s="504"/>
      <c r="V3" s="504"/>
      <c r="W3" s="504"/>
      <c r="X3" s="504"/>
      <c r="AB3" s="504"/>
      <c r="AC3" s="504"/>
    </row>
    <row r="4" spans="1:39">
      <c r="L4" s="2"/>
      <c r="M4" s="2"/>
      <c r="N4" s="2"/>
      <c r="O4" s="2"/>
      <c r="P4" s="504"/>
      <c r="Q4" s="504"/>
      <c r="T4" s="504"/>
      <c r="U4" s="504"/>
      <c r="V4" s="504"/>
      <c r="W4" s="504"/>
      <c r="X4" s="504"/>
      <c r="AB4" s="504"/>
      <c r="AC4" s="504"/>
    </row>
    <row r="5" spans="1:39">
      <c r="L5" s="2"/>
      <c r="M5" s="2"/>
      <c r="N5" s="2"/>
      <c r="O5" s="2"/>
      <c r="P5" s="504"/>
      <c r="Q5" s="504"/>
      <c r="T5" s="504"/>
      <c r="U5" s="504"/>
      <c r="V5" s="504"/>
      <c r="W5" s="504"/>
      <c r="X5" s="504"/>
      <c r="AB5" s="504"/>
      <c r="AC5" s="504"/>
    </row>
    <row r="6" spans="1:39">
      <c r="A6" s="1324" t="s">
        <v>681</v>
      </c>
      <c r="B6" s="1324"/>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665"/>
    </row>
    <row r="7" spans="1:39">
      <c r="A7" s="385"/>
      <c r="B7" s="385"/>
      <c r="C7" s="385"/>
      <c r="D7" s="385"/>
      <c r="E7" s="447"/>
      <c r="F7" s="385"/>
      <c r="G7" s="447"/>
      <c r="H7" s="385"/>
      <c r="I7" s="385"/>
      <c r="J7" s="385"/>
      <c r="K7" s="385"/>
      <c r="L7" s="385"/>
      <c r="M7" s="385"/>
      <c r="N7" s="3"/>
      <c r="O7" s="3"/>
      <c r="P7" s="504"/>
      <c r="Q7" s="504"/>
      <c r="R7" s="385"/>
      <c r="S7" s="385"/>
      <c r="T7" s="504"/>
      <c r="U7" s="504"/>
      <c r="V7" s="504"/>
      <c r="W7" s="504"/>
      <c r="X7" s="504"/>
      <c r="Y7" s="385"/>
      <c r="Z7" s="385"/>
      <c r="AA7" s="385"/>
      <c r="AB7" s="504"/>
      <c r="AC7" s="504"/>
    </row>
    <row r="8" spans="1:39">
      <c r="A8" s="447"/>
      <c r="B8" s="447"/>
      <c r="C8" s="447"/>
      <c r="D8" s="447"/>
      <c r="E8" s="385"/>
      <c r="F8" s="447"/>
      <c r="G8" s="1313" t="s">
        <v>682</v>
      </c>
      <c r="H8" s="1313"/>
      <c r="I8" s="1313"/>
      <c r="J8" s="1313"/>
      <c r="K8" s="447"/>
      <c r="L8" s="1313" t="s">
        <v>496</v>
      </c>
      <c r="M8" s="1313"/>
      <c r="N8" s="1313"/>
      <c r="O8" s="1313"/>
      <c r="P8" s="1313"/>
      <c r="Q8" s="256"/>
      <c r="R8" s="447"/>
      <c r="S8" s="1313" t="s">
        <v>497</v>
      </c>
      <c r="T8" s="1313"/>
      <c r="U8" s="1313"/>
      <c r="V8" s="1313"/>
      <c r="W8" s="1313"/>
      <c r="X8" s="1313"/>
      <c r="Y8" s="447"/>
      <c r="Z8" s="1313" t="s">
        <v>683</v>
      </c>
      <c r="AA8" s="1313"/>
      <c r="AB8" s="1313"/>
      <c r="AC8" s="1313"/>
      <c r="AD8" s="4"/>
    </row>
    <row r="9" spans="1:39" ht="38.25">
      <c r="A9" s="254" t="s">
        <v>1</v>
      </c>
      <c r="B9" s="254"/>
      <c r="C9" s="254"/>
      <c r="D9" s="254"/>
      <c r="E9" s="4" t="s">
        <v>670</v>
      </c>
      <c r="F9" s="254"/>
      <c r="G9" s="13" t="s">
        <v>684</v>
      </c>
      <c r="H9" s="254"/>
      <c r="I9" s="13" t="s">
        <v>196</v>
      </c>
      <c r="J9" s="13" t="s">
        <v>503</v>
      </c>
      <c r="K9" s="254"/>
      <c r="L9" s="13" t="s">
        <v>505</v>
      </c>
      <c r="M9" s="13" t="s">
        <v>685</v>
      </c>
      <c r="N9" s="254" t="s">
        <v>686</v>
      </c>
      <c r="O9" s="254" t="s">
        <v>508</v>
      </c>
      <c r="P9" s="254" t="s">
        <v>687</v>
      </c>
      <c r="Q9" s="254" t="s">
        <v>688</v>
      </c>
      <c r="R9" s="254"/>
      <c r="S9" s="254" t="s">
        <v>689</v>
      </c>
      <c r="T9" s="13" t="s">
        <v>505</v>
      </c>
      <c r="U9" s="13" t="s">
        <v>685</v>
      </c>
      <c r="V9" s="254" t="s">
        <v>686</v>
      </c>
      <c r="W9" s="254" t="s">
        <v>508</v>
      </c>
      <c r="X9" s="254" t="s">
        <v>687</v>
      </c>
      <c r="Y9" s="254"/>
      <c r="Z9" s="13" t="s">
        <v>690</v>
      </c>
      <c r="AA9" s="13" t="s">
        <v>691</v>
      </c>
      <c r="AB9" s="13" t="s">
        <v>692</v>
      </c>
      <c r="AC9" s="254" t="s">
        <v>693</v>
      </c>
      <c r="AD9" s="254"/>
    </row>
    <row r="10" spans="1:39" ht="14.25">
      <c r="A10" s="255" t="s">
        <v>2</v>
      </c>
      <c r="B10" s="256"/>
      <c r="C10" s="449" t="s">
        <v>3</v>
      </c>
      <c r="D10" s="256"/>
      <c r="E10" s="255" t="s">
        <v>4</v>
      </c>
      <c r="F10" s="256"/>
      <c r="G10" s="255" t="s">
        <v>694</v>
      </c>
      <c r="H10" s="256"/>
      <c r="I10" s="255" t="s">
        <v>77</v>
      </c>
      <c r="J10" s="255" t="s">
        <v>20</v>
      </c>
      <c r="K10" s="256"/>
      <c r="L10" s="255" t="s">
        <v>20</v>
      </c>
      <c r="M10" s="255" t="s">
        <v>20</v>
      </c>
      <c r="N10" s="255" t="s">
        <v>20</v>
      </c>
      <c r="O10" s="255" t="s">
        <v>20</v>
      </c>
      <c r="P10" s="255" t="s">
        <v>20</v>
      </c>
      <c r="Q10" s="255" t="s">
        <v>20</v>
      </c>
      <c r="R10" s="256"/>
      <c r="S10" s="255" t="s">
        <v>20</v>
      </c>
      <c r="T10" s="255" t="s">
        <v>20</v>
      </c>
      <c r="U10" s="255" t="s">
        <v>20</v>
      </c>
      <c r="V10" s="255" t="s">
        <v>20</v>
      </c>
      <c r="W10" s="255" t="s">
        <v>20</v>
      </c>
      <c r="X10" s="255" t="s">
        <v>20</v>
      </c>
      <c r="Y10" s="256"/>
      <c r="Z10" s="255" t="s">
        <v>20</v>
      </c>
      <c r="AA10" s="255" t="s">
        <v>77</v>
      </c>
      <c r="AB10" s="255" t="s">
        <v>20</v>
      </c>
      <c r="AC10" s="255" t="s">
        <v>76</v>
      </c>
      <c r="AD10" s="4"/>
      <c r="AF10" s="746"/>
    </row>
    <row r="11" spans="1:39">
      <c r="A11" s="4"/>
      <c r="B11" s="256"/>
      <c r="C11" s="256"/>
      <c r="D11" s="256"/>
      <c r="E11" s="4"/>
      <c r="F11" s="256"/>
      <c r="G11" s="4" t="s">
        <v>8</v>
      </c>
      <c r="H11" s="4"/>
      <c r="I11" s="4" t="s">
        <v>9</v>
      </c>
      <c r="J11" s="4" t="s">
        <v>370</v>
      </c>
      <c r="K11" s="4"/>
      <c r="L11" s="132" t="s">
        <v>79</v>
      </c>
      <c r="M11" s="132" t="s">
        <v>115</v>
      </c>
      <c r="N11" s="132" t="s">
        <v>81</v>
      </c>
      <c r="O11" s="132" t="s">
        <v>82</v>
      </c>
      <c r="P11" s="4" t="s">
        <v>118</v>
      </c>
      <c r="Q11" s="4" t="s">
        <v>695</v>
      </c>
      <c r="R11" s="4"/>
      <c r="S11" s="4" t="s">
        <v>696</v>
      </c>
      <c r="T11" s="4" t="s">
        <v>517</v>
      </c>
      <c r="U11" s="4" t="s">
        <v>518</v>
      </c>
      <c r="V11" s="4" t="s">
        <v>519</v>
      </c>
      <c r="W11" s="4" t="s">
        <v>697</v>
      </c>
      <c r="X11" s="4" t="s">
        <v>698</v>
      </c>
      <c r="Y11" s="4"/>
      <c r="Z11" s="4" t="s">
        <v>699</v>
      </c>
      <c r="AA11" s="4" t="s">
        <v>700</v>
      </c>
      <c r="AB11" s="4" t="s">
        <v>701</v>
      </c>
      <c r="AC11" s="4" t="s">
        <v>702</v>
      </c>
      <c r="AD11" s="4"/>
      <c r="AF11" s="746"/>
    </row>
    <row r="12" spans="1:39">
      <c r="A12" s="4"/>
      <c r="B12" s="256"/>
      <c r="C12" s="6" t="s">
        <v>11</v>
      </c>
      <c r="D12" s="256"/>
      <c r="E12" s="934"/>
      <c r="F12" s="256"/>
      <c r="G12" s="934"/>
      <c r="H12" s="256"/>
      <c r="I12" s="753"/>
      <c r="J12" s="753"/>
      <c r="K12" s="256"/>
      <c r="L12" s="753"/>
      <c r="M12" s="753"/>
      <c r="N12" s="753"/>
      <c r="O12" s="753"/>
      <c r="P12" s="753"/>
      <c r="Q12" s="753"/>
      <c r="R12" s="256"/>
      <c r="S12" s="256"/>
      <c r="T12" s="753"/>
      <c r="U12" s="753"/>
      <c r="V12" s="753"/>
      <c r="W12" s="504"/>
      <c r="X12" s="504"/>
      <c r="Y12" s="256"/>
      <c r="Z12" s="256"/>
      <c r="AA12" s="256"/>
      <c r="AB12" s="504"/>
      <c r="AC12" s="504"/>
      <c r="AF12" s="746"/>
    </row>
    <row r="13" spans="1:39">
      <c r="A13" s="4"/>
      <c r="B13" s="256"/>
      <c r="C13" s="6" t="s">
        <v>162</v>
      </c>
      <c r="D13" s="256"/>
      <c r="E13" s="934"/>
      <c r="F13" s="256"/>
      <c r="G13" s="934"/>
      <c r="H13" s="256"/>
      <c r="I13" s="753"/>
      <c r="J13" s="753"/>
      <c r="K13" s="256"/>
      <c r="L13" s="753"/>
      <c r="M13" s="753"/>
      <c r="N13" s="753"/>
      <c r="O13" s="753"/>
      <c r="P13" s="753"/>
      <c r="Q13" s="753"/>
      <c r="R13" s="256"/>
      <c r="S13" s="256"/>
      <c r="T13" s="753"/>
      <c r="U13" s="753"/>
      <c r="V13" s="753"/>
      <c r="W13" s="504"/>
      <c r="X13" s="504"/>
      <c r="Y13" s="256"/>
      <c r="Z13" s="256"/>
      <c r="AA13" s="256"/>
      <c r="AB13" s="504"/>
      <c r="AC13" s="504"/>
      <c r="AF13" s="746"/>
    </row>
    <row r="14" spans="1:39">
      <c r="A14" s="4">
        <v>1</v>
      </c>
      <c r="B14" s="256"/>
      <c r="C14" s="7" t="s">
        <v>703</v>
      </c>
      <c r="D14" s="256"/>
      <c r="E14" s="929" t="s">
        <v>704</v>
      </c>
      <c r="F14" s="256"/>
      <c r="G14" s="828">
        <v>25957058</v>
      </c>
      <c r="H14" s="256"/>
      <c r="I14" s="778">
        <v>21.878786989991127</v>
      </c>
      <c r="J14" s="828">
        <f>G14*I14/1000</f>
        <v>567908.94286884507</v>
      </c>
      <c r="K14" s="256"/>
      <c r="L14" s="762">
        <v>0</v>
      </c>
      <c r="M14" s="762">
        <v>0</v>
      </c>
      <c r="N14" s="762">
        <v>0</v>
      </c>
      <c r="O14" s="762">
        <v>0</v>
      </c>
      <c r="P14" s="762">
        <v>0</v>
      </c>
      <c r="Q14" s="753">
        <f>J14-L14-M14-N14-O14-P14</f>
        <v>567908.94286884507</v>
      </c>
      <c r="R14" s="256"/>
      <c r="S14" s="828">
        <v>15313.764859736431</v>
      </c>
      <c r="T14" s="828">
        <v>58464.788364658962</v>
      </c>
      <c r="U14" s="762">
        <v>0</v>
      </c>
      <c r="V14" s="762">
        <v>0</v>
      </c>
      <c r="W14" s="762">
        <v>0</v>
      </c>
      <c r="X14" s="762">
        <v>0</v>
      </c>
      <c r="Y14" s="256"/>
      <c r="Z14" s="750">
        <f>Q14+S14+T14+U14+V14+W14+X14</f>
        <v>641687.49609324045</v>
      </c>
      <c r="AA14" s="811">
        <f>Z14/G14*1000</f>
        <v>24.721118090241212</v>
      </c>
      <c r="AB14" s="753">
        <f>Z14-J14</f>
        <v>73778.553224395378</v>
      </c>
      <c r="AC14" s="770">
        <f>AA14/I14-1</f>
        <v>0.12991264559366855</v>
      </c>
      <c r="AD14" s="769"/>
      <c r="AF14" s="763"/>
      <c r="AI14" s="763"/>
      <c r="AK14" s="763"/>
      <c r="AM14" s="777"/>
    </row>
    <row r="15" spans="1:39">
      <c r="A15" s="4"/>
      <c r="B15" s="256"/>
      <c r="C15" s="512" t="s">
        <v>705</v>
      </c>
      <c r="D15" s="256"/>
      <c r="E15" s="930"/>
      <c r="F15" s="256"/>
      <c r="G15" s="828"/>
      <c r="H15" s="256"/>
      <c r="I15" s="932"/>
      <c r="J15" s="753"/>
      <c r="K15" s="256"/>
      <c r="L15" s="762"/>
      <c r="M15" s="762"/>
      <c r="N15" s="762"/>
      <c r="O15" s="762"/>
      <c r="P15" s="762"/>
      <c r="Q15" s="753"/>
      <c r="R15" s="256"/>
      <c r="S15" s="256"/>
      <c r="T15" s="753"/>
      <c r="U15" s="762"/>
      <c r="V15" s="762"/>
      <c r="W15" s="762"/>
      <c r="X15" s="762"/>
      <c r="Y15" s="256"/>
      <c r="Z15" s="750"/>
      <c r="AA15" s="811"/>
      <c r="AB15" s="753"/>
      <c r="AC15" s="770"/>
      <c r="AD15" s="769"/>
      <c r="AF15" s="746"/>
      <c r="AI15" s="763"/>
    </row>
    <row r="16" spans="1:39">
      <c r="A16" s="4">
        <v>2</v>
      </c>
      <c r="B16" s="256"/>
      <c r="C16" s="9" t="s">
        <v>706</v>
      </c>
      <c r="D16" s="256"/>
      <c r="E16" s="929" t="s">
        <v>674</v>
      </c>
      <c r="F16" s="256"/>
      <c r="G16" s="828">
        <v>712504.72543658817</v>
      </c>
      <c r="H16" s="256"/>
      <c r="I16" s="861">
        <v>10.625586308573068</v>
      </c>
      <c r="J16" s="828">
        <f>G16*I16/100</f>
        <v>75707.804553926238</v>
      </c>
      <c r="K16" s="256"/>
      <c r="L16" s="828">
        <v>6370.5021444180629</v>
      </c>
      <c r="M16" s="762">
        <v>0</v>
      </c>
      <c r="N16" s="828">
        <v>75.363704646275892</v>
      </c>
      <c r="O16" s="828">
        <v>1852.1238562290882</v>
      </c>
      <c r="P16" s="828">
        <v>850.92417633214632</v>
      </c>
      <c r="Q16" s="753">
        <f>J16-L16-M16-N16-O16-P16</f>
        <v>66558.890672300666</v>
      </c>
      <c r="R16" s="256"/>
      <c r="S16" s="828">
        <v>1665.2841736678092</v>
      </c>
      <c r="T16" s="828">
        <v>1489.3069266303887</v>
      </c>
      <c r="U16" s="762">
        <v>0</v>
      </c>
      <c r="V16" s="828">
        <v>63.025010984317262</v>
      </c>
      <c r="W16" s="828">
        <v>2029.7810962375736</v>
      </c>
      <c r="X16" s="828">
        <v>760.00782252723377</v>
      </c>
      <c r="Y16" s="256"/>
      <c r="Z16" s="750">
        <f>Q16+S16+T16+U16+V16+W16+X16</f>
        <v>72566.295702347998</v>
      </c>
      <c r="AA16" s="792">
        <f>Z16/G16*100</f>
        <v>10.184675709748158</v>
      </c>
      <c r="AB16" s="847">
        <f>Z16-J16</f>
        <v>-3141.5088515782409</v>
      </c>
      <c r="AC16" s="770"/>
      <c r="AD16" s="769"/>
      <c r="AF16" s="763"/>
      <c r="AI16" s="763"/>
      <c r="AK16" s="763"/>
      <c r="AM16" s="777"/>
    </row>
    <row r="17" spans="1:39">
      <c r="A17" s="4">
        <v>3</v>
      </c>
      <c r="B17" s="256"/>
      <c r="C17" s="9" t="s">
        <v>707</v>
      </c>
      <c r="D17" s="256"/>
      <c r="E17" s="929" t="s">
        <v>674</v>
      </c>
      <c r="F17" s="256"/>
      <c r="G17" s="828">
        <v>1022924.1636396735</v>
      </c>
      <c r="H17" s="256"/>
      <c r="I17" s="861">
        <v>9.9455984153461188</v>
      </c>
      <c r="J17" s="828">
        <f>G17*I17/100</f>
        <v>101735.92940913991</v>
      </c>
      <c r="K17" s="256"/>
      <c r="L17" s="828">
        <v>9145.9612061528078</v>
      </c>
      <c r="M17" s="762">
        <v>0</v>
      </c>
      <c r="N17" s="828">
        <v>108.19767475484646</v>
      </c>
      <c r="O17" s="828">
        <v>2659.0451669346044</v>
      </c>
      <c r="P17" s="828">
        <v>1221.6493032547696</v>
      </c>
      <c r="Q17" s="753">
        <f>J17-L17-M17-N17-O17-P17</f>
        <v>88601.076058042876</v>
      </c>
      <c r="R17" s="256"/>
      <c r="S17" s="828">
        <v>2204.4400186779385</v>
      </c>
      <c r="T17" s="828">
        <v>2138.1585103069574</v>
      </c>
      <c r="U17" s="762">
        <v>0</v>
      </c>
      <c r="V17" s="828">
        <v>90.483339054362091</v>
      </c>
      <c r="W17" s="828">
        <v>2914.1029611672775</v>
      </c>
      <c r="X17" s="828">
        <v>1091.123102014388</v>
      </c>
      <c r="Y17" s="256"/>
      <c r="Z17" s="750">
        <f>Q17+S17+T17+U17+V17+W17+X17</f>
        <v>97039.383989263792</v>
      </c>
      <c r="AA17" s="792">
        <f>Z17/G17*100</f>
        <v>9.4864690305083119</v>
      </c>
      <c r="AB17" s="847">
        <f>Z17-J17</f>
        <v>-4696.5454198761145</v>
      </c>
      <c r="AC17" s="770"/>
      <c r="AD17" s="769"/>
      <c r="AF17" s="763"/>
      <c r="AI17" s="763"/>
      <c r="AK17" s="763"/>
      <c r="AM17" s="777"/>
    </row>
    <row r="18" spans="1:39">
      <c r="A18" s="4">
        <v>4</v>
      </c>
      <c r="B18" s="256"/>
      <c r="C18" s="9" t="s">
        <v>708</v>
      </c>
      <c r="D18" s="256"/>
      <c r="E18" s="929" t="s">
        <v>674</v>
      </c>
      <c r="F18" s="256"/>
      <c r="G18" s="828">
        <v>1109755.6772268531</v>
      </c>
      <c r="H18" s="256"/>
      <c r="I18" s="861">
        <v>9.4131350011351689</v>
      </c>
      <c r="J18" s="828">
        <f>G18*I18/100</f>
        <v>104462.80008012554</v>
      </c>
      <c r="K18" s="256"/>
      <c r="L18" s="828">
        <v>9922.3214515831023</v>
      </c>
      <c r="M18" s="762">
        <v>0</v>
      </c>
      <c r="N18" s="828">
        <v>117.38209741248355</v>
      </c>
      <c r="O18" s="828">
        <v>2884.7597650921834</v>
      </c>
      <c r="P18" s="828">
        <v>1325.3497160956388</v>
      </c>
      <c r="Q18" s="753">
        <f>J18-L18-M18-N18-O18-P18</f>
        <v>90212.987049942138</v>
      </c>
      <c r="R18" s="256"/>
      <c r="S18" s="828">
        <v>2233.2457018849527</v>
      </c>
      <c r="T18" s="828">
        <v>2319.6573411476188</v>
      </c>
      <c r="U18" s="762">
        <v>0</v>
      </c>
      <c r="V18" s="828">
        <v>98.16407000567412</v>
      </c>
      <c r="W18" s="828">
        <v>3161.4682887852196</v>
      </c>
      <c r="X18" s="828">
        <v>1183.7437222182741</v>
      </c>
      <c r="Y18" s="256"/>
      <c r="Z18" s="750">
        <f>Q18+S18+T18+U18+V18+W18+X18</f>
        <v>99209.26617398388</v>
      </c>
      <c r="AA18" s="792">
        <f>Z18/G18*100</f>
        <v>8.9397394588596288</v>
      </c>
      <c r="AB18" s="847">
        <f>Z18-J18</f>
        <v>-5253.5339061416598</v>
      </c>
      <c r="AC18" s="770"/>
      <c r="AD18" s="769"/>
      <c r="AF18" s="763"/>
      <c r="AI18" s="763"/>
      <c r="AK18" s="763"/>
      <c r="AM18" s="777"/>
    </row>
    <row r="19" spans="1:39">
      <c r="A19" s="4">
        <v>5</v>
      </c>
      <c r="B19" s="256"/>
      <c r="C19" s="9" t="s">
        <v>709</v>
      </c>
      <c r="D19" s="256"/>
      <c r="E19" s="929" t="s">
        <v>674</v>
      </c>
      <c r="F19" s="256"/>
      <c r="G19" s="828">
        <v>2166403.060431628</v>
      </c>
      <c r="H19" s="256"/>
      <c r="I19" s="861">
        <v>9.0162092414560693</v>
      </c>
      <c r="J19" s="828">
        <f>G19*I19/100</f>
        <v>195327.43294182356</v>
      </c>
      <c r="K19" s="256"/>
      <c r="L19" s="828">
        <v>19369.80184053785</v>
      </c>
      <c r="M19" s="762">
        <v>0</v>
      </c>
      <c r="N19" s="828">
        <v>229.14677554049152</v>
      </c>
      <c r="O19" s="828">
        <v>5631.4669183063925</v>
      </c>
      <c r="P19" s="828">
        <v>2587.2737035837213</v>
      </c>
      <c r="Q19" s="753">
        <f>J19-L19-M19-N19-O19-P19</f>
        <v>167509.74370385511</v>
      </c>
      <c r="R19" s="256"/>
      <c r="S19" s="828">
        <v>4129.2257717763423</v>
      </c>
      <c r="T19" s="828">
        <v>4528.3055235838492</v>
      </c>
      <c r="U19" s="762">
        <v>0</v>
      </c>
      <c r="V19" s="828">
        <v>191.63041563899569</v>
      </c>
      <c r="W19" s="828">
        <v>6171.6418458851322</v>
      </c>
      <c r="X19" s="828">
        <v>2310.8383901118577</v>
      </c>
      <c r="Y19" s="256"/>
      <c r="Z19" s="750">
        <f>Q19+S19+T19+U19+V19+W19+X19</f>
        <v>184841.3856508513</v>
      </c>
      <c r="AA19" s="792">
        <f>Z19/G19*100</f>
        <v>8.5321789387623941</v>
      </c>
      <c r="AB19" s="847">
        <f>Z19-J19</f>
        <v>-10486.047290972259</v>
      </c>
      <c r="AC19" s="770"/>
      <c r="AD19" s="769"/>
      <c r="AF19" s="763"/>
      <c r="AI19" s="763"/>
      <c r="AK19" s="763"/>
      <c r="AM19" s="777"/>
    </row>
    <row r="20" spans="1:39">
      <c r="A20" s="4">
        <v>6</v>
      </c>
      <c r="B20" s="256"/>
      <c r="C20" s="512" t="s">
        <v>705</v>
      </c>
      <c r="D20" s="256"/>
      <c r="E20" s="930"/>
      <c r="F20" s="256"/>
      <c r="G20" s="852">
        <f>SUM(G16:G19)</f>
        <v>5011587.6267347429</v>
      </c>
      <c r="H20" s="256"/>
      <c r="I20" s="931">
        <f>J20/G20*100</f>
        <v>9.5226104486165184</v>
      </c>
      <c r="J20" s="842">
        <f>SUM(J16:J19)</f>
        <v>477233.96698501526</v>
      </c>
      <c r="K20" s="256"/>
      <c r="L20" s="830">
        <f t="shared" ref="L20:Q20" si="0">SUM(L16:L19)</f>
        <v>44808.586642691822</v>
      </c>
      <c r="M20" s="420">
        <f t="shared" si="0"/>
        <v>0</v>
      </c>
      <c r="N20" s="830">
        <f t="shared" si="0"/>
        <v>530.0902523540974</v>
      </c>
      <c r="O20" s="830">
        <f t="shared" si="0"/>
        <v>13027.395706562269</v>
      </c>
      <c r="P20" s="830">
        <f t="shared" si="0"/>
        <v>5985.1968992662751</v>
      </c>
      <c r="Q20" s="842">
        <f t="shared" si="0"/>
        <v>412882.69748414075</v>
      </c>
      <c r="R20" s="256"/>
      <c r="S20" s="808">
        <f t="shared" ref="S20:X20" si="1">SUM(S16:S19)</f>
        <v>10232.195666007043</v>
      </c>
      <c r="T20" s="842">
        <f t="shared" si="1"/>
        <v>10475.428301668813</v>
      </c>
      <c r="U20" s="805">
        <f t="shared" si="1"/>
        <v>0</v>
      </c>
      <c r="V20" s="842">
        <f t="shared" si="1"/>
        <v>443.30283568334914</v>
      </c>
      <c r="W20" s="842">
        <f t="shared" si="1"/>
        <v>14276.994192075203</v>
      </c>
      <c r="X20" s="842">
        <f t="shared" si="1"/>
        <v>5345.7130368717535</v>
      </c>
      <c r="Y20" s="256"/>
      <c r="Z20" s="808">
        <f>SUM(Z16:Z19)</f>
        <v>453656.33151644695</v>
      </c>
      <c r="AA20" s="806">
        <f>Z20/G20*100</f>
        <v>9.0521480477838683</v>
      </c>
      <c r="AB20" s="851">
        <f>SUM(AB16:AB19)</f>
        <v>-23577.635468568275</v>
      </c>
      <c r="AC20" s="816">
        <f>AA20/I20-1</f>
        <v>-4.9404772291299692E-2</v>
      </c>
      <c r="AD20" s="785"/>
      <c r="AF20" s="763"/>
      <c r="AI20" s="763"/>
      <c r="AK20" s="763"/>
      <c r="AM20" s="776"/>
    </row>
    <row r="21" spans="1:39">
      <c r="A21" s="4"/>
      <c r="B21" s="256"/>
      <c r="C21" s="7"/>
      <c r="D21" s="256"/>
      <c r="E21" s="930"/>
      <c r="F21" s="256"/>
      <c r="G21" s="828"/>
      <c r="H21" s="256"/>
      <c r="I21" s="753"/>
      <c r="J21" s="753"/>
      <c r="K21" s="256"/>
      <c r="L21" s="762"/>
      <c r="M21" s="762"/>
      <c r="N21" s="762"/>
      <c r="O21" s="762"/>
      <c r="P21" s="762"/>
      <c r="Q21" s="753"/>
      <c r="R21" s="256"/>
      <c r="S21" s="256"/>
      <c r="T21" s="753"/>
      <c r="U21" s="762"/>
      <c r="V21" s="762"/>
      <c r="W21" s="762"/>
      <c r="X21" s="762"/>
      <c r="Y21" s="256"/>
      <c r="Z21" s="256"/>
      <c r="AA21" s="256"/>
      <c r="AB21" s="504"/>
      <c r="AC21" s="770"/>
      <c r="AD21" s="769"/>
      <c r="AF21" s="746"/>
      <c r="AI21" s="763"/>
      <c r="AM21" s="776"/>
    </row>
    <row r="22" spans="1:39">
      <c r="A22" s="4">
        <v>7</v>
      </c>
      <c r="B22" s="256"/>
      <c r="C22" s="7" t="s">
        <v>710</v>
      </c>
      <c r="D22" s="256"/>
      <c r="E22" s="930"/>
      <c r="F22" s="256"/>
      <c r="G22" s="852">
        <f>G20</f>
        <v>5011587.6267347429</v>
      </c>
      <c r="H22" s="256"/>
      <c r="I22" s="931">
        <f>J22/G22*100</f>
        <v>20.854527301457445</v>
      </c>
      <c r="J22" s="842">
        <f>J14+J20</f>
        <v>1045142.9098538603</v>
      </c>
      <c r="K22" s="753"/>
      <c r="L22" s="842">
        <f t="shared" ref="L22:Q22" si="2">L14+L20</f>
        <v>44808.586642691822</v>
      </c>
      <c r="M22" s="805">
        <f t="shared" si="2"/>
        <v>0</v>
      </c>
      <c r="N22" s="933">
        <f t="shared" si="2"/>
        <v>530.0902523540974</v>
      </c>
      <c r="O22" s="842">
        <f t="shared" si="2"/>
        <v>13027.395706562269</v>
      </c>
      <c r="P22" s="842">
        <f t="shared" si="2"/>
        <v>5985.1968992662751</v>
      </c>
      <c r="Q22" s="842">
        <f t="shared" si="2"/>
        <v>980791.64035298582</v>
      </c>
      <c r="R22" s="753"/>
      <c r="S22" s="842">
        <f t="shared" ref="S22:X22" si="3">S14+S20</f>
        <v>25545.960525743474</v>
      </c>
      <c r="T22" s="842">
        <f t="shared" si="3"/>
        <v>68940.216666327775</v>
      </c>
      <c r="U22" s="805">
        <f t="shared" si="3"/>
        <v>0</v>
      </c>
      <c r="V22" s="842">
        <f t="shared" si="3"/>
        <v>443.30283568334914</v>
      </c>
      <c r="W22" s="842">
        <f t="shared" si="3"/>
        <v>14276.994192075203</v>
      </c>
      <c r="X22" s="842">
        <f t="shared" si="3"/>
        <v>5345.7130368717535</v>
      </c>
      <c r="Y22" s="753"/>
      <c r="Z22" s="842">
        <f>Z14+Z20</f>
        <v>1095343.8276096873</v>
      </c>
      <c r="AA22" s="806">
        <f>Z22/G22*100</f>
        <v>21.856224198624844</v>
      </c>
      <c r="AB22" s="851">
        <f>AB14+AB20</f>
        <v>50200.917755827104</v>
      </c>
      <c r="AC22" s="804">
        <f>AA22/I22-1</f>
        <v>4.8032587010370387E-2</v>
      </c>
      <c r="AD22" s="769"/>
      <c r="AE22" s="782"/>
      <c r="AF22" s="763"/>
      <c r="AI22" s="763"/>
      <c r="AK22" s="763"/>
      <c r="AM22" s="776"/>
    </row>
    <row r="23" spans="1:39">
      <c r="E23" s="930"/>
      <c r="G23" s="828"/>
      <c r="I23" s="753"/>
      <c r="J23" s="753"/>
      <c r="L23" s="762"/>
      <c r="M23" s="762"/>
      <c r="N23" s="762"/>
      <c r="O23" s="762"/>
      <c r="P23" s="762"/>
      <c r="Q23" s="762"/>
      <c r="R23" s="68"/>
      <c r="S23" s="68"/>
      <c r="T23" s="762"/>
      <c r="U23" s="762"/>
      <c r="V23" s="762"/>
      <c r="W23" s="762"/>
      <c r="X23" s="762"/>
      <c r="Y23" s="68"/>
      <c r="Z23" s="68"/>
      <c r="AA23" s="68"/>
      <c r="AB23" s="762"/>
      <c r="AC23" s="770"/>
      <c r="AD23" s="769"/>
      <c r="AE23" s="782"/>
      <c r="AF23" s="746"/>
      <c r="AI23" s="763"/>
      <c r="AM23" s="776"/>
    </row>
    <row r="24" spans="1:39">
      <c r="A24" s="4">
        <v>8</v>
      </c>
      <c r="B24" s="256"/>
      <c r="C24" s="9" t="s">
        <v>711</v>
      </c>
      <c r="D24" s="256"/>
      <c r="E24" s="929" t="s">
        <v>674</v>
      </c>
      <c r="F24" s="256"/>
      <c r="G24" s="828">
        <v>5011587.6267347429</v>
      </c>
      <c r="H24" s="256"/>
      <c r="I24" s="861">
        <v>1.2932710721024872</v>
      </c>
      <c r="J24" s="828">
        <f>G24*I24/100</f>
        <v>64813.413029628005</v>
      </c>
      <c r="K24" s="256"/>
      <c r="L24" s="762">
        <v>0</v>
      </c>
      <c r="M24" s="828">
        <v>15787.788096522025</v>
      </c>
      <c r="N24" s="762">
        <v>0</v>
      </c>
      <c r="O24" s="762">
        <v>0</v>
      </c>
      <c r="P24" s="762">
        <v>0</v>
      </c>
      <c r="Q24" s="753">
        <f>J24-L24-M24-N24-O24-P24</f>
        <v>49025.624933105981</v>
      </c>
      <c r="R24" s="771"/>
      <c r="S24" s="828">
        <v>512.45208510861266</v>
      </c>
      <c r="T24" s="762">
        <v>0</v>
      </c>
      <c r="U24" s="828">
        <v>15733.138523330314</v>
      </c>
      <c r="V24" s="762">
        <v>0</v>
      </c>
      <c r="W24" s="762">
        <v>0</v>
      </c>
      <c r="X24" s="762">
        <v>0</v>
      </c>
      <c r="Y24" s="771"/>
      <c r="Z24" s="750">
        <f>Q24+S24+T24+U24+V24+W24+X24</f>
        <v>65271.215541544909</v>
      </c>
      <c r="AA24" s="792">
        <f>Z24/G24*100</f>
        <v>1.3024059520250633</v>
      </c>
      <c r="AB24" s="847">
        <f>Z24-J24</f>
        <v>457.80251191690331</v>
      </c>
      <c r="AC24" s="785">
        <f>AA24/I24-1</f>
        <v>7.0633915190922991E-3</v>
      </c>
      <c r="AD24" s="785"/>
      <c r="AE24" s="782"/>
      <c r="AF24" s="763"/>
      <c r="AI24" s="763"/>
      <c r="AK24" s="763"/>
      <c r="AM24" s="776"/>
    </row>
    <row r="25" spans="1:39">
      <c r="A25" s="4"/>
      <c r="B25" s="256"/>
      <c r="C25" s="9"/>
      <c r="D25" s="256"/>
      <c r="E25" s="929"/>
      <c r="F25" s="256"/>
      <c r="G25" s="828"/>
      <c r="H25" s="256"/>
      <c r="I25" s="861"/>
      <c r="J25" s="828"/>
      <c r="K25" s="256"/>
      <c r="L25" s="762"/>
      <c r="M25" s="828"/>
      <c r="N25" s="762"/>
      <c r="O25" s="762"/>
      <c r="P25" s="762"/>
      <c r="Q25" s="762"/>
      <c r="R25" s="771"/>
      <c r="S25" s="828"/>
      <c r="T25" s="762"/>
      <c r="U25" s="828"/>
      <c r="V25" s="762"/>
      <c r="W25" s="762"/>
      <c r="X25" s="762"/>
      <c r="Y25" s="771"/>
      <c r="Z25" s="771"/>
      <c r="AA25" s="821"/>
      <c r="AB25" s="762"/>
      <c r="AC25" s="785"/>
      <c r="AD25" s="785"/>
      <c r="AE25" s="782"/>
      <c r="AF25" s="763"/>
      <c r="AI25" s="763"/>
      <c r="AK25" s="763"/>
      <c r="AM25" s="776"/>
    </row>
    <row r="26" spans="1:39">
      <c r="A26" s="4"/>
      <c r="B26" s="256"/>
      <c r="C26" s="7" t="s">
        <v>712</v>
      </c>
      <c r="D26" s="256"/>
      <c r="E26" s="929"/>
      <c r="F26" s="256"/>
      <c r="G26" s="828"/>
      <c r="H26" s="256"/>
      <c r="I26" s="861"/>
      <c r="J26" s="828"/>
      <c r="K26" s="256"/>
      <c r="L26" s="762"/>
      <c r="M26" s="828"/>
      <c r="N26" s="762"/>
      <c r="O26" s="762"/>
      <c r="P26" s="762"/>
      <c r="Q26" s="762"/>
      <c r="R26" s="771"/>
      <c r="S26" s="828"/>
      <c r="T26" s="762"/>
      <c r="U26" s="828"/>
      <c r="V26" s="762"/>
      <c r="W26" s="762"/>
      <c r="X26" s="762"/>
      <c r="Y26" s="771"/>
      <c r="Z26" s="771"/>
      <c r="AA26" s="821"/>
      <c r="AB26" s="762"/>
      <c r="AC26" s="785"/>
      <c r="AD26" s="785"/>
      <c r="AE26" s="782"/>
      <c r="AF26" s="763"/>
      <c r="AI26" s="763"/>
      <c r="AK26" s="763"/>
      <c r="AM26" s="776"/>
    </row>
    <row r="27" spans="1:39">
      <c r="A27" s="4">
        <v>9</v>
      </c>
      <c r="B27" s="256"/>
      <c r="C27" s="9" t="s">
        <v>713</v>
      </c>
      <c r="D27" s="256"/>
      <c r="E27" s="929" t="s">
        <v>674</v>
      </c>
      <c r="F27" s="256"/>
      <c r="G27" s="828">
        <v>4941365.8225043351</v>
      </c>
      <c r="H27" s="256"/>
      <c r="I27" s="861">
        <v>3.9267443870173873</v>
      </c>
      <c r="J27" s="828">
        <f>G27*I27/100</f>
        <v>194034.80507718452</v>
      </c>
      <c r="K27" s="256"/>
      <c r="L27" s="762">
        <v>0</v>
      </c>
      <c r="M27" s="762">
        <v>0</v>
      </c>
      <c r="N27" s="762">
        <v>0</v>
      </c>
      <c r="O27" s="762">
        <v>0</v>
      </c>
      <c r="P27" s="762">
        <v>0</v>
      </c>
      <c r="Q27" s="753">
        <f>J27-L27-M27-N27-O27-P27</f>
        <v>194034.80507718452</v>
      </c>
      <c r="R27" s="771"/>
      <c r="S27" s="828">
        <v>100.26391806135234</v>
      </c>
      <c r="T27" s="762">
        <v>0</v>
      </c>
      <c r="U27" s="762">
        <v>0</v>
      </c>
      <c r="V27" s="762">
        <v>0</v>
      </c>
      <c r="W27" s="762">
        <v>0</v>
      </c>
      <c r="X27" s="762">
        <v>0</v>
      </c>
      <c r="Y27" s="771"/>
      <c r="Z27" s="750">
        <f>Q27+S27+T27+U27+V27+W27+X27</f>
        <v>194135.06899524588</v>
      </c>
      <c r="AA27" s="792">
        <f>Z27/G27*100</f>
        <v>3.9287734599835034</v>
      </c>
      <c r="AB27" s="847">
        <f>Z27-J27</f>
        <v>100.26391806136235</v>
      </c>
      <c r="AC27" s="770"/>
      <c r="AD27" s="769"/>
      <c r="AE27" s="782"/>
      <c r="AF27" s="763"/>
      <c r="AI27" s="763"/>
      <c r="AK27" s="763"/>
      <c r="AM27" s="776"/>
    </row>
    <row r="28" spans="1:39">
      <c r="A28" s="4">
        <v>10</v>
      </c>
      <c r="B28" s="256"/>
      <c r="C28" s="9" t="s">
        <v>714</v>
      </c>
      <c r="D28" s="256"/>
      <c r="E28" s="929" t="s">
        <v>674</v>
      </c>
      <c r="F28" s="256"/>
      <c r="G28" s="828">
        <v>70111.872093691025</v>
      </c>
      <c r="H28" s="256"/>
      <c r="I28" s="861">
        <v>0.96972012770460903</v>
      </c>
      <c r="J28" s="828">
        <f>G28*I28/100</f>
        <v>679.88893560303268</v>
      </c>
      <c r="K28" s="256"/>
      <c r="L28" s="762">
        <v>0</v>
      </c>
      <c r="M28" s="762">
        <v>0</v>
      </c>
      <c r="N28" s="762">
        <v>0</v>
      </c>
      <c r="O28" s="762">
        <v>0</v>
      </c>
      <c r="P28" s="762">
        <v>0</v>
      </c>
      <c r="Q28" s="753">
        <f>J28-L28-M28-N28-O28-P28</f>
        <v>679.88893560303268</v>
      </c>
      <c r="R28" s="771"/>
      <c r="S28" s="828">
        <v>11.301755327411286</v>
      </c>
      <c r="T28" s="762">
        <v>0</v>
      </c>
      <c r="U28" s="762">
        <v>0</v>
      </c>
      <c r="V28" s="762">
        <v>0</v>
      </c>
      <c r="W28" s="762">
        <v>0</v>
      </c>
      <c r="X28" s="762">
        <v>0</v>
      </c>
      <c r="Y28" s="771"/>
      <c r="Z28" s="750">
        <f>Q28+S28+T28+U28+V28+W28+X28</f>
        <v>691.19069093044391</v>
      </c>
      <c r="AA28" s="792">
        <f>Z28/G28*100</f>
        <v>0.98583973054777452</v>
      </c>
      <c r="AB28" s="847">
        <f>Z28-J28</f>
        <v>11.301755327411229</v>
      </c>
      <c r="AC28" s="770"/>
      <c r="AD28" s="769"/>
      <c r="AE28" s="782"/>
      <c r="AF28" s="763"/>
      <c r="AI28" s="763"/>
      <c r="AK28" s="763"/>
      <c r="AM28" s="776"/>
    </row>
    <row r="29" spans="1:39">
      <c r="A29" s="4">
        <v>11</v>
      </c>
      <c r="B29" s="256"/>
      <c r="C29" s="7" t="s">
        <v>712</v>
      </c>
      <c r="D29" s="256"/>
      <c r="E29" s="929"/>
      <c r="F29" s="256"/>
      <c r="G29" s="830">
        <f>SUM(G27:G28)</f>
        <v>5011477.6945980266</v>
      </c>
      <c r="H29" s="256"/>
      <c r="I29" s="891">
        <f>J29/G29*100</f>
        <v>3.8853748510678687</v>
      </c>
      <c r="J29" s="830">
        <f>SUM(J27:J28)</f>
        <v>194714.69401278754</v>
      </c>
      <c r="K29" s="828"/>
      <c r="L29" s="420">
        <f>SUM(L27:L28)</f>
        <v>0</v>
      </c>
      <c r="M29" s="420">
        <f>SUM(M27:M28)</f>
        <v>0</v>
      </c>
      <c r="N29" s="420">
        <f>SUM(N27:N28)</f>
        <v>0</v>
      </c>
      <c r="O29" s="420">
        <f>SUM(O27:O28)</f>
        <v>0</v>
      </c>
      <c r="P29" s="420">
        <f>SUM(P27:P28)</f>
        <v>0</v>
      </c>
      <c r="Q29" s="842">
        <f>SUM(Q25:Q28)</f>
        <v>194714.69401278754</v>
      </c>
      <c r="R29" s="828"/>
      <c r="S29" s="830">
        <f t="shared" ref="S29:X29" si="4">SUM(S27:S28)</f>
        <v>111.56567338876363</v>
      </c>
      <c r="T29" s="420">
        <f t="shared" si="4"/>
        <v>0</v>
      </c>
      <c r="U29" s="420">
        <f t="shared" si="4"/>
        <v>0</v>
      </c>
      <c r="V29" s="420">
        <f t="shared" si="4"/>
        <v>0</v>
      </c>
      <c r="W29" s="420">
        <f t="shared" si="4"/>
        <v>0</v>
      </c>
      <c r="X29" s="420">
        <f t="shared" si="4"/>
        <v>0</v>
      </c>
      <c r="Y29" s="828"/>
      <c r="Z29" s="808">
        <f>SUM(Z25:Z28)</f>
        <v>194826.25968617632</v>
      </c>
      <c r="AA29" s="806">
        <f>Z29/G29*100</f>
        <v>3.8876010541997124</v>
      </c>
      <c r="AB29" s="851">
        <f>SUM(AB25:AB28)</f>
        <v>111.56567338877358</v>
      </c>
      <c r="AC29" s="804">
        <f>AA29/I29-1</f>
        <v>5.7296997514444392E-4</v>
      </c>
      <c r="AD29" s="769"/>
      <c r="AE29" s="782"/>
      <c r="AF29" s="746"/>
      <c r="AI29" s="763"/>
      <c r="AK29" s="746"/>
      <c r="AM29" s="776"/>
    </row>
    <row r="30" spans="1:39">
      <c r="A30" s="4"/>
      <c r="E30" s="752"/>
      <c r="G30" s="744"/>
      <c r="I30" s="753"/>
      <c r="J30" s="828"/>
      <c r="L30" s="762"/>
      <c r="M30" s="35"/>
      <c r="N30" s="762"/>
      <c r="O30" s="762"/>
      <c r="P30" s="762"/>
      <c r="Q30" s="762"/>
      <c r="R30" s="68"/>
      <c r="S30" s="828"/>
      <c r="T30" s="762"/>
      <c r="U30" s="762"/>
      <c r="V30" s="762"/>
      <c r="W30" s="762"/>
      <c r="X30" s="762"/>
      <c r="Y30" s="68"/>
      <c r="Z30" s="771"/>
      <c r="AA30" s="821"/>
      <c r="AB30" s="762"/>
      <c r="AC30" s="770"/>
      <c r="AD30" s="769"/>
      <c r="AE30" s="782"/>
      <c r="AF30" s="763"/>
      <c r="AI30" s="763"/>
      <c r="AK30" s="763"/>
      <c r="AM30" s="776"/>
    </row>
    <row r="31" spans="1:39">
      <c r="A31" s="4">
        <v>12</v>
      </c>
      <c r="B31" s="256"/>
      <c r="C31" s="7" t="s">
        <v>715</v>
      </c>
      <c r="D31" s="256"/>
      <c r="E31" s="929" t="s">
        <v>674</v>
      </c>
      <c r="F31" s="256"/>
      <c r="G31" s="828">
        <v>4926335.0754972538</v>
      </c>
      <c r="H31" s="256"/>
      <c r="I31" s="861">
        <v>18.377497019556195</v>
      </c>
      <c r="J31" s="828">
        <f>G31*I31/100</f>
        <v>905337.08167285915</v>
      </c>
      <c r="K31" s="256"/>
      <c r="L31" s="762">
        <v>0</v>
      </c>
      <c r="M31" s="762">
        <v>0</v>
      </c>
      <c r="N31" s="762">
        <v>0</v>
      </c>
      <c r="O31" s="762">
        <v>0</v>
      </c>
      <c r="P31" s="762">
        <v>0</v>
      </c>
      <c r="Q31" s="753">
        <f>J31-L31-M31-N31-O31-P31</f>
        <v>905337.08167285915</v>
      </c>
      <c r="R31" s="771"/>
      <c r="S31" s="828">
        <v>112.85034300260213</v>
      </c>
      <c r="T31" s="762">
        <v>0</v>
      </c>
      <c r="U31" s="762">
        <v>0</v>
      </c>
      <c r="V31" s="762">
        <v>0</v>
      </c>
      <c r="W31" s="762">
        <v>0</v>
      </c>
      <c r="X31" s="762">
        <v>0</v>
      </c>
      <c r="Y31" s="771"/>
      <c r="Z31" s="750">
        <f>Q31+S31+T31+U31+V31+W31+X31</f>
        <v>905449.93201586173</v>
      </c>
      <c r="AA31" s="792">
        <f>Z31/G31*100</f>
        <v>18.379787776097782</v>
      </c>
      <c r="AB31" s="847">
        <f>Z31-J31</f>
        <v>112.85034300258849</v>
      </c>
      <c r="AC31" s="770">
        <f>AA31/I31-1</f>
        <v>1.2465008369466624E-4</v>
      </c>
      <c r="AD31" s="769"/>
      <c r="AE31" s="782"/>
      <c r="AF31" s="763"/>
      <c r="AI31" s="763"/>
      <c r="AK31" s="763"/>
      <c r="AM31" s="776"/>
    </row>
    <row r="32" spans="1:39">
      <c r="A32" s="4"/>
      <c r="B32" s="256"/>
      <c r="C32" s="7"/>
      <c r="D32" s="256"/>
      <c r="E32" s="930"/>
      <c r="F32" s="256"/>
      <c r="G32" s="828"/>
      <c r="H32" s="256"/>
      <c r="I32" s="753"/>
      <c r="J32" s="753"/>
      <c r="K32" s="256"/>
      <c r="L32" s="762"/>
      <c r="M32" s="762"/>
      <c r="N32" s="762"/>
      <c r="O32" s="762"/>
      <c r="P32" s="762"/>
      <c r="Q32" s="762"/>
      <c r="R32" s="771"/>
      <c r="S32" s="771"/>
      <c r="T32" s="762"/>
      <c r="U32" s="762"/>
      <c r="V32" s="762"/>
      <c r="W32" s="762"/>
      <c r="X32" s="762"/>
      <c r="Y32" s="771"/>
      <c r="Z32" s="771"/>
      <c r="AA32" s="792"/>
      <c r="AB32" s="847"/>
      <c r="AC32" s="770"/>
      <c r="AD32" s="769"/>
      <c r="AE32" s="782"/>
      <c r="AI32" s="763"/>
      <c r="AM32" s="776"/>
    </row>
    <row r="33" spans="1:39" ht="13.5" thickBot="1">
      <c r="A33" s="4">
        <v>13</v>
      </c>
      <c r="B33" s="256"/>
      <c r="C33" s="7" t="s">
        <v>716</v>
      </c>
      <c r="D33" s="256"/>
      <c r="E33" s="930"/>
      <c r="F33" s="256"/>
      <c r="G33" s="819">
        <f>G20</f>
        <v>5011587.6267347429</v>
      </c>
      <c r="H33" s="256"/>
      <c r="I33" s="919">
        <f>J33/G33*100</f>
        <v>44.097963822475293</v>
      </c>
      <c r="J33" s="839">
        <f>J22+J24+J29+J31</f>
        <v>2210008.0985691352</v>
      </c>
      <c r="K33" s="753"/>
      <c r="L33" s="839">
        <f t="shared" ref="L33:Q33" si="5">L22+L24+L29+L31</f>
        <v>44808.586642691822</v>
      </c>
      <c r="M33" s="839">
        <f t="shared" si="5"/>
        <v>15787.788096522025</v>
      </c>
      <c r="N33" s="839">
        <f t="shared" si="5"/>
        <v>530.0902523540974</v>
      </c>
      <c r="O33" s="839">
        <f t="shared" si="5"/>
        <v>13027.395706562269</v>
      </c>
      <c r="P33" s="839">
        <f t="shared" si="5"/>
        <v>5985.1968992662751</v>
      </c>
      <c r="Q33" s="839">
        <f t="shared" si="5"/>
        <v>2129869.0409717383</v>
      </c>
      <c r="R33" s="753"/>
      <c r="S33" s="839">
        <f t="shared" ref="S33:X33" si="6">S22+S24+S29+S31</f>
        <v>26282.828627243453</v>
      </c>
      <c r="T33" s="839">
        <f t="shared" si="6"/>
        <v>68940.216666327775</v>
      </c>
      <c r="U33" s="839">
        <f t="shared" si="6"/>
        <v>15733.138523330314</v>
      </c>
      <c r="V33" s="839">
        <f t="shared" si="6"/>
        <v>443.30283568334914</v>
      </c>
      <c r="W33" s="839">
        <f t="shared" si="6"/>
        <v>14276.994192075203</v>
      </c>
      <c r="X33" s="839">
        <f t="shared" si="6"/>
        <v>5345.7130368717535</v>
      </c>
      <c r="Y33" s="753"/>
      <c r="Z33" s="839">
        <f>Z22+Z24+Z29+Z31</f>
        <v>2260891.2348532705</v>
      </c>
      <c r="AA33" s="803">
        <f>Z33/G33*100</f>
        <v>45.11327354214766</v>
      </c>
      <c r="AB33" s="839">
        <f>AB22+AB24+AB29+AB31</f>
        <v>50883.136284135369</v>
      </c>
      <c r="AC33" s="798">
        <f>AA33/I33-1</f>
        <v>2.3023959195932253E-2</v>
      </c>
      <c r="AD33" s="769"/>
      <c r="AE33" s="782"/>
      <c r="AF33" s="763"/>
      <c r="AI33" s="763"/>
      <c r="AK33" s="763"/>
      <c r="AM33" s="776"/>
    </row>
    <row r="34" spans="1:39" ht="13.5" thickTop="1">
      <c r="A34" s="4"/>
      <c r="B34" s="256"/>
      <c r="D34" s="256"/>
      <c r="E34" s="742"/>
      <c r="F34" s="256"/>
      <c r="G34" s="453"/>
      <c r="H34" s="256"/>
      <c r="I34" s="504"/>
      <c r="J34" s="504"/>
      <c r="K34" s="256"/>
      <c r="L34" s="504"/>
      <c r="M34" s="504"/>
      <c r="N34" s="504"/>
      <c r="O34" s="504"/>
      <c r="P34" s="504"/>
      <c r="Q34" s="504"/>
      <c r="R34" s="256"/>
      <c r="S34" s="256"/>
      <c r="T34" s="504"/>
      <c r="U34" s="504"/>
      <c r="V34" s="504"/>
      <c r="W34" s="504"/>
      <c r="X34" s="504"/>
      <c r="Y34" s="256"/>
      <c r="Z34" s="750"/>
      <c r="AA34" s="256"/>
      <c r="AB34" s="504"/>
      <c r="AC34" s="504"/>
    </row>
    <row r="35" spans="1:39">
      <c r="A35" s="4"/>
      <c r="B35" s="256"/>
      <c r="C35" s="6" t="s">
        <v>163</v>
      </c>
      <c r="D35" s="256"/>
      <c r="E35" s="134"/>
      <c r="F35" s="256"/>
      <c r="G35" s="749"/>
      <c r="H35" s="256"/>
      <c r="I35" s="504"/>
      <c r="J35" s="504"/>
      <c r="K35" s="256"/>
      <c r="L35" s="504"/>
      <c r="M35" s="504"/>
      <c r="N35" s="504"/>
      <c r="O35" s="504"/>
      <c r="P35" s="504"/>
      <c r="Q35" s="504"/>
      <c r="R35" s="256"/>
      <c r="S35" s="256"/>
      <c r="T35" s="504"/>
      <c r="U35" s="504"/>
      <c r="V35" s="504"/>
      <c r="W35" s="504"/>
      <c r="X35" s="504"/>
      <c r="Y35" s="256"/>
      <c r="Z35" s="256"/>
      <c r="AA35" s="256"/>
      <c r="AB35" s="504"/>
      <c r="AC35" s="504"/>
    </row>
    <row r="36" spans="1:39">
      <c r="A36" s="4">
        <v>14</v>
      </c>
      <c r="B36" s="256"/>
      <c r="C36" s="7" t="s">
        <v>703</v>
      </c>
      <c r="D36" s="256"/>
      <c r="E36" s="929" t="s">
        <v>704</v>
      </c>
      <c r="F36" s="256"/>
      <c r="G36" s="828">
        <v>2075693</v>
      </c>
      <c r="H36" s="256"/>
      <c r="I36" s="778">
        <v>76.575754464968981</v>
      </c>
      <c r="J36" s="828">
        <f>G36*I36/1000</f>
        <v>158947.75751265488</v>
      </c>
      <c r="K36" s="256"/>
      <c r="L36" s="762">
        <v>0</v>
      </c>
      <c r="M36" s="762">
        <v>0</v>
      </c>
      <c r="N36" s="762">
        <v>0</v>
      </c>
      <c r="O36" s="762">
        <v>0</v>
      </c>
      <c r="P36" s="762">
        <v>0</v>
      </c>
      <c r="Q36" s="753">
        <f>J36-L36-M36-N36-O36-P36</f>
        <v>158947.75751265488</v>
      </c>
      <c r="R36" s="256"/>
      <c r="S36" s="828">
        <v>4286.0543298282428</v>
      </c>
      <c r="T36" s="35">
        <v>0</v>
      </c>
      <c r="U36" s="762">
        <v>0</v>
      </c>
      <c r="V36" s="762">
        <v>0</v>
      </c>
      <c r="W36" s="762">
        <v>0</v>
      </c>
      <c r="X36" s="762">
        <v>0</v>
      </c>
      <c r="Y36" s="256"/>
      <c r="Z36" s="750">
        <f>Q36+S36+T36+U36+V36+W36+X36</f>
        <v>163233.81184248312</v>
      </c>
      <c r="AA36" s="811">
        <f>Z36/G36*1000</f>
        <v>78.640633196953075</v>
      </c>
      <c r="AB36" s="753">
        <f>Z36-J36</f>
        <v>4286.0543298282428</v>
      </c>
      <c r="AC36" s="770">
        <f>AA36/I36-1</f>
        <v>2.696517646363783E-2</v>
      </c>
      <c r="AD36" s="769"/>
      <c r="AF36" s="763"/>
      <c r="AI36" s="763"/>
      <c r="AK36" s="763"/>
      <c r="AM36" s="777"/>
    </row>
    <row r="37" spans="1:39">
      <c r="A37" s="4"/>
      <c r="B37" s="256"/>
      <c r="C37" s="512" t="s">
        <v>705</v>
      </c>
      <c r="D37" s="256"/>
      <c r="E37" s="930"/>
      <c r="F37" s="256"/>
      <c r="G37" s="828"/>
      <c r="H37" s="256"/>
      <c r="I37" s="932"/>
      <c r="J37" s="753"/>
      <c r="K37" s="256"/>
      <c r="L37" s="762"/>
      <c r="M37" s="762"/>
      <c r="N37" s="762"/>
      <c r="O37" s="762"/>
      <c r="P37" s="762"/>
      <c r="Q37" s="753"/>
      <c r="R37" s="256"/>
      <c r="S37" s="256"/>
      <c r="T37" s="753"/>
      <c r="U37" s="762"/>
      <c r="V37" s="762"/>
      <c r="W37" s="762"/>
      <c r="X37" s="762"/>
      <c r="Y37" s="256"/>
      <c r="Z37" s="750"/>
      <c r="AA37" s="811"/>
      <c r="AB37" s="753"/>
      <c r="AC37" s="770"/>
      <c r="AD37" s="769"/>
      <c r="AF37" s="763"/>
      <c r="AK37" s="763"/>
    </row>
    <row r="38" spans="1:39">
      <c r="A38" s="4">
        <v>15</v>
      </c>
      <c r="B38" s="256"/>
      <c r="C38" s="9" t="s">
        <v>717</v>
      </c>
      <c r="D38" s="256"/>
      <c r="E38" s="929" t="s">
        <v>674</v>
      </c>
      <c r="F38" s="256"/>
      <c r="G38" s="828">
        <v>581366.01608913206</v>
      </c>
      <c r="H38" s="256"/>
      <c r="I38" s="861">
        <v>10.02372105089005</v>
      </c>
      <c r="J38" s="828">
        <f t="shared" ref="J38:J43" si="7">G38*I38/100</f>
        <v>58274.507737447166</v>
      </c>
      <c r="K38" s="256"/>
      <c r="L38" s="828">
        <v>2833.9180250907939</v>
      </c>
      <c r="M38" s="762">
        <v>0</v>
      </c>
      <c r="N38" s="828">
        <v>61.492780558158977</v>
      </c>
      <c r="O38" s="828">
        <v>1491.6446912700828</v>
      </c>
      <c r="P38" s="828">
        <v>591.47125002692655</v>
      </c>
      <c r="Q38" s="753">
        <f t="shared" ref="Q38:Q43" si="8">J38-L38-M38-N38-O38-P38</f>
        <v>53295.980990501201</v>
      </c>
      <c r="R38" s="256"/>
      <c r="S38" s="828">
        <v>1341.474576712506</v>
      </c>
      <c r="T38" s="828">
        <v>3808.985339477259</v>
      </c>
      <c r="U38" s="762">
        <v>0</v>
      </c>
      <c r="V38" s="828">
        <v>51.42506181622128</v>
      </c>
      <c r="W38" s="828">
        <v>1634.7244739925482</v>
      </c>
      <c r="X38" s="828">
        <v>528.27594904879106</v>
      </c>
      <c r="Y38" s="256"/>
      <c r="Z38" s="750">
        <f t="shared" ref="Z38:Z43" si="9">Q38+S38+T38+U38+V38+W38+X38</f>
        <v>60660.866391548516</v>
      </c>
      <c r="AA38" s="792">
        <f t="shared" ref="AA38:AA44" si="10">Z38/G38*100</f>
        <v>10.434195448783903</v>
      </c>
      <c r="AB38" s="753">
        <f t="shared" ref="AB38:AB43" si="11">Z38-J38</f>
        <v>2386.3586541013501</v>
      </c>
      <c r="AC38" s="770"/>
      <c r="AD38" s="769"/>
      <c r="AF38" s="763"/>
      <c r="AI38" s="763"/>
      <c r="AK38" s="763"/>
      <c r="AM38" s="776"/>
    </row>
    <row r="39" spans="1:39">
      <c r="A39" s="4">
        <v>16</v>
      </c>
      <c r="B39" s="256"/>
      <c r="C39" s="9" t="s">
        <v>718</v>
      </c>
      <c r="D39" s="256"/>
      <c r="E39" s="929" t="s">
        <v>674</v>
      </c>
      <c r="F39" s="256"/>
      <c r="G39" s="828">
        <v>654833.14152139914</v>
      </c>
      <c r="H39" s="256"/>
      <c r="I39" s="861">
        <v>7.6575306126998592</v>
      </c>
      <c r="J39" s="828">
        <f t="shared" si="7"/>
        <v>50144.048274105327</v>
      </c>
      <c r="K39" s="256"/>
      <c r="L39" s="828">
        <v>3192.0397681102345</v>
      </c>
      <c r="M39" s="762">
        <v>0</v>
      </c>
      <c r="N39" s="828">
        <v>69.263612869335049</v>
      </c>
      <c r="O39" s="828">
        <v>1680.1435794079014</v>
      </c>
      <c r="P39" s="828">
        <v>666.21537216812499</v>
      </c>
      <c r="Q39" s="753">
        <f t="shared" si="8"/>
        <v>44536.385941549735</v>
      </c>
      <c r="R39" s="256"/>
      <c r="S39" s="828">
        <v>1098.474026724165</v>
      </c>
      <c r="T39" s="828">
        <v>4290.3261746149965</v>
      </c>
      <c r="U39" s="762">
        <v>0</v>
      </c>
      <c r="V39" s="828">
        <v>57.923638207441201</v>
      </c>
      <c r="W39" s="828">
        <v>1841.3043301491118</v>
      </c>
      <c r="X39" s="828">
        <v>595.03409166039353</v>
      </c>
      <c r="Y39" s="256"/>
      <c r="Z39" s="750">
        <f t="shared" si="9"/>
        <v>52419.448202905842</v>
      </c>
      <c r="AA39" s="792">
        <f t="shared" si="10"/>
        <v>8.0050084333113798</v>
      </c>
      <c r="AB39" s="753">
        <f t="shared" si="11"/>
        <v>2275.3999288005143</v>
      </c>
      <c r="AC39" s="770"/>
      <c r="AD39" s="769"/>
      <c r="AF39" s="763"/>
      <c r="AI39" s="763"/>
      <c r="AK39" s="763"/>
      <c r="AM39" s="776"/>
    </row>
    <row r="40" spans="1:39">
      <c r="A40" s="4">
        <v>17</v>
      </c>
      <c r="C40" s="9" t="s">
        <v>719</v>
      </c>
      <c r="E40" s="929" t="s">
        <v>674</v>
      </c>
      <c r="G40" s="828">
        <v>1156632.1092895225</v>
      </c>
      <c r="H40" s="256"/>
      <c r="I40" s="861">
        <v>6.0005324475411648</v>
      </c>
      <c r="J40" s="828">
        <f t="shared" si="7"/>
        <v>69404.085016597586</v>
      </c>
      <c r="K40" s="256"/>
      <c r="L40" s="828">
        <v>5638.1014579493876</v>
      </c>
      <c r="M40" s="762">
        <v>0</v>
      </c>
      <c r="N40" s="828">
        <v>122.34035446639645</v>
      </c>
      <c r="O40" s="828">
        <v>2967.6384546525037</v>
      </c>
      <c r="P40" s="828">
        <v>1176.7365490415418</v>
      </c>
      <c r="Q40" s="753">
        <f t="shared" si="8"/>
        <v>59499.268200487764</v>
      </c>
      <c r="R40" s="256"/>
      <c r="S40" s="828">
        <v>1429.9840307521881</v>
      </c>
      <c r="T40" s="828">
        <v>7578.0052936169677</v>
      </c>
      <c r="U40" s="762">
        <v>0</v>
      </c>
      <c r="V40" s="828">
        <v>102.31055148177246</v>
      </c>
      <c r="W40" s="828">
        <v>3252.2967702524297</v>
      </c>
      <c r="X40" s="828">
        <v>1051.0090172548871</v>
      </c>
      <c r="Y40" s="256"/>
      <c r="Z40" s="750">
        <f t="shared" si="9"/>
        <v>72912.873863846005</v>
      </c>
      <c r="AA40" s="792">
        <f t="shared" si="10"/>
        <v>6.3038950136559633</v>
      </c>
      <c r="AB40" s="753">
        <f t="shared" si="11"/>
        <v>3508.7888472484192</v>
      </c>
      <c r="AC40" s="770"/>
      <c r="AD40" s="769"/>
      <c r="AF40" s="763"/>
      <c r="AI40" s="763"/>
      <c r="AK40" s="763"/>
      <c r="AM40" s="776"/>
    </row>
    <row r="41" spans="1:39">
      <c r="A41" s="4">
        <v>18</v>
      </c>
      <c r="C41" s="9" t="s">
        <v>720</v>
      </c>
      <c r="E41" s="929" t="s">
        <v>674</v>
      </c>
      <c r="G41" s="828">
        <v>751680.94105884049</v>
      </c>
      <c r="H41" s="256"/>
      <c r="I41" s="861">
        <v>4.9359527096542184</v>
      </c>
      <c r="J41" s="828">
        <f t="shared" si="7"/>
        <v>37102.615778148167</v>
      </c>
      <c r="K41" s="256"/>
      <c r="L41" s="828">
        <v>3664.1325929468626</v>
      </c>
      <c r="M41" s="762">
        <v>0</v>
      </c>
      <c r="N41" s="828">
        <v>79.507487329969834</v>
      </c>
      <c r="O41" s="828">
        <v>1928.6316265989249</v>
      </c>
      <c r="P41" s="828">
        <v>764.7465684704307</v>
      </c>
      <c r="Q41" s="753">
        <f t="shared" si="8"/>
        <v>30665.597502801978</v>
      </c>
      <c r="R41" s="256"/>
      <c r="S41" s="828">
        <v>716.28031969422591</v>
      </c>
      <c r="T41" s="828">
        <v>4924.8521675175298</v>
      </c>
      <c r="U41" s="762">
        <v>0</v>
      </c>
      <c r="V41" s="828">
        <v>66.490365432883905</v>
      </c>
      <c r="W41" s="828">
        <v>2113.627554718033</v>
      </c>
      <c r="X41" s="828">
        <v>683.03779638001208</v>
      </c>
      <c r="Y41" s="256"/>
      <c r="Z41" s="750">
        <f t="shared" si="9"/>
        <v>39169.885706544665</v>
      </c>
      <c r="AA41" s="792">
        <f t="shared" si="10"/>
        <v>5.2109723111202984</v>
      </c>
      <c r="AB41" s="753">
        <f t="shared" si="11"/>
        <v>2067.2699283964976</v>
      </c>
      <c r="AC41" s="770"/>
      <c r="AD41" s="769"/>
      <c r="AF41" s="763"/>
      <c r="AI41" s="763"/>
      <c r="AK41" s="763"/>
      <c r="AM41" s="776"/>
    </row>
    <row r="42" spans="1:39">
      <c r="A42" s="4">
        <v>19</v>
      </c>
      <c r="C42" s="9" t="s">
        <v>721</v>
      </c>
      <c r="E42" s="929" t="s">
        <v>674</v>
      </c>
      <c r="G42" s="828">
        <v>714347.32692564209</v>
      </c>
      <c r="H42" s="256"/>
      <c r="I42" s="861">
        <v>4.4628924854344909</v>
      </c>
      <c r="J42" s="828">
        <f t="shared" si="7"/>
        <v>31880.553173266635</v>
      </c>
      <c r="K42" s="256"/>
      <c r="L42" s="828">
        <v>3482.1467198379078</v>
      </c>
      <c r="M42" s="762">
        <v>0</v>
      </c>
      <c r="N42" s="828">
        <v>75.558601984418814</v>
      </c>
      <c r="O42" s="828">
        <v>1832.8425956157771</v>
      </c>
      <c r="P42" s="828">
        <v>726.76402596144385</v>
      </c>
      <c r="Q42" s="753">
        <f t="shared" si="8"/>
        <v>25763.241229867086</v>
      </c>
      <c r="R42" s="256"/>
      <c r="S42" s="828">
        <v>590.7360355658966</v>
      </c>
      <c r="T42" s="828">
        <v>4680.2503418730603</v>
      </c>
      <c r="U42" s="762">
        <v>0</v>
      </c>
      <c r="V42" s="828">
        <v>63.187999347680304</v>
      </c>
      <c r="W42" s="828">
        <v>2008.6503612854249</v>
      </c>
      <c r="X42" s="828">
        <v>649.11347006608275</v>
      </c>
      <c r="Y42" s="256"/>
      <c r="Z42" s="750">
        <f t="shared" si="9"/>
        <v>33755.179438005231</v>
      </c>
      <c r="AA42" s="792">
        <f t="shared" si="10"/>
        <v>4.7253175263185208</v>
      </c>
      <c r="AB42" s="753">
        <f t="shared" si="11"/>
        <v>1874.6262647385956</v>
      </c>
      <c r="AC42" s="770"/>
      <c r="AD42" s="769"/>
      <c r="AF42" s="763"/>
      <c r="AI42" s="763"/>
      <c r="AK42" s="763"/>
      <c r="AM42" s="776"/>
    </row>
    <row r="43" spans="1:39">
      <c r="A43" s="4">
        <v>20</v>
      </c>
      <c r="C43" s="9" t="s">
        <v>722</v>
      </c>
      <c r="E43" s="929" t="s">
        <v>674</v>
      </c>
      <c r="G43" s="828">
        <v>940380.33721585828</v>
      </c>
      <c r="H43" s="256"/>
      <c r="I43" s="861">
        <v>4.3440974799090117</v>
      </c>
      <c r="J43" s="828">
        <f t="shared" si="7"/>
        <v>40851.038530553968</v>
      </c>
      <c r="K43" s="256"/>
      <c r="L43" s="828">
        <v>4583.9638271329604</v>
      </c>
      <c r="M43" s="762">
        <v>0</v>
      </c>
      <c r="N43" s="828">
        <v>99.466773284451207</v>
      </c>
      <c r="O43" s="828">
        <v>2412.788671788735</v>
      </c>
      <c r="P43" s="828">
        <v>956.7259147609542</v>
      </c>
      <c r="Q43" s="753">
        <f t="shared" si="8"/>
        <v>32798.093343586865</v>
      </c>
      <c r="R43" s="256"/>
      <c r="S43" s="828">
        <v>747.91403963123594</v>
      </c>
      <c r="T43" s="828">
        <v>6161.1701043060748</v>
      </c>
      <c r="U43" s="762">
        <v>0</v>
      </c>
      <c r="V43" s="828">
        <v>83.181877911264692</v>
      </c>
      <c r="W43" s="828">
        <v>2644.2253409467326</v>
      </c>
      <c r="X43" s="828">
        <v>854.50525376661494</v>
      </c>
      <c r="Y43" s="256"/>
      <c r="Z43" s="750">
        <f t="shared" si="9"/>
        <v>43289.089960148784</v>
      </c>
      <c r="AA43" s="792">
        <f t="shared" si="10"/>
        <v>4.6033597521097525</v>
      </c>
      <c r="AB43" s="753">
        <f t="shared" si="11"/>
        <v>2438.051429594816</v>
      </c>
      <c r="AC43" s="770"/>
      <c r="AD43" s="769"/>
      <c r="AF43" s="763"/>
      <c r="AI43" s="763"/>
      <c r="AK43" s="763"/>
      <c r="AM43" s="776"/>
    </row>
    <row r="44" spans="1:39">
      <c r="A44" s="4">
        <v>21</v>
      </c>
      <c r="B44" s="256"/>
      <c r="C44" s="512" t="s">
        <v>705</v>
      </c>
      <c r="D44" s="256"/>
      <c r="E44" s="930"/>
      <c r="F44" s="256"/>
      <c r="G44" s="852">
        <f>SUM(G38:G43)</f>
        <v>4799239.8721003952</v>
      </c>
      <c r="H44" s="256"/>
      <c r="I44" s="931">
        <f>J44/G44*100</f>
        <v>5.9938001886999945</v>
      </c>
      <c r="J44" s="842">
        <f>SUM(J38:J43)</f>
        <v>287656.84851011884</v>
      </c>
      <c r="K44" s="256"/>
      <c r="L44" s="830">
        <f t="shared" ref="L44:Q44" si="12">SUM(L38:L43)</f>
        <v>23394.302391068148</v>
      </c>
      <c r="M44" s="420">
        <f t="shared" si="12"/>
        <v>0</v>
      </c>
      <c r="N44" s="830">
        <f t="shared" si="12"/>
        <v>507.62961049273036</v>
      </c>
      <c r="O44" s="830">
        <f t="shared" si="12"/>
        <v>12313.689619333923</v>
      </c>
      <c r="P44" s="830">
        <f t="shared" si="12"/>
        <v>4882.6596804294222</v>
      </c>
      <c r="Q44" s="842">
        <f t="shared" si="12"/>
        <v>246558.56720879464</v>
      </c>
      <c r="R44" s="256"/>
      <c r="S44" s="830">
        <f t="shared" ref="S44:X44" si="13">SUM(S38:S43)</f>
        <v>5924.8630290802175</v>
      </c>
      <c r="T44" s="830">
        <f t="shared" si="13"/>
        <v>31443.589421405886</v>
      </c>
      <c r="U44" s="420">
        <f t="shared" si="13"/>
        <v>0</v>
      </c>
      <c r="V44" s="830">
        <f t="shared" si="13"/>
        <v>424.51949419726384</v>
      </c>
      <c r="W44" s="830">
        <f t="shared" si="13"/>
        <v>13494.828831344281</v>
      </c>
      <c r="X44" s="830">
        <f t="shared" si="13"/>
        <v>4360.9755781767817</v>
      </c>
      <c r="Y44" s="256"/>
      <c r="Z44" s="808">
        <f>SUM(Z38:Z43)</f>
        <v>302207.34356299904</v>
      </c>
      <c r="AA44" s="806">
        <f t="shared" si="10"/>
        <v>6.2969835144067829</v>
      </c>
      <c r="AB44" s="842">
        <f>SUM(AB38:AB43)</f>
        <v>14550.495052880193</v>
      </c>
      <c r="AC44" s="816">
        <f>AA44/I44-1</f>
        <v>5.0582821609298056E-2</v>
      </c>
      <c r="AD44" s="785"/>
      <c r="AF44" s="763"/>
      <c r="AI44" s="763"/>
      <c r="AK44" s="763"/>
      <c r="AM44" s="776"/>
    </row>
    <row r="45" spans="1:39">
      <c r="A45" s="4"/>
      <c r="B45" s="256"/>
      <c r="C45" s="7"/>
      <c r="D45" s="256"/>
      <c r="E45" s="930"/>
      <c r="F45" s="256"/>
      <c r="G45" s="828"/>
      <c r="H45" s="256"/>
      <c r="I45" s="753"/>
      <c r="J45" s="753"/>
      <c r="K45" s="256"/>
      <c r="L45" s="762"/>
      <c r="M45" s="762"/>
      <c r="N45" s="762"/>
      <c r="O45" s="762"/>
      <c r="P45" s="762"/>
      <c r="Q45" s="753"/>
      <c r="R45" s="256"/>
      <c r="S45" s="256"/>
      <c r="T45" s="753"/>
      <c r="U45" s="762"/>
      <c r="V45" s="762"/>
      <c r="W45" s="762"/>
      <c r="X45" s="762"/>
      <c r="Y45" s="256"/>
      <c r="Z45" s="256"/>
      <c r="AA45" s="256"/>
      <c r="AB45" s="504"/>
      <c r="AC45" s="770"/>
      <c r="AD45" s="769"/>
      <c r="AF45" s="763"/>
      <c r="AK45" s="763"/>
      <c r="AM45" s="776"/>
    </row>
    <row r="46" spans="1:39">
      <c r="A46" s="4">
        <v>22</v>
      </c>
      <c r="B46" s="256"/>
      <c r="C46" s="7" t="s">
        <v>710</v>
      </c>
      <c r="D46" s="256"/>
      <c r="E46" s="930"/>
      <c r="F46" s="256"/>
      <c r="G46" s="852">
        <f>G44</f>
        <v>4799239.8721003952</v>
      </c>
      <c r="H46" s="256"/>
      <c r="I46" s="931">
        <f>J46/G46*100</f>
        <v>9.3057362816773832</v>
      </c>
      <c r="J46" s="842">
        <f>J36+J44</f>
        <v>446604.60602277372</v>
      </c>
      <c r="K46" s="753"/>
      <c r="L46" s="842">
        <f t="shared" ref="L46:Q46" si="14">L36+L44</f>
        <v>23394.302391068148</v>
      </c>
      <c r="M46" s="805">
        <f t="shared" si="14"/>
        <v>0</v>
      </c>
      <c r="N46" s="842">
        <f t="shared" si="14"/>
        <v>507.62961049273036</v>
      </c>
      <c r="O46" s="842">
        <f t="shared" si="14"/>
        <v>12313.689619333923</v>
      </c>
      <c r="P46" s="842">
        <f t="shared" si="14"/>
        <v>4882.6596804294222</v>
      </c>
      <c r="Q46" s="842">
        <f t="shared" si="14"/>
        <v>405506.32472144952</v>
      </c>
      <c r="R46" s="753"/>
      <c r="S46" s="842">
        <f t="shared" ref="S46:X46" si="15">S36+S44</f>
        <v>10210.91735890846</v>
      </c>
      <c r="T46" s="842">
        <f t="shared" si="15"/>
        <v>31443.589421405886</v>
      </c>
      <c r="U46" s="805">
        <f t="shared" si="15"/>
        <v>0</v>
      </c>
      <c r="V46" s="842">
        <f t="shared" si="15"/>
        <v>424.51949419726384</v>
      </c>
      <c r="W46" s="842">
        <f t="shared" si="15"/>
        <v>13494.828831344281</v>
      </c>
      <c r="X46" s="842">
        <f t="shared" si="15"/>
        <v>4360.9755781767817</v>
      </c>
      <c r="Y46" s="753"/>
      <c r="Z46" s="842">
        <f>Z36+Z38+Z39+Z40+Z41+Z42+Z43</f>
        <v>465441.15540548216</v>
      </c>
      <c r="AA46" s="806">
        <f>Z46/G46*100</f>
        <v>9.6982265485675985</v>
      </c>
      <c r="AB46" s="842">
        <f>AB36+AB44</f>
        <v>18836.549382708436</v>
      </c>
      <c r="AC46" s="804">
        <f>AA46/I46-1</f>
        <v>4.2177239394051158E-2</v>
      </c>
      <c r="AD46" s="769"/>
      <c r="AF46" s="763"/>
      <c r="AK46" s="763"/>
      <c r="AM46" s="776"/>
    </row>
    <row r="47" spans="1:39">
      <c r="A47" s="4"/>
      <c r="B47" s="256"/>
      <c r="D47" s="256"/>
      <c r="E47" s="930"/>
      <c r="F47" s="256"/>
      <c r="G47" s="828"/>
      <c r="I47" s="753"/>
      <c r="J47" s="753"/>
      <c r="L47" s="762"/>
      <c r="M47" s="762"/>
      <c r="N47" s="762"/>
      <c r="O47" s="762"/>
      <c r="P47" s="762"/>
      <c r="Q47" s="762"/>
      <c r="R47" s="68"/>
      <c r="S47" s="68"/>
      <c r="T47" s="762"/>
      <c r="U47" s="762"/>
      <c r="V47" s="762"/>
      <c r="W47" s="762"/>
      <c r="X47" s="762"/>
      <c r="Y47" s="68"/>
      <c r="Z47" s="68"/>
      <c r="AA47" s="68"/>
      <c r="AB47" s="762"/>
      <c r="AC47" s="770"/>
      <c r="AD47" s="769"/>
      <c r="AF47" s="763"/>
      <c r="AI47" s="763"/>
      <c r="AK47" s="763"/>
      <c r="AM47" s="776"/>
    </row>
    <row r="48" spans="1:39">
      <c r="A48" s="4">
        <v>23</v>
      </c>
      <c r="B48" s="256"/>
      <c r="C48" s="9" t="s">
        <v>711</v>
      </c>
      <c r="D48" s="256"/>
      <c r="E48" s="929" t="s">
        <v>674</v>
      </c>
      <c r="F48" s="256"/>
      <c r="G48" s="828">
        <v>4799239.8721003952</v>
      </c>
      <c r="H48" s="256"/>
      <c r="I48" s="861">
        <v>1.206161316244416</v>
      </c>
      <c r="J48" s="828">
        <f>G48*I48/100</f>
        <v>57886.574811052953</v>
      </c>
      <c r="K48" s="256"/>
      <c r="L48" s="762">
        <v>0</v>
      </c>
      <c r="M48" s="828">
        <v>14219.390273088122</v>
      </c>
      <c r="N48" s="762">
        <v>0</v>
      </c>
      <c r="O48" s="762">
        <v>0</v>
      </c>
      <c r="P48" s="762">
        <v>0</v>
      </c>
      <c r="Q48" s="753">
        <f>J48-L48-M48-N48-O48-P48</f>
        <v>43667.184537964829</v>
      </c>
      <c r="R48" s="771"/>
      <c r="S48" s="828">
        <v>449.82008783590209</v>
      </c>
      <c r="T48" s="762">
        <v>0</v>
      </c>
      <c r="U48" s="828">
        <v>14170.169723336643</v>
      </c>
      <c r="V48" s="762">
        <v>0</v>
      </c>
      <c r="W48" s="762">
        <v>0</v>
      </c>
      <c r="X48" s="762">
        <v>0</v>
      </c>
      <c r="Y48" s="771"/>
      <c r="Z48" s="750">
        <f>Q48+S48+T48+U48+V48+W48+X48</f>
        <v>58287.174349137378</v>
      </c>
      <c r="AA48" s="792">
        <f>Z48/G48*100</f>
        <v>1.2145084618083051</v>
      </c>
      <c r="AB48" s="753">
        <f>Z48-J48</f>
        <v>400.59953808442515</v>
      </c>
      <c r="AC48" s="785">
        <f>AA48/I48-1</f>
        <v>6.9204222117480452E-3</v>
      </c>
      <c r="AD48" s="785"/>
      <c r="AF48" s="763"/>
      <c r="AI48" s="763"/>
      <c r="AK48" s="763"/>
      <c r="AM48" s="776"/>
    </row>
    <row r="49" spans="1:39">
      <c r="A49" s="4"/>
      <c r="B49" s="256"/>
      <c r="C49" s="9"/>
      <c r="D49" s="256"/>
      <c r="E49" s="929"/>
      <c r="F49" s="256"/>
      <c r="G49" s="828"/>
      <c r="H49" s="256"/>
      <c r="I49" s="861"/>
      <c r="J49" s="828"/>
      <c r="K49" s="256"/>
      <c r="L49" s="762"/>
      <c r="M49" s="828"/>
      <c r="N49" s="762"/>
      <c r="O49" s="762"/>
      <c r="P49" s="762"/>
      <c r="Q49" s="762"/>
      <c r="R49" s="771"/>
      <c r="S49" s="828"/>
      <c r="T49" s="762"/>
      <c r="U49" s="828"/>
      <c r="V49" s="762"/>
      <c r="W49" s="762"/>
      <c r="X49" s="762"/>
      <c r="Y49" s="771"/>
      <c r="Z49" s="771"/>
      <c r="AA49" s="821"/>
      <c r="AB49" s="762"/>
      <c r="AC49" s="785"/>
      <c r="AD49" s="785"/>
      <c r="AF49" s="763"/>
      <c r="AI49" s="763"/>
      <c r="AK49" s="763"/>
      <c r="AM49" s="776"/>
    </row>
    <row r="50" spans="1:39">
      <c r="A50" s="4"/>
      <c r="B50" s="256"/>
      <c r="C50" s="7" t="s">
        <v>712</v>
      </c>
      <c r="D50" s="256"/>
      <c r="E50" s="929"/>
      <c r="F50" s="256"/>
      <c r="G50" s="828"/>
      <c r="H50" s="256"/>
      <c r="I50" s="861"/>
      <c r="J50" s="828"/>
      <c r="K50" s="256"/>
      <c r="L50" s="762"/>
      <c r="M50" s="828"/>
      <c r="N50" s="762"/>
      <c r="O50" s="762"/>
      <c r="P50" s="762"/>
      <c r="Q50" s="762"/>
      <c r="R50" s="771"/>
      <c r="S50" s="828"/>
      <c r="T50" s="762"/>
      <c r="U50" s="828"/>
      <c r="V50" s="762"/>
      <c r="W50" s="762"/>
      <c r="X50" s="762"/>
      <c r="Y50" s="771"/>
      <c r="Z50" s="771"/>
      <c r="AA50" s="821"/>
      <c r="AB50" s="762"/>
      <c r="AC50" s="785"/>
      <c r="AD50" s="785"/>
      <c r="AF50" s="763"/>
      <c r="AI50" s="763"/>
      <c r="AK50" s="763"/>
      <c r="AM50" s="776"/>
    </row>
    <row r="51" spans="1:39">
      <c r="A51" s="4">
        <v>24</v>
      </c>
      <c r="C51" s="9" t="s">
        <v>713</v>
      </c>
      <c r="E51" s="929" t="s">
        <v>674</v>
      </c>
      <c r="G51" s="828">
        <v>3151717.8705886342</v>
      </c>
      <c r="H51" s="256"/>
      <c r="I51" s="861">
        <v>3.9267443846006143</v>
      </c>
      <c r="J51" s="828">
        <f>G51*I51/100</f>
        <v>123759.90450179325</v>
      </c>
      <c r="K51" s="256"/>
      <c r="L51" s="762">
        <v>0</v>
      </c>
      <c r="M51" s="762">
        <v>0</v>
      </c>
      <c r="N51" s="762">
        <v>0</v>
      </c>
      <c r="O51" s="762">
        <v>0</v>
      </c>
      <c r="P51" s="762">
        <v>0</v>
      </c>
      <c r="Q51" s="753">
        <f>J51-L51-M51-N51-O51-P51</f>
        <v>123759.90450179325</v>
      </c>
      <c r="R51" s="771"/>
      <c r="S51" s="828">
        <v>63.950631361965407</v>
      </c>
      <c r="T51" s="762">
        <v>0</v>
      </c>
      <c r="U51" s="762">
        <v>0</v>
      </c>
      <c r="V51" s="762">
        <v>0</v>
      </c>
      <c r="W51" s="762">
        <v>0</v>
      </c>
      <c r="X51" s="762">
        <v>0</v>
      </c>
      <c r="Y51" s="771"/>
      <c r="Z51" s="750">
        <f>Q51+S51+T51+U51+V51+W51+X51</f>
        <v>123823.85513315522</v>
      </c>
      <c r="AA51" s="792">
        <f>Z51/G51*100</f>
        <v>3.9287734568078299</v>
      </c>
      <c r="AB51" s="753">
        <f>Z51-J51</f>
        <v>63.950631361964042</v>
      </c>
      <c r="AC51" s="770"/>
      <c r="AD51" s="769"/>
      <c r="AF51" s="763"/>
      <c r="AI51" s="763"/>
      <c r="AK51" s="763"/>
      <c r="AM51" s="776"/>
    </row>
    <row r="52" spans="1:39">
      <c r="A52" s="4">
        <v>25</v>
      </c>
      <c r="B52" s="256"/>
      <c r="C52" s="9" t="s">
        <v>714</v>
      </c>
      <c r="D52" s="256"/>
      <c r="E52" s="929" t="s">
        <v>674</v>
      </c>
      <c r="F52" s="256"/>
      <c r="G52" s="828">
        <v>1595783.9460776143</v>
      </c>
      <c r="H52" s="256"/>
      <c r="I52" s="861">
        <v>0.96972040643947122</v>
      </c>
      <c r="J52" s="828">
        <f>G52*I52/100</f>
        <v>15474.642567799674</v>
      </c>
      <c r="K52" s="256"/>
      <c r="L52" s="762">
        <v>0</v>
      </c>
      <c r="M52" s="762">
        <v>0</v>
      </c>
      <c r="N52" s="762">
        <v>0</v>
      </c>
      <c r="O52" s="762">
        <v>0</v>
      </c>
      <c r="P52" s="762">
        <v>0</v>
      </c>
      <c r="Q52" s="753">
        <f>J52-L52-M52-N52-O52-P52</f>
        <v>15474.642567799674</v>
      </c>
      <c r="R52" s="771"/>
      <c r="S52" s="828">
        <v>257.23543107876685</v>
      </c>
      <c r="T52" s="762">
        <v>0</v>
      </c>
      <c r="U52" s="762">
        <v>0</v>
      </c>
      <c r="V52" s="762">
        <v>0</v>
      </c>
      <c r="W52" s="762">
        <v>0</v>
      </c>
      <c r="X52" s="762">
        <v>0</v>
      </c>
      <c r="Y52" s="771"/>
      <c r="Z52" s="750">
        <f>Q52+S52+T52+U52+V52+W52+X52</f>
        <v>15731.877998878441</v>
      </c>
      <c r="AA52" s="792">
        <f>Z52/G52*100</f>
        <v>0.9858400968092762</v>
      </c>
      <c r="AB52" s="753">
        <f>Z52-J52</f>
        <v>257.23543107876685</v>
      </c>
      <c r="AC52" s="770"/>
      <c r="AD52" s="769"/>
      <c r="AF52" s="763"/>
      <c r="AI52" s="763"/>
      <c r="AK52" s="763"/>
      <c r="AM52" s="776"/>
    </row>
    <row r="53" spans="1:39">
      <c r="A53" s="4">
        <v>26</v>
      </c>
      <c r="B53" s="256"/>
      <c r="C53" s="7" t="s">
        <v>712</v>
      </c>
      <c r="D53" s="256"/>
      <c r="E53" s="929"/>
      <c r="F53" s="256"/>
      <c r="G53" s="830">
        <f>SUM(G51:G52)</f>
        <v>4747501.8166662483</v>
      </c>
      <c r="H53" s="256"/>
      <c r="I53" s="891">
        <f>J53/G53*100</f>
        <v>2.9327960777351545</v>
      </c>
      <c r="J53" s="830">
        <f>SUM(J51:J52)</f>
        <v>139234.54706959293</v>
      </c>
      <c r="K53" s="256"/>
      <c r="L53" s="805">
        <f t="shared" ref="L53:Q53" si="16">SUM(L51:L52)</f>
        <v>0</v>
      </c>
      <c r="M53" s="805">
        <f t="shared" si="16"/>
        <v>0</v>
      </c>
      <c r="N53" s="805">
        <f t="shared" si="16"/>
        <v>0</v>
      </c>
      <c r="O53" s="805">
        <f t="shared" si="16"/>
        <v>0</v>
      </c>
      <c r="P53" s="805">
        <f t="shared" si="16"/>
        <v>0</v>
      </c>
      <c r="Q53" s="842">
        <f t="shared" si="16"/>
        <v>139234.54706959293</v>
      </c>
      <c r="R53" s="771"/>
      <c r="S53" s="830">
        <f t="shared" ref="S53:X53" si="17">SUM(S51:S52)</f>
        <v>321.18606244073226</v>
      </c>
      <c r="T53" s="420">
        <f t="shared" si="17"/>
        <v>0</v>
      </c>
      <c r="U53" s="420">
        <f t="shared" si="17"/>
        <v>0</v>
      </c>
      <c r="V53" s="420">
        <f t="shared" si="17"/>
        <v>0</v>
      </c>
      <c r="W53" s="420">
        <f t="shared" si="17"/>
        <v>0</v>
      </c>
      <c r="X53" s="420">
        <f t="shared" si="17"/>
        <v>0</v>
      </c>
      <c r="Y53" s="828"/>
      <c r="Z53" s="808">
        <f>SUM(Z51:Z52)</f>
        <v>139555.73313203367</v>
      </c>
      <c r="AA53" s="806">
        <f>Z53/G53*100</f>
        <v>2.9395614477095946</v>
      </c>
      <c r="AB53" s="842">
        <f>AB51+AB52</f>
        <v>321.18606244073089</v>
      </c>
      <c r="AC53" s="804">
        <f>AA53/I53-1</f>
        <v>2.3067986300857601E-3</v>
      </c>
      <c r="AD53" s="769"/>
      <c r="AF53" s="763"/>
      <c r="AI53" s="763"/>
      <c r="AK53" s="763"/>
      <c r="AM53" s="776"/>
    </row>
    <row r="54" spans="1:39">
      <c r="A54" s="4"/>
      <c r="B54" s="256"/>
      <c r="D54" s="256"/>
      <c r="E54" s="752"/>
      <c r="F54" s="256"/>
      <c r="G54" s="744"/>
      <c r="I54" s="753"/>
      <c r="J54" s="828"/>
      <c r="L54" s="762"/>
      <c r="M54" s="35"/>
      <c r="N54" s="762"/>
      <c r="O54" s="762"/>
      <c r="P54" s="762"/>
      <c r="Q54" s="827"/>
      <c r="R54" s="68"/>
      <c r="S54" s="828"/>
      <c r="T54" s="762"/>
      <c r="U54" s="762"/>
      <c r="V54" s="762"/>
      <c r="W54" s="762"/>
      <c r="X54" s="762"/>
      <c r="Y54" s="68"/>
      <c r="Z54" s="771"/>
      <c r="AA54" s="821"/>
      <c r="AB54" s="762"/>
      <c r="AC54" s="770"/>
      <c r="AD54" s="769"/>
      <c r="AF54" s="763"/>
      <c r="AI54" s="763"/>
      <c r="AK54" s="763"/>
      <c r="AM54" s="776"/>
    </row>
    <row r="55" spans="1:39">
      <c r="A55" s="4">
        <v>27</v>
      </c>
      <c r="B55" s="256"/>
      <c r="C55" s="7" t="s">
        <v>715</v>
      </c>
      <c r="D55" s="256"/>
      <c r="E55" s="929" t="s">
        <v>674</v>
      </c>
      <c r="F55" s="256"/>
      <c r="G55" s="828">
        <v>2974410.3609594423</v>
      </c>
      <c r="H55" s="256"/>
      <c r="I55" s="861">
        <v>18.400798940142568</v>
      </c>
      <c r="J55" s="828">
        <f>G55*I55/100</f>
        <v>547315.27017491579</v>
      </c>
      <c r="K55" s="256"/>
      <c r="L55" s="762">
        <v>0</v>
      </c>
      <c r="M55" s="762">
        <v>0</v>
      </c>
      <c r="N55" s="762">
        <v>0</v>
      </c>
      <c r="O55" s="762">
        <v>0</v>
      </c>
      <c r="P55" s="762">
        <v>0</v>
      </c>
      <c r="Q55" s="753">
        <f>J55-L55-M55-N55-O55-P55</f>
        <v>547315.27017491579</v>
      </c>
      <c r="R55" s="771"/>
      <c r="S55" s="828">
        <v>86.834566132615691</v>
      </c>
      <c r="T55" s="762">
        <v>0</v>
      </c>
      <c r="U55" s="762">
        <v>0</v>
      </c>
      <c r="V55" s="762">
        <v>0</v>
      </c>
      <c r="W55" s="762">
        <v>0</v>
      </c>
      <c r="X55" s="762">
        <v>0</v>
      </c>
      <c r="Y55" s="771"/>
      <c r="Z55" s="750">
        <f>Q55+S55+T55+U55+V55+W55+X55</f>
        <v>547402.10474104842</v>
      </c>
      <c r="AA55" s="792">
        <f>Z55/G55*100</f>
        <v>18.403718327704969</v>
      </c>
      <c r="AB55" s="753">
        <f>Z55-J55</f>
        <v>86.834566132631153</v>
      </c>
      <c r="AC55" s="770">
        <f>AA55/I55-1</f>
        <v>1.5865547859617024E-4</v>
      </c>
      <c r="AD55" s="769"/>
      <c r="AF55" s="763"/>
      <c r="AI55" s="763"/>
      <c r="AK55" s="763"/>
      <c r="AM55" s="776"/>
    </row>
    <row r="56" spans="1:39">
      <c r="A56" s="4"/>
      <c r="B56" s="256"/>
      <c r="C56" s="7"/>
      <c r="D56" s="256"/>
      <c r="E56" s="930"/>
      <c r="F56" s="256"/>
      <c r="G56" s="828"/>
      <c r="H56" s="256"/>
      <c r="I56" s="753"/>
      <c r="J56" s="753"/>
      <c r="K56" s="256"/>
      <c r="L56" s="762"/>
      <c r="M56" s="762"/>
      <c r="N56" s="762"/>
      <c r="O56" s="762"/>
      <c r="P56" s="762"/>
      <c r="Q56" s="762"/>
      <c r="R56" s="771"/>
      <c r="S56" s="771"/>
      <c r="T56" s="762"/>
      <c r="U56" s="762"/>
      <c r="V56" s="762"/>
      <c r="W56" s="762"/>
      <c r="X56" s="762"/>
      <c r="Y56" s="771"/>
      <c r="Z56" s="771"/>
      <c r="AA56" s="792"/>
      <c r="AB56" s="753"/>
      <c r="AC56" s="770"/>
      <c r="AD56" s="769"/>
      <c r="AF56" s="763"/>
      <c r="AI56" s="763"/>
      <c r="AK56" s="763"/>
      <c r="AM56" s="776"/>
    </row>
    <row r="57" spans="1:39" ht="13.5" thickBot="1">
      <c r="A57" s="4">
        <v>28</v>
      </c>
      <c r="B57" s="256"/>
      <c r="C57" s="7" t="s">
        <v>723</v>
      </c>
      <c r="D57" s="256"/>
      <c r="E57" s="742"/>
      <c r="F57" s="256"/>
      <c r="G57" s="819">
        <f>G44</f>
        <v>4799239.8721003952</v>
      </c>
      <c r="H57" s="256"/>
      <c r="I57" s="919">
        <f>J57/G57*100</f>
        <v>24.817284191237444</v>
      </c>
      <c r="J57" s="839">
        <f>J46+J48+J53+J55</f>
        <v>1191040.9980783355</v>
      </c>
      <c r="K57" s="753"/>
      <c r="L57" s="839">
        <f t="shared" ref="L57:Q57" si="18">L46+L48+L53+L55</f>
        <v>23394.302391068148</v>
      </c>
      <c r="M57" s="839">
        <f t="shared" si="18"/>
        <v>14219.390273088122</v>
      </c>
      <c r="N57" s="839">
        <f t="shared" si="18"/>
        <v>507.62961049273036</v>
      </c>
      <c r="O57" s="839">
        <f t="shared" si="18"/>
        <v>12313.689619333923</v>
      </c>
      <c r="P57" s="839">
        <f t="shared" si="18"/>
        <v>4882.6596804294222</v>
      </c>
      <c r="Q57" s="839">
        <f t="shared" si="18"/>
        <v>1135723.3265039232</v>
      </c>
      <c r="R57" s="753"/>
      <c r="S57" s="839">
        <f t="shared" ref="S57:X57" si="19">S46+S48+S53+S55</f>
        <v>11068.75807531771</v>
      </c>
      <c r="T57" s="839">
        <f t="shared" si="19"/>
        <v>31443.589421405886</v>
      </c>
      <c r="U57" s="839">
        <f t="shared" si="19"/>
        <v>14170.169723336643</v>
      </c>
      <c r="V57" s="839">
        <f t="shared" si="19"/>
        <v>424.51949419726384</v>
      </c>
      <c r="W57" s="839">
        <f t="shared" si="19"/>
        <v>13494.828831344281</v>
      </c>
      <c r="X57" s="839">
        <f t="shared" si="19"/>
        <v>4360.9755781767817</v>
      </c>
      <c r="Y57" s="753"/>
      <c r="Z57" s="839">
        <f>Z46+Z48+Z53+Z55</f>
        <v>1210686.1676277015</v>
      </c>
      <c r="AA57" s="803">
        <f>Z57/G57*100</f>
        <v>25.226623379794578</v>
      </c>
      <c r="AB57" s="839">
        <f>AB46+AB48+AB53+AB55</f>
        <v>19645.169549366223</v>
      </c>
      <c r="AC57" s="798">
        <f>AA57/I57-1</f>
        <v>1.6494116979232754E-2</v>
      </c>
      <c r="AD57" s="769"/>
      <c r="AF57" s="763"/>
      <c r="AI57" s="763"/>
      <c r="AK57" s="763"/>
      <c r="AM57" s="776"/>
    </row>
    <row r="58" spans="1:39" ht="13.5" thickTop="1">
      <c r="L58" s="2"/>
      <c r="M58" s="2"/>
      <c r="N58" s="2"/>
      <c r="O58" s="2"/>
      <c r="P58" s="504"/>
      <c r="Q58" s="504"/>
      <c r="T58" s="504"/>
      <c r="U58" s="504"/>
      <c r="V58" s="504"/>
      <c r="W58" s="504"/>
      <c r="X58" s="504"/>
      <c r="AB58" s="504"/>
      <c r="AC58" s="504"/>
    </row>
    <row r="59" spans="1:39">
      <c r="L59" s="2"/>
      <c r="M59" s="2"/>
      <c r="N59" s="2"/>
      <c r="O59" s="2"/>
      <c r="P59" s="504"/>
      <c r="Q59" s="504"/>
      <c r="T59" s="504"/>
      <c r="U59" s="504"/>
      <c r="V59" s="504"/>
      <c r="W59" s="504"/>
      <c r="X59" s="504"/>
      <c r="AB59" s="504"/>
      <c r="AC59" s="504"/>
    </row>
    <row r="60" spans="1:39">
      <c r="L60" s="2"/>
      <c r="M60" s="2"/>
      <c r="N60" s="2"/>
      <c r="O60" s="2"/>
      <c r="P60" s="504"/>
      <c r="Q60" s="504"/>
      <c r="T60" s="504"/>
      <c r="U60" s="504"/>
      <c r="V60" s="504"/>
      <c r="W60" s="504"/>
      <c r="X60" s="504"/>
      <c r="Z60" s="752"/>
      <c r="AB60" s="504"/>
      <c r="AC60" s="504"/>
    </row>
    <row r="61" spans="1:39">
      <c r="L61" s="2"/>
      <c r="M61" s="2"/>
      <c r="N61" s="2"/>
      <c r="O61" s="2"/>
      <c r="P61" s="504"/>
      <c r="Q61" s="504"/>
      <c r="T61" s="504"/>
      <c r="U61" s="504"/>
      <c r="V61" s="504"/>
      <c r="W61" s="504"/>
      <c r="X61" s="504"/>
      <c r="AB61" s="504"/>
      <c r="AC61" s="504"/>
    </row>
    <row r="62" spans="1:39">
      <c r="L62" s="2"/>
      <c r="M62" s="2"/>
      <c r="N62" s="2"/>
      <c r="O62" s="2"/>
      <c r="P62" s="504"/>
      <c r="Q62" s="504"/>
      <c r="T62" s="504"/>
      <c r="U62" s="504"/>
      <c r="V62" s="504"/>
      <c r="W62" s="504"/>
      <c r="X62" s="504"/>
      <c r="AB62" s="504"/>
      <c r="AC62" s="504"/>
    </row>
    <row r="63" spans="1:39">
      <c r="A63" s="1324" t="s">
        <v>724</v>
      </c>
      <c r="B63" s="1324"/>
      <c r="C63" s="1324"/>
      <c r="D63" s="1324"/>
      <c r="E63" s="1324"/>
      <c r="F63" s="1324"/>
      <c r="G63" s="1324"/>
      <c r="H63" s="1324"/>
      <c r="I63" s="1324"/>
      <c r="J63" s="1324"/>
      <c r="K63" s="1324"/>
      <c r="L63" s="1324"/>
      <c r="M63" s="1324"/>
      <c r="N63" s="1324"/>
      <c r="O63" s="1324"/>
      <c r="P63" s="1324"/>
      <c r="Q63" s="1324"/>
      <c r="R63" s="1324"/>
      <c r="S63" s="1324"/>
      <c r="T63" s="1324"/>
      <c r="U63" s="1324"/>
      <c r="V63" s="1324"/>
      <c r="W63" s="1324"/>
      <c r="X63" s="1324"/>
      <c r="Y63" s="1324"/>
      <c r="Z63" s="1324"/>
      <c r="AA63" s="1324"/>
      <c r="AB63" s="1324"/>
      <c r="AC63" s="1324"/>
      <c r="AD63" s="665"/>
    </row>
    <row r="64" spans="1:39">
      <c r="A64" s="385"/>
      <c r="B64" s="385"/>
      <c r="C64" s="385"/>
      <c r="D64" s="385"/>
      <c r="E64" s="447"/>
      <c r="F64" s="385"/>
      <c r="G64" s="447"/>
      <c r="H64" s="385"/>
      <c r="I64" s="385"/>
      <c r="J64" s="385"/>
      <c r="K64" s="385"/>
      <c r="L64" s="385"/>
      <c r="M64" s="385"/>
      <c r="N64" s="3"/>
      <c r="O64" s="3"/>
      <c r="P64" s="504"/>
      <c r="Q64" s="504"/>
      <c r="R64" s="385"/>
      <c r="S64" s="385"/>
      <c r="T64" s="504"/>
      <c r="U64" s="504"/>
      <c r="V64" s="504"/>
      <c r="W64" s="504"/>
      <c r="X64" s="504"/>
      <c r="Y64" s="385"/>
      <c r="Z64" s="385"/>
      <c r="AA64" s="385"/>
      <c r="AB64" s="504"/>
      <c r="AC64" s="504"/>
    </row>
    <row r="65" spans="1:39">
      <c r="A65" s="447"/>
      <c r="B65" s="447"/>
      <c r="C65" s="447"/>
      <c r="D65" s="447"/>
      <c r="E65" s="385"/>
      <c r="F65" s="447"/>
      <c r="G65" s="1313" t="s">
        <v>682</v>
      </c>
      <c r="H65" s="1313"/>
      <c r="I65" s="1313"/>
      <c r="J65" s="1313"/>
      <c r="K65" s="447"/>
      <c r="L65" s="1313" t="s">
        <v>496</v>
      </c>
      <c r="M65" s="1313"/>
      <c r="N65" s="1313"/>
      <c r="O65" s="1313"/>
      <c r="P65" s="1313"/>
      <c r="Q65" s="256"/>
      <c r="R65" s="447"/>
      <c r="S65" s="1313" t="s">
        <v>497</v>
      </c>
      <c r="T65" s="1313"/>
      <c r="U65" s="1313"/>
      <c r="V65" s="1313"/>
      <c r="W65" s="1313"/>
      <c r="X65" s="1313"/>
      <c r="Y65" s="447"/>
      <c r="Z65" s="1313" t="s">
        <v>683</v>
      </c>
      <c r="AA65" s="1313"/>
      <c r="AB65" s="1313"/>
      <c r="AC65" s="1313"/>
      <c r="AD65" s="4"/>
    </row>
    <row r="66" spans="1:39" ht="38.25">
      <c r="A66" s="254" t="s">
        <v>1</v>
      </c>
      <c r="B66" s="254"/>
      <c r="C66" s="254"/>
      <c r="D66" s="254"/>
      <c r="E66" s="4" t="s">
        <v>670</v>
      </c>
      <c r="F66" s="254"/>
      <c r="G66" s="13" t="s">
        <v>684</v>
      </c>
      <c r="H66" s="254"/>
      <c r="I66" s="13" t="s">
        <v>196</v>
      </c>
      <c r="J66" s="13" t="s">
        <v>503</v>
      </c>
      <c r="K66" s="254"/>
      <c r="L66" s="13" t="s">
        <v>505</v>
      </c>
      <c r="M66" s="13" t="s">
        <v>685</v>
      </c>
      <c r="N66" s="254" t="s">
        <v>686</v>
      </c>
      <c r="O66" s="254" t="s">
        <v>508</v>
      </c>
      <c r="P66" s="254" t="s">
        <v>687</v>
      </c>
      <c r="Q66" s="254" t="s">
        <v>688</v>
      </c>
      <c r="R66" s="254"/>
      <c r="S66" s="254" t="s">
        <v>689</v>
      </c>
      <c r="T66" s="13" t="s">
        <v>505</v>
      </c>
      <c r="U66" s="13" t="s">
        <v>685</v>
      </c>
      <c r="V66" s="254" t="s">
        <v>686</v>
      </c>
      <c r="W66" s="254" t="s">
        <v>508</v>
      </c>
      <c r="X66" s="254" t="s">
        <v>687</v>
      </c>
      <c r="Y66" s="254"/>
      <c r="Z66" s="13" t="s">
        <v>690</v>
      </c>
      <c r="AA66" s="13" t="s">
        <v>691</v>
      </c>
      <c r="AB66" s="13" t="s">
        <v>692</v>
      </c>
      <c r="AC66" s="254" t="s">
        <v>693</v>
      </c>
      <c r="AD66" s="254"/>
    </row>
    <row r="67" spans="1:39" ht="14.25">
      <c r="A67" s="255" t="s">
        <v>2</v>
      </c>
      <c r="B67" s="256"/>
      <c r="C67" s="449" t="s">
        <v>3</v>
      </c>
      <c r="D67" s="256"/>
      <c r="E67" s="255" t="s">
        <v>4</v>
      </c>
      <c r="F67" s="256"/>
      <c r="G67" s="255" t="s">
        <v>694</v>
      </c>
      <c r="H67" s="256"/>
      <c r="I67" s="255" t="s">
        <v>77</v>
      </c>
      <c r="J67" s="255" t="s">
        <v>20</v>
      </c>
      <c r="K67" s="256"/>
      <c r="L67" s="255" t="s">
        <v>20</v>
      </c>
      <c r="M67" s="255" t="s">
        <v>20</v>
      </c>
      <c r="N67" s="255" t="s">
        <v>20</v>
      </c>
      <c r="O67" s="255" t="s">
        <v>20</v>
      </c>
      <c r="P67" s="255" t="s">
        <v>20</v>
      </c>
      <c r="Q67" s="255" t="s">
        <v>20</v>
      </c>
      <c r="R67" s="256"/>
      <c r="S67" s="255" t="s">
        <v>20</v>
      </c>
      <c r="T67" s="255" t="s">
        <v>20</v>
      </c>
      <c r="U67" s="255" t="s">
        <v>20</v>
      </c>
      <c r="V67" s="255" t="s">
        <v>20</v>
      </c>
      <c r="W67" s="255" t="s">
        <v>20</v>
      </c>
      <c r="X67" s="255" t="s">
        <v>20</v>
      </c>
      <c r="Y67" s="256"/>
      <c r="Z67" s="255" t="s">
        <v>20</v>
      </c>
      <c r="AA67" s="255" t="s">
        <v>77</v>
      </c>
      <c r="AB67" s="255" t="s">
        <v>20</v>
      </c>
      <c r="AC67" s="255" t="s">
        <v>76</v>
      </c>
      <c r="AD67" s="4"/>
    </row>
    <row r="68" spans="1:39">
      <c r="A68" s="4"/>
      <c r="B68" s="256"/>
      <c r="C68" s="256"/>
      <c r="D68" s="256"/>
      <c r="E68" s="4"/>
      <c r="F68" s="256"/>
      <c r="G68" s="4" t="s">
        <v>8</v>
      </c>
      <c r="H68" s="4"/>
      <c r="I68" s="4" t="s">
        <v>9</v>
      </c>
      <c r="J68" s="4" t="s">
        <v>370</v>
      </c>
      <c r="K68" s="4"/>
      <c r="L68" s="132" t="s">
        <v>79</v>
      </c>
      <c r="M68" s="132" t="s">
        <v>115</v>
      </c>
      <c r="N68" s="132" t="s">
        <v>81</v>
      </c>
      <c r="O68" s="132" t="s">
        <v>82</v>
      </c>
      <c r="P68" s="4" t="s">
        <v>118</v>
      </c>
      <c r="Q68" s="4" t="s">
        <v>695</v>
      </c>
      <c r="R68" s="4"/>
      <c r="S68" s="4" t="s">
        <v>696</v>
      </c>
      <c r="T68" s="4" t="s">
        <v>517</v>
      </c>
      <c r="U68" s="4" t="s">
        <v>518</v>
      </c>
      <c r="V68" s="4" t="s">
        <v>519</v>
      </c>
      <c r="W68" s="4" t="s">
        <v>697</v>
      </c>
      <c r="X68" s="4" t="s">
        <v>698</v>
      </c>
      <c r="Y68" s="4"/>
      <c r="Z68" s="4" t="s">
        <v>725</v>
      </c>
      <c r="AA68" s="4" t="s">
        <v>700</v>
      </c>
      <c r="AB68" s="4" t="s">
        <v>701</v>
      </c>
      <c r="AC68" s="4" t="s">
        <v>702</v>
      </c>
      <c r="AD68" s="4"/>
    </row>
    <row r="69" spans="1:39">
      <c r="A69" s="4"/>
      <c r="B69" s="256"/>
      <c r="C69" s="7"/>
      <c r="D69" s="256"/>
      <c r="E69" s="36"/>
      <c r="F69" s="256"/>
      <c r="G69" s="453"/>
      <c r="H69" s="256"/>
      <c r="I69" s="504"/>
      <c r="J69" s="504"/>
      <c r="K69" s="256"/>
      <c r="L69" s="504"/>
      <c r="M69" s="504"/>
      <c r="N69" s="504"/>
      <c r="O69" s="504"/>
      <c r="P69" s="504"/>
      <c r="Q69" s="504"/>
      <c r="R69" s="256"/>
      <c r="S69" s="256"/>
      <c r="T69" s="504"/>
      <c r="U69" s="504"/>
      <c r="V69" s="504"/>
      <c r="W69" s="504"/>
      <c r="X69" s="504"/>
      <c r="Y69" s="256"/>
      <c r="Z69" s="256"/>
      <c r="AA69" s="256"/>
      <c r="AB69" s="504"/>
      <c r="AC69" s="504"/>
    </row>
    <row r="70" spans="1:39">
      <c r="C70" s="6" t="s">
        <v>164</v>
      </c>
      <c r="G70" s="135"/>
      <c r="I70" s="504"/>
      <c r="J70" s="828"/>
      <c r="L70" s="504"/>
      <c r="M70" s="504"/>
      <c r="N70" s="504"/>
      <c r="O70" s="504"/>
      <c r="P70" s="504"/>
      <c r="Q70" s="504"/>
      <c r="T70" s="504"/>
      <c r="U70" s="504"/>
      <c r="V70" s="504"/>
      <c r="W70" s="504"/>
      <c r="X70" s="504"/>
      <c r="AB70" s="504"/>
      <c r="AC70" s="504"/>
    </row>
    <row r="71" spans="1:39">
      <c r="A71" s="4">
        <v>29</v>
      </c>
      <c r="B71" s="256"/>
      <c r="C71" s="7" t="s">
        <v>703</v>
      </c>
      <c r="D71" s="256"/>
      <c r="E71" s="929" t="s">
        <v>704</v>
      </c>
      <c r="F71" s="256"/>
      <c r="G71" s="828">
        <v>168</v>
      </c>
      <c r="H71" s="256"/>
      <c r="I71" s="778">
        <v>133.47154003244088</v>
      </c>
      <c r="J71" s="828">
        <f>G71*I71/1000</f>
        <v>22.423218725450067</v>
      </c>
      <c r="K71" s="256"/>
      <c r="L71" s="762">
        <v>0</v>
      </c>
      <c r="M71" s="762">
        <v>0</v>
      </c>
      <c r="N71" s="762">
        <v>0</v>
      </c>
      <c r="O71" s="762">
        <v>0</v>
      </c>
      <c r="P71" s="762">
        <v>0</v>
      </c>
      <c r="Q71" s="828">
        <f>J71-L71-M71-N71-O71-P71</f>
        <v>22.423218725450067</v>
      </c>
      <c r="R71" s="771"/>
      <c r="S71" s="828">
        <v>0.60464604981450876</v>
      </c>
      <c r="T71" s="762">
        <v>0</v>
      </c>
      <c r="U71" s="762">
        <v>0</v>
      </c>
      <c r="V71" s="762">
        <v>0</v>
      </c>
      <c r="W71" s="762">
        <v>0</v>
      </c>
      <c r="X71" s="762">
        <v>0</v>
      </c>
      <c r="Y71" s="771"/>
      <c r="Z71" s="828">
        <f>Q71+S71+T71+U71+V71+W71+X71</f>
        <v>23.027864775264575</v>
      </c>
      <c r="AA71" s="915">
        <f>Z71/G71*1000</f>
        <v>137.07062366228914</v>
      </c>
      <c r="AB71" s="762">
        <f>Z71-J71</f>
        <v>0.60464604981450876</v>
      </c>
      <c r="AC71" s="770">
        <f>AA71/I71-1</f>
        <v>2.6965176463637608E-2</v>
      </c>
      <c r="AD71" s="769"/>
      <c r="AF71" s="763"/>
      <c r="AI71" s="763"/>
      <c r="AK71" s="763"/>
      <c r="AM71" s="776"/>
    </row>
    <row r="72" spans="1:39">
      <c r="A72" s="4">
        <v>30</v>
      </c>
      <c r="B72" s="256"/>
      <c r="C72" s="512" t="s">
        <v>726</v>
      </c>
      <c r="D72" s="256"/>
      <c r="E72" s="513" t="s">
        <v>675</v>
      </c>
      <c r="F72" s="256"/>
      <c r="G72" s="828">
        <v>4503.3599999999997</v>
      </c>
      <c r="H72" s="256"/>
      <c r="I72" s="861">
        <v>39.612916581984031</v>
      </c>
      <c r="J72" s="828">
        <f>G72*I72/100</f>
        <v>1783.9122401864358</v>
      </c>
      <c r="K72" s="256"/>
      <c r="L72" s="762">
        <v>0</v>
      </c>
      <c r="M72" s="762">
        <v>0</v>
      </c>
      <c r="N72" s="762">
        <v>0</v>
      </c>
      <c r="O72" s="762">
        <v>0</v>
      </c>
      <c r="P72" s="762">
        <v>0</v>
      </c>
      <c r="Q72" s="828">
        <f>J72-L72-M72-N72-O72-P72</f>
        <v>1783.9122401864358</v>
      </c>
      <c r="R72" s="771"/>
      <c r="S72" s="828">
        <v>48.103508352270637</v>
      </c>
      <c r="T72" s="762">
        <v>0</v>
      </c>
      <c r="U72" s="762">
        <v>0</v>
      </c>
      <c r="V72" s="762">
        <v>0</v>
      </c>
      <c r="W72" s="762">
        <v>0</v>
      </c>
      <c r="X72" s="762">
        <v>0</v>
      </c>
      <c r="Y72" s="771"/>
      <c r="Z72" s="828">
        <f>Q72+S72+T72+U72+V72+W72+X72</f>
        <v>1832.0157485387065</v>
      </c>
      <c r="AA72" s="821">
        <f>Z72/G72*100</f>
        <v>40.681085867856595</v>
      </c>
      <c r="AB72" s="762">
        <f>Z72-J72</f>
        <v>48.103508352270637</v>
      </c>
      <c r="AC72" s="770">
        <f>AA72/I72-1</f>
        <v>2.696517646363783E-2</v>
      </c>
      <c r="AD72" s="769"/>
      <c r="AF72" s="763"/>
      <c r="AI72" s="763"/>
      <c r="AK72" s="763"/>
      <c r="AM72" s="776"/>
    </row>
    <row r="73" spans="1:39">
      <c r="A73" s="4">
        <v>31</v>
      </c>
      <c r="B73" s="256"/>
      <c r="C73" s="512" t="s">
        <v>705</v>
      </c>
      <c r="D73" s="256"/>
      <c r="E73" s="513" t="s">
        <v>674</v>
      </c>
      <c r="F73" s="256"/>
      <c r="G73" s="828">
        <v>27429.148000000001</v>
      </c>
      <c r="H73" s="256"/>
      <c r="I73" s="861">
        <v>0.18751269562434469</v>
      </c>
      <c r="J73" s="828">
        <f>G73*I73/100</f>
        <v>51.433134801591031</v>
      </c>
      <c r="K73" s="256"/>
      <c r="L73" s="762">
        <v>0</v>
      </c>
      <c r="M73" s="762">
        <v>0</v>
      </c>
      <c r="N73" s="35">
        <v>2.9012610510117431</v>
      </c>
      <c r="O73" s="35">
        <v>58.27058444301003</v>
      </c>
      <c r="P73" s="762">
        <v>0</v>
      </c>
      <c r="Q73" s="847">
        <f>J73-L73-M73-N73-O73-P73</f>
        <v>-9.7387106924307432</v>
      </c>
      <c r="R73" s="771"/>
      <c r="S73" s="762">
        <v>0</v>
      </c>
      <c r="T73" s="35">
        <v>272.41532868845394</v>
      </c>
      <c r="U73" s="762">
        <v>0</v>
      </c>
      <c r="V73" s="35">
        <v>2.4262608966294046</v>
      </c>
      <c r="W73" s="35">
        <v>63.859946715414175</v>
      </c>
      <c r="X73" s="762">
        <v>0</v>
      </c>
      <c r="Y73" s="771"/>
      <c r="Z73" s="828">
        <f>Q73+S73+T73+U73+V73+W73+X73</f>
        <v>328.96282560806679</v>
      </c>
      <c r="AA73" s="821">
        <f>Z73/G73*100</f>
        <v>1.1993184243566981</v>
      </c>
      <c r="AB73" s="762">
        <f>Z73-J73</f>
        <v>277.52969080647574</v>
      </c>
      <c r="AC73" s="770">
        <f>AA73/I73-1</f>
        <v>5.3959318613784095</v>
      </c>
      <c r="AD73" s="769"/>
      <c r="AF73" s="763"/>
      <c r="AI73" s="763"/>
      <c r="AK73" s="763"/>
      <c r="AM73" s="776"/>
    </row>
    <row r="74" spans="1:39">
      <c r="A74" s="4"/>
      <c r="B74" s="256"/>
      <c r="C74" s="447"/>
      <c r="D74" s="256"/>
      <c r="E74" s="742"/>
      <c r="F74" s="256"/>
      <c r="G74" s="742"/>
      <c r="H74" s="256"/>
      <c r="I74" s="504"/>
      <c r="J74" s="504"/>
      <c r="K74" s="256"/>
      <c r="L74" s="762"/>
      <c r="M74" s="762"/>
      <c r="N74" s="762"/>
      <c r="O74" s="762"/>
      <c r="P74" s="762"/>
      <c r="Q74" s="504"/>
      <c r="R74" s="771"/>
      <c r="S74" s="504"/>
      <c r="T74" s="762"/>
      <c r="U74" s="762"/>
      <c r="V74" s="762"/>
      <c r="W74" s="762"/>
      <c r="X74" s="762"/>
      <c r="Y74" s="771"/>
      <c r="Z74" s="504"/>
      <c r="AA74" s="771"/>
      <c r="AB74" s="762"/>
      <c r="AC74" s="762"/>
      <c r="AD74" s="782"/>
      <c r="AF74" s="763"/>
      <c r="AI74" s="763"/>
      <c r="AK74" s="763"/>
      <c r="AM74" s="776"/>
    </row>
    <row r="75" spans="1:39">
      <c r="A75" s="4">
        <v>32</v>
      </c>
      <c r="C75" s="7" t="s">
        <v>710</v>
      </c>
      <c r="G75" s="830">
        <f>G73</f>
        <v>27429.148000000001</v>
      </c>
      <c r="I75" s="914">
        <f>J75/G75*100</f>
        <v>6.7729722910586831</v>
      </c>
      <c r="J75" s="842">
        <f>SUM(J71:J74)</f>
        <v>1857.768593713477</v>
      </c>
      <c r="L75" s="805">
        <f t="shared" ref="L75:Q75" si="20">SUM(L71:L74)</f>
        <v>0</v>
      </c>
      <c r="M75" s="805">
        <f t="shared" si="20"/>
        <v>0</v>
      </c>
      <c r="N75" s="805">
        <f t="shared" si="20"/>
        <v>2.9012610510117431</v>
      </c>
      <c r="O75" s="805">
        <f t="shared" si="20"/>
        <v>58.27058444301003</v>
      </c>
      <c r="P75" s="805">
        <f t="shared" si="20"/>
        <v>0</v>
      </c>
      <c r="Q75" s="842">
        <f t="shared" si="20"/>
        <v>1796.5967482194553</v>
      </c>
      <c r="R75" s="68"/>
      <c r="S75" s="842">
        <f t="shared" ref="S75:X75" si="21">SUM(S71:S74)</f>
        <v>48.708154402085142</v>
      </c>
      <c r="T75" s="416">
        <f t="shared" si="21"/>
        <v>272.41532868845394</v>
      </c>
      <c r="U75" s="416">
        <f t="shared" si="21"/>
        <v>0</v>
      </c>
      <c r="V75" s="416">
        <f t="shared" si="21"/>
        <v>2.4262608966294046</v>
      </c>
      <c r="W75" s="416">
        <f t="shared" si="21"/>
        <v>63.859946715414175</v>
      </c>
      <c r="X75" s="416">
        <f t="shared" si="21"/>
        <v>0</v>
      </c>
      <c r="Y75" s="68"/>
      <c r="Z75" s="842">
        <f>SUM(Z71:Z74)</f>
        <v>2184.0064389220379</v>
      </c>
      <c r="AA75" s="912">
        <f>Z75/G75*100</f>
        <v>7.9623560998760805</v>
      </c>
      <c r="AB75" s="805">
        <f>SUM(AB71:AB74)</f>
        <v>326.23784520856088</v>
      </c>
      <c r="AC75" s="804">
        <f>AA75/I75-1</f>
        <v>0.17560736375484054</v>
      </c>
      <c r="AD75" s="769"/>
      <c r="AF75" s="763"/>
      <c r="AI75" s="763"/>
      <c r="AK75" s="763"/>
      <c r="AM75" s="776"/>
    </row>
    <row r="76" spans="1:39">
      <c r="A76" s="4"/>
      <c r="G76" s="68"/>
      <c r="I76" s="504"/>
      <c r="J76" s="504"/>
      <c r="L76" s="762"/>
      <c r="M76" s="762"/>
      <c r="N76" s="762"/>
      <c r="O76" s="762"/>
      <c r="P76" s="762"/>
      <c r="Q76" s="504"/>
      <c r="R76" s="68"/>
      <c r="S76" s="504"/>
      <c r="T76" s="762"/>
      <c r="U76" s="762"/>
      <c r="V76" s="762"/>
      <c r="W76" s="762"/>
      <c r="X76" s="762"/>
      <c r="Y76" s="68"/>
      <c r="Z76" s="504"/>
      <c r="AA76" s="68"/>
      <c r="AB76" s="762"/>
      <c r="AC76" s="762"/>
      <c r="AD76" s="782"/>
      <c r="AF76" s="763"/>
      <c r="AI76" s="763"/>
      <c r="AK76" s="763"/>
      <c r="AM76" s="776"/>
    </row>
    <row r="77" spans="1:39">
      <c r="A77" s="4">
        <v>33</v>
      </c>
      <c r="C77" s="9" t="s">
        <v>711</v>
      </c>
      <c r="E77" s="513" t="s">
        <v>674</v>
      </c>
      <c r="G77" s="35">
        <v>27429.148000000001</v>
      </c>
      <c r="I77" s="861">
        <v>1.2036738876609459</v>
      </c>
      <c r="J77" s="828">
        <f>G77*I77/100</f>
        <v>330.15749208387462</v>
      </c>
      <c r="L77" s="762">
        <v>0</v>
      </c>
      <c r="M77" s="762">
        <v>0</v>
      </c>
      <c r="N77" s="762">
        <v>0</v>
      </c>
      <c r="O77" s="762">
        <v>0</v>
      </c>
      <c r="P77" s="762">
        <v>0</v>
      </c>
      <c r="Q77" s="828">
        <f>J77-L77-M77-N77-O77-P77</f>
        <v>330.15749208387462</v>
      </c>
      <c r="R77" s="68"/>
      <c r="S77" s="828">
        <v>4.3774881775020162</v>
      </c>
      <c r="T77" s="762">
        <v>0</v>
      </c>
      <c r="U77" s="762">
        <v>0</v>
      </c>
      <c r="V77" s="762">
        <v>0</v>
      </c>
      <c r="W77" s="762">
        <v>0</v>
      </c>
      <c r="X77" s="762">
        <v>0</v>
      </c>
      <c r="Y77" s="68"/>
      <c r="Z77" s="828">
        <f>Q77+S77+T77+U77+V77+W77+X77</f>
        <v>334.53498026137663</v>
      </c>
      <c r="AA77" s="911">
        <f>Z77/G77*100</f>
        <v>1.2196331444978772</v>
      </c>
      <c r="AB77" s="762">
        <f>Z77-J77</f>
        <v>4.3774881775020162</v>
      </c>
      <c r="AC77" s="770">
        <f>AA77/I77-1</f>
        <v>1.325878794957025E-2</v>
      </c>
      <c r="AD77" s="769"/>
      <c r="AF77" s="763"/>
      <c r="AI77" s="763"/>
      <c r="AK77" s="763"/>
      <c r="AM77" s="776"/>
    </row>
    <row r="78" spans="1:39">
      <c r="A78" s="4"/>
      <c r="C78" s="9"/>
      <c r="E78" s="513"/>
      <c r="G78" s="35"/>
      <c r="I78" s="861"/>
      <c r="J78" s="828"/>
      <c r="L78" s="762"/>
      <c r="M78" s="762"/>
      <c r="N78" s="762"/>
      <c r="O78" s="762"/>
      <c r="P78" s="762"/>
      <c r="Q78" s="828"/>
      <c r="R78" s="68"/>
      <c r="S78" s="828"/>
      <c r="T78" s="762"/>
      <c r="U78" s="762"/>
      <c r="V78" s="762"/>
      <c r="W78" s="762"/>
      <c r="X78" s="762"/>
      <c r="Y78" s="68"/>
      <c r="Z78" s="828"/>
      <c r="AA78" s="911"/>
      <c r="AB78" s="762"/>
      <c r="AC78" s="770"/>
      <c r="AD78" s="769"/>
      <c r="AF78" s="763"/>
      <c r="AI78" s="763"/>
      <c r="AK78" s="763"/>
      <c r="AM78" s="776"/>
    </row>
    <row r="79" spans="1:39">
      <c r="A79" s="4"/>
      <c r="C79" s="7" t="s">
        <v>712</v>
      </c>
      <c r="E79" s="513"/>
      <c r="G79" s="35"/>
      <c r="I79" s="861"/>
      <c r="J79" s="828"/>
      <c r="L79" s="762"/>
      <c r="M79" s="762"/>
      <c r="N79" s="762"/>
      <c r="O79" s="762"/>
      <c r="P79" s="762"/>
      <c r="Q79" s="828"/>
      <c r="R79" s="68"/>
      <c r="S79" s="828"/>
      <c r="T79" s="762"/>
      <c r="U79" s="762"/>
      <c r="V79" s="762"/>
      <c r="W79" s="762"/>
      <c r="X79" s="762"/>
      <c r="Y79" s="68"/>
      <c r="Z79" s="828"/>
      <c r="AA79" s="911"/>
      <c r="AB79" s="762"/>
      <c r="AC79" s="770"/>
      <c r="AD79" s="769"/>
      <c r="AF79" s="763"/>
      <c r="AI79" s="763"/>
      <c r="AK79" s="763"/>
      <c r="AM79" s="776"/>
    </row>
    <row r="80" spans="1:39">
      <c r="A80" s="4">
        <v>34</v>
      </c>
      <c r="B80" s="734"/>
      <c r="C80" s="9" t="s">
        <v>713</v>
      </c>
      <c r="D80" s="734"/>
      <c r="E80" s="513" t="s">
        <v>674</v>
      </c>
      <c r="F80" s="734"/>
      <c r="G80" s="35">
        <v>14756.638999999999</v>
      </c>
      <c r="H80" s="734"/>
      <c r="I80" s="861">
        <v>3.9267459704927896</v>
      </c>
      <c r="J80" s="828">
        <f>G80*I80/100</f>
        <v>579.45572731266748</v>
      </c>
      <c r="K80" s="734"/>
      <c r="L80" s="762">
        <v>0</v>
      </c>
      <c r="M80" s="762">
        <v>0</v>
      </c>
      <c r="N80" s="762">
        <v>0</v>
      </c>
      <c r="O80" s="762">
        <v>0</v>
      </c>
      <c r="P80" s="762">
        <v>0</v>
      </c>
      <c r="Q80" s="828">
        <f>J80-L80-M80-N80-O80-P80</f>
        <v>579.45572731266748</v>
      </c>
      <c r="R80" s="790"/>
      <c r="S80" s="828">
        <v>0.29960446308778899</v>
      </c>
      <c r="T80" s="762">
        <v>0</v>
      </c>
      <c r="U80" s="762">
        <v>0</v>
      </c>
      <c r="V80" s="762">
        <v>0</v>
      </c>
      <c r="W80" s="762">
        <v>0</v>
      </c>
      <c r="X80" s="762">
        <v>0</v>
      </c>
      <c r="Y80" s="790"/>
      <c r="Z80" s="828">
        <f>Q80+S80+T80+U80+V80+W80+X80</f>
        <v>579.75533177575528</v>
      </c>
      <c r="AA80" s="911">
        <f>Z80/G80*100</f>
        <v>3.9287762733489338</v>
      </c>
      <c r="AB80" s="762">
        <f>Z80-J80</f>
        <v>0.2996044630878032</v>
      </c>
      <c r="AC80" s="770"/>
      <c r="AD80" s="769"/>
      <c r="AF80" s="763"/>
      <c r="AI80" s="763"/>
      <c r="AK80" s="763"/>
      <c r="AM80" s="776"/>
    </row>
    <row r="81" spans="1:39">
      <c r="A81" s="4">
        <v>35</v>
      </c>
      <c r="B81" s="385"/>
      <c r="C81" s="9" t="s">
        <v>714</v>
      </c>
      <c r="D81" s="385"/>
      <c r="E81" s="513" t="s">
        <v>674</v>
      </c>
      <c r="F81" s="385"/>
      <c r="G81" s="35">
        <v>10804.124</v>
      </c>
      <c r="H81" s="385"/>
      <c r="I81" s="861">
        <v>0.96971998004937487</v>
      </c>
      <c r="J81" s="828">
        <f>G81*I81/100</f>
        <v>104.76974909730973</v>
      </c>
      <c r="K81" s="385"/>
      <c r="L81" s="762">
        <v>0</v>
      </c>
      <c r="M81" s="762">
        <v>0</v>
      </c>
      <c r="N81" s="762">
        <v>0</v>
      </c>
      <c r="O81" s="762">
        <v>0</v>
      </c>
      <c r="P81" s="762">
        <v>0</v>
      </c>
      <c r="Q81" s="828">
        <f>J81-L81-M81-N81-O81-P81</f>
        <v>104.76974909730973</v>
      </c>
      <c r="R81" s="789"/>
      <c r="S81" s="828">
        <v>1.7415555875219155</v>
      </c>
      <c r="T81" s="762">
        <v>0</v>
      </c>
      <c r="U81" s="762">
        <v>0</v>
      </c>
      <c r="V81" s="762">
        <v>0</v>
      </c>
      <c r="W81" s="762">
        <v>0</v>
      </c>
      <c r="X81" s="762">
        <v>0</v>
      </c>
      <c r="Y81" s="789"/>
      <c r="Z81" s="828">
        <f>Q81+S81+T81+U81+V81+W81+X81</f>
        <v>106.51130468483164</v>
      </c>
      <c r="AA81" s="911">
        <f>Z81/G81*100</f>
        <v>0.98583933954137914</v>
      </c>
      <c r="AB81" s="762">
        <f>Z81-J81</f>
        <v>1.7415555875219155</v>
      </c>
      <c r="AC81" s="770"/>
      <c r="AD81" s="769"/>
      <c r="AF81" s="763"/>
      <c r="AI81" s="763"/>
      <c r="AK81" s="763"/>
      <c r="AM81" s="776"/>
    </row>
    <row r="82" spans="1:39">
      <c r="A82" s="4">
        <v>36</v>
      </c>
      <c r="B82" s="385"/>
      <c r="C82" s="7" t="s">
        <v>712</v>
      </c>
      <c r="D82" s="385"/>
      <c r="E82" s="513"/>
      <c r="F82" s="385"/>
      <c r="G82" s="420">
        <f>SUM(G80:G81)</f>
        <v>25560.762999999999</v>
      </c>
      <c r="H82" s="385"/>
      <c r="I82" s="891">
        <f>J82/G82*100</f>
        <v>2.6768585758178549</v>
      </c>
      <c r="J82" s="830">
        <f>SUM(J80:J81)</f>
        <v>684.2254764099772</v>
      </c>
      <c r="K82" s="385"/>
      <c r="L82" s="805">
        <f t="shared" ref="L82:Q82" si="22">SUM(L80:L81)</f>
        <v>0</v>
      </c>
      <c r="M82" s="805">
        <f t="shared" si="22"/>
        <v>0</v>
      </c>
      <c r="N82" s="805">
        <f t="shared" si="22"/>
        <v>0</v>
      </c>
      <c r="O82" s="805">
        <f t="shared" si="22"/>
        <v>0</v>
      </c>
      <c r="P82" s="805">
        <f t="shared" si="22"/>
        <v>0</v>
      </c>
      <c r="Q82" s="830">
        <f t="shared" si="22"/>
        <v>684.2254764099772</v>
      </c>
      <c r="R82" s="762"/>
      <c r="S82" s="830">
        <f t="shared" ref="S82:X82" si="23">SUM(S80:S81)</f>
        <v>2.0411600506097045</v>
      </c>
      <c r="T82" s="805">
        <f t="shared" si="23"/>
        <v>0</v>
      </c>
      <c r="U82" s="805">
        <f t="shared" si="23"/>
        <v>0</v>
      </c>
      <c r="V82" s="805">
        <f t="shared" si="23"/>
        <v>0</v>
      </c>
      <c r="W82" s="805">
        <f t="shared" si="23"/>
        <v>0</v>
      </c>
      <c r="X82" s="805">
        <f t="shared" si="23"/>
        <v>0</v>
      </c>
      <c r="Y82" s="762"/>
      <c r="Z82" s="830">
        <f>SUM(Z80:Z81)</f>
        <v>686.26663646058694</v>
      </c>
      <c r="AA82" s="912">
        <f>Z82/G82*100</f>
        <v>2.6848440966358749</v>
      </c>
      <c r="AB82" s="805">
        <f>SUM(AB80:AB81)</f>
        <v>2.0411600506097187</v>
      </c>
      <c r="AC82" s="804">
        <f>AA82/I82-1</f>
        <v>2.9831687374743954E-3</v>
      </c>
      <c r="AD82" s="769"/>
      <c r="AF82" s="763"/>
      <c r="AI82" s="763"/>
      <c r="AK82" s="763"/>
      <c r="AM82" s="776"/>
    </row>
    <row r="83" spans="1:39">
      <c r="A83" s="4"/>
      <c r="B83" s="447"/>
      <c r="D83" s="447"/>
      <c r="E83" s="385"/>
      <c r="F83" s="447"/>
      <c r="G83" s="35"/>
      <c r="H83" s="447"/>
      <c r="I83" s="861"/>
      <c r="J83" s="828"/>
      <c r="K83" s="447"/>
      <c r="L83" s="762"/>
      <c r="M83" s="762"/>
      <c r="N83" s="762"/>
      <c r="O83" s="762"/>
      <c r="P83" s="762"/>
      <c r="Q83" s="828"/>
      <c r="R83" s="787"/>
      <c r="S83" s="828"/>
      <c r="T83" s="762"/>
      <c r="U83" s="762"/>
      <c r="V83" s="762"/>
      <c r="W83" s="762"/>
      <c r="X83" s="762"/>
      <c r="Y83" s="787"/>
      <c r="Z83" s="828"/>
      <c r="AA83" s="911"/>
      <c r="AB83" s="762"/>
      <c r="AC83" s="770"/>
      <c r="AD83" s="769"/>
      <c r="AF83" s="763"/>
      <c r="AI83" s="763"/>
      <c r="AK83" s="763"/>
      <c r="AM83" s="776"/>
    </row>
    <row r="84" spans="1:39">
      <c r="A84" s="4">
        <v>37</v>
      </c>
      <c r="B84" s="254"/>
      <c r="C84" s="7" t="s">
        <v>715</v>
      </c>
      <c r="D84" s="254"/>
      <c r="E84" s="513" t="s">
        <v>674</v>
      </c>
      <c r="F84" s="254"/>
      <c r="G84" s="35">
        <v>14756.638999999999</v>
      </c>
      <c r="H84" s="254"/>
      <c r="I84" s="861">
        <v>18.400811234906183</v>
      </c>
      <c r="J84" s="828">
        <f>G84*I84/100</f>
        <v>2715.3412870065472</v>
      </c>
      <c r="K84" s="254"/>
      <c r="L84" s="762">
        <v>0</v>
      </c>
      <c r="M84" s="762">
        <v>0</v>
      </c>
      <c r="N84" s="762">
        <v>0</v>
      </c>
      <c r="O84" s="762">
        <v>0</v>
      </c>
      <c r="P84" s="762">
        <v>0</v>
      </c>
      <c r="Q84" s="828">
        <f>J84-L84-M84-N84-O84-P84</f>
        <v>2715.3412870065472</v>
      </c>
      <c r="R84" s="786"/>
      <c r="S84" s="828">
        <v>0.43221137175740409</v>
      </c>
      <c r="T84" s="762">
        <v>0</v>
      </c>
      <c r="U84" s="762">
        <v>0</v>
      </c>
      <c r="V84" s="762">
        <v>0</v>
      </c>
      <c r="W84" s="762">
        <v>0</v>
      </c>
      <c r="X84" s="762">
        <v>0</v>
      </c>
      <c r="Y84" s="786"/>
      <c r="Z84" s="828">
        <f>Q84+S84+T84+U84+V84+W84+X84</f>
        <v>2715.7734983783048</v>
      </c>
      <c r="AA84" s="911">
        <f>Z84/G84*100</f>
        <v>18.403740163178789</v>
      </c>
      <c r="AB84" s="762">
        <f>Z84-J84</f>
        <v>0.43221137175760305</v>
      </c>
      <c r="AC84" s="770">
        <f>AA84/I84-1</f>
        <v>1.5917386658736987E-4</v>
      </c>
      <c r="AD84" s="769"/>
      <c r="AF84" s="763"/>
      <c r="AI84" s="763"/>
      <c r="AK84" s="763"/>
      <c r="AM84" s="776"/>
    </row>
    <row r="85" spans="1:39">
      <c r="A85" s="4"/>
      <c r="B85" s="256"/>
      <c r="C85" s="7"/>
      <c r="D85" s="256"/>
      <c r="E85" s="4"/>
      <c r="F85" s="256"/>
      <c r="G85" s="742"/>
      <c r="H85" s="256"/>
      <c r="I85" s="504"/>
      <c r="J85" s="504"/>
      <c r="K85" s="256"/>
      <c r="L85" s="762"/>
      <c r="M85" s="762"/>
      <c r="N85" s="762"/>
      <c r="O85" s="762"/>
      <c r="P85" s="762"/>
      <c r="Q85" s="504"/>
      <c r="R85" s="771"/>
      <c r="S85" s="504"/>
      <c r="T85" s="762"/>
      <c r="U85" s="762"/>
      <c r="V85" s="762"/>
      <c r="W85" s="762"/>
      <c r="X85" s="762"/>
      <c r="Y85" s="771"/>
      <c r="Z85" s="504"/>
      <c r="AA85" s="771"/>
      <c r="AB85" s="762"/>
      <c r="AC85" s="762"/>
      <c r="AD85" s="782"/>
      <c r="AF85" s="763"/>
      <c r="AI85" s="763"/>
      <c r="AK85" s="763"/>
      <c r="AM85" s="776"/>
    </row>
    <row r="86" spans="1:39" ht="13.5" thickBot="1">
      <c r="A86" s="4">
        <v>38</v>
      </c>
      <c r="B86" s="256"/>
      <c r="C86" s="7" t="s">
        <v>727</v>
      </c>
      <c r="D86" s="256"/>
      <c r="E86" s="4"/>
      <c r="F86" s="256"/>
      <c r="G86" s="458">
        <f>G73</f>
        <v>27429.148000000001</v>
      </c>
      <c r="H86" s="256"/>
      <c r="I86" s="908">
        <f>J86/G86*100</f>
        <v>20.370639471608364</v>
      </c>
      <c r="J86" s="839">
        <f>J75+J77+J82+J84</f>
        <v>5587.4928492138761</v>
      </c>
      <c r="K86" s="256"/>
      <c r="L86" s="799">
        <f t="shared" ref="L86:Q86" si="24">L75+L77+L82+L84</f>
        <v>0</v>
      </c>
      <c r="M86" s="799">
        <f t="shared" si="24"/>
        <v>0</v>
      </c>
      <c r="N86" s="799">
        <f t="shared" si="24"/>
        <v>2.9012610510117431</v>
      </c>
      <c r="O86" s="799">
        <f t="shared" si="24"/>
        <v>58.27058444301003</v>
      </c>
      <c r="P86" s="799">
        <f t="shared" si="24"/>
        <v>0</v>
      </c>
      <c r="Q86" s="839">
        <f t="shared" si="24"/>
        <v>5526.3210037198542</v>
      </c>
      <c r="R86" s="771"/>
      <c r="S86" s="839">
        <f t="shared" ref="S86:X86" si="25">S75+S77+S82+S84</f>
        <v>55.559014001954267</v>
      </c>
      <c r="T86" s="846">
        <f t="shared" si="25"/>
        <v>272.41532868845394</v>
      </c>
      <c r="U86" s="768">
        <f t="shared" si="25"/>
        <v>0</v>
      </c>
      <c r="V86" s="846">
        <f t="shared" si="25"/>
        <v>2.4262608966294046</v>
      </c>
      <c r="W86" s="846">
        <f t="shared" si="25"/>
        <v>63.859946715414175</v>
      </c>
      <c r="X86" s="768">
        <f t="shared" si="25"/>
        <v>0</v>
      </c>
      <c r="Y86" s="771"/>
      <c r="Z86" s="839">
        <f>Z75+Z77+Z82+Z84</f>
        <v>5920.5815540223066</v>
      </c>
      <c r="AA86" s="901">
        <f>Z86/G86*100</f>
        <v>21.584999847688692</v>
      </c>
      <c r="AB86" s="799">
        <f>AB75+AB77+AB82+AB84</f>
        <v>333.08870480843024</v>
      </c>
      <c r="AC86" s="798">
        <f>AA86/I86-1</f>
        <v>5.9613267309200024E-2</v>
      </c>
      <c r="AD86" s="769"/>
      <c r="AF86" s="763"/>
      <c r="AI86" s="763"/>
      <c r="AK86" s="763"/>
      <c r="AM86" s="776"/>
    </row>
    <row r="87" spans="1:39" ht="13.5" thickTop="1">
      <c r="A87" s="4"/>
      <c r="B87" s="256"/>
      <c r="C87" s="256"/>
      <c r="D87" s="256"/>
      <c r="E87" s="860"/>
      <c r="F87" s="256"/>
      <c r="G87" s="860"/>
      <c r="H87" s="256"/>
      <c r="I87" s="504"/>
      <c r="J87" s="504"/>
      <c r="K87" s="256"/>
      <c r="L87" s="504"/>
      <c r="M87" s="504"/>
      <c r="N87" s="504"/>
      <c r="O87" s="504"/>
      <c r="P87" s="504"/>
      <c r="Q87" s="504"/>
      <c r="R87" s="256"/>
      <c r="S87" s="256"/>
      <c r="T87" s="504"/>
      <c r="U87" s="504"/>
      <c r="V87" s="504"/>
      <c r="W87" s="504"/>
      <c r="X87" s="504"/>
      <c r="Y87" s="256"/>
      <c r="Z87" s="256"/>
      <c r="AA87" s="256"/>
      <c r="AB87" s="504"/>
      <c r="AC87" s="504"/>
    </row>
    <row r="88" spans="1:39">
      <c r="A88" s="4"/>
      <c r="B88" s="256"/>
      <c r="C88" s="6" t="s">
        <v>165</v>
      </c>
      <c r="D88" s="256"/>
      <c r="E88" s="134"/>
      <c r="F88" s="256"/>
      <c r="G88" s="134"/>
      <c r="H88" s="256"/>
      <c r="I88" s="861"/>
      <c r="J88" s="504"/>
      <c r="K88" s="256"/>
      <c r="L88" s="504"/>
      <c r="M88" s="504"/>
      <c r="N88" s="504"/>
      <c r="O88" s="504"/>
      <c r="P88" s="504"/>
      <c r="Q88" s="504"/>
      <c r="R88" s="256"/>
      <c r="S88" s="256"/>
      <c r="T88" s="504"/>
      <c r="U88" s="504"/>
      <c r="V88" s="504"/>
      <c r="W88" s="504"/>
      <c r="X88" s="504"/>
      <c r="Y88" s="256"/>
      <c r="Z88" s="256"/>
      <c r="AA88" s="256"/>
      <c r="AB88" s="762"/>
      <c r="AC88" s="504"/>
    </row>
    <row r="89" spans="1:39">
      <c r="A89" s="4">
        <v>39</v>
      </c>
      <c r="B89" s="256"/>
      <c r="C89" s="7" t="s">
        <v>703</v>
      </c>
      <c r="D89" s="256"/>
      <c r="E89" s="36" t="s">
        <v>704</v>
      </c>
      <c r="F89" s="256"/>
      <c r="G89" s="828">
        <v>4992</v>
      </c>
      <c r="H89" s="256"/>
      <c r="I89" s="778">
        <v>642.54715571555448</v>
      </c>
      <c r="J89" s="753">
        <f>G89*I89/1000</f>
        <v>3207.5954013320479</v>
      </c>
      <c r="K89" s="256"/>
      <c r="L89" s="762">
        <v>0</v>
      </c>
      <c r="M89" s="762">
        <v>0</v>
      </c>
      <c r="N89" s="762">
        <v>0</v>
      </c>
      <c r="O89" s="762">
        <v>0</v>
      </c>
      <c r="P89" s="762">
        <v>0</v>
      </c>
      <c r="Q89" s="753">
        <f>J89-L89-M89-N89-O89-P89</f>
        <v>3207.5954013320479</v>
      </c>
      <c r="R89" s="771"/>
      <c r="S89" s="828">
        <v>86.493376020871892</v>
      </c>
      <c r="T89" s="762">
        <v>0</v>
      </c>
      <c r="U89" s="762">
        <v>0</v>
      </c>
      <c r="V89" s="762">
        <v>0</v>
      </c>
      <c r="W89" s="762">
        <v>0</v>
      </c>
      <c r="X89" s="762">
        <v>0</v>
      </c>
      <c r="Y89" s="771"/>
      <c r="Z89" s="753">
        <f>Q89+S89+T89+U89+V89+W89+X89</f>
        <v>3294.0887773529198</v>
      </c>
      <c r="AA89" s="915">
        <f>Z89/G89*1000</f>
        <v>659.87355315563298</v>
      </c>
      <c r="AB89" s="762">
        <f>Z89-J89</f>
        <v>86.493376020871892</v>
      </c>
      <c r="AC89" s="770">
        <f>AA89/I89-1</f>
        <v>2.696517646363783E-2</v>
      </c>
      <c r="AD89" s="769"/>
      <c r="AE89" s="782"/>
      <c r="AF89" s="763"/>
      <c r="AI89" s="763"/>
      <c r="AK89" s="763"/>
      <c r="AM89" s="776"/>
    </row>
    <row r="90" spans="1:39">
      <c r="A90" s="4">
        <v>40</v>
      </c>
      <c r="B90" s="256"/>
      <c r="C90" s="512" t="s">
        <v>726</v>
      </c>
      <c r="D90" s="256"/>
      <c r="E90" s="36" t="s">
        <v>675</v>
      </c>
      <c r="F90" s="256"/>
      <c r="G90" s="828">
        <v>75653.868000000002</v>
      </c>
      <c r="H90" s="256"/>
      <c r="I90" s="861">
        <v>25.39395049703483</v>
      </c>
      <c r="J90" s="753">
        <f>G90*I90/100</f>
        <v>19211.505789012077</v>
      </c>
      <c r="K90" s="256"/>
      <c r="L90" s="762">
        <v>0</v>
      </c>
      <c r="M90" s="762">
        <v>0</v>
      </c>
      <c r="N90" s="762">
        <v>0</v>
      </c>
      <c r="O90" s="762">
        <v>0</v>
      </c>
      <c r="P90" s="762">
        <v>0</v>
      </c>
      <c r="Q90" s="753">
        <f>J90-L90-M90-N90-O90-P90</f>
        <v>19211.505789012077</v>
      </c>
      <c r="R90" s="771"/>
      <c r="S90" s="828">
        <v>518.04164373291133</v>
      </c>
      <c r="T90" s="762">
        <v>0</v>
      </c>
      <c r="U90" s="762">
        <v>0</v>
      </c>
      <c r="V90" s="762">
        <v>0</v>
      </c>
      <c r="W90" s="762">
        <v>0</v>
      </c>
      <c r="X90" s="762">
        <v>0</v>
      </c>
      <c r="Y90" s="771"/>
      <c r="Z90" s="753">
        <f>Q90+S90+T90+U90+V90+W90+X90</f>
        <v>19729.547432744988</v>
      </c>
      <c r="AA90" s="821">
        <f>Z90/G90*100</f>
        <v>26.07870285329626</v>
      </c>
      <c r="AB90" s="762">
        <f>Z90-J90</f>
        <v>518.04164373291133</v>
      </c>
      <c r="AC90" s="770">
        <f>AA90/I90-1</f>
        <v>2.6965176463638052E-2</v>
      </c>
      <c r="AD90" s="769"/>
      <c r="AE90" s="782"/>
      <c r="AF90" s="763"/>
      <c r="AI90" s="763"/>
      <c r="AK90" s="763"/>
      <c r="AM90" s="776"/>
    </row>
    <row r="91" spans="1:39">
      <c r="A91" s="4"/>
      <c r="B91" s="256"/>
      <c r="C91" s="512" t="s">
        <v>705</v>
      </c>
      <c r="D91" s="256"/>
      <c r="E91" s="36"/>
      <c r="F91" s="256"/>
      <c r="G91" s="828"/>
      <c r="H91" s="256"/>
      <c r="I91" s="861"/>
      <c r="J91" s="753"/>
      <c r="K91" s="256"/>
      <c r="L91" s="762"/>
      <c r="M91" s="762"/>
      <c r="N91" s="762"/>
      <c r="O91" s="762"/>
      <c r="P91" s="762"/>
      <c r="Q91" s="753"/>
      <c r="R91" s="771"/>
      <c r="S91" s="828"/>
      <c r="T91" s="762"/>
      <c r="U91" s="762"/>
      <c r="V91" s="762"/>
      <c r="W91" s="762"/>
      <c r="X91" s="762"/>
      <c r="Y91" s="771"/>
      <c r="Z91" s="753"/>
      <c r="AA91" s="821"/>
      <c r="AB91" s="762"/>
      <c r="AC91" s="770"/>
      <c r="AD91" s="769"/>
      <c r="AE91" s="782"/>
      <c r="AF91" s="763"/>
      <c r="AI91" s="763"/>
      <c r="AK91" s="763"/>
      <c r="AM91" s="776"/>
    </row>
    <row r="92" spans="1:39">
      <c r="A92" s="4">
        <v>41</v>
      </c>
      <c r="B92" s="256"/>
      <c r="C92" s="9" t="s">
        <v>728</v>
      </c>
      <c r="D92" s="256"/>
      <c r="E92" s="36" t="s">
        <v>674</v>
      </c>
      <c r="F92" s="256"/>
      <c r="G92" s="828">
        <v>897522.08799999999</v>
      </c>
      <c r="H92" s="256"/>
      <c r="I92" s="861">
        <v>1.0325728182266571</v>
      </c>
      <c r="J92" s="753">
        <f>G92*I92/100</f>
        <v>9267.5691182683368</v>
      </c>
      <c r="K92" s="256"/>
      <c r="L92" s="828">
        <v>2114.1338090707973</v>
      </c>
      <c r="M92" s="762">
        <v>0</v>
      </c>
      <c r="N92" s="828">
        <v>94.933531159521763</v>
      </c>
      <c r="O92" s="828">
        <v>2001.8173368158507</v>
      </c>
      <c r="P92" s="828">
        <v>120.32789710906034</v>
      </c>
      <c r="Q92" s="753">
        <f>J92-L92-M92-N92-O92-P92</f>
        <v>4936.3565441131068</v>
      </c>
      <c r="R92" s="771"/>
      <c r="S92" s="828">
        <v>110.72246973337769</v>
      </c>
      <c r="T92" s="828">
        <v>2012.7953581963834</v>
      </c>
      <c r="U92" s="762">
        <v>0</v>
      </c>
      <c r="V92" s="828">
        <v>79.390827085681821</v>
      </c>
      <c r="W92" s="828">
        <v>2193.8332983098717</v>
      </c>
      <c r="X92" s="828">
        <v>107.47155341775326</v>
      </c>
      <c r="Y92" s="771"/>
      <c r="Z92" s="753">
        <f>Q92+S92+T92+U92+V92+W92+X92</f>
        <v>9440.5700508561767</v>
      </c>
      <c r="AA92" s="821">
        <f>Z92/G92*100</f>
        <v>1.0518482137741192</v>
      </c>
      <c r="AB92" s="762">
        <f>Z92-J92</f>
        <v>173.00093258784</v>
      </c>
      <c r="AC92" s="770"/>
      <c r="AD92" s="769"/>
      <c r="AE92" s="782"/>
      <c r="AF92" s="763"/>
      <c r="AI92" s="763"/>
      <c r="AK92" s="763"/>
      <c r="AM92" s="776"/>
    </row>
    <row r="93" spans="1:39">
      <c r="A93" s="4">
        <v>42</v>
      </c>
      <c r="B93" s="256"/>
      <c r="C93" s="9" t="s">
        <v>729</v>
      </c>
      <c r="D93" s="256"/>
      <c r="E93" s="36" t="s">
        <v>674</v>
      </c>
      <c r="F93" s="256"/>
      <c r="G93" s="828">
        <v>170759.079</v>
      </c>
      <c r="H93" s="256"/>
      <c r="I93" s="861">
        <v>0.8645988740145667</v>
      </c>
      <c r="J93" s="753">
        <f>G93*I93/100</f>
        <v>1476.3810743116444</v>
      </c>
      <c r="K93" s="256"/>
      <c r="L93" s="828">
        <v>402.22691669254067</v>
      </c>
      <c r="M93" s="762">
        <v>0</v>
      </c>
      <c r="N93" s="828">
        <v>18.061686240102581</v>
      </c>
      <c r="O93" s="828">
        <v>380.85801935261952</v>
      </c>
      <c r="P93" s="828">
        <v>22.893120027982988</v>
      </c>
      <c r="Q93" s="753">
        <f>J93-L93-M93-N93-O93-P93</f>
        <v>652.34133199839869</v>
      </c>
      <c r="R93" s="771"/>
      <c r="S93" s="828">
        <v>13.331127706689699</v>
      </c>
      <c r="T93" s="828">
        <v>382.94665521489594</v>
      </c>
      <c r="U93" s="762">
        <v>0</v>
      </c>
      <c r="V93" s="828">
        <v>15.10459151418598</v>
      </c>
      <c r="W93" s="828">
        <v>417.39023307349055</v>
      </c>
      <c r="X93" s="828">
        <v>20.44712183207557</v>
      </c>
      <c r="Y93" s="771"/>
      <c r="Z93" s="753">
        <f>Q93+S93+T93+U93+V93+W93+X93</f>
        <v>1501.5610613397366</v>
      </c>
      <c r="AA93" s="821">
        <f>Z93/G93*100</f>
        <v>0.87934478806818617</v>
      </c>
      <c r="AB93" s="762">
        <f>Z93-J93</f>
        <v>25.179987028092228</v>
      </c>
      <c r="AC93" s="770"/>
      <c r="AD93" s="769"/>
      <c r="AE93" s="782"/>
      <c r="AF93" s="763"/>
      <c r="AI93" s="763"/>
      <c r="AK93" s="763"/>
      <c r="AM93" s="776"/>
    </row>
    <row r="94" spans="1:39">
      <c r="A94" s="4">
        <v>43</v>
      </c>
      <c r="C94" s="512" t="s">
        <v>705</v>
      </c>
      <c r="E94" s="36"/>
      <c r="G94" s="830">
        <f>SUM(G92:G93)</f>
        <v>1068281.1669999999</v>
      </c>
      <c r="I94" s="914">
        <f>J94/G94*100</f>
        <v>1.0057230740809253</v>
      </c>
      <c r="J94" s="842">
        <f>SUM(J92:J93)</f>
        <v>10743.950192579981</v>
      </c>
      <c r="L94" s="830">
        <f t="shared" ref="L94:Q94" si="26">SUM(L92:L93)</f>
        <v>2516.360725763338</v>
      </c>
      <c r="M94" s="805">
        <f t="shared" si="26"/>
        <v>0</v>
      </c>
      <c r="N94" s="830">
        <f t="shared" si="26"/>
        <v>112.99521739962435</v>
      </c>
      <c r="O94" s="830">
        <f t="shared" si="26"/>
        <v>2382.67535616847</v>
      </c>
      <c r="P94" s="830">
        <f t="shared" si="26"/>
        <v>143.22101713704333</v>
      </c>
      <c r="Q94" s="842">
        <f t="shared" si="26"/>
        <v>5588.6978761115051</v>
      </c>
      <c r="R94" s="68"/>
      <c r="S94" s="830">
        <f t="shared" ref="S94:X94" si="27">SUM(S92:S93)</f>
        <v>124.05359744006739</v>
      </c>
      <c r="T94" s="830">
        <f t="shared" si="27"/>
        <v>2395.7420134112795</v>
      </c>
      <c r="U94" s="420">
        <f t="shared" si="27"/>
        <v>0</v>
      </c>
      <c r="V94" s="830">
        <f t="shared" si="27"/>
        <v>94.495418599867804</v>
      </c>
      <c r="W94" s="830">
        <f t="shared" si="27"/>
        <v>2611.2235313833621</v>
      </c>
      <c r="X94" s="830">
        <f t="shared" si="27"/>
        <v>127.91867524982882</v>
      </c>
      <c r="Y94" s="68"/>
      <c r="Z94" s="842">
        <f>SUM(Z92:Z93)</f>
        <v>10942.131112195913</v>
      </c>
      <c r="AA94" s="912">
        <f>Z94/G94*100</f>
        <v>1.0242744560333445</v>
      </c>
      <c r="AB94" s="805">
        <f>SUM(AB92:AB93)</f>
        <v>198.18091961593223</v>
      </c>
      <c r="AC94" s="804">
        <f>AA94/I94-1</f>
        <v>1.8445815185628822E-2</v>
      </c>
      <c r="AD94" s="769"/>
      <c r="AE94" s="782"/>
      <c r="AF94" s="763"/>
      <c r="AI94" s="763"/>
      <c r="AK94" s="763"/>
      <c r="AM94" s="776"/>
    </row>
    <row r="95" spans="1:39">
      <c r="A95" s="4"/>
      <c r="B95" s="256"/>
      <c r="C95" s="7"/>
      <c r="D95" s="256"/>
      <c r="E95" s="742"/>
      <c r="F95" s="256"/>
      <c r="G95" s="828"/>
      <c r="H95" s="256"/>
      <c r="I95" s="504"/>
      <c r="J95" s="504"/>
      <c r="K95" s="256"/>
      <c r="L95" s="762"/>
      <c r="M95" s="762"/>
      <c r="N95" s="762"/>
      <c r="O95" s="762"/>
      <c r="P95" s="762"/>
      <c r="Q95" s="504"/>
      <c r="R95" s="771"/>
      <c r="S95" s="771"/>
      <c r="T95" s="762"/>
      <c r="U95" s="762"/>
      <c r="V95" s="762"/>
      <c r="W95" s="762"/>
      <c r="X95" s="762"/>
      <c r="Y95" s="771"/>
      <c r="Z95" s="504"/>
      <c r="AA95" s="821"/>
      <c r="AB95" s="762"/>
      <c r="AC95" s="770"/>
      <c r="AD95" s="769"/>
      <c r="AE95" s="782"/>
      <c r="AF95" s="763"/>
      <c r="AK95" s="763"/>
      <c r="AM95" s="776"/>
    </row>
    <row r="96" spans="1:39">
      <c r="A96" s="4">
        <v>44</v>
      </c>
      <c r="B96" s="256"/>
      <c r="C96" s="7" t="s">
        <v>710</v>
      </c>
      <c r="D96" s="256"/>
      <c r="E96" s="742"/>
      <c r="F96" s="256"/>
      <c r="G96" s="830">
        <f>SUM(G94:G95)</f>
        <v>1068281.1669999999</v>
      </c>
      <c r="H96" s="256"/>
      <c r="I96" s="914">
        <f>J96/G96*100</f>
        <v>3.1043373605522069</v>
      </c>
      <c r="J96" s="842">
        <f>J89+J90+J94</f>
        <v>33163.05138292411</v>
      </c>
      <c r="K96" s="753"/>
      <c r="L96" s="842">
        <f t="shared" ref="L96:Q96" si="28">L89+L90+L94</f>
        <v>2516.360725763338</v>
      </c>
      <c r="M96" s="805">
        <f t="shared" si="28"/>
        <v>0</v>
      </c>
      <c r="N96" s="842">
        <f t="shared" si="28"/>
        <v>112.99521739962435</v>
      </c>
      <c r="O96" s="842">
        <f t="shared" si="28"/>
        <v>2382.67535616847</v>
      </c>
      <c r="P96" s="842">
        <f t="shared" si="28"/>
        <v>143.22101713704333</v>
      </c>
      <c r="Q96" s="842">
        <f t="shared" si="28"/>
        <v>28007.799066455631</v>
      </c>
      <c r="R96" s="753"/>
      <c r="S96" s="842">
        <f t="shared" ref="S96:X96" si="29">S89+S90+S94</f>
        <v>728.58861719385061</v>
      </c>
      <c r="T96" s="842">
        <f t="shared" si="29"/>
        <v>2395.7420134112795</v>
      </c>
      <c r="U96" s="805">
        <f t="shared" si="29"/>
        <v>0</v>
      </c>
      <c r="V96" s="842">
        <f t="shared" si="29"/>
        <v>94.495418599867804</v>
      </c>
      <c r="W96" s="842">
        <f t="shared" si="29"/>
        <v>2611.2235313833621</v>
      </c>
      <c r="X96" s="842">
        <f t="shared" si="29"/>
        <v>127.91867524982882</v>
      </c>
      <c r="Y96" s="753"/>
      <c r="Z96" s="842">
        <f>Z89+Z90+Z94</f>
        <v>33965.767322293825</v>
      </c>
      <c r="AA96" s="902">
        <f>Z96/G96*100</f>
        <v>3.179478247068436</v>
      </c>
      <c r="AB96" s="805">
        <f>AB89+AB90+AB94</f>
        <v>802.71593936971544</v>
      </c>
      <c r="AC96" s="804">
        <f>AA96/I96-1</f>
        <v>2.4205129078774812E-2</v>
      </c>
      <c r="AD96" s="769"/>
      <c r="AE96" s="782"/>
      <c r="AF96" s="763"/>
      <c r="AK96" s="763"/>
      <c r="AM96" s="776"/>
    </row>
    <row r="97" spans="1:39">
      <c r="A97" s="4"/>
      <c r="B97" s="256"/>
      <c r="C97" s="9"/>
      <c r="D97" s="256"/>
      <c r="E97" s="742"/>
      <c r="F97" s="256"/>
      <c r="G97" s="35"/>
      <c r="H97" s="256"/>
      <c r="I97" s="504"/>
      <c r="J97" s="504"/>
      <c r="K97" s="256"/>
      <c r="L97" s="762"/>
      <c r="M97" s="762"/>
      <c r="N97" s="762"/>
      <c r="O97" s="762"/>
      <c r="P97" s="762"/>
      <c r="Q97" s="504"/>
      <c r="R97" s="771"/>
      <c r="S97" s="771"/>
      <c r="T97" s="762"/>
      <c r="U97" s="762"/>
      <c r="V97" s="762"/>
      <c r="W97" s="762"/>
      <c r="X97" s="762"/>
      <c r="Y97" s="771"/>
      <c r="Z97" s="504"/>
      <c r="AA97" s="771"/>
      <c r="AB97" s="762"/>
      <c r="AC97" s="762"/>
      <c r="AD97" s="782"/>
      <c r="AE97" s="782"/>
      <c r="AF97" s="763"/>
      <c r="AK97" s="763"/>
      <c r="AM97" s="776"/>
    </row>
    <row r="98" spans="1:39">
      <c r="A98" s="4">
        <v>45</v>
      </c>
      <c r="B98" s="256"/>
      <c r="C98" s="9" t="s">
        <v>730</v>
      </c>
      <c r="D98" s="256"/>
      <c r="E98" s="513" t="s">
        <v>674</v>
      </c>
      <c r="F98" s="256"/>
      <c r="G98" s="828">
        <v>1068281.1669999999</v>
      </c>
      <c r="H98" s="256"/>
      <c r="I98" s="861">
        <v>0.25233468088460609</v>
      </c>
      <c r="J98" s="753">
        <f>G98*I98/100</f>
        <v>2695.6438736997957</v>
      </c>
      <c r="K98" s="256"/>
      <c r="L98" s="762">
        <v>0</v>
      </c>
      <c r="M98" s="828">
        <v>730.61878451440805</v>
      </c>
      <c r="N98" s="762">
        <v>0</v>
      </c>
      <c r="O98" s="762">
        <v>0</v>
      </c>
      <c r="P98" s="762">
        <v>0</v>
      </c>
      <c r="Q98" s="753">
        <f>J98-L98-M98-N98-O98-P98</f>
        <v>1965.0250891853875</v>
      </c>
      <c r="R98" s="771"/>
      <c r="S98" s="828">
        <v>21.452095957959841</v>
      </c>
      <c r="T98" s="762">
        <v>0</v>
      </c>
      <c r="U98" s="828">
        <v>728.08974089566607</v>
      </c>
      <c r="V98" s="762">
        <v>0</v>
      </c>
      <c r="W98" s="762">
        <v>0</v>
      </c>
      <c r="X98" s="762">
        <v>0</v>
      </c>
      <c r="Y98" s="771"/>
      <c r="Z98" s="753">
        <f>Q98+S98+T98+U98+V98+W98+X98</f>
        <v>2714.5669260390137</v>
      </c>
      <c r="AA98" s="821">
        <f>Z98/G98*100</f>
        <v>0.25410603592893011</v>
      </c>
      <c r="AB98" s="762">
        <f>Z98-J98</f>
        <v>18.923052339217975</v>
      </c>
      <c r="AC98" s="785">
        <f>AA98/I98-1</f>
        <v>7.0198636117484448E-3</v>
      </c>
      <c r="AD98" s="785"/>
      <c r="AE98" s="782"/>
      <c r="AF98" s="763"/>
      <c r="AI98" s="763"/>
      <c r="AK98" s="763"/>
      <c r="AM98" s="776"/>
    </row>
    <row r="99" spans="1:39">
      <c r="A99" s="4"/>
      <c r="B99" s="256"/>
      <c r="C99" s="9"/>
      <c r="D99" s="256"/>
      <c r="E99" s="513"/>
      <c r="F99" s="256"/>
      <c r="G99" s="828"/>
      <c r="H99" s="256"/>
      <c r="I99" s="861"/>
      <c r="J99" s="753"/>
      <c r="K99" s="256"/>
      <c r="L99" s="762"/>
      <c r="M99" s="828"/>
      <c r="N99" s="762"/>
      <c r="O99" s="762"/>
      <c r="P99" s="762"/>
      <c r="Q99" s="753"/>
      <c r="R99" s="771"/>
      <c r="S99" s="828"/>
      <c r="T99" s="762"/>
      <c r="U99" s="828"/>
      <c r="V99" s="762"/>
      <c r="W99" s="762"/>
      <c r="X99" s="762"/>
      <c r="Y99" s="771"/>
      <c r="Z99" s="753"/>
      <c r="AA99" s="821"/>
      <c r="AB99" s="762"/>
      <c r="AC99" s="785"/>
      <c r="AD99" s="785"/>
      <c r="AE99" s="782"/>
      <c r="AF99" s="763"/>
      <c r="AI99" s="763"/>
      <c r="AK99" s="763"/>
      <c r="AM99" s="776"/>
    </row>
    <row r="100" spans="1:39">
      <c r="A100" s="4"/>
      <c r="B100" s="256"/>
      <c r="C100" s="7" t="s">
        <v>712</v>
      </c>
      <c r="D100" s="256"/>
      <c r="E100" s="513"/>
      <c r="F100" s="256"/>
      <c r="G100" s="828"/>
      <c r="H100" s="256"/>
      <c r="I100" s="861"/>
      <c r="J100" s="753"/>
      <c r="K100" s="256"/>
      <c r="L100" s="762"/>
      <c r="M100" s="828"/>
      <c r="N100" s="762"/>
      <c r="O100" s="762"/>
      <c r="P100" s="762"/>
      <c r="Q100" s="753"/>
      <c r="R100" s="771"/>
      <c r="S100" s="828"/>
      <c r="T100" s="762"/>
      <c r="U100" s="828"/>
      <c r="V100" s="762"/>
      <c r="W100" s="762"/>
      <c r="X100" s="762"/>
      <c r="Y100" s="771"/>
      <c r="Z100" s="753"/>
      <c r="AA100" s="821"/>
      <c r="AB100" s="762"/>
      <c r="AC100" s="785"/>
      <c r="AD100" s="785"/>
      <c r="AE100" s="782"/>
      <c r="AF100" s="763"/>
      <c r="AI100" s="763"/>
      <c r="AK100" s="763"/>
      <c r="AM100" s="776"/>
    </row>
    <row r="101" spans="1:39">
      <c r="A101" s="4">
        <v>46</v>
      </c>
      <c r="B101" s="256"/>
      <c r="C101" s="9" t="s">
        <v>731</v>
      </c>
      <c r="D101" s="256"/>
      <c r="E101" s="513" t="s">
        <v>674</v>
      </c>
      <c r="F101" s="256"/>
      <c r="G101" s="828">
        <v>113376.269</v>
      </c>
      <c r="H101" s="256"/>
      <c r="I101" s="861">
        <v>3.9267443867607112</v>
      </c>
      <c r="J101" s="753">
        <f>G101*I101/100</f>
        <v>4451.9962788762241</v>
      </c>
      <c r="K101" s="256"/>
      <c r="L101" s="762">
        <v>0</v>
      </c>
      <c r="M101" s="762">
        <v>0</v>
      </c>
      <c r="N101" s="762">
        <v>0</v>
      </c>
      <c r="O101" s="762">
        <v>0</v>
      </c>
      <c r="P101" s="762">
        <v>0</v>
      </c>
      <c r="Q101" s="753">
        <f>J101-L101-M101-N101-O101-P101</f>
        <v>4451.9962788762241</v>
      </c>
      <c r="R101" s="771"/>
      <c r="S101" s="828">
        <v>2.3004871328888754</v>
      </c>
      <c r="T101" s="762">
        <v>0</v>
      </c>
      <c r="U101" s="762">
        <v>0</v>
      </c>
      <c r="V101" s="762">
        <v>0</v>
      </c>
      <c r="W101" s="762">
        <v>0</v>
      </c>
      <c r="X101" s="762">
        <v>0</v>
      </c>
      <c r="Y101" s="771"/>
      <c r="Z101" s="753">
        <f>Q101+S101+T101+U101+V101+W101+X101</f>
        <v>4454.2967660091126</v>
      </c>
      <c r="AA101" s="821">
        <f>Z101/G101*100</f>
        <v>3.9287734596462265</v>
      </c>
      <c r="AB101" s="762">
        <f>Z101-J101</f>
        <v>2.3004871328885201</v>
      </c>
      <c r="AC101" s="770"/>
      <c r="AD101" s="769"/>
      <c r="AE101" s="782"/>
      <c r="AF101" s="763"/>
      <c r="AI101" s="763"/>
      <c r="AK101" s="763"/>
      <c r="AM101" s="776"/>
    </row>
    <row r="102" spans="1:39">
      <c r="A102" s="4">
        <v>47</v>
      </c>
      <c r="B102" s="256"/>
      <c r="C102" s="9" t="s">
        <v>732</v>
      </c>
      <c r="D102" s="256"/>
      <c r="E102" s="513" t="s">
        <v>674</v>
      </c>
      <c r="F102" s="256"/>
      <c r="G102" s="828">
        <v>927920.70200000005</v>
      </c>
      <c r="H102" s="256"/>
      <c r="I102" s="861">
        <v>0.96972039724946102</v>
      </c>
      <c r="J102" s="753">
        <f>G102*I102/100</f>
        <v>8998.2363175943883</v>
      </c>
      <c r="K102" s="256"/>
      <c r="L102" s="762">
        <v>0</v>
      </c>
      <c r="M102" s="762">
        <v>0</v>
      </c>
      <c r="N102" s="762">
        <v>0</v>
      </c>
      <c r="O102" s="762">
        <v>0</v>
      </c>
      <c r="P102" s="762">
        <v>0</v>
      </c>
      <c r="Q102" s="753">
        <f>J102-L102-M102-N102-O102-P102</f>
        <v>8998.2363175943883</v>
      </c>
      <c r="R102" s="771"/>
      <c r="S102" s="828">
        <v>149.57791726186315</v>
      </c>
      <c r="T102" s="762">
        <v>0</v>
      </c>
      <c r="U102" s="762">
        <v>0</v>
      </c>
      <c r="V102" s="762">
        <v>0</v>
      </c>
      <c r="W102" s="762">
        <v>0</v>
      </c>
      <c r="X102" s="762">
        <v>0</v>
      </c>
      <c r="Y102" s="771"/>
      <c r="Z102" s="753">
        <f>Q102+S102+T102+U102+V102+W102+X102</f>
        <v>9147.8142348562506</v>
      </c>
      <c r="AA102" s="821">
        <f>Z102/G102*100</f>
        <v>0.9858400847334744</v>
      </c>
      <c r="AB102" s="762">
        <f>Z102-J102</f>
        <v>149.57791726186224</v>
      </c>
      <c r="AC102" s="770"/>
      <c r="AD102" s="769"/>
      <c r="AE102" s="782"/>
      <c r="AF102" s="763"/>
      <c r="AI102" s="763"/>
      <c r="AK102" s="763"/>
      <c r="AM102" s="776"/>
    </row>
    <row r="103" spans="1:39">
      <c r="A103" s="4">
        <v>48</v>
      </c>
      <c r="B103" s="256"/>
      <c r="C103" s="7" t="s">
        <v>712</v>
      </c>
      <c r="D103" s="256"/>
      <c r="E103" s="513"/>
      <c r="F103" s="256"/>
      <c r="G103" s="830">
        <f>SUM(G101:G102)</f>
        <v>1041296.971</v>
      </c>
      <c r="H103" s="922"/>
      <c r="I103" s="891">
        <f>J103/G103*100</f>
        <v>1.2916807568885758</v>
      </c>
      <c r="J103" s="842">
        <f>SUM(J101:J102)</f>
        <v>13450.232596470612</v>
      </c>
      <c r="K103" s="753"/>
      <c r="L103" s="805">
        <f t="shared" ref="L103:Q103" si="30">SUM(L101:L102)</f>
        <v>0</v>
      </c>
      <c r="M103" s="805">
        <f t="shared" si="30"/>
        <v>0</v>
      </c>
      <c r="N103" s="805">
        <f t="shared" si="30"/>
        <v>0</v>
      </c>
      <c r="O103" s="805">
        <f t="shared" si="30"/>
        <v>0</v>
      </c>
      <c r="P103" s="805">
        <f t="shared" si="30"/>
        <v>0</v>
      </c>
      <c r="Q103" s="842">
        <f t="shared" si="30"/>
        <v>13450.232596470612</v>
      </c>
      <c r="R103" s="753"/>
      <c r="S103" s="842">
        <f t="shared" ref="S103:X103" si="31">SUM(S101:S102)</f>
        <v>151.87840439475201</v>
      </c>
      <c r="T103" s="805">
        <f t="shared" si="31"/>
        <v>0</v>
      </c>
      <c r="U103" s="805">
        <f t="shared" si="31"/>
        <v>0</v>
      </c>
      <c r="V103" s="805">
        <f t="shared" si="31"/>
        <v>0</v>
      </c>
      <c r="W103" s="805">
        <f t="shared" si="31"/>
        <v>0</v>
      </c>
      <c r="X103" s="805">
        <f t="shared" si="31"/>
        <v>0</v>
      </c>
      <c r="Y103" s="753"/>
      <c r="Z103" s="842">
        <f>SUM(Z101:Z102)</f>
        <v>13602.111000865363</v>
      </c>
      <c r="AA103" s="902">
        <f>Z103/G103*100</f>
        <v>1.3062662602199544</v>
      </c>
      <c r="AB103" s="805">
        <f>SUM(AB99:AB102)</f>
        <v>151.87840439475076</v>
      </c>
      <c r="AC103" s="804">
        <f>AA103/I103-1</f>
        <v>1.1291879401000404E-2</v>
      </c>
      <c r="AD103" s="769"/>
      <c r="AE103" s="782"/>
      <c r="AF103" s="763"/>
      <c r="AI103" s="763"/>
      <c r="AK103" s="763"/>
      <c r="AM103" s="776"/>
    </row>
    <row r="104" spans="1:39">
      <c r="A104" s="4"/>
      <c r="E104" s="385"/>
      <c r="G104" s="828"/>
      <c r="I104" s="861"/>
      <c r="J104" s="753"/>
      <c r="L104" s="762"/>
      <c r="M104" s="762"/>
      <c r="N104" s="762"/>
      <c r="O104" s="762"/>
      <c r="P104" s="762"/>
      <c r="Q104" s="753"/>
      <c r="R104" s="68"/>
      <c r="S104" s="828"/>
      <c r="T104" s="762"/>
      <c r="U104" s="762"/>
      <c r="V104" s="762"/>
      <c r="W104" s="762"/>
      <c r="X104" s="762"/>
      <c r="Y104" s="68"/>
      <c r="Z104" s="753"/>
      <c r="AA104" s="821"/>
      <c r="AB104" s="762"/>
      <c r="AC104" s="770"/>
      <c r="AD104" s="769"/>
      <c r="AE104" s="782"/>
      <c r="AF104" s="763"/>
      <c r="AI104" s="763"/>
      <c r="AK104" s="763"/>
      <c r="AM104" s="776"/>
    </row>
    <row r="105" spans="1:39">
      <c r="A105" s="4">
        <v>49</v>
      </c>
      <c r="B105" s="256"/>
      <c r="C105" s="7" t="s">
        <v>715</v>
      </c>
      <c r="D105" s="256"/>
      <c r="E105" s="513" t="s">
        <v>674</v>
      </c>
      <c r="F105" s="256"/>
      <c r="G105" s="828">
        <v>102196.917</v>
      </c>
      <c r="H105" s="256"/>
      <c r="I105" s="861">
        <v>18.339431448884856</v>
      </c>
      <c r="J105" s="753">
        <f>G105*I105/100</f>
        <v>18742.333536088754</v>
      </c>
      <c r="K105" s="256"/>
      <c r="L105" s="762">
        <v>0</v>
      </c>
      <c r="M105" s="762">
        <v>0</v>
      </c>
      <c r="N105" s="762">
        <v>0</v>
      </c>
      <c r="O105" s="762">
        <v>0</v>
      </c>
      <c r="P105" s="762">
        <v>0</v>
      </c>
      <c r="Q105" s="753">
        <f>J105-L105-M105-N105-O105-P105</f>
        <v>18742.333536088754</v>
      </c>
      <c r="R105" s="771"/>
      <c r="S105" s="828">
        <v>1.2931198158781427</v>
      </c>
      <c r="T105" s="762">
        <v>0</v>
      </c>
      <c r="U105" s="762">
        <v>0</v>
      </c>
      <c r="V105" s="762">
        <v>0</v>
      </c>
      <c r="W105" s="762">
        <v>0</v>
      </c>
      <c r="X105" s="762">
        <v>0</v>
      </c>
      <c r="Y105" s="771"/>
      <c r="Z105" s="753">
        <f>Q105+S105+T105+U105+V105+W105+X105</f>
        <v>18743.626655904631</v>
      </c>
      <c r="AA105" s="821">
        <f>Z105/G105*100</f>
        <v>18.34069677063216</v>
      </c>
      <c r="AB105" s="762">
        <f>Z105-J105</f>
        <v>1.2931198158767074</v>
      </c>
      <c r="AC105" s="770">
        <f>AA105/I105-1</f>
        <v>6.8994600559424413E-5</v>
      </c>
      <c r="AD105" s="769"/>
      <c r="AE105" s="782"/>
      <c r="AF105" s="763"/>
      <c r="AI105" s="763"/>
      <c r="AK105" s="763"/>
      <c r="AM105" s="776"/>
    </row>
    <row r="106" spans="1:39">
      <c r="A106" s="4"/>
      <c r="B106" s="256"/>
      <c r="C106" s="7"/>
      <c r="D106" s="256"/>
      <c r="E106" s="36"/>
      <c r="F106" s="256"/>
      <c r="G106" s="35"/>
      <c r="H106" s="256"/>
      <c r="I106" s="861"/>
      <c r="J106" s="504"/>
      <c r="K106" s="256"/>
      <c r="L106" s="762"/>
      <c r="M106" s="762"/>
      <c r="N106" s="762"/>
      <c r="O106" s="762"/>
      <c r="P106" s="762"/>
      <c r="Q106" s="504"/>
      <c r="R106" s="771"/>
      <c r="S106" s="771"/>
      <c r="T106" s="762"/>
      <c r="U106" s="762"/>
      <c r="V106" s="762"/>
      <c r="W106" s="762"/>
      <c r="X106" s="762"/>
      <c r="Y106" s="771"/>
      <c r="Z106" s="504"/>
      <c r="AA106" s="821"/>
      <c r="AB106" s="762"/>
      <c r="AC106" s="770"/>
      <c r="AD106" s="769"/>
      <c r="AE106" s="782"/>
      <c r="AF106" s="763"/>
      <c r="AI106" s="763"/>
      <c r="AK106" s="763"/>
      <c r="AM106" s="776"/>
    </row>
    <row r="107" spans="1:39" ht="13.5" thickBot="1">
      <c r="A107" s="4">
        <v>50</v>
      </c>
      <c r="B107" s="256"/>
      <c r="C107" s="7" t="s">
        <v>733</v>
      </c>
      <c r="D107" s="256"/>
      <c r="E107" s="36"/>
      <c r="F107" s="256"/>
      <c r="G107" s="926">
        <f>G94</f>
        <v>1068281.1669999999</v>
      </c>
      <c r="I107" s="908">
        <f>J107/G107*100</f>
        <v>6.3701639129601233</v>
      </c>
      <c r="J107" s="839">
        <f>J96+J98+J103+J105</f>
        <v>68051.261389183273</v>
      </c>
      <c r="K107" s="753"/>
      <c r="L107" s="839">
        <f t="shared" ref="L107:Q107" si="32">L96+L98+L103+L105</f>
        <v>2516.360725763338</v>
      </c>
      <c r="M107" s="839">
        <f t="shared" si="32"/>
        <v>730.61878451440805</v>
      </c>
      <c r="N107" s="839">
        <f t="shared" si="32"/>
        <v>112.99521739962435</v>
      </c>
      <c r="O107" s="839">
        <f t="shared" si="32"/>
        <v>2382.67535616847</v>
      </c>
      <c r="P107" s="839">
        <f t="shared" si="32"/>
        <v>143.22101713704333</v>
      </c>
      <c r="Q107" s="839">
        <f t="shared" si="32"/>
        <v>62165.390288200389</v>
      </c>
      <c r="R107" s="753"/>
      <c r="S107" s="839">
        <f t="shared" ref="S107:X107" si="33">S96+S98+S103+S105</f>
        <v>903.21223736244065</v>
      </c>
      <c r="T107" s="839">
        <f t="shared" si="33"/>
        <v>2395.7420134112795</v>
      </c>
      <c r="U107" s="839">
        <f t="shared" si="33"/>
        <v>728.08974089566607</v>
      </c>
      <c r="V107" s="839">
        <f t="shared" si="33"/>
        <v>94.495418599867804</v>
      </c>
      <c r="W107" s="839">
        <f t="shared" si="33"/>
        <v>2611.2235313833621</v>
      </c>
      <c r="X107" s="839">
        <f t="shared" si="33"/>
        <v>127.91867524982882</v>
      </c>
      <c r="Y107" s="753"/>
      <c r="Z107" s="839">
        <f>Z96+Z98+Z103+Z105</f>
        <v>69026.071905102828</v>
      </c>
      <c r="AA107" s="901">
        <f>Z107/G107*100</f>
        <v>6.4614142828095771</v>
      </c>
      <c r="AB107" s="799">
        <f>AB96+AB98+AB103+AB105</f>
        <v>974.81051591956088</v>
      </c>
      <c r="AC107" s="798">
        <f>AA107/I107-1</f>
        <v>1.4324650212501622E-2</v>
      </c>
      <c r="AD107" s="769"/>
      <c r="AE107" s="782"/>
      <c r="AF107" s="763"/>
      <c r="AI107" s="763"/>
      <c r="AK107" s="763"/>
      <c r="AM107" s="776"/>
    </row>
    <row r="108" spans="1:39" ht="13.5" thickTop="1">
      <c r="L108" s="2"/>
      <c r="M108" s="2"/>
      <c r="N108" s="2"/>
      <c r="O108" s="2"/>
      <c r="P108" s="504"/>
      <c r="Q108" s="504"/>
      <c r="T108" s="504"/>
      <c r="U108" s="504"/>
      <c r="V108" s="504"/>
      <c r="W108" s="504"/>
      <c r="X108" s="504"/>
      <c r="AB108" s="504"/>
      <c r="AC108" s="504"/>
      <c r="AF108" s="763"/>
      <c r="AI108" s="763"/>
      <c r="AK108" s="763"/>
      <c r="AM108" s="776"/>
    </row>
    <row r="109" spans="1:39">
      <c r="L109" s="2"/>
      <c r="M109" s="2"/>
      <c r="N109" s="2"/>
      <c r="O109" s="2"/>
      <c r="P109" s="504"/>
      <c r="Q109" s="504"/>
      <c r="T109" s="504"/>
      <c r="U109" s="504"/>
      <c r="V109" s="504"/>
      <c r="W109" s="504"/>
      <c r="X109" s="504"/>
      <c r="AB109" s="753"/>
      <c r="AC109" s="504"/>
      <c r="AF109" s="763"/>
      <c r="AI109" s="763"/>
      <c r="AK109" s="763"/>
      <c r="AM109" s="776"/>
    </row>
    <row r="110" spans="1:39">
      <c r="L110" s="2"/>
      <c r="M110" s="2"/>
      <c r="N110" s="2"/>
      <c r="O110" s="2"/>
      <c r="P110" s="504"/>
      <c r="Q110" s="504"/>
      <c r="T110" s="504"/>
      <c r="U110" s="504"/>
      <c r="V110" s="504"/>
      <c r="W110" s="504"/>
      <c r="X110" s="504"/>
      <c r="AB110" s="504"/>
      <c r="AC110" s="504"/>
      <c r="AF110" s="763"/>
      <c r="AI110" s="763"/>
      <c r="AK110" s="763"/>
      <c r="AM110" s="776"/>
    </row>
    <row r="111" spans="1:39">
      <c r="L111" s="2"/>
      <c r="M111" s="2"/>
      <c r="N111" s="2"/>
      <c r="O111" s="2"/>
      <c r="P111" s="504"/>
      <c r="Q111" s="504"/>
      <c r="T111" s="504"/>
      <c r="U111" s="504"/>
      <c r="V111" s="504"/>
      <c r="W111" s="504"/>
      <c r="X111" s="504"/>
      <c r="AB111" s="504"/>
      <c r="AC111" s="504"/>
      <c r="AF111" s="763"/>
      <c r="AI111" s="763"/>
      <c r="AK111" s="763"/>
      <c r="AM111" s="776"/>
    </row>
    <row r="112" spans="1:39">
      <c r="L112" s="2"/>
      <c r="M112" s="2"/>
      <c r="N112" s="2"/>
      <c r="O112" s="2"/>
      <c r="P112" s="504"/>
      <c r="Q112" s="504"/>
      <c r="T112" s="504"/>
      <c r="U112" s="504"/>
      <c r="V112" s="504"/>
      <c r="W112" s="504"/>
      <c r="X112" s="504"/>
      <c r="AB112" s="504"/>
      <c r="AC112" s="504"/>
      <c r="AF112" s="763"/>
      <c r="AI112" s="763"/>
      <c r="AK112" s="763"/>
      <c r="AM112" s="776"/>
    </row>
    <row r="113" spans="1:39">
      <c r="A113" s="1324" t="s">
        <v>724</v>
      </c>
      <c r="B113" s="1324"/>
      <c r="C113" s="1324"/>
      <c r="D113" s="1324"/>
      <c r="E113" s="1324"/>
      <c r="F113" s="1324"/>
      <c r="G113" s="1324"/>
      <c r="H113" s="1324"/>
      <c r="I113" s="1324"/>
      <c r="J113" s="1324"/>
      <c r="K113" s="1324"/>
      <c r="L113" s="1324"/>
      <c r="M113" s="1324"/>
      <c r="N113" s="1324"/>
      <c r="O113" s="1324"/>
      <c r="P113" s="1324"/>
      <c r="Q113" s="1324"/>
      <c r="R113" s="1324"/>
      <c r="S113" s="1324"/>
      <c r="T113" s="1324"/>
      <c r="U113" s="1324"/>
      <c r="V113" s="1324"/>
      <c r="W113" s="1324"/>
      <c r="X113" s="1324"/>
      <c r="Y113" s="1324"/>
      <c r="Z113" s="1324"/>
      <c r="AA113" s="1324"/>
      <c r="AB113" s="1324"/>
      <c r="AC113" s="1324"/>
      <c r="AD113" s="665"/>
      <c r="AF113" s="763"/>
      <c r="AI113" s="763"/>
      <c r="AK113" s="763"/>
      <c r="AM113" s="776"/>
    </row>
    <row r="114" spans="1:39">
      <c r="A114" s="385"/>
      <c r="B114" s="385"/>
      <c r="C114" s="385"/>
      <c r="D114" s="385"/>
      <c r="E114" s="447"/>
      <c r="F114" s="385"/>
      <c r="G114" s="447"/>
      <c r="H114" s="4"/>
      <c r="I114" s="4"/>
      <c r="J114" s="4"/>
      <c r="K114" s="4"/>
      <c r="L114" s="4"/>
      <c r="M114" s="4"/>
      <c r="N114" s="1"/>
      <c r="O114" s="1"/>
      <c r="P114" s="504"/>
      <c r="Q114" s="504"/>
      <c r="R114" s="4"/>
      <c r="S114" s="4"/>
      <c r="T114" s="504"/>
      <c r="U114" s="504"/>
      <c r="V114" s="504"/>
      <c r="W114" s="504"/>
      <c r="X114" s="504"/>
      <c r="Y114" s="4"/>
      <c r="Z114" s="4"/>
      <c r="AA114" s="4"/>
      <c r="AB114" s="504"/>
      <c r="AC114" s="504"/>
      <c r="AF114" s="763"/>
      <c r="AI114" s="763"/>
      <c r="AK114" s="763"/>
      <c r="AM114" s="776"/>
    </row>
    <row r="115" spans="1:39">
      <c r="A115" s="447"/>
      <c r="B115" s="447"/>
      <c r="C115" s="447"/>
      <c r="D115" s="447"/>
      <c r="E115" s="385"/>
      <c r="F115" s="447"/>
      <c r="G115" s="1313" t="s">
        <v>682</v>
      </c>
      <c r="H115" s="1313"/>
      <c r="I115" s="1313"/>
      <c r="J115" s="1313"/>
      <c r="K115" s="447"/>
      <c r="L115" s="1313" t="s">
        <v>496</v>
      </c>
      <c r="M115" s="1313"/>
      <c r="N115" s="1313"/>
      <c r="O115" s="1313"/>
      <c r="P115" s="1313"/>
      <c r="Q115" s="256"/>
      <c r="R115" s="447"/>
      <c r="S115" s="1313" t="s">
        <v>497</v>
      </c>
      <c r="T115" s="1313"/>
      <c r="U115" s="1313"/>
      <c r="V115" s="1313"/>
      <c r="W115" s="1313"/>
      <c r="X115" s="1313"/>
      <c r="Y115" s="447"/>
      <c r="Z115" s="1313" t="s">
        <v>683</v>
      </c>
      <c r="AA115" s="1313"/>
      <c r="AB115" s="1313"/>
      <c r="AC115" s="1313"/>
      <c r="AD115" s="4"/>
      <c r="AF115" s="763"/>
      <c r="AI115" s="763"/>
      <c r="AK115" s="763"/>
      <c r="AM115" s="776"/>
    </row>
    <row r="116" spans="1:39" ht="38.25">
      <c r="A116" s="254" t="s">
        <v>1</v>
      </c>
      <c r="B116" s="254"/>
      <c r="C116" s="254"/>
      <c r="D116" s="254"/>
      <c r="E116" s="4" t="s">
        <v>670</v>
      </c>
      <c r="F116" s="254"/>
      <c r="G116" s="13" t="s">
        <v>684</v>
      </c>
      <c r="H116" s="254"/>
      <c r="I116" s="13" t="s">
        <v>196</v>
      </c>
      <c r="J116" s="13" t="s">
        <v>503</v>
      </c>
      <c r="K116" s="254"/>
      <c r="L116" s="13" t="s">
        <v>505</v>
      </c>
      <c r="M116" s="13" t="s">
        <v>685</v>
      </c>
      <c r="N116" s="254" t="s">
        <v>686</v>
      </c>
      <c r="O116" s="254" t="s">
        <v>508</v>
      </c>
      <c r="P116" s="254" t="s">
        <v>687</v>
      </c>
      <c r="Q116" s="254" t="s">
        <v>688</v>
      </c>
      <c r="R116" s="254"/>
      <c r="S116" s="254" t="s">
        <v>689</v>
      </c>
      <c r="T116" s="13" t="s">
        <v>505</v>
      </c>
      <c r="U116" s="13" t="s">
        <v>685</v>
      </c>
      <c r="V116" s="254" t="s">
        <v>686</v>
      </c>
      <c r="W116" s="254" t="s">
        <v>508</v>
      </c>
      <c r="X116" s="254" t="s">
        <v>687</v>
      </c>
      <c r="Y116" s="254"/>
      <c r="Z116" s="13" t="s">
        <v>690</v>
      </c>
      <c r="AA116" s="13" t="s">
        <v>691</v>
      </c>
      <c r="AB116" s="13" t="s">
        <v>692</v>
      </c>
      <c r="AC116" s="254" t="s">
        <v>693</v>
      </c>
      <c r="AD116" s="254"/>
      <c r="AF116" s="763"/>
      <c r="AI116" s="763"/>
      <c r="AK116" s="763"/>
      <c r="AM116" s="776"/>
    </row>
    <row r="117" spans="1:39" ht="14.25">
      <c r="A117" s="255" t="s">
        <v>2</v>
      </c>
      <c r="B117" s="256"/>
      <c r="C117" s="449" t="s">
        <v>3</v>
      </c>
      <c r="D117" s="256"/>
      <c r="E117" s="255" t="s">
        <v>4</v>
      </c>
      <c r="F117" s="256"/>
      <c r="G117" s="255" t="s">
        <v>694</v>
      </c>
      <c r="H117" s="256"/>
      <c r="I117" s="255" t="s">
        <v>77</v>
      </c>
      <c r="J117" s="255" t="s">
        <v>20</v>
      </c>
      <c r="K117" s="256"/>
      <c r="L117" s="255" t="s">
        <v>20</v>
      </c>
      <c r="M117" s="255" t="s">
        <v>20</v>
      </c>
      <c r="N117" s="255" t="s">
        <v>20</v>
      </c>
      <c r="O117" s="255" t="s">
        <v>20</v>
      </c>
      <c r="P117" s="255" t="s">
        <v>20</v>
      </c>
      <c r="Q117" s="255" t="s">
        <v>20</v>
      </c>
      <c r="R117" s="256"/>
      <c r="S117" s="255" t="s">
        <v>20</v>
      </c>
      <c r="T117" s="255" t="s">
        <v>20</v>
      </c>
      <c r="U117" s="255" t="s">
        <v>20</v>
      </c>
      <c r="V117" s="255" t="s">
        <v>20</v>
      </c>
      <c r="W117" s="255" t="s">
        <v>20</v>
      </c>
      <c r="X117" s="255" t="s">
        <v>20</v>
      </c>
      <c r="Y117" s="256"/>
      <c r="Z117" s="255" t="s">
        <v>20</v>
      </c>
      <c r="AA117" s="255" t="s">
        <v>77</v>
      </c>
      <c r="AB117" s="255" t="s">
        <v>20</v>
      </c>
      <c r="AC117" s="255" t="s">
        <v>76</v>
      </c>
      <c r="AD117" s="4"/>
      <c r="AF117" s="763"/>
      <c r="AI117" s="763"/>
      <c r="AK117" s="763"/>
      <c r="AM117" s="776"/>
    </row>
    <row r="118" spans="1:39">
      <c r="A118" s="4"/>
      <c r="B118" s="256"/>
      <c r="C118" s="256"/>
      <c r="D118" s="256"/>
      <c r="E118" s="4"/>
      <c r="F118" s="256"/>
      <c r="G118" s="4" t="s">
        <v>8</v>
      </c>
      <c r="H118" s="4"/>
      <c r="I118" s="4" t="s">
        <v>9</v>
      </c>
      <c r="J118" s="4" t="s">
        <v>370</v>
      </c>
      <c r="K118" s="4"/>
      <c r="L118" s="132" t="s">
        <v>79</v>
      </c>
      <c r="M118" s="132" t="s">
        <v>115</v>
      </c>
      <c r="N118" s="132" t="s">
        <v>81</v>
      </c>
      <c r="O118" s="132" t="s">
        <v>82</v>
      </c>
      <c r="P118" s="4" t="s">
        <v>118</v>
      </c>
      <c r="Q118" s="4" t="s">
        <v>695</v>
      </c>
      <c r="R118" s="4"/>
      <c r="S118" s="4" t="s">
        <v>696</v>
      </c>
      <c r="T118" s="4" t="s">
        <v>517</v>
      </c>
      <c r="U118" s="4" t="s">
        <v>518</v>
      </c>
      <c r="V118" s="4" t="s">
        <v>519</v>
      </c>
      <c r="W118" s="4" t="s">
        <v>697</v>
      </c>
      <c r="X118" s="4" t="s">
        <v>698</v>
      </c>
      <c r="Y118" s="4"/>
      <c r="Z118" s="4" t="s">
        <v>725</v>
      </c>
      <c r="AA118" s="4" t="s">
        <v>700</v>
      </c>
      <c r="AB118" s="4" t="s">
        <v>701</v>
      </c>
      <c r="AC118" s="4" t="s">
        <v>702</v>
      </c>
      <c r="AD118" s="4"/>
      <c r="AF118" s="763"/>
      <c r="AI118" s="763"/>
      <c r="AK118" s="763"/>
      <c r="AM118" s="776"/>
    </row>
    <row r="119" spans="1:39">
      <c r="I119" s="504"/>
      <c r="J119" s="504"/>
      <c r="L119" s="762"/>
      <c r="M119" s="762"/>
      <c r="N119" s="762"/>
      <c r="O119" s="762"/>
      <c r="P119" s="762"/>
      <c r="Q119" s="762"/>
      <c r="R119" s="68"/>
      <c r="S119" s="68"/>
      <c r="T119" s="762"/>
      <c r="U119" s="762"/>
      <c r="V119" s="762"/>
      <c r="W119" s="762"/>
      <c r="X119" s="762"/>
      <c r="Y119" s="68"/>
      <c r="Z119" s="68"/>
      <c r="AA119" s="68"/>
      <c r="AB119" s="762"/>
      <c r="AC119" s="762"/>
      <c r="AD119" s="782"/>
      <c r="AE119" s="782"/>
    </row>
    <row r="120" spans="1:39">
      <c r="A120" s="4"/>
      <c r="B120" s="256"/>
      <c r="C120" s="6" t="s">
        <v>166</v>
      </c>
      <c r="D120" s="256"/>
      <c r="E120" s="134"/>
      <c r="F120" s="256"/>
      <c r="G120" s="749"/>
      <c r="H120" s="256"/>
      <c r="I120" s="504"/>
      <c r="J120" s="504"/>
      <c r="K120" s="256"/>
      <c r="L120" s="504"/>
      <c r="M120" s="504"/>
      <c r="N120" s="504"/>
      <c r="O120" s="504"/>
      <c r="P120" s="504"/>
      <c r="Q120" s="504"/>
      <c r="R120" s="256"/>
      <c r="S120" s="256"/>
      <c r="T120" s="504"/>
      <c r="U120" s="504"/>
      <c r="V120" s="504"/>
      <c r="W120" s="504"/>
      <c r="X120" s="504"/>
      <c r="Y120" s="256"/>
      <c r="Z120" s="256"/>
      <c r="AA120" s="256"/>
      <c r="AB120" s="504"/>
      <c r="AC120" s="504"/>
      <c r="AM120" s="776"/>
    </row>
    <row r="121" spans="1:39">
      <c r="A121" s="4">
        <v>51</v>
      </c>
      <c r="B121" s="256"/>
      <c r="C121" s="7" t="s">
        <v>703</v>
      </c>
      <c r="D121" s="256"/>
      <c r="E121" s="36" t="s">
        <v>704</v>
      </c>
      <c r="F121" s="256"/>
      <c r="G121" s="828">
        <v>264</v>
      </c>
      <c r="H121" s="256"/>
      <c r="I121" s="778">
        <v>681.10851778541416</v>
      </c>
      <c r="J121" s="753">
        <f>G121*I121/1000</f>
        <v>179.81264869534934</v>
      </c>
      <c r="K121" s="256"/>
      <c r="L121" s="762">
        <v>0</v>
      </c>
      <c r="M121" s="762">
        <v>0</v>
      </c>
      <c r="N121" s="762">
        <v>0</v>
      </c>
      <c r="O121" s="762">
        <v>0</v>
      </c>
      <c r="P121" s="762">
        <v>0</v>
      </c>
      <c r="Q121" s="762">
        <f>J121-L121-M121-N121-O121-P121</f>
        <v>179.81264869534934</v>
      </c>
      <c r="R121" s="771"/>
      <c r="S121" s="828">
        <v>4.8486798024642042</v>
      </c>
      <c r="T121" s="762">
        <v>0</v>
      </c>
      <c r="U121" s="762">
        <v>0</v>
      </c>
      <c r="V121" s="762">
        <v>0</v>
      </c>
      <c r="W121" s="762">
        <v>0</v>
      </c>
      <c r="X121" s="762">
        <v>0</v>
      </c>
      <c r="Y121" s="771"/>
      <c r="Z121" s="771">
        <f>Q121+S121+T121+U121+V121+W121+X121</f>
        <v>184.66132849781354</v>
      </c>
      <c r="AA121" s="915">
        <f>Z121/G121*1000</f>
        <v>699.47472915838455</v>
      </c>
      <c r="AB121" s="762">
        <f>Z121-J121</f>
        <v>4.8486798024642042</v>
      </c>
      <c r="AC121" s="770">
        <f>AA121/I121-1</f>
        <v>2.6965176463637608E-2</v>
      </c>
      <c r="AD121" s="769"/>
      <c r="AF121" s="763"/>
      <c r="AI121" s="763"/>
      <c r="AK121" s="763"/>
      <c r="AM121" s="776"/>
    </row>
    <row r="122" spans="1:39">
      <c r="A122" s="4">
        <v>52</v>
      </c>
      <c r="B122" s="256"/>
      <c r="C122" s="512" t="s">
        <v>726</v>
      </c>
      <c r="D122" s="256"/>
      <c r="E122" s="36" t="s">
        <v>675</v>
      </c>
      <c r="F122" s="256"/>
      <c r="G122" s="828">
        <v>14480.82</v>
      </c>
      <c r="H122" s="256"/>
      <c r="I122" s="861">
        <v>27.124262553809189</v>
      </c>
      <c r="J122" s="753">
        <f>G122*I122/100</f>
        <v>3927.8156367445113</v>
      </c>
      <c r="K122" s="256"/>
      <c r="L122" s="762">
        <v>0</v>
      </c>
      <c r="M122" s="762">
        <v>0</v>
      </c>
      <c r="N122" s="762">
        <v>0</v>
      </c>
      <c r="O122" s="762">
        <v>0</v>
      </c>
      <c r="P122" s="762">
        <v>0</v>
      </c>
      <c r="Q122" s="762">
        <f>J122-L122-M122-N122-O122-P122</f>
        <v>3927.8156367445113</v>
      </c>
      <c r="R122" s="771"/>
      <c r="S122" s="828">
        <v>105.91424176145165</v>
      </c>
      <c r="T122" s="762">
        <v>0</v>
      </c>
      <c r="U122" s="762">
        <v>0</v>
      </c>
      <c r="V122" s="762">
        <v>0</v>
      </c>
      <c r="W122" s="762">
        <v>0</v>
      </c>
      <c r="X122" s="762">
        <v>0</v>
      </c>
      <c r="Y122" s="771"/>
      <c r="Z122" s="771">
        <f>Q122+S122+T122+U122+V122+W122+X122</f>
        <v>4033.7298785059629</v>
      </c>
      <c r="AA122" s="821">
        <f>Z122/G122*100</f>
        <v>27.855673080018693</v>
      </c>
      <c r="AB122" s="762">
        <f>Z122-J122</f>
        <v>105.91424176145165</v>
      </c>
      <c r="AC122" s="770">
        <f>AA122/I122-1</f>
        <v>2.6965176463637608E-2</v>
      </c>
      <c r="AD122" s="769"/>
      <c r="AF122" s="763"/>
      <c r="AI122" s="763"/>
      <c r="AK122" s="763"/>
      <c r="AM122" s="776"/>
    </row>
    <row r="123" spans="1:39">
      <c r="A123" s="4"/>
      <c r="B123" s="256"/>
      <c r="C123" s="512" t="s">
        <v>705</v>
      </c>
      <c r="D123" s="256"/>
      <c r="E123" s="36"/>
      <c r="F123" s="256"/>
      <c r="G123" s="828"/>
      <c r="H123" s="256"/>
      <c r="I123" s="861"/>
      <c r="J123" s="753"/>
      <c r="K123" s="256"/>
      <c r="L123" s="762"/>
      <c r="M123" s="762"/>
      <c r="N123" s="762"/>
      <c r="O123" s="762"/>
      <c r="P123" s="762"/>
      <c r="Q123" s="762"/>
      <c r="R123" s="771"/>
      <c r="S123" s="828"/>
      <c r="T123" s="762"/>
      <c r="U123" s="762"/>
      <c r="V123" s="762"/>
      <c r="W123" s="762"/>
      <c r="X123" s="762"/>
      <c r="Y123" s="771"/>
      <c r="Z123" s="771"/>
      <c r="AA123" s="821"/>
      <c r="AB123" s="762"/>
      <c r="AC123" s="770"/>
      <c r="AD123" s="769"/>
      <c r="AF123" s="763"/>
      <c r="AI123" s="763"/>
      <c r="AK123" s="763"/>
      <c r="AM123" s="776"/>
    </row>
    <row r="124" spans="1:39">
      <c r="A124" s="4">
        <v>53</v>
      </c>
      <c r="B124" s="256"/>
      <c r="C124" s="9" t="s">
        <v>728</v>
      </c>
      <c r="D124" s="256"/>
      <c r="E124" s="36" t="s">
        <v>674</v>
      </c>
      <c r="F124" s="256"/>
      <c r="G124" s="828">
        <v>144905.005</v>
      </c>
      <c r="H124" s="256"/>
      <c r="I124" s="861">
        <v>0.67077638089742209</v>
      </c>
      <c r="J124" s="753">
        <f>G124*I124/100</f>
        <v>971.98854827822856</v>
      </c>
      <c r="K124" s="256"/>
      <c r="L124" s="828">
        <v>544.43090637781029</v>
      </c>
      <c r="M124" s="762">
        <v>0</v>
      </c>
      <c r="N124" s="828">
        <v>15.327025363790442</v>
      </c>
      <c r="O124" s="828">
        <v>312.19740139048338</v>
      </c>
      <c r="P124" s="828">
        <v>7.7085147255787296</v>
      </c>
      <c r="Q124" s="762">
        <f>J124-L124-M124-N124-O124-P124</f>
        <v>92.324700420565748</v>
      </c>
      <c r="R124" s="771"/>
      <c r="S124" s="828">
        <v>0.28329043571696566</v>
      </c>
      <c r="T124" s="828">
        <v>397.08018050127538</v>
      </c>
      <c r="U124" s="762">
        <v>0</v>
      </c>
      <c r="V124" s="828">
        <v>12.817654684621932</v>
      </c>
      <c r="W124" s="828">
        <v>342.14363229848487</v>
      </c>
      <c r="X124" s="828">
        <v>6.8849042658054778</v>
      </c>
      <c r="Y124" s="771"/>
      <c r="Z124" s="771">
        <f>Q124+S124+T124+U124+V124+W124+X124</f>
        <v>851.53436260647038</v>
      </c>
      <c r="AA124" s="821">
        <f>Z124/G124*100</f>
        <v>0.58765006951034593</v>
      </c>
      <c r="AB124" s="762">
        <f>Z124-J124</f>
        <v>-120.45418567175818</v>
      </c>
      <c r="AC124" s="785">
        <f>AA124/I124-1</f>
        <v>-0.12392551937482155</v>
      </c>
      <c r="AD124" s="785"/>
      <c r="AF124" s="763"/>
      <c r="AI124" s="763"/>
      <c r="AK124" s="763"/>
      <c r="AM124" s="776"/>
    </row>
    <row r="125" spans="1:39">
      <c r="A125" s="4">
        <v>54</v>
      </c>
      <c r="B125" s="256"/>
      <c r="C125" s="9" t="s">
        <v>729</v>
      </c>
      <c r="D125" s="256"/>
      <c r="E125" s="36" t="s">
        <v>674</v>
      </c>
      <c r="F125" s="256"/>
      <c r="G125" s="828">
        <v>236967.948</v>
      </c>
      <c r="H125" s="256"/>
      <c r="I125" s="861">
        <v>0.5682897741756695</v>
      </c>
      <c r="J125" s="753">
        <f>G125*I125/100</f>
        <v>1346.664616557918</v>
      </c>
      <c r="K125" s="256"/>
      <c r="L125" s="828">
        <v>890.3258704703112</v>
      </c>
      <c r="M125" s="762">
        <v>0</v>
      </c>
      <c r="N125" s="828">
        <v>25.064791581225055</v>
      </c>
      <c r="O125" s="828">
        <v>510.54673769505195</v>
      </c>
      <c r="P125" s="828">
        <v>12.605989121274138</v>
      </c>
      <c r="Q125" s="762">
        <f>J125-L125-M125-N125-O125-P125</f>
        <v>-91.878772309944381</v>
      </c>
      <c r="R125" s="771"/>
      <c r="S125" s="928">
        <v>-6.0853298877110547</v>
      </c>
      <c r="T125" s="828">
        <v>649.35835421872991</v>
      </c>
      <c r="U125" s="762">
        <v>0</v>
      </c>
      <c r="V125" s="828">
        <v>20.961134701920379</v>
      </c>
      <c r="W125" s="828">
        <v>559.51879969251911</v>
      </c>
      <c r="X125" s="828">
        <v>11.25911169213493</v>
      </c>
      <c r="Y125" s="771"/>
      <c r="Z125" s="771">
        <f>Q125+S125+T125+U125+V125+W125+X125</f>
        <v>1143.1332981076489</v>
      </c>
      <c r="AA125" s="821">
        <f>Z125/G125*100</f>
        <v>0.48239996495544996</v>
      </c>
      <c r="AB125" s="762">
        <f>Z125-J125</f>
        <v>-203.53131845026905</v>
      </c>
      <c r="AC125" s="785">
        <f>AA125/I125-1</f>
        <v>-0.15113734774623855</v>
      </c>
      <c r="AD125" s="785"/>
      <c r="AF125" s="763"/>
      <c r="AI125" s="763"/>
      <c r="AK125" s="763"/>
      <c r="AM125" s="776"/>
    </row>
    <row r="126" spans="1:39">
      <c r="A126" s="4">
        <v>55</v>
      </c>
      <c r="B126" s="256"/>
      <c r="C126" s="512" t="s">
        <v>705</v>
      </c>
      <c r="D126" s="256"/>
      <c r="E126" s="36"/>
      <c r="G126" s="830">
        <f>SUM(G124:G125)</f>
        <v>381872.95299999998</v>
      </c>
      <c r="I126" s="914">
        <f>J126/G126*100</f>
        <v>0.60717920623096522</v>
      </c>
      <c r="J126" s="842">
        <f>SUM(J124:J125)</f>
        <v>2318.6531648361465</v>
      </c>
      <c r="L126" s="830">
        <f t="shared" ref="L126:Q126" si="34">SUM(L124:L125)</f>
        <v>1434.7567768481215</v>
      </c>
      <c r="M126" s="805">
        <f t="shared" si="34"/>
        <v>0</v>
      </c>
      <c r="N126" s="830">
        <f t="shared" si="34"/>
        <v>40.391816945015499</v>
      </c>
      <c r="O126" s="830">
        <f t="shared" si="34"/>
        <v>822.74413908553538</v>
      </c>
      <c r="P126" s="830">
        <f t="shared" si="34"/>
        <v>20.314503846852869</v>
      </c>
      <c r="Q126" s="805">
        <f t="shared" si="34"/>
        <v>0.44592811062136661</v>
      </c>
      <c r="R126" s="68"/>
      <c r="S126" s="927">
        <f t="shared" ref="S126:X126" si="35">SUM(S124:S125)</f>
        <v>-5.802039451994089</v>
      </c>
      <c r="T126" s="830">
        <f t="shared" si="35"/>
        <v>1046.4385347200052</v>
      </c>
      <c r="U126" s="420">
        <f t="shared" si="35"/>
        <v>0</v>
      </c>
      <c r="V126" s="830">
        <f t="shared" si="35"/>
        <v>33.778789386542314</v>
      </c>
      <c r="W126" s="830">
        <f t="shared" si="35"/>
        <v>901.66243199100404</v>
      </c>
      <c r="X126" s="830">
        <f t="shared" si="35"/>
        <v>18.144015957940407</v>
      </c>
      <c r="Y126" s="68"/>
      <c r="Z126" s="416">
        <f>SUM(Z124:Z125)</f>
        <v>1994.6676607141194</v>
      </c>
      <c r="AA126" s="912">
        <f>Z126/G126*100</f>
        <v>0.5223380302385856</v>
      </c>
      <c r="AB126" s="805">
        <f>AB124+AB125</f>
        <v>-323.98550412202724</v>
      </c>
      <c r="AC126" s="816">
        <f>AA126/I126-1</f>
        <v>-0.13973004200691752</v>
      </c>
      <c r="AD126" s="785"/>
      <c r="AF126" s="763"/>
      <c r="AI126" s="763"/>
      <c r="AK126" s="763"/>
      <c r="AM126" s="776"/>
    </row>
    <row r="127" spans="1:39">
      <c r="A127" s="4"/>
      <c r="B127" s="256"/>
      <c r="C127" s="7"/>
      <c r="D127" s="256"/>
      <c r="E127" s="742"/>
      <c r="F127" s="256"/>
      <c r="G127" s="35"/>
      <c r="H127" s="256"/>
      <c r="I127" s="504"/>
      <c r="J127" s="504"/>
      <c r="K127" s="256"/>
      <c r="L127" s="762"/>
      <c r="M127" s="762"/>
      <c r="N127" s="762"/>
      <c r="O127" s="762"/>
      <c r="P127" s="762"/>
      <c r="Q127" s="805"/>
      <c r="R127" s="771"/>
      <c r="S127" s="771"/>
      <c r="T127" s="762"/>
      <c r="U127" s="762"/>
      <c r="V127" s="762"/>
      <c r="W127" s="762"/>
      <c r="X127" s="762"/>
      <c r="Y127" s="771"/>
      <c r="Z127" s="416"/>
      <c r="AA127" s="821"/>
      <c r="AB127" s="762"/>
      <c r="AC127" s="770"/>
      <c r="AD127" s="769"/>
      <c r="AF127" s="763"/>
      <c r="AI127" s="763"/>
      <c r="AK127" s="763"/>
      <c r="AM127" s="776"/>
    </row>
    <row r="128" spans="1:39">
      <c r="A128" s="4">
        <v>56</v>
      </c>
      <c r="B128" s="256"/>
      <c r="C128" s="7" t="s">
        <v>710</v>
      </c>
      <c r="D128" s="256"/>
      <c r="E128" s="742"/>
      <c r="F128" s="256"/>
      <c r="G128" s="420">
        <f>G126</f>
        <v>381872.95299999998</v>
      </c>
      <c r="H128" s="256"/>
      <c r="I128" s="914">
        <f>J128/G128*100</f>
        <v>1.6828323136768493</v>
      </c>
      <c r="J128" s="842">
        <f>J121+J122+J126</f>
        <v>6426.2814502760066</v>
      </c>
      <c r="K128" s="753"/>
      <c r="L128" s="842">
        <f t="shared" ref="L128:Q128" si="36">L121+L122+L126</f>
        <v>1434.7567768481215</v>
      </c>
      <c r="M128" s="805">
        <f t="shared" si="36"/>
        <v>0</v>
      </c>
      <c r="N128" s="842">
        <f t="shared" si="36"/>
        <v>40.391816945015499</v>
      </c>
      <c r="O128" s="842">
        <f t="shared" si="36"/>
        <v>822.74413908553538</v>
      </c>
      <c r="P128" s="842">
        <f t="shared" si="36"/>
        <v>20.314503846852869</v>
      </c>
      <c r="Q128" s="805">
        <f t="shared" si="36"/>
        <v>4108.0742135504815</v>
      </c>
      <c r="R128" s="753"/>
      <c r="S128" s="842">
        <f t="shared" ref="S128:X128" si="37">S121+S122+S126</f>
        <v>104.96088211192176</v>
      </c>
      <c r="T128" s="842">
        <f t="shared" si="37"/>
        <v>1046.4385347200052</v>
      </c>
      <c r="U128" s="805">
        <f t="shared" si="37"/>
        <v>0</v>
      </c>
      <c r="V128" s="842">
        <f t="shared" si="37"/>
        <v>33.778789386542314</v>
      </c>
      <c r="W128" s="842">
        <f t="shared" si="37"/>
        <v>901.66243199100404</v>
      </c>
      <c r="X128" s="842">
        <f t="shared" si="37"/>
        <v>18.144015957940407</v>
      </c>
      <c r="Y128" s="753"/>
      <c r="Z128" s="416">
        <f>Z121+Z122+Z126</f>
        <v>6213.0588677178966</v>
      </c>
      <c r="AA128" s="902">
        <f>Z128/G128*100</f>
        <v>1.6269963135404086</v>
      </c>
      <c r="AB128" s="805">
        <f>AB121+AB122+AB126</f>
        <v>-213.22258255811138</v>
      </c>
      <c r="AC128" s="816">
        <f>AA128/I128-1</f>
        <v>-3.3179776548528217E-2</v>
      </c>
      <c r="AD128" s="785"/>
      <c r="AF128" s="763"/>
      <c r="AI128" s="763"/>
      <c r="AK128" s="763"/>
      <c r="AM128" s="776"/>
    </row>
    <row r="129" spans="1:39">
      <c r="A129" s="4"/>
      <c r="E129" s="742"/>
      <c r="F129" s="256"/>
      <c r="G129" s="35"/>
      <c r="H129" s="256"/>
      <c r="I129" s="504"/>
      <c r="J129" s="504"/>
      <c r="K129" s="256"/>
      <c r="L129" s="762"/>
      <c r="M129" s="762"/>
      <c r="N129" s="762"/>
      <c r="O129" s="762"/>
      <c r="P129" s="762"/>
      <c r="Q129" s="762"/>
      <c r="R129" s="771"/>
      <c r="S129" s="771"/>
      <c r="T129" s="762"/>
      <c r="U129" s="762"/>
      <c r="V129" s="762"/>
      <c r="W129" s="762"/>
      <c r="X129" s="762"/>
      <c r="Y129" s="771"/>
      <c r="Z129" s="771"/>
      <c r="AA129" s="771"/>
      <c r="AB129" s="762"/>
      <c r="AC129" s="762"/>
      <c r="AD129" s="782"/>
      <c r="AF129" s="763"/>
      <c r="AI129" s="763"/>
      <c r="AK129" s="763"/>
      <c r="AM129" s="776"/>
    </row>
    <row r="130" spans="1:39">
      <c r="A130" s="4">
        <v>57</v>
      </c>
      <c r="B130" s="256"/>
      <c r="C130" s="9" t="s">
        <v>711</v>
      </c>
      <c r="D130" s="256"/>
      <c r="E130" s="513" t="s">
        <v>674</v>
      </c>
      <c r="F130" s="256"/>
      <c r="G130" s="828">
        <v>381872.95299999998</v>
      </c>
      <c r="H130" s="256"/>
      <c r="I130" s="861">
        <v>9.4794584882729044E-2</v>
      </c>
      <c r="J130" s="753">
        <f>G130*I130/100</f>
        <v>361.994880575769</v>
      </c>
      <c r="K130" s="256"/>
      <c r="L130" s="762">
        <v>0</v>
      </c>
      <c r="M130" s="828">
        <v>88.058747902106859</v>
      </c>
      <c r="N130" s="762">
        <v>0</v>
      </c>
      <c r="O130" s="762">
        <v>0</v>
      </c>
      <c r="P130" s="762">
        <v>0</v>
      </c>
      <c r="Q130" s="762">
        <f>J130-L130-M130-N130-O130-P130</f>
        <v>273.93613267366214</v>
      </c>
      <c r="R130" s="771"/>
      <c r="S130" s="828">
        <v>2.4559105698891557</v>
      </c>
      <c r="T130" s="762">
        <v>0</v>
      </c>
      <c r="U130" s="828">
        <v>87.753931739182406</v>
      </c>
      <c r="V130" s="762">
        <v>0</v>
      </c>
      <c r="W130" s="762">
        <v>0</v>
      </c>
      <c r="X130" s="762">
        <v>0</v>
      </c>
      <c r="Y130" s="771"/>
      <c r="Z130" s="453">
        <f>Q130+S130+T130+U130+V130+W130+X130</f>
        <v>364.14597498273372</v>
      </c>
      <c r="AA130" s="821">
        <f>Z130/G130*100</f>
        <v>9.5357885946621035E-2</v>
      </c>
      <c r="AB130" s="827">
        <f>Z130-J130</f>
        <v>2.1510944069647167</v>
      </c>
      <c r="AC130" s="785">
        <f>AA130/I130-1</f>
        <v>5.9423337798130138E-3</v>
      </c>
      <c r="AD130" s="785"/>
      <c r="AF130" s="763"/>
      <c r="AI130" s="763"/>
      <c r="AK130" s="763"/>
      <c r="AM130" s="776"/>
    </row>
    <row r="131" spans="1:39">
      <c r="A131" s="4"/>
      <c r="B131" s="256"/>
      <c r="C131" s="9"/>
      <c r="D131" s="256"/>
      <c r="E131" s="513"/>
      <c r="F131" s="256"/>
      <c r="G131" s="828"/>
      <c r="H131" s="256"/>
      <c r="I131" s="861"/>
      <c r="J131" s="753"/>
      <c r="K131" s="256"/>
      <c r="L131" s="762"/>
      <c r="M131" s="828"/>
      <c r="N131" s="762"/>
      <c r="O131" s="762"/>
      <c r="P131" s="762"/>
      <c r="Q131" s="762"/>
      <c r="R131" s="771"/>
      <c r="S131" s="828"/>
      <c r="T131" s="762"/>
      <c r="U131" s="828"/>
      <c r="V131" s="762"/>
      <c r="W131" s="762"/>
      <c r="X131" s="762"/>
      <c r="Y131" s="771"/>
      <c r="Z131" s="453"/>
      <c r="AA131" s="823"/>
      <c r="AB131" s="827"/>
      <c r="AC131" s="785"/>
      <c r="AD131" s="785"/>
      <c r="AF131" s="763"/>
      <c r="AI131" s="763"/>
      <c r="AK131" s="763"/>
      <c r="AM131" s="776"/>
    </row>
    <row r="132" spans="1:39">
      <c r="A132" s="4"/>
      <c r="B132" s="256"/>
      <c r="C132" s="7" t="s">
        <v>712</v>
      </c>
      <c r="D132" s="256"/>
      <c r="E132" s="513"/>
      <c r="F132" s="256"/>
      <c r="G132" s="828"/>
      <c r="H132" s="256"/>
      <c r="I132" s="861"/>
      <c r="J132" s="753"/>
      <c r="K132" s="256"/>
      <c r="L132" s="762"/>
      <c r="M132" s="828"/>
      <c r="N132" s="762"/>
      <c r="O132" s="762"/>
      <c r="P132" s="762"/>
      <c r="Q132" s="762"/>
      <c r="R132" s="771"/>
      <c r="S132" s="828"/>
      <c r="T132" s="762"/>
      <c r="U132" s="828"/>
      <c r="V132" s="762"/>
      <c r="W132" s="762"/>
      <c r="X132" s="762"/>
      <c r="Y132" s="771"/>
      <c r="Z132" s="453"/>
      <c r="AA132" s="823"/>
      <c r="AB132" s="827"/>
      <c r="AC132" s="785"/>
      <c r="AD132" s="785"/>
      <c r="AF132" s="763"/>
      <c r="AI132" s="763"/>
      <c r="AK132" s="763"/>
      <c r="AM132" s="776"/>
    </row>
    <row r="133" spans="1:39">
      <c r="A133" s="4">
        <v>58</v>
      </c>
      <c r="B133" s="256"/>
      <c r="C133" s="9" t="s">
        <v>713</v>
      </c>
      <c r="D133" s="256"/>
      <c r="E133" s="513" t="s">
        <v>674</v>
      </c>
      <c r="F133" s="256"/>
      <c r="G133" s="828">
        <v>1651.1379999999999</v>
      </c>
      <c r="H133" s="256"/>
      <c r="I133" s="861">
        <v>3.9267453785808999</v>
      </c>
      <c r="J133" s="753">
        <f>G133*I133/100</f>
        <v>64.8359851089931</v>
      </c>
      <c r="K133" s="256"/>
      <c r="L133" s="762">
        <v>0</v>
      </c>
      <c r="M133" s="762">
        <v>0</v>
      </c>
      <c r="N133" s="762">
        <v>0</v>
      </c>
      <c r="O133" s="762">
        <v>0</v>
      </c>
      <c r="P133" s="762">
        <v>0</v>
      </c>
      <c r="Q133" s="762">
        <f>J133-L133-M133-N133-O133-P133</f>
        <v>64.8359851089931</v>
      </c>
      <c r="R133" s="771"/>
      <c r="S133" s="828">
        <v>3.3515499491767908E-2</v>
      </c>
      <c r="T133" s="762">
        <v>0</v>
      </c>
      <c r="U133" s="762">
        <v>0</v>
      </c>
      <c r="V133" s="762">
        <v>0</v>
      </c>
      <c r="W133" s="762">
        <v>0</v>
      </c>
      <c r="X133" s="762">
        <v>0</v>
      </c>
      <c r="Y133" s="771"/>
      <c r="Z133" s="453">
        <f>Q133+S133+T133+U133+V133+W133+X133</f>
        <v>64.86950060848487</v>
      </c>
      <c r="AA133" s="821">
        <f>Z133/G133*100</f>
        <v>3.9287752209981761</v>
      </c>
      <c r="AB133" s="827">
        <f>Z133-J133</f>
        <v>3.3515499491770129E-2</v>
      </c>
      <c r="AC133" s="785"/>
      <c r="AD133" s="785"/>
      <c r="AF133" s="763"/>
      <c r="AI133" s="763"/>
      <c r="AK133" s="763"/>
      <c r="AM133" s="776"/>
    </row>
    <row r="134" spans="1:39">
      <c r="A134" s="4">
        <v>59</v>
      </c>
      <c r="B134" s="256"/>
      <c r="C134" s="9" t="s">
        <v>714</v>
      </c>
      <c r="D134" s="256"/>
      <c r="E134" s="513" t="s">
        <v>674</v>
      </c>
      <c r="F134" s="256"/>
      <c r="G134" s="828">
        <v>241077.16699999999</v>
      </c>
      <c r="H134" s="256"/>
      <c r="I134" s="861">
        <v>0.96972045424185205</v>
      </c>
      <c r="J134" s="753">
        <f>G134*I134/100</f>
        <v>2337.774598905788</v>
      </c>
      <c r="K134" s="256"/>
      <c r="L134" s="762">
        <v>0</v>
      </c>
      <c r="M134" s="762">
        <v>0</v>
      </c>
      <c r="N134" s="762">
        <v>0</v>
      </c>
      <c r="O134" s="762">
        <v>0</v>
      </c>
      <c r="P134" s="762">
        <v>0</v>
      </c>
      <c r="Q134" s="762">
        <f>J134-L134-M134-N134-O134-P134</f>
        <v>2337.774598905788</v>
      </c>
      <c r="R134" s="771"/>
      <c r="S134" s="828">
        <v>38.860929059863111</v>
      </c>
      <c r="T134" s="762">
        <v>0</v>
      </c>
      <c r="U134" s="762">
        <v>0</v>
      </c>
      <c r="V134" s="762">
        <v>0</v>
      </c>
      <c r="W134" s="762">
        <v>0</v>
      </c>
      <c r="X134" s="762">
        <v>0</v>
      </c>
      <c r="Y134" s="771"/>
      <c r="Z134" s="453">
        <f>Q134+S134+T134+U134+V134+W134+X134</f>
        <v>2376.6355279656509</v>
      </c>
      <c r="AA134" s="821">
        <f>Z134/G134*100</f>
        <v>0.98584015962227201</v>
      </c>
      <c r="AB134" s="827">
        <f>Z134-J134</f>
        <v>38.860929059862883</v>
      </c>
      <c r="AC134" s="785"/>
      <c r="AD134" s="785"/>
      <c r="AF134" s="763"/>
      <c r="AI134" s="763"/>
      <c r="AK134" s="763"/>
      <c r="AM134" s="776"/>
    </row>
    <row r="135" spans="1:39">
      <c r="A135" s="4">
        <v>60</v>
      </c>
      <c r="B135" s="256"/>
      <c r="C135" s="7" t="s">
        <v>712</v>
      </c>
      <c r="D135" s="256"/>
      <c r="E135" s="513"/>
      <c r="F135" s="256"/>
      <c r="G135" s="830">
        <f>SUM(G133:G134)</f>
        <v>242728.30499999999</v>
      </c>
      <c r="H135" s="922"/>
      <c r="I135" s="891">
        <f>J135/G135*100</f>
        <v>0.98983535686733415</v>
      </c>
      <c r="J135" s="842">
        <f>SUM(J133:J134)</f>
        <v>2402.6105840147811</v>
      </c>
      <c r="K135" s="256"/>
      <c r="L135" s="805">
        <f t="shared" ref="L135:Q135" si="38">SUM(L133:L134)</f>
        <v>0</v>
      </c>
      <c r="M135" s="805">
        <f t="shared" si="38"/>
        <v>0</v>
      </c>
      <c r="N135" s="805">
        <f t="shared" si="38"/>
        <v>0</v>
      </c>
      <c r="O135" s="805">
        <f t="shared" si="38"/>
        <v>0</v>
      </c>
      <c r="P135" s="805">
        <f t="shared" si="38"/>
        <v>0</v>
      </c>
      <c r="Q135" s="805">
        <f t="shared" si="38"/>
        <v>2402.6105840147811</v>
      </c>
      <c r="R135" s="762"/>
      <c r="S135" s="830">
        <f t="shared" ref="S135:X135" si="39">SUM(S133:S134)</f>
        <v>38.894444559354881</v>
      </c>
      <c r="T135" s="805">
        <f t="shared" si="39"/>
        <v>0</v>
      </c>
      <c r="U135" s="805">
        <f t="shared" si="39"/>
        <v>0</v>
      </c>
      <c r="V135" s="805">
        <f t="shared" si="39"/>
        <v>0</v>
      </c>
      <c r="W135" s="805">
        <f t="shared" si="39"/>
        <v>0</v>
      </c>
      <c r="X135" s="805">
        <f t="shared" si="39"/>
        <v>0</v>
      </c>
      <c r="Y135" s="762"/>
      <c r="Z135" s="805">
        <f>SUM(Z133:Z134)</f>
        <v>2441.5050285741358</v>
      </c>
      <c r="AA135" s="902">
        <f>Z135/G135*100</f>
        <v>1.005859217191063</v>
      </c>
      <c r="AB135" s="893">
        <f>SUM(AB133:AB134)</f>
        <v>38.894444559354653</v>
      </c>
      <c r="AC135" s="816">
        <f>AA135/I135-1</f>
        <v>1.6188409731535236E-2</v>
      </c>
      <c r="AD135" s="785"/>
      <c r="AF135" s="763"/>
      <c r="AI135" s="763"/>
      <c r="AK135" s="763"/>
      <c r="AM135" s="776"/>
    </row>
    <row r="136" spans="1:39">
      <c r="A136" s="4"/>
      <c r="B136" s="256"/>
      <c r="D136" s="256"/>
      <c r="E136" s="385"/>
      <c r="G136" s="828"/>
      <c r="I136" s="861"/>
      <c r="J136" s="753"/>
      <c r="L136" s="762"/>
      <c r="M136" s="762"/>
      <c r="N136" s="762"/>
      <c r="O136" s="762"/>
      <c r="P136" s="762"/>
      <c r="Q136" s="762"/>
      <c r="R136" s="68"/>
      <c r="S136" s="828"/>
      <c r="T136" s="762"/>
      <c r="U136" s="762"/>
      <c r="V136" s="762"/>
      <c r="W136" s="762"/>
      <c r="X136" s="762"/>
      <c r="Y136" s="68"/>
      <c r="Z136" s="453"/>
      <c r="AA136" s="823"/>
      <c r="AB136" s="827"/>
      <c r="AC136" s="785"/>
      <c r="AD136" s="785"/>
      <c r="AF136" s="763"/>
      <c r="AI136" s="763"/>
      <c r="AK136" s="763"/>
      <c r="AM136" s="776"/>
    </row>
    <row r="137" spans="1:39">
      <c r="A137" s="4">
        <v>61</v>
      </c>
      <c r="B137" s="256"/>
      <c r="C137" s="7" t="s">
        <v>715</v>
      </c>
      <c r="D137" s="256"/>
      <c r="E137" s="513" t="s">
        <v>674</v>
      </c>
      <c r="F137" s="256"/>
      <c r="G137" s="828">
        <v>1651.1379999999999</v>
      </c>
      <c r="H137" s="256"/>
      <c r="I137" s="861">
        <v>18.339431448884856</v>
      </c>
      <c r="J137" s="753">
        <f>G137*I137/100</f>
        <v>302.80932163648845</v>
      </c>
      <c r="K137" s="256"/>
      <c r="L137" s="762">
        <v>0</v>
      </c>
      <c r="M137" s="762">
        <v>0</v>
      </c>
      <c r="N137" s="762">
        <v>0</v>
      </c>
      <c r="O137" s="762">
        <v>0</v>
      </c>
      <c r="P137" s="762">
        <v>0</v>
      </c>
      <c r="Q137" s="762">
        <f>J137-L137-M137-N137-O137-P137</f>
        <v>302.80932163648845</v>
      </c>
      <c r="R137" s="771"/>
      <c r="S137" s="828">
        <v>2.0892208192047623E-2</v>
      </c>
      <c r="T137" s="762">
        <v>0</v>
      </c>
      <c r="U137" s="762">
        <v>0</v>
      </c>
      <c r="V137" s="762">
        <v>0</v>
      </c>
      <c r="W137" s="762">
        <v>0</v>
      </c>
      <c r="X137" s="762">
        <v>0</v>
      </c>
      <c r="Y137" s="771"/>
      <c r="Z137" s="453">
        <f>Q137+S137+T137+U137+V137+W137+X137</f>
        <v>302.83021384468049</v>
      </c>
      <c r="AA137" s="821">
        <f>Z137/G137*100</f>
        <v>18.340696770632164</v>
      </c>
      <c r="AB137" s="827">
        <f>Z137-J137</f>
        <v>2.0892208192037742E-2</v>
      </c>
      <c r="AC137" s="785">
        <f>AA137/I137-1</f>
        <v>6.8994600559646457E-5</v>
      </c>
      <c r="AD137" s="785"/>
      <c r="AF137" s="763"/>
      <c r="AI137" s="763"/>
      <c r="AK137" s="763"/>
      <c r="AM137" s="776"/>
    </row>
    <row r="138" spans="1:39">
      <c r="A138" s="4"/>
      <c r="B138" s="256"/>
      <c r="C138" s="7"/>
      <c r="D138" s="256"/>
      <c r="E138" s="36"/>
      <c r="F138" s="256"/>
      <c r="G138" s="35"/>
      <c r="H138" s="256"/>
      <c r="I138" s="861"/>
      <c r="J138" s="504"/>
      <c r="K138" s="256"/>
      <c r="L138" s="762"/>
      <c r="M138" s="762"/>
      <c r="N138" s="762"/>
      <c r="O138" s="762"/>
      <c r="P138" s="762"/>
      <c r="Q138" s="762"/>
      <c r="R138" s="771"/>
      <c r="S138" s="771"/>
      <c r="T138" s="762"/>
      <c r="U138" s="762"/>
      <c r="V138" s="762"/>
      <c r="W138" s="762"/>
      <c r="X138" s="762"/>
      <c r="Y138" s="771"/>
      <c r="Z138" s="453"/>
      <c r="AA138" s="823"/>
      <c r="AB138" s="827"/>
      <c r="AC138" s="834"/>
      <c r="AD138" s="833"/>
      <c r="AF138" s="763"/>
      <c r="AI138" s="763"/>
      <c r="AK138" s="763"/>
      <c r="AM138" s="776"/>
    </row>
    <row r="139" spans="1:39" ht="13.5" thickBot="1">
      <c r="A139" s="4">
        <v>62</v>
      </c>
      <c r="C139" s="7" t="s">
        <v>734</v>
      </c>
      <c r="E139" s="36"/>
      <c r="F139" s="256"/>
      <c r="G139" s="926">
        <f>G126</f>
        <v>381872.95299999998</v>
      </c>
      <c r="I139" s="908">
        <f>J139/G139*100</f>
        <v>2.486087627290809</v>
      </c>
      <c r="J139" s="839">
        <f>J128+J130+J135+J137</f>
        <v>9493.6962365030449</v>
      </c>
      <c r="K139" s="753"/>
      <c r="L139" s="839">
        <f t="shared" ref="L139:Q139" si="40">L128+L130+L135+L137</f>
        <v>1434.7567768481215</v>
      </c>
      <c r="M139" s="839">
        <f t="shared" si="40"/>
        <v>88.058747902106859</v>
      </c>
      <c r="N139" s="839">
        <f t="shared" si="40"/>
        <v>40.391816945015499</v>
      </c>
      <c r="O139" s="839">
        <f t="shared" si="40"/>
        <v>822.74413908553538</v>
      </c>
      <c r="P139" s="839">
        <f t="shared" si="40"/>
        <v>20.314503846852869</v>
      </c>
      <c r="Q139" s="799">
        <f t="shared" si="40"/>
        <v>7087.4302518754139</v>
      </c>
      <c r="R139" s="753"/>
      <c r="S139" s="839">
        <f t="shared" ref="S139:X139" si="41">S128+S130+S135+S137</f>
        <v>146.33212944935784</v>
      </c>
      <c r="T139" s="839">
        <f t="shared" si="41"/>
        <v>1046.4385347200052</v>
      </c>
      <c r="U139" s="839">
        <f t="shared" si="41"/>
        <v>87.753931739182406</v>
      </c>
      <c r="V139" s="839">
        <f t="shared" si="41"/>
        <v>33.778789386542314</v>
      </c>
      <c r="W139" s="839">
        <f t="shared" si="41"/>
        <v>901.66243199100404</v>
      </c>
      <c r="X139" s="839">
        <f t="shared" si="41"/>
        <v>18.144015957940407</v>
      </c>
      <c r="Y139" s="753"/>
      <c r="Z139" s="458">
        <f>Z128+Z130+Z135+Z137</f>
        <v>9321.5400851194463</v>
      </c>
      <c r="AA139" s="901">
        <f>Z139/G139*100</f>
        <v>2.4410055783970241</v>
      </c>
      <c r="AB139" s="918">
        <f>AB128+AB130+AB133+AB134+AB137</f>
        <v>-172.15615138359999</v>
      </c>
      <c r="AC139" s="815">
        <f>AA139/I139-1</f>
        <v>-1.8133732857563256E-2</v>
      </c>
      <c r="AD139" s="833"/>
      <c r="AF139" s="763"/>
      <c r="AI139" s="763"/>
      <c r="AK139" s="763"/>
      <c r="AM139" s="776"/>
    </row>
    <row r="140" spans="1:39" ht="13.5" thickTop="1">
      <c r="A140" s="4"/>
      <c r="B140" s="256"/>
      <c r="C140" s="7"/>
      <c r="D140" s="256"/>
      <c r="E140" s="36"/>
      <c r="F140" s="256"/>
      <c r="G140" s="35"/>
      <c r="H140" s="256"/>
      <c r="I140" s="504"/>
      <c r="J140" s="504"/>
      <c r="K140" s="256"/>
      <c r="L140" s="504"/>
      <c r="M140" s="504"/>
      <c r="N140" s="504"/>
      <c r="O140" s="504"/>
      <c r="P140" s="504"/>
      <c r="Q140" s="504"/>
      <c r="R140" s="256"/>
      <c r="S140" s="256"/>
      <c r="T140" s="504"/>
      <c r="U140" s="504"/>
      <c r="V140" s="504"/>
      <c r="W140" s="504"/>
      <c r="X140" s="504"/>
      <c r="Y140" s="256"/>
      <c r="Z140" s="888"/>
      <c r="AA140" s="888"/>
      <c r="AB140" s="925"/>
      <c r="AC140" s="666"/>
      <c r="AD140" s="326"/>
    </row>
    <row r="141" spans="1:39">
      <c r="A141" s="4"/>
      <c r="B141" s="256"/>
      <c r="C141" s="6" t="s">
        <v>167</v>
      </c>
      <c r="D141" s="256"/>
      <c r="E141" s="36"/>
      <c r="F141" s="256"/>
      <c r="G141" s="828"/>
      <c r="H141" s="256"/>
      <c r="I141" s="504"/>
      <c r="J141" s="504"/>
      <c r="K141" s="256"/>
      <c r="L141" s="504"/>
      <c r="M141" s="504"/>
      <c r="N141" s="504"/>
      <c r="O141" s="504"/>
      <c r="P141" s="504"/>
      <c r="Q141" s="504"/>
      <c r="R141" s="256"/>
      <c r="S141" s="256"/>
      <c r="T141" s="504"/>
      <c r="U141" s="504"/>
      <c r="V141" s="504"/>
      <c r="W141" s="504"/>
      <c r="X141" s="504"/>
      <c r="Y141" s="256"/>
      <c r="Z141" s="888"/>
      <c r="AA141" s="888"/>
      <c r="AB141" s="925"/>
      <c r="AC141" s="666"/>
      <c r="AD141" s="326"/>
    </row>
    <row r="142" spans="1:39">
      <c r="A142" s="4">
        <v>63</v>
      </c>
      <c r="B142" s="256"/>
      <c r="C142" s="7" t="s">
        <v>703</v>
      </c>
      <c r="D142" s="256"/>
      <c r="E142" s="36" t="s">
        <v>704</v>
      </c>
      <c r="F142" s="256"/>
      <c r="G142" s="828">
        <v>48</v>
      </c>
      <c r="H142" s="256"/>
      <c r="I142" s="778">
        <v>546.96967474977816</v>
      </c>
      <c r="J142" s="753">
        <f>G142*I142/1000</f>
        <v>26.254544387989348</v>
      </c>
      <c r="K142" s="256"/>
      <c r="L142" s="762">
        <v>0</v>
      </c>
      <c r="M142" s="762">
        <v>0</v>
      </c>
      <c r="N142" s="762">
        <v>0</v>
      </c>
      <c r="O142" s="762">
        <v>0</v>
      </c>
      <c r="P142" s="762">
        <v>0</v>
      </c>
      <c r="Q142" s="762">
        <f>J142-L142-M142-N142-O142-P142</f>
        <v>26.254544387989348</v>
      </c>
      <c r="R142" s="771"/>
      <c r="S142" s="828">
        <v>0.70795842239454387</v>
      </c>
      <c r="T142" s="762">
        <v>0</v>
      </c>
      <c r="U142" s="762">
        <v>0</v>
      </c>
      <c r="V142" s="762">
        <v>0</v>
      </c>
      <c r="W142" s="762">
        <v>0</v>
      </c>
      <c r="X142" s="762">
        <v>0</v>
      </c>
      <c r="Y142" s="771"/>
      <c r="Z142" s="453">
        <f>Q142+S142+T142+U142+V142+W142+X142</f>
        <v>26.962502810383892</v>
      </c>
      <c r="AA142" s="924">
        <f>Z142/G142*1000</f>
        <v>561.71880854966435</v>
      </c>
      <c r="AB142" s="827">
        <f>Z142-J142</f>
        <v>0.70795842239454387</v>
      </c>
      <c r="AC142" s="834">
        <f>AA142/I142-1</f>
        <v>2.6965176463637608E-2</v>
      </c>
      <c r="AD142" s="833"/>
      <c r="AF142" s="763"/>
      <c r="AI142" s="763"/>
      <c r="AK142" s="763"/>
      <c r="AM142" s="776"/>
    </row>
    <row r="143" spans="1:39">
      <c r="A143" s="4">
        <v>64</v>
      </c>
      <c r="C143" s="512" t="s">
        <v>726</v>
      </c>
      <c r="E143" s="36" t="s">
        <v>675</v>
      </c>
      <c r="G143" s="828">
        <v>111124.284</v>
      </c>
      <c r="I143" s="861">
        <v>11.212672899678186</v>
      </c>
      <c r="J143" s="753">
        <f>G143*I143/100</f>
        <v>12460.002477029422</v>
      </c>
      <c r="L143" s="828">
        <v>166.42587763804715</v>
      </c>
      <c r="M143" s="762">
        <v>0</v>
      </c>
      <c r="N143" s="762">
        <v>0</v>
      </c>
      <c r="O143" s="762">
        <v>0</v>
      </c>
      <c r="P143" s="762">
        <v>0</v>
      </c>
      <c r="Q143" s="762">
        <f>J143-L143-M143-N143-O143-P143</f>
        <v>12293.576599391376</v>
      </c>
      <c r="R143" s="68"/>
      <c r="S143" s="828">
        <v>331.49846237183738</v>
      </c>
      <c r="T143" s="762">
        <v>174.66061005879783</v>
      </c>
      <c r="U143" s="762">
        <v>0</v>
      </c>
      <c r="V143" s="762">
        <v>0</v>
      </c>
      <c r="W143" s="762">
        <v>0</v>
      </c>
      <c r="X143" s="762">
        <v>0</v>
      </c>
      <c r="Y143" s="68"/>
      <c r="Z143" s="453">
        <f>Q143+S143+T143+U143+V143+W143+X143</f>
        <v>12799.735671822011</v>
      </c>
      <c r="AA143" s="923">
        <f>Z143/G143*100</f>
        <v>11.518396529620844</v>
      </c>
      <c r="AB143" s="827">
        <f>Z143-J143</f>
        <v>339.73319479258862</v>
      </c>
      <c r="AC143" s="834">
        <f>AA143/I143-1</f>
        <v>2.7265901063735942E-2</v>
      </c>
      <c r="AD143" s="833"/>
      <c r="AF143" s="763"/>
      <c r="AI143" s="763"/>
      <c r="AK143" s="763"/>
      <c r="AM143" s="776"/>
    </row>
    <row r="144" spans="1:39">
      <c r="A144" s="4">
        <v>65</v>
      </c>
      <c r="B144" s="256"/>
      <c r="C144" s="7" t="s">
        <v>710</v>
      </c>
      <c r="D144" s="256"/>
      <c r="E144" s="36" t="s">
        <v>674</v>
      </c>
      <c r="F144" s="256"/>
      <c r="G144" s="830">
        <v>824970.7141199999</v>
      </c>
      <c r="H144" s="922"/>
      <c r="I144" s="914">
        <f>J144/G144*100</f>
        <v>1.5135394272433731</v>
      </c>
      <c r="J144" s="842">
        <f>SUM(J142:J143)</f>
        <v>12486.257021417412</v>
      </c>
      <c r="K144" s="256"/>
      <c r="L144" s="830">
        <f t="shared" ref="L144:Q144" si="42">SUM(L142:L143)</f>
        <v>166.42587763804715</v>
      </c>
      <c r="M144" s="805">
        <f t="shared" si="42"/>
        <v>0</v>
      </c>
      <c r="N144" s="805">
        <f t="shared" si="42"/>
        <v>0</v>
      </c>
      <c r="O144" s="805">
        <f t="shared" si="42"/>
        <v>0</v>
      </c>
      <c r="P144" s="805">
        <f t="shared" si="42"/>
        <v>0</v>
      </c>
      <c r="Q144" s="805">
        <f t="shared" si="42"/>
        <v>12319.831143779365</v>
      </c>
      <c r="R144" s="771"/>
      <c r="S144" s="830">
        <f>SUM(S142:S143)</f>
        <v>332.20642079423192</v>
      </c>
      <c r="T144" s="805">
        <f>SUM(T143)</f>
        <v>174.66061005879783</v>
      </c>
      <c r="U144" s="420">
        <f>SUM(U142:U143)</f>
        <v>0</v>
      </c>
      <c r="V144" s="420">
        <f>SUM(V142:V143)</f>
        <v>0</v>
      </c>
      <c r="W144" s="420">
        <f>SUM(W142:W143)</f>
        <v>0</v>
      </c>
      <c r="X144" s="420">
        <f>SUM(X142:X143)</f>
        <v>0</v>
      </c>
      <c r="Y144" s="771"/>
      <c r="Z144" s="137">
        <f>SUM(Z142:Z143)</f>
        <v>12826.698174632395</v>
      </c>
      <c r="AA144" s="890">
        <f>Z144/G144*100</f>
        <v>1.5548064864720312</v>
      </c>
      <c r="AB144" s="893">
        <f>SUM(AB142:AB143)</f>
        <v>340.44115321498316</v>
      </c>
      <c r="AC144" s="921">
        <f>AA144/I144-1</f>
        <v>2.7265268737543424E-2</v>
      </c>
      <c r="AD144" s="833"/>
      <c r="AF144" s="763"/>
      <c r="AI144" s="763"/>
      <c r="AK144" s="763"/>
      <c r="AM144" s="776"/>
    </row>
    <row r="145" spans="1:39">
      <c r="A145" s="4"/>
      <c r="G145" s="752"/>
      <c r="H145" s="752"/>
      <c r="I145" s="753"/>
      <c r="J145" s="753"/>
      <c r="K145" s="752"/>
      <c r="L145" s="828"/>
      <c r="M145" s="762"/>
      <c r="N145" s="762"/>
      <c r="O145" s="762"/>
      <c r="P145" s="762"/>
      <c r="Q145" s="762"/>
      <c r="R145" s="68"/>
      <c r="S145" s="68"/>
      <c r="T145" s="762"/>
      <c r="U145" s="762"/>
      <c r="V145" s="762"/>
      <c r="W145" s="762"/>
      <c r="X145" s="762"/>
      <c r="Y145" s="68"/>
      <c r="Z145" s="136"/>
      <c r="AA145" s="136"/>
      <c r="AB145" s="827"/>
      <c r="AC145" s="827"/>
      <c r="AD145" s="866"/>
      <c r="AF145" s="763"/>
      <c r="AI145" s="763"/>
      <c r="AK145" s="763"/>
      <c r="AM145" s="776"/>
    </row>
    <row r="146" spans="1:39">
      <c r="A146" s="4">
        <v>66</v>
      </c>
      <c r="C146" s="7" t="s">
        <v>735</v>
      </c>
      <c r="E146" s="36" t="s">
        <v>674</v>
      </c>
      <c r="G146" s="828">
        <v>2835</v>
      </c>
      <c r="H146" s="752"/>
      <c r="I146" s="861">
        <v>20.749300000000002</v>
      </c>
      <c r="J146" s="753">
        <f>G146*I146/100</f>
        <v>588.24265500000001</v>
      </c>
      <c r="K146" s="752"/>
      <c r="L146" s="35">
        <v>0</v>
      </c>
      <c r="M146" s="762">
        <v>0</v>
      </c>
      <c r="N146" s="762">
        <v>0</v>
      </c>
      <c r="O146" s="828">
        <v>588.24265500000001</v>
      </c>
      <c r="P146" s="762">
        <v>0</v>
      </c>
      <c r="Q146" s="762">
        <f>J146-L146-M146-N146-O146-P146</f>
        <v>0</v>
      </c>
      <c r="R146" s="68"/>
      <c r="S146" s="136">
        <v>0</v>
      </c>
      <c r="T146" s="827">
        <v>0</v>
      </c>
      <c r="U146" s="827">
        <v>0</v>
      </c>
      <c r="V146" s="827">
        <v>0</v>
      </c>
      <c r="W146" s="828">
        <v>717.82949090787918</v>
      </c>
      <c r="X146" s="762">
        <v>0</v>
      </c>
      <c r="Y146" s="68"/>
      <c r="Z146" s="136">
        <f>Q146+S146+T146+U146+V146+W146+X146</f>
        <v>717.82949090787918</v>
      </c>
      <c r="AA146" s="821">
        <f>Z146/G146*100</f>
        <v>25.320264229554823</v>
      </c>
      <c r="AB146" s="827">
        <f>Z146-J146</f>
        <v>129.58683590787916</v>
      </c>
      <c r="AC146" s="834">
        <f>AA146/I146-1</f>
        <v>0.22029486438360912</v>
      </c>
      <c r="AD146" s="833"/>
      <c r="AF146" s="763"/>
      <c r="AI146" s="763"/>
      <c r="AK146" s="763"/>
      <c r="AM146" s="776"/>
    </row>
    <row r="147" spans="1:39">
      <c r="A147" s="4"/>
      <c r="B147" s="734"/>
      <c r="C147" s="7"/>
      <c r="D147" s="734"/>
      <c r="E147" s="734"/>
      <c r="F147" s="734"/>
      <c r="G147" s="838"/>
      <c r="H147" s="838"/>
      <c r="I147" s="753"/>
      <c r="J147" s="753"/>
      <c r="K147" s="838"/>
      <c r="L147" s="828"/>
      <c r="M147" s="762"/>
      <c r="N147" s="762"/>
      <c r="O147" s="828"/>
      <c r="P147" s="762"/>
      <c r="Q147" s="762"/>
      <c r="R147" s="790"/>
      <c r="S147" s="136"/>
      <c r="T147" s="827"/>
      <c r="U147" s="827"/>
      <c r="V147" s="827"/>
      <c r="W147" s="762"/>
      <c r="X147" s="762"/>
      <c r="Y147" s="790"/>
      <c r="Z147" s="906"/>
      <c r="AA147" s="920"/>
      <c r="AB147" s="827"/>
      <c r="AC147" s="834"/>
      <c r="AD147" s="833"/>
      <c r="AF147" s="763"/>
      <c r="AI147" s="763"/>
      <c r="AK147" s="763"/>
      <c r="AM147" s="776"/>
    </row>
    <row r="148" spans="1:39" ht="13.5" thickBot="1">
      <c r="A148" s="4">
        <v>67</v>
      </c>
      <c r="B148" s="385"/>
      <c r="C148" s="7" t="s">
        <v>736</v>
      </c>
      <c r="D148" s="385"/>
      <c r="E148" s="447"/>
      <c r="F148" s="385"/>
      <c r="G148" s="846">
        <f>G144</f>
        <v>824970.7141199999</v>
      </c>
      <c r="H148" s="822"/>
      <c r="I148" s="919">
        <f>J148/G148*100</f>
        <v>1.5848440984191834</v>
      </c>
      <c r="J148" s="839">
        <f>J144+J146</f>
        <v>13074.499676417412</v>
      </c>
      <c r="K148" s="822"/>
      <c r="L148" s="846">
        <f t="shared" ref="L148:Q148" si="43">L144+L146</f>
        <v>166.42587763804715</v>
      </c>
      <c r="M148" s="799">
        <f t="shared" si="43"/>
        <v>0</v>
      </c>
      <c r="N148" s="799">
        <f t="shared" si="43"/>
        <v>0</v>
      </c>
      <c r="O148" s="846">
        <f t="shared" si="43"/>
        <v>588.24265500000001</v>
      </c>
      <c r="P148" s="799">
        <f t="shared" si="43"/>
        <v>0</v>
      </c>
      <c r="Q148" s="799">
        <f t="shared" si="43"/>
        <v>12319.831143779365</v>
      </c>
      <c r="R148" s="762"/>
      <c r="S148" s="799">
        <f t="shared" ref="S148:X148" si="44">S144+S146</f>
        <v>332.20642079423192</v>
      </c>
      <c r="T148" s="839">
        <f t="shared" si="44"/>
        <v>174.66061005879783</v>
      </c>
      <c r="U148" s="799">
        <f t="shared" si="44"/>
        <v>0</v>
      </c>
      <c r="V148" s="799">
        <f t="shared" si="44"/>
        <v>0</v>
      </c>
      <c r="W148" s="839">
        <f t="shared" si="44"/>
        <v>717.82949090787918</v>
      </c>
      <c r="X148" s="799">
        <f t="shared" si="44"/>
        <v>0</v>
      </c>
      <c r="Y148" s="789"/>
      <c r="Z148" s="458">
        <f>Z144+Z146</f>
        <v>13544.527665540274</v>
      </c>
      <c r="AA148" s="901">
        <f>Z148/G148*100</f>
        <v>1.6418192105144342</v>
      </c>
      <c r="AB148" s="918">
        <f>AB144+AB146</f>
        <v>470.02798912286232</v>
      </c>
      <c r="AC148" s="917">
        <f>AA148/I148-1</f>
        <v>3.59499790244866E-2</v>
      </c>
      <c r="AD148" s="833"/>
      <c r="AF148" s="763"/>
      <c r="AI148" s="763"/>
      <c r="AK148" s="763"/>
      <c r="AM148" s="776"/>
    </row>
    <row r="149" spans="1:39" ht="13.5" thickTop="1">
      <c r="L149" s="2"/>
      <c r="M149" s="2"/>
      <c r="N149" s="2"/>
      <c r="O149" s="2"/>
      <c r="P149" s="504"/>
      <c r="Q149" s="504"/>
      <c r="T149" s="504"/>
      <c r="U149" s="504"/>
      <c r="V149" s="504"/>
      <c r="W149" s="504"/>
      <c r="X149" s="504"/>
      <c r="Z149" s="68"/>
      <c r="AB149" s="504"/>
      <c r="AC149" s="504"/>
      <c r="AF149" s="763"/>
      <c r="AI149" s="763"/>
      <c r="AK149" s="763"/>
      <c r="AM149" s="776"/>
    </row>
    <row r="150" spans="1:39">
      <c r="L150" s="2"/>
      <c r="M150" s="2"/>
      <c r="N150" s="2"/>
      <c r="O150" s="2"/>
      <c r="P150" s="504"/>
      <c r="Q150" s="504"/>
      <c r="T150" s="504"/>
      <c r="U150" s="504"/>
      <c r="V150" s="504"/>
      <c r="W150" s="504"/>
      <c r="X150" s="504"/>
      <c r="Z150" s="68"/>
      <c r="AB150" s="504"/>
      <c r="AC150" s="504"/>
      <c r="AF150" s="763"/>
      <c r="AI150" s="763"/>
      <c r="AK150" s="763"/>
      <c r="AM150" s="776"/>
    </row>
    <row r="151" spans="1:39">
      <c r="L151" s="2"/>
      <c r="M151" s="2"/>
      <c r="N151" s="2"/>
      <c r="O151" s="2"/>
      <c r="P151" s="504"/>
      <c r="Q151" s="504"/>
      <c r="T151" s="504"/>
      <c r="U151" s="504"/>
      <c r="V151" s="504"/>
      <c r="W151" s="504"/>
      <c r="X151" s="504"/>
      <c r="AB151" s="504"/>
      <c r="AC151" s="504"/>
      <c r="AF151" s="763"/>
      <c r="AI151" s="763"/>
      <c r="AK151" s="763"/>
      <c r="AM151" s="776"/>
    </row>
    <row r="152" spans="1:39">
      <c r="L152" s="2"/>
      <c r="M152" s="2"/>
      <c r="N152" s="2"/>
      <c r="O152" s="2"/>
      <c r="P152" s="504"/>
      <c r="Q152" s="504"/>
      <c r="T152" s="504"/>
      <c r="U152" s="504"/>
      <c r="V152" s="504"/>
      <c r="W152" s="504"/>
      <c r="X152" s="504"/>
      <c r="AB152" s="504"/>
      <c r="AC152" s="504"/>
      <c r="AF152" s="763"/>
      <c r="AI152" s="763"/>
      <c r="AK152" s="763"/>
      <c r="AM152" s="776"/>
    </row>
    <row r="153" spans="1:39">
      <c r="L153" s="2"/>
      <c r="M153" s="2"/>
      <c r="N153" s="2"/>
      <c r="O153" s="2"/>
      <c r="P153" s="504"/>
      <c r="Q153" s="504"/>
      <c r="T153" s="504"/>
      <c r="U153" s="504"/>
      <c r="V153" s="504"/>
      <c r="W153" s="504"/>
      <c r="X153" s="504"/>
      <c r="AB153" s="504"/>
      <c r="AC153" s="504"/>
      <c r="AF153" s="763"/>
      <c r="AI153" s="763"/>
      <c r="AK153" s="763"/>
      <c r="AM153" s="776"/>
    </row>
    <row r="154" spans="1:39">
      <c r="A154" s="1324" t="s">
        <v>724</v>
      </c>
      <c r="B154" s="1324"/>
      <c r="C154" s="1324"/>
      <c r="D154" s="1324"/>
      <c r="E154" s="1324"/>
      <c r="F154" s="1324"/>
      <c r="G154" s="1324"/>
      <c r="H154" s="1324"/>
      <c r="I154" s="1324"/>
      <c r="J154" s="1324"/>
      <c r="K154" s="1324"/>
      <c r="L154" s="1324"/>
      <c r="M154" s="1324"/>
      <c r="N154" s="1324"/>
      <c r="O154" s="1324"/>
      <c r="P154" s="1324"/>
      <c r="Q154" s="1324"/>
      <c r="R154" s="1324"/>
      <c r="S154" s="1324"/>
      <c r="T154" s="1324"/>
      <c r="U154" s="1324"/>
      <c r="V154" s="1324"/>
      <c r="W154" s="1324"/>
      <c r="X154" s="1324"/>
      <c r="Y154" s="1324"/>
      <c r="Z154" s="1324"/>
      <c r="AA154" s="1324"/>
      <c r="AB154" s="1324"/>
      <c r="AC154" s="1324"/>
      <c r="AD154" s="665"/>
      <c r="AF154" s="763"/>
      <c r="AI154" s="763"/>
      <c r="AK154" s="763"/>
      <c r="AM154" s="776"/>
    </row>
    <row r="155" spans="1:39">
      <c r="A155" s="385"/>
      <c r="B155" s="385"/>
      <c r="C155" s="385"/>
      <c r="D155" s="385"/>
      <c r="E155" s="447"/>
      <c r="F155" s="385"/>
      <c r="G155" s="447"/>
      <c r="H155" s="385"/>
      <c r="I155" s="385"/>
      <c r="J155" s="385"/>
      <c r="K155" s="385"/>
      <c r="L155" s="385"/>
      <c r="M155" s="385"/>
      <c r="N155" s="3"/>
      <c r="O155" s="3"/>
      <c r="P155" s="504"/>
      <c r="Q155" s="504"/>
      <c r="R155" s="385"/>
      <c r="S155" s="385"/>
      <c r="T155" s="504"/>
      <c r="U155" s="504"/>
      <c r="V155" s="504"/>
      <c r="W155" s="504"/>
      <c r="X155" s="504"/>
      <c r="Y155" s="385"/>
      <c r="Z155" s="385"/>
      <c r="AA155" s="385"/>
      <c r="AB155" s="504"/>
      <c r="AC155" s="504"/>
      <c r="AF155" s="763"/>
      <c r="AI155" s="763"/>
      <c r="AK155" s="763"/>
      <c r="AM155" s="776"/>
    </row>
    <row r="156" spans="1:39">
      <c r="A156" s="447"/>
      <c r="B156" s="447"/>
      <c r="C156" s="447"/>
      <c r="D156" s="447"/>
      <c r="E156" s="385"/>
      <c r="F156" s="447"/>
      <c r="G156" s="1313" t="s">
        <v>682</v>
      </c>
      <c r="H156" s="1313"/>
      <c r="I156" s="1313"/>
      <c r="J156" s="1313"/>
      <c r="K156" s="447"/>
      <c r="L156" s="1313" t="s">
        <v>496</v>
      </c>
      <c r="M156" s="1313"/>
      <c r="N156" s="1313"/>
      <c r="O156" s="1313"/>
      <c r="P156" s="1313"/>
      <c r="Q156" s="256"/>
      <c r="R156" s="447"/>
      <c r="S156" s="1313" t="s">
        <v>497</v>
      </c>
      <c r="T156" s="1313"/>
      <c r="U156" s="1313"/>
      <c r="V156" s="1313"/>
      <c r="W156" s="1313"/>
      <c r="X156" s="1313"/>
      <c r="Y156" s="447"/>
      <c r="Z156" s="1313" t="s">
        <v>683</v>
      </c>
      <c r="AA156" s="1313"/>
      <c r="AB156" s="1313"/>
      <c r="AC156" s="1313"/>
      <c r="AD156" s="4"/>
      <c r="AF156" s="763"/>
      <c r="AI156" s="763"/>
      <c r="AK156" s="763"/>
      <c r="AM156" s="776"/>
    </row>
    <row r="157" spans="1:39" ht="38.25">
      <c r="A157" s="254" t="s">
        <v>1</v>
      </c>
      <c r="B157" s="254"/>
      <c r="C157" s="254"/>
      <c r="D157" s="254"/>
      <c r="E157" s="4" t="s">
        <v>670</v>
      </c>
      <c r="F157" s="254"/>
      <c r="G157" s="13" t="s">
        <v>684</v>
      </c>
      <c r="H157" s="254"/>
      <c r="I157" s="13" t="s">
        <v>196</v>
      </c>
      <c r="J157" s="13" t="s">
        <v>503</v>
      </c>
      <c r="K157" s="254"/>
      <c r="L157" s="13" t="s">
        <v>505</v>
      </c>
      <c r="M157" s="13" t="s">
        <v>685</v>
      </c>
      <c r="N157" s="254" t="s">
        <v>686</v>
      </c>
      <c r="O157" s="254" t="s">
        <v>508</v>
      </c>
      <c r="P157" s="254" t="s">
        <v>687</v>
      </c>
      <c r="Q157" s="254" t="s">
        <v>688</v>
      </c>
      <c r="R157" s="254"/>
      <c r="S157" s="254" t="s">
        <v>689</v>
      </c>
      <c r="T157" s="13" t="s">
        <v>505</v>
      </c>
      <c r="U157" s="13" t="s">
        <v>685</v>
      </c>
      <c r="V157" s="254" t="s">
        <v>686</v>
      </c>
      <c r="W157" s="254" t="s">
        <v>508</v>
      </c>
      <c r="X157" s="254" t="s">
        <v>687</v>
      </c>
      <c r="Y157" s="254"/>
      <c r="Z157" s="13" t="s">
        <v>690</v>
      </c>
      <c r="AA157" s="13" t="s">
        <v>691</v>
      </c>
      <c r="AB157" s="13" t="s">
        <v>692</v>
      </c>
      <c r="AC157" s="254" t="s">
        <v>693</v>
      </c>
      <c r="AD157" s="254"/>
      <c r="AF157" s="763"/>
      <c r="AI157" s="763"/>
      <c r="AK157" s="763"/>
      <c r="AM157" s="776"/>
    </row>
    <row r="158" spans="1:39" ht="14.25">
      <c r="A158" s="255" t="s">
        <v>2</v>
      </c>
      <c r="B158" s="256"/>
      <c r="C158" s="449" t="s">
        <v>3</v>
      </c>
      <c r="D158" s="256"/>
      <c r="E158" s="255" t="s">
        <v>4</v>
      </c>
      <c r="F158" s="256"/>
      <c r="G158" s="255" t="s">
        <v>694</v>
      </c>
      <c r="H158" s="256"/>
      <c r="I158" s="255" t="s">
        <v>77</v>
      </c>
      <c r="J158" s="255" t="s">
        <v>20</v>
      </c>
      <c r="K158" s="256"/>
      <c r="L158" s="255" t="s">
        <v>20</v>
      </c>
      <c r="M158" s="255" t="s">
        <v>20</v>
      </c>
      <c r="N158" s="255" t="s">
        <v>20</v>
      </c>
      <c r="O158" s="255" t="s">
        <v>20</v>
      </c>
      <c r="P158" s="255" t="s">
        <v>20</v>
      </c>
      <c r="Q158" s="255" t="s">
        <v>20</v>
      </c>
      <c r="R158" s="256"/>
      <c r="S158" s="255" t="s">
        <v>20</v>
      </c>
      <c r="T158" s="255" t="s">
        <v>20</v>
      </c>
      <c r="U158" s="255" t="s">
        <v>20</v>
      </c>
      <c r="V158" s="255" t="s">
        <v>20</v>
      </c>
      <c r="W158" s="255" t="s">
        <v>20</v>
      </c>
      <c r="X158" s="255" t="s">
        <v>20</v>
      </c>
      <c r="Y158" s="256"/>
      <c r="Z158" s="255" t="s">
        <v>20</v>
      </c>
      <c r="AA158" s="255" t="s">
        <v>77</v>
      </c>
      <c r="AB158" s="255" t="s">
        <v>20</v>
      </c>
      <c r="AC158" s="255" t="s">
        <v>76</v>
      </c>
      <c r="AD158" s="4"/>
      <c r="AF158" s="763"/>
      <c r="AI158" s="763"/>
      <c r="AK158" s="763"/>
      <c r="AM158" s="776"/>
    </row>
    <row r="159" spans="1:39">
      <c r="A159" s="4"/>
      <c r="B159" s="256"/>
      <c r="C159" s="256"/>
      <c r="D159" s="256"/>
      <c r="E159" s="4"/>
      <c r="F159" s="256"/>
      <c r="G159" s="4" t="s">
        <v>8</v>
      </c>
      <c r="H159" s="4"/>
      <c r="I159" s="4" t="s">
        <v>9</v>
      </c>
      <c r="J159" s="4" t="s">
        <v>370</v>
      </c>
      <c r="K159" s="4"/>
      <c r="L159" s="132" t="s">
        <v>79</v>
      </c>
      <c r="M159" s="132" t="s">
        <v>115</v>
      </c>
      <c r="N159" s="132" t="s">
        <v>81</v>
      </c>
      <c r="O159" s="132" t="s">
        <v>82</v>
      </c>
      <c r="P159" s="4" t="s">
        <v>118</v>
      </c>
      <c r="Q159" s="4" t="s">
        <v>695</v>
      </c>
      <c r="R159" s="4"/>
      <c r="S159" s="4" t="s">
        <v>696</v>
      </c>
      <c r="T159" s="4" t="s">
        <v>517</v>
      </c>
      <c r="U159" s="4" t="s">
        <v>518</v>
      </c>
      <c r="V159" s="4" t="s">
        <v>519</v>
      </c>
      <c r="W159" s="4" t="s">
        <v>697</v>
      </c>
      <c r="X159" s="4" t="s">
        <v>698</v>
      </c>
      <c r="Y159" s="4"/>
      <c r="Z159" s="4" t="s">
        <v>725</v>
      </c>
      <c r="AA159" s="4" t="s">
        <v>700</v>
      </c>
      <c r="AB159" s="4" t="s">
        <v>701</v>
      </c>
      <c r="AC159" s="4" t="s">
        <v>702</v>
      </c>
      <c r="AD159" s="4"/>
      <c r="AF159" s="763"/>
      <c r="AI159" s="763"/>
      <c r="AK159" s="763"/>
      <c r="AM159" s="776"/>
    </row>
    <row r="160" spans="1:39">
      <c r="A160" s="447"/>
      <c r="B160" s="447"/>
      <c r="C160" s="447"/>
      <c r="D160" s="447"/>
      <c r="E160" s="385"/>
      <c r="F160" s="447"/>
      <c r="G160" s="822"/>
      <c r="H160" s="856"/>
      <c r="I160" s="753"/>
      <c r="J160" s="856"/>
      <c r="K160" s="856"/>
      <c r="L160" s="753"/>
      <c r="M160" s="753"/>
      <c r="N160" s="504"/>
      <c r="O160" s="504"/>
      <c r="P160" s="504"/>
      <c r="Q160" s="504"/>
      <c r="R160" s="447"/>
      <c r="S160" s="447"/>
      <c r="T160" s="504"/>
      <c r="U160" s="504"/>
      <c r="V160" s="504"/>
      <c r="W160" s="504"/>
      <c r="X160" s="504"/>
      <c r="Y160" s="447"/>
      <c r="Z160" s="447"/>
      <c r="AA160" s="916"/>
      <c r="AB160" s="504"/>
      <c r="AC160" s="504"/>
      <c r="AF160" s="763"/>
    </row>
    <row r="161" spans="1:39">
      <c r="A161" s="254"/>
      <c r="B161" s="254"/>
      <c r="C161" s="6" t="s">
        <v>168</v>
      </c>
      <c r="D161" s="254"/>
      <c r="E161" s="4"/>
      <c r="F161" s="254"/>
      <c r="G161" s="13"/>
      <c r="H161" s="254"/>
      <c r="I161" s="504"/>
      <c r="J161" s="254"/>
      <c r="K161" s="254"/>
      <c r="L161" s="762"/>
      <c r="M161" s="762"/>
      <c r="N161" s="762"/>
      <c r="O161" s="762"/>
      <c r="P161" s="762"/>
      <c r="Q161" s="762"/>
      <c r="R161" s="254"/>
      <c r="S161" s="254"/>
      <c r="T161" s="504"/>
      <c r="U161" s="504"/>
      <c r="V161" s="504"/>
      <c r="W161" s="504"/>
      <c r="X161" s="504"/>
      <c r="Y161" s="254"/>
      <c r="Z161" s="254"/>
      <c r="AA161" s="254"/>
      <c r="AB161" s="504"/>
      <c r="AC161" s="504"/>
    </row>
    <row r="162" spans="1:39">
      <c r="A162" s="4">
        <v>68</v>
      </c>
      <c r="B162" s="256"/>
      <c r="C162" s="7" t="s">
        <v>703</v>
      </c>
      <c r="D162" s="256"/>
      <c r="E162" s="36" t="s">
        <v>704</v>
      </c>
      <c r="F162" s="256"/>
      <c r="G162" s="35">
        <v>492</v>
      </c>
      <c r="H162" s="256"/>
      <c r="I162" s="778">
        <v>125.890540340409</v>
      </c>
      <c r="J162" s="750">
        <f>G162*I162/1000</f>
        <v>61.938145847481231</v>
      </c>
      <c r="K162" s="256"/>
      <c r="L162" s="762">
        <v>0</v>
      </c>
      <c r="M162" s="762">
        <v>0</v>
      </c>
      <c r="N162" s="762">
        <v>0</v>
      </c>
      <c r="O162" s="762">
        <v>0</v>
      </c>
      <c r="P162" s="762">
        <v>0</v>
      </c>
      <c r="Q162" s="762">
        <f>J162-L162-M162-N162-O162-P162</f>
        <v>61.938145847481231</v>
      </c>
      <c r="R162" s="256"/>
      <c r="S162" s="35">
        <v>1.6701730326078703</v>
      </c>
      <c r="T162" s="762">
        <v>0</v>
      </c>
      <c r="U162" s="762">
        <v>0</v>
      </c>
      <c r="V162" s="762">
        <v>0</v>
      </c>
      <c r="W162" s="762">
        <v>0</v>
      </c>
      <c r="X162" s="762">
        <v>0</v>
      </c>
      <c r="Y162" s="771"/>
      <c r="Z162" s="771">
        <f>Q162+S162+T162+U162+V162+W162+X162</f>
        <v>63.608318880089101</v>
      </c>
      <c r="AA162" s="915">
        <f>Z162/G162*1000</f>
        <v>129.28520097579084</v>
      </c>
      <c r="AB162" s="762">
        <f>Z162-J162</f>
        <v>1.6701730326078703</v>
      </c>
      <c r="AC162" s="770">
        <f>AA162/I162-1</f>
        <v>2.696517646363783E-2</v>
      </c>
      <c r="AD162" s="769"/>
      <c r="AF162" s="763"/>
      <c r="AI162" s="763"/>
      <c r="AK162" s="763"/>
      <c r="AM162" s="776"/>
    </row>
    <row r="163" spans="1:39">
      <c r="A163" s="4"/>
      <c r="B163" s="256"/>
      <c r="C163" s="7" t="s">
        <v>737</v>
      </c>
      <c r="D163" s="256"/>
      <c r="E163" s="4"/>
      <c r="F163" s="256"/>
      <c r="G163" s="4"/>
      <c r="H163" s="256"/>
      <c r="I163" s="504"/>
      <c r="J163" s="750"/>
      <c r="K163" s="256"/>
      <c r="L163" s="762"/>
      <c r="M163" s="762"/>
      <c r="N163" s="762"/>
      <c r="O163" s="762"/>
      <c r="P163" s="762"/>
      <c r="Q163" s="762"/>
      <c r="R163" s="256"/>
      <c r="S163" s="771"/>
      <c r="T163" s="762"/>
      <c r="U163" s="762"/>
      <c r="V163" s="762"/>
      <c r="W163" s="762"/>
      <c r="X163" s="762"/>
      <c r="Y163" s="771"/>
      <c r="Z163" s="771"/>
      <c r="AA163" s="771"/>
      <c r="AB163" s="762"/>
      <c r="AC163" s="770"/>
      <c r="AD163" s="769"/>
      <c r="AF163" s="763"/>
      <c r="AI163" s="763"/>
      <c r="AK163" s="763"/>
      <c r="AM163" s="776"/>
    </row>
    <row r="164" spans="1:39">
      <c r="A164" s="4"/>
      <c r="B164" s="256"/>
      <c r="C164" s="512" t="s">
        <v>705</v>
      </c>
      <c r="D164" s="256"/>
      <c r="E164" s="860"/>
      <c r="F164" s="256"/>
      <c r="G164" s="870"/>
      <c r="H164" s="256"/>
      <c r="I164" s="504"/>
      <c r="J164" s="750"/>
      <c r="K164" s="256"/>
      <c r="L164" s="762"/>
      <c r="M164" s="762"/>
      <c r="N164" s="762"/>
      <c r="O164" s="762"/>
      <c r="P164" s="762"/>
      <c r="Q164" s="762"/>
      <c r="R164" s="256"/>
      <c r="S164" s="771"/>
      <c r="T164" s="762"/>
      <c r="U164" s="762"/>
      <c r="V164" s="762"/>
      <c r="W164" s="762"/>
      <c r="X164" s="762"/>
      <c r="Y164" s="771"/>
      <c r="Z164" s="771"/>
      <c r="AA164" s="771"/>
      <c r="AB164" s="762"/>
      <c r="AC164" s="770"/>
      <c r="AD164" s="769"/>
      <c r="AF164" s="763"/>
      <c r="AI164" s="763"/>
      <c r="AK164" s="763"/>
      <c r="AM164" s="776"/>
    </row>
    <row r="165" spans="1:39">
      <c r="A165" s="4">
        <v>69</v>
      </c>
      <c r="B165" s="256"/>
      <c r="C165" s="512" t="s">
        <v>738</v>
      </c>
      <c r="D165" s="256"/>
      <c r="E165" s="36" t="s">
        <v>674</v>
      </c>
      <c r="F165" s="256"/>
      <c r="G165" s="35">
        <v>402.14400000000001</v>
      </c>
      <c r="H165" s="256"/>
      <c r="I165" s="861">
        <v>8.7071583280414799</v>
      </c>
      <c r="J165" s="750">
        <f>G165*I165/100</f>
        <v>35.015314786719131</v>
      </c>
      <c r="K165" s="256"/>
      <c r="L165" s="35">
        <v>2.0784882493309644</v>
      </c>
      <c r="M165" s="762">
        <v>0</v>
      </c>
      <c r="N165" s="35">
        <v>4.2535944758403228E-2</v>
      </c>
      <c r="O165" s="35">
        <v>0.8543162153724142</v>
      </c>
      <c r="P165" s="762">
        <v>0</v>
      </c>
      <c r="Q165" s="762">
        <f>J165-L165-M165-N165-O165-P165</f>
        <v>32.039974377257344</v>
      </c>
      <c r="R165" s="256"/>
      <c r="S165" s="35">
        <v>0.85890536862972411</v>
      </c>
      <c r="T165" s="35">
        <v>7.4831892382198761</v>
      </c>
      <c r="U165" s="762">
        <v>0</v>
      </c>
      <c r="V165" s="35">
        <v>3.557187638544717E-2</v>
      </c>
      <c r="W165" s="35">
        <v>0.93626292774108477</v>
      </c>
      <c r="X165" s="762">
        <v>0</v>
      </c>
      <c r="Y165" s="771"/>
      <c r="Z165" s="771">
        <f>Q165+S165+T165+U165+V165+W165+X165</f>
        <v>41.353903788233481</v>
      </c>
      <c r="AA165" s="821">
        <f>Z165/G165*100</f>
        <v>10.283357152719793</v>
      </c>
      <c r="AB165" s="762">
        <f>Z165-J165</f>
        <v>6.3385890015143502</v>
      </c>
      <c r="AC165" s="770"/>
      <c r="AD165" s="769"/>
      <c r="AF165" s="763"/>
      <c r="AI165" s="763"/>
      <c r="AK165" s="763"/>
      <c r="AM165" s="776"/>
    </row>
    <row r="166" spans="1:39">
      <c r="A166" s="4">
        <v>70</v>
      </c>
      <c r="B166" s="256"/>
      <c r="C166" s="512" t="s">
        <v>739</v>
      </c>
      <c r="D166" s="256"/>
      <c r="E166" s="36" t="s">
        <v>674</v>
      </c>
      <c r="F166" s="256"/>
      <c r="G166" s="35">
        <v>846.84799999999996</v>
      </c>
      <c r="H166" s="256"/>
      <c r="I166" s="861">
        <v>7.2307643883583737</v>
      </c>
      <c r="J166" s="750">
        <f>G166*I166/100</f>
        <v>61.233583607525112</v>
      </c>
      <c r="K166" s="256"/>
      <c r="L166" s="35">
        <v>4.37694859793862</v>
      </c>
      <c r="M166" s="762">
        <v>0</v>
      </c>
      <c r="N166" s="35">
        <v>8.9573584951570223E-2</v>
      </c>
      <c r="O166" s="35">
        <v>1.7990470536815126</v>
      </c>
      <c r="P166" s="762">
        <v>0</v>
      </c>
      <c r="Q166" s="762">
        <f>J166-L166-M166-N166-O166-P166</f>
        <v>54.968014370953405</v>
      </c>
      <c r="R166" s="256"/>
      <c r="S166" s="35">
        <v>1.4715170176433645</v>
      </c>
      <c r="T166" s="35">
        <v>15.758344871508775</v>
      </c>
      <c r="U166" s="762">
        <v>0</v>
      </c>
      <c r="V166" s="35">
        <v>7.490842179235091E-2</v>
      </c>
      <c r="W166" s="35">
        <v>1.971613123238646</v>
      </c>
      <c r="X166" s="762">
        <v>0</v>
      </c>
      <c r="Y166" s="771"/>
      <c r="Z166" s="771">
        <f>Q166+S166+T166+U166+V166+W166+X166</f>
        <v>74.244397805136529</v>
      </c>
      <c r="AA166" s="821">
        <f>Z166/G166*100</f>
        <v>8.7671456749188206</v>
      </c>
      <c r="AB166" s="762">
        <f>Z166-J166</f>
        <v>13.010814197611417</v>
      </c>
      <c r="AC166" s="770"/>
      <c r="AD166" s="769"/>
      <c r="AF166" s="763"/>
      <c r="AI166" s="763"/>
      <c r="AK166" s="763"/>
      <c r="AM166" s="776"/>
    </row>
    <row r="167" spans="1:39">
      <c r="A167" s="4">
        <v>71</v>
      </c>
      <c r="B167" s="256"/>
      <c r="C167" s="512" t="s">
        <v>740</v>
      </c>
      <c r="D167" s="256"/>
      <c r="E167" s="36" t="s">
        <v>674</v>
      </c>
      <c r="F167" s="256"/>
      <c r="G167" s="35">
        <v>2136.3440000000001</v>
      </c>
      <c r="H167" s="256"/>
      <c r="I167" s="861">
        <v>6.6456319318883716</v>
      </c>
      <c r="J167" s="750">
        <f>G167*I167/100</f>
        <v>141.97355903898131</v>
      </c>
      <c r="K167" s="256"/>
      <c r="L167" s="35">
        <v>11.041731072771718</v>
      </c>
      <c r="M167" s="762">
        <v>0</v>
      </c>
      <c r="N167" s="35">
        <v>0.22596734097474086</v>
      </c>
      <c r="O167" s="35">
        <v>4.5384571715941675</v>
      </c>
      <c r="P167" s="762">
        <v>0</v>
      </c>
      <c r="Q167" s="762">
        <f>J167-L167-M167-N167-O167-P167</f>
        <v>126.1674034536407</v>
      </c>
      <c r="R167" s="256"/>
      <c r="S167" s="35">
        <v>3.3751658761981957</v>
      </c>
      <c r="T167" s="35">
        <v>39.753586849326616</v>
      </c>
      <c r="U167" s="762">
        <v>0</v>
      </c>
      <c r="V167" s="35">
        <v>0.18897152434150891</v>
      </c>
      <c r="W167" s="35">
        <v>4.9737897074234612</v>
      </c>
      <c r="X167" s="762">
        <v>0</v>
      </c>
      <c r="Y167" s="771"/>
      <c r="Z167" s="771">
        <f>Q167+S167+T167+U167+V167+W167+X167</f>
        <v>174.45891741093047</v>
      </c>
      <c r="AA167" s="821">
        <f>Z167/G167*100</f>
        <v>8.1662371514573717</v>
      </c>
      <c r="AB167" s="762">
        <f>Z167-J167</f>
        <v>32.485358371949161</v>
      </c>
      <c r="AC167" s="770"/>
      <c r="AD167" s="769"/>
      <c r="AF167" s="763"/>
      <c r="AI167" s="763"/>
      <c r="AK167" s="763"/>
      <c r="AM167" s="776"/>
    </row>
    <row r="168" spans="1:39">
      <c r="A168" s="4">
        <v>72</v>
      </c>
      <c r="B168" s="256"/>
      <c r="C168" s="512" t="s">
        <v>705</v>
      </c>
      <c r="D168" s="256"/>
      <c r="E168" s="36"/>
      <c r="F168" s="256"/>
      <c r="G168" s="420">
        <f>SUM(G165:G167)</f>
        <v>3385.3360000000002</v>
      </c>
      <c r="H168" s="256"/>
      <c r="I168" s="914">
        <f>J168/G168*100</f>
        <v>7.0368925694000692</v>
      </c>
      <c r="J168" s="808">
        <f>SUM(J165:J167)</f>
        <v>238.22245743322554</v>
      </c>
      <c r="K168" s="256"/>
      <c r="L168" s="805">
        <f t="shared" ref="L168:Q168" si="45">SUM(L165:L167)</f>
        <v>17.497167920041303</v>
      </c>
      <c r="M168" s="805">
        <f t="shared" si="45"/>
        <v>0</v>
      </c>
      <c r="N168" s="805">
        <f t="shared" si="45"/>
        <v>0.35807687068471428</v>
      </c>
      <c r="O168" s="805">
        <f t="shared" si="45"/>
        <v>7.1918204406480939</v>
      </c>
      <c r="P168" s="805">
        <f t="shared" si="45"/>
        <v>0</v>
      </c>
      <c r="Q168" s="805">
        <f t="shared" si="45"/>
        <v>213.17539220185145</v>
      </c>
      <c r="R168" s="256"/>
      <c r="S168" s="807">
        <f t="shared" ref="S168:X168" si="46">SUM(S165:S167)</f>
        <v>5.7055882624712844</v>
      </c>
      <c r="T168" s="807">
        <f t="shared" si="46"/>
        <v>62.995120959055271</v>
      </c>
      <c r="U168" s="807">
        <f t="shared" si="46"/>
        <v>0</v>
      </c>
      <c r="V168" s="807">
        <f t="shared" si="46"/>
        <v>0.29945182251930702</v>
      </c>
      <c r="W168" s="807">
        <f t="shared" si="46"/>
        <v>7.8816657584031917</v>
      </c>
      <c r="X168" s="807">
        <f t="shared" si="46"/>
        <v>0</v>
      </c>
      <c r="Y168" s="771"/>
      <c r="Z168" s="807">
        <f>SUM(Z165:Z167)</f>
        <v>290.05721900430046</v>
      </c>
      <c r="AA168" s="902">
        <f>Z168/G168*100</f>
        <v>8.5680481643269815</v>
      </c>
      <c r="AB168" s="805">
        <f>SUM(AB165:AB167)</f>
        <v>51.834761571074928</v>
      </c>
      <c r="AC168" s="804">
        <f>AA168/I168-1</f>
        <v>0.21758973578552876</v>
      </c>
      <c r="AD168" s="769"/>
      <c r="AF168" s="763"/>
      <c r="AI168" s="763"/>
      <c r="AK168" s="763"/>
      <c r="AM168" s="776"/>
    </row>
    <row r="169" spans="1:39">
      <c r="A169" s="4"/>
      <c r="B169" s="256"/>
      <c r="C169" s="7"/>
      <c r="D169" s="256"/>
      <c r="E169" s="36"/>
      <c r="F169" s="256"/>
      <c r="G169" s="35"/>
      <c r="H169" s="256"/>
      <c r="I169" s="504"/>
      <c r="J169" s="256"/>
      <c r="K169" s="256"/>
      <c r="L169" s="762"/>
      <c r="M169" s="762"/>
      <c r="N169" s="762"/>
      <c r="O169" s="762"/>
      <c r="P169" s="762"/>
      <c r="Q169" s="762"/>
      <c r="R169" s="256"/>
      <c r="S169" s="771"/>
      <c r="T169" s="762"/>
      <c r="U169" s="762"/>
      <c r="V169" s="762"/>
      <c r="W169" s="762"/>
      <c r="X169" s="762"/>
      <c r="Y169" s="771"/>
      <c r="Z169" s="771"/>
      <c r="AA169" s="771"/>
      <c r="AB169" s="504"/>
      <c r="AC169" s="770"/>
      <c r="AD169" s="769"/>
      <c r="AF169" s="763"/>
      <c r="AI169" s="763"/>
      <c r="AK169" s="763"/>
      <c r="AM169" s="776"/>
    </row>
    <row r="170" spans="1:39">
      <c r="A170" s="4"/>
      <c r="B170" s="256"/>
      <c r="C170" s="7" t="s">
        <v>741</v>
      </c>
      <c r="D170" s="256"/>
      <c r="E170" s="36"/>
      <c r="F170" s="256"/>
      <c r="G170" s="35"/>
      <c r="H170" s="256"/>
      <c r="I170" s="504"/>
      <c r="J170" s="256"/>
      <c r="K170" s="256"/>
      <c r="L170" s="762"/>
      <c r="M170" s="762"/>
      <c r="N170" s="762"/>
      <c r="O170" s="762"/>
      <c r="P170" s="762"/>
      <c r="Q170" s="762"/>
      <c r="R170" s="256"/>
      <c r="S170" s="771"/>
      <c r="T170" s="762"/>
      <c r="U170" s="762"/>
      <c r="V170" s="762"/>
      <c r="W170" s="762"/>
      <c r="X170" s="762"/>
      <c r="Y170" s="771"/>
      <c r="Z170" s="771"/>
      <c r="AA170" s="771"/>
      <c r="AB170" s="504"/>
      <c r="AC170" s="770"/>
      <c r="AD170" s="769"/>
      <c r="AF170" s="763"/>
      <c r="AI170" s="763"/>
      <c r="AK170" s="763"/>
      <c r="AM170" s="776"/>
    </row>
    <row r="171" spans="1:39">
      <c r="A171" s="4"/>
      <c r="B171" s="256"/>
      <c r="C171" s="512" t="s">
        <v>705</v>
      </c>
      <c r="D171" s="256"/>
      <c r="E171" s="36"/>
      <c r="F171" s="256"/>
      <c r="G171" s="453"/>
      <c r="H171" s="256"/>
      <c r="I171" s="504"/>
      <c r="J171" s="256"/>
      <c r="K171" s="256"/>
      <c r="L171" s="762"/>
      <c r="M171" s="762"/>
      <c r="N171" s="762"/>
      <c r="O171" s="762"/>
      <c r="P171" s="762"/>
      <c r="Q171" s="762"/>
      <c r="R171" s="256"/>
      <c r="S171" s="771"/>
      <c r="T171" s="762"/>
      <c r="U171" s="762"/>
      <c r="V171" s="762"/>
      <c r="W171" s="762"/>
      <c r="X171" s="762"/>
      <c r="Y171" s="771"/>
      <c r="Z171" s="771"/>
      <c r="AA171" s="771"/>
      <c r="AB171" s="504"/>
      <c r="AC171" s="770"/>
      <c r="AD171" s="769"/>
      <c r="AF171" s="763"/>
      <c r="AI171" s="763"/>
      <c r="AK171" s="763"/>
      <c r="AM171" s="776"/>
    </row>
    <row r="172" spans="1:39">
      <c r="A172" s="4">
        <v>73</v>
      </c>
      <c r="B172" s="256"/>
      <c r="C172" s="512" t="s">
        <v>738</v>
      </c>
      <c r="D172" s="256"/>
      <c r="E172" s="36" t="s">
        <v>674</v>
      </c>
      <c r="F172" s="256"/>
      <c r="G172" s="35">
        <v>3705.44</v>
      </c>
      <c r="H172" s="256"/>
      <c r="I172" s="861">
        <v>3.0187054350434206</v>
      </c>
      <c r="J172" s="750">
        <f>G172*I172/100</f>
        <v>111.85631867227292</v>
      </c>
      <c r="K172" s="256"/>
      <c r="L172" s="35">
        <v>19.151631004319171</v>
      </c>
      <c r="M172" s="762">
        <v>0</v>
      </c>
      <c r="N172" s="35">
        <v>0.39193520516426367</v>
      </c>
      <c r="O172" s="35">
        <v>7.8718505736491373</v>
      </c>
      <c r="P172" s="762">
        <v>0</v>
      </c>
      <c r="Q172" s="762">
        <f>J172-L172-M172-N172-O172-P172</f>
        <v>84.440901889140349</v>
      </c>
      <c r="R172" s="256"/>
      <c r="S172" s="35">
        <v>2.2303310621316541</v>
      </c>
      <c r="T172" s="35">
        <v>68.951690764674993</v>
      </c>
      <c r="U172" s="35">
        <v>0</v>
      </c>
      <c r="V172" s="35">
        <v>0.32776680401470953</v>
      </c>
      <c r="W172" s="35">
        <v>8.6269249397452796</v>
      </c>
      <c r="X172" s="762">
        <v>0</v>
      </c>
      <c r="Y172" s="771"/>
      <c r="Z172" s="771">
        <f>Q172+S172+T172+U172+V172+W172+X172</f>
        <v>164.57761545970698</v>
      </c>
      <c r="AA172" s="821">
        <f>Z172/G172*100</f>
        <v>4.4415134359133326</v>
      </c>
      <c r="AB172" s="762">
        <f>Z172-J172</f>
        <v>52.721296787434056</v>
      </c>
      <c r="AC172" s="770"/>
      <c r="AD172" s="769"/>
      <c r="AF172" s="763"/>
      <c r="AI172" s="763"/>
      <c r="AK172" s="763"/>
      <c r="AM172" s="776"/>
    </row>
    <row r="173" spans="1:39">
      <c r="A173" s="4">
        <v>74</v>
      </c>
      <c r="B173" s="256"/>
      <c r="C173" s="512" t="s">
        <v>739</v>
      </c>
      <c r="D173" s="256"/>
      <c r="E173" s="36" t="s">
        <v>674</v>
      </c>
      <c r="F173" s="256"/>
      <c r="G173" s="35">
        <v>7201.058</v>
      </c>
      <c r="H173" s="256"/>
      <c r="I173" s="861">
        <v>2.1834219027636586</v>
      </c>
      <c r="J173" s="750">
        <f>G173*I173/100</f>
        <v>157.22947760271464</v>
      </c>
      <c r="K173" s="256"/>
      <c r="L173" s="35">
        <v>37.218793356983412</v>
      </c>
      <c r="M173" s="762">
        <v>0</v>
      </c>
      <c r="N173" s="35">
        <v>0.76167692490763905</v>
      </c>
      <c r="O173" s="35">
        <v>15.297954506935939</v>
      </c>
      <c r="P173" s="762">
        <v>0</v>
      </c>
      <c r="Q173" s="762">
        <f>J173-L173-M173-N173-O173-P173</f>
        <v>103.95105281388766</v>
      </c>
      <c r="R173" s="256"/>
      <c r="S173" s="35">
        <v>2.7124706930841143</v>
      </c>
      <c r="T173" s="35">
        <v>133.99896487178012</v>
      </c>
      <c r="U173" s="35">
        <v>0</v>
      </c>
      <c r="V173" s="35">
        <v>0.63697368360695528</v>
      </c>
      <c r="W173" s="35">
        <v>16.765346855637187</v>
      </c>
      <c r="X173" s="762">
        <v>0</v>
      </c>
      <c r="Y173" s="771"/>
      <c r="Z173" s="771">
        <f>Q173+S173+T173+U173+V173+W173+X173</f>
        <v>258.06480891799606</v>
      </c>
      <c r="AA173" s="821">
        <f>Z173/G173*100</f>
        <v>3.5837068513820616</v>
      </c>
      <c r="AB173" s="762">
        <f>Z173-J173</f>
        <v>100.83533131528142</v>
      </c>
      <c r="AC173" s="770"/>
      <c r="AD173" s="769"/>
      <c r="AF173" s="763"/>
      <c r="AI173" s="763"/>
      <c r="AK173" s="763"/>
      <c r="AM173" s="776"/>
    </row>
    <row r="174" spans="1:39">
      <c r="A174" s="4">
        <v>75</v>
      </c>
      <c r="C174" s="512" t="s">
        <v>740</v>
      </c>
      <c r="E174" s="36" t="s">
        <v>674</v>
      </c>
      <c r="G174" s="35">
        <v>38354.665000000001</v>
      </c>
      <c r="I174" s="861">
        <v>1.9276317065247057</v>
      </c>
      <c r="J174" s="750">
        <f>G174*I174/100</f>
        <v>739.33668347133414</v>
      </c>
      <c r="L174" s="35">
        <v>198.23675228158473</v>
      </c>
      <c r="M174" s="762">
        <v>0</v>
      </c>
      <c r="N174" s="35">
        <v>4.0568848762310559</v>
      </c>
      <c r="O174" s="35">
        <v>81.480793558219929</v>
      </c>
      <c r="P174" s="762">
        <v>0</v>
      </c>
      <c r="Q174" s="762">
        <f>J174-L174-M174-N174-O174-P174</f>
        <v>455.56225275529846</v>
      </c>
      <c r="S174" s="35">
        <v>11.80182686529929</v>
      </c>
      <c r="T174" s="35">
        <v>713.71254168538769</v>
      </c>
      <c r="U174" s="35">
        <v>0</v>
      </c>
      <c r="V174" s="35">
        <v>3.3926837207200333</v>
      </c>
      <c r="W174" s="35">
        <v>89.296498133575312</v>
      </c>
      <c r="X174" s="762">
        <v>0</v>
      </c>
      <c r="Y174" s="68"/>
      <c r="Z174" s="771">
        <f>Q174+S174+T174+U174+V174+W174+X174</f>
        <v>1273.7658031602809</v>
      </c>
      <c r="AA174" s="821">
        <f>Z174/G174*100</f>
        <v>3.3210192375823926</v>
      </c>
      <c r="AB174" s="762">
        <f>Z174-J174</f>
        <v>534.4291196889468</v>
      </c>
      <c r="AC174" s="770"/>
      <c r="AD174" s="769"/>
      <c r="AF174" s="763"/>
      <c r="AI174" s="763"/>
      <c r="AK174" s="763"/>
      <c r="AM174" s="776"/>
    </row>
    <row r="175" spans="1:39">
      <c r="A175" s="4">
        <v>76</v>
      </c>
      <c r="B175" s="256"/>
      <c r="C175" s="512" t="s">
        <v>705</v>
      </c>
      <c r="D175" s="256"/>
      <c r="E175" s="742"/>
      <c r="F175" s="256"/>
      <c r="G175" s="420">
        <f>SUM(G172:G174)</f>
        <v>49261.163</v>
      </c>
      <c r="H175" s="256"/>
      <c r="I175" s="914">
        <f>J175/G175*100</f>
        <v>2.0470943403149486</v>
      </c>
      <c r="J175" s="808">
        <f>SUM(J172:J174)</f>
        <v>1008.4224797463216</v>
      </c>
      <c r="K175" s="256"/>
      <c r="L175" s="805">
        <f t="shared" ref="L175:Q175" si="47">SUM(L172:L174)</f>
        <v>254.60717664288731</v>
      </c>
      <c r="M175" s="805">
        <f t="shared" si="47"/>
        <v>0</v>
      </c>
      <c r="N175" s="805">
        <f t="shared" si="47"/>
        <v>5.2104970063029583</v>
      </c>
      <c r="O175" s="805">
        <f t="shared" si="47"/>
        <v>104.65059863880501</v>
      </c>
      <c r="P175" s="805">
        <f t="shared" si="47"/>
        <v>0</v>
      </c>
      <c r="Q175" s="805">
        <f t="shared" si="47"/>
        <v>643.95420745832644</v>
      </c>
      <c r="R175" s="256"/>
      <c r="S175" s="807">
        <f t="shared" ref="S175:X175" si="48">SUM(S172:S174)</f>
        <v>16.744628620515059</v>
      </c>
      <c r="T175" s="807">
        <f t="shared" si="48"/>
        <v>916.66319732184274</v>
      </c>
      <c r="U175" s="807">
        <f t="shared" si="48"/>
        <v>0</v>
      </c>
      <c r="V175" s="807">
        <f t="shared" si="48"/>
        <v>4.3574242083416976</v>
      </c>
      <c r="W175" s="807">
        <f t="shared" si="48"/>
        <v>114.68876992895778</v>
      </c>
      <c r="X175" s="807">
        <f t="shared" si="48"/>
        <v>0</v>
      </c>
      <c r="Y175" s="771"/>
      <c r="Z175" s="807">
        <f>SUM(Z172:Z174)</f>
        <v>1696.408227537984</v>
      </c>
      <c r="AA175" s="902">
        <f>Z175/G175*100</f>
        <v>3.4437031613280911</v>
      </c>
      <c r="AB175" s="805">
        <f>SUM(AB172:AB174)</f>
        <v>687.98574779166233</v>
      </c>
      <c r="AC175" s="804">
        <f>AA175/I175-1</f>
        <v>0.68223959859039618</v>
      </c>
      <c r="AD175" s="769"/>
      <c r="AF175" s="763"/>
      <c r="AI175" s="763"/>
      <c r="AK175" s="763"/>
      <c r="AM175" s="776"/>
    </row>
    <row r="176" spans="1:39">
      <c r="A176" s="4"/>
      <c r="B176" s="256"/>
      <c r="C176" s="7"/>
      <c r="D176" s="256"/>
      <c r="E176" s="742"/>
      <c r="F176" s="256"/>
      <c r="G176" s="35"/>
      <c r="H176" s="256"/>
      <c r="I176" s="504"/>
      <c r="J176" s="256"/>
      <c r="K176" s="256"/>
      <c r="L176" s="762"/>
      <c r="M176" s="762"/>
      <c r="N176" s="762"/>
      <c r="O176" s="762"/>
      <c r="P176" s="762"/>
      <c r="Q176" s="762"/>
      <c r="R176" s="256"/>
      <c r="S176" s="771"/>
      <c r="T176" s="762"/>
      <c r="U176" s="762"/>
      <c r="V176" s="762"/>
      <c r="W176" s="762"/>
      <c r="X176" s="762"/>
      <c r="Y176" s="771"/>
      <c r="Z176" s="771"/>
      <c r="AA176" s="771"/>
      <c r="AB176" s="504"/>
      <c r="AC176" s="770"/>
      <c r="AD176" s="769"/>
      <c r="AF176" s="763"/>
      <c r="AI176" s="763"/>
      <c r="AK176" s="763"/>
      <c r="AM176" s="776"/>
    </row>
    <row r="177" spans="1:39">
      <c r="A177" s="4">
        <v>77</v>
      </c>
      <c r="B177" s="256"/>
      <c r="C177" s="7" t="s">
        <v>742</v>
      </c>
      <c r="D177" s="256"/>
      <c r="E177" s="36" t="s">
        <v>674</v>
      </c>
      <c r="F177" s="256"/>
      <c r="G177" s="35">
        <v>576.94793424657541</v>
      </c>
      <c r="H177" s="256"/>
      <c r="I177" s="897">
        <v>-77</v>
      </c>
      <c r="J177" s="896">
        <f>G177*I177/100</f>
        <v>-444.24990936986308</v>
      </c>
      <c r="K177" s="256"/>
      <c r="L177" s="762">
        <v>0</v>
      </c>
      <c r="M177" s="762">
        <v>0</v>
      </c>
      <c r="N177" s="762">
        <v>0</v>
      </c>
      <c r="O177" s="762">
        <v>0</v>
      </c>
      <c r="P177" s="762">
        <v>0</v>
      </c>
      <c r="Q177" s="762">
        <f>J177-L177-M177-N177-O177-P177</f>
        <v>-444.24990936986308</v>
      </c>
      <c r="R177" s="256"/>
      <c r="S177" s="771">
        <v>0</v>
      </c>
      <c r="T177" s="762">
        <v>0</v>
      </c>
      <c r="U177" s="762">
        <v>0</v>
      </c>
      <c r="V177" s="762">
        <v>0</v>
      </c>
      <c r="W177" s="762">
        <v>0</v>
      </c>
      <c r="X177" s="762">
        <v>0</v>
      </c>
      <c r="Y177" s="771"/>
      <c r="Z177" s="771">
        <f>Q177+S177+T177+U177+V177+W177+X177</f>
        <v>-444.24990936986308</v>
      </c>
      <c r="AA177" s="821">
        <f>Z177/G177*100</f>
        <v>-77</v>
      </c>
      <c r="AB177" s="755">
        <v>0</v>
      </c>
      <c r="AC177" s="755"/>
      <c r="AD177" s="323"/>
      <c r="AF177" s="763"/>
      <c r="AI177" s="763"/>
      <c r="AK177" s="763"/>
      <c r="AM177" s="776"/>
    </row>
    <row r="178" spans="1:39">
      <c r="A178" s="4"/>
      <c r="B178" s="256"/>
      <c r="C178" s="7"/>
      <c r="D178" s="256"/>
      <c r="E178" s="742"/>
      <c r="F178" s="256"/>
      <c r="G178" s="35"/>
      <c r="H178" s="256"/>
      <c r="I178" s="504"/>
      <c r="J178" s="256"/>
      <c r="K178" s="256"/>
      <c r="L178" s="762"/>
      <c r="M178" s="762"/>
      <c r="N178" s="762"/>
      <c r="O178" s="762"/>
      <c r="P178" s="762"/>
      <c r="Q178" s="762"/>
      <c r="R178" s="256"/>
      <c r="S178" s="771"/>
      <c r="T178" s="762"/>
      <c r="U178" s="762"/>
      <c r="V178" s="762"/>
      <c r="W178" s="762"/>
      <c r="X178" s="762"/>
      <c r="Y178" s="771"/>
      <c r="Z178" s="771"/>
      <c r="AA178" s="771"/>
      <c r="AB178" s="504"/>
      <c r="AC178" s="770"/>
      <c r="AD178" s="769"/>
      <c r="AF178" s="763"/>
      <c r="AI178" s="763"/>
      <c r="AK178" s="763"/>
      <c r="AM178" s="776"/>
    </row>
    <row r="179" spans="1:39">
      <c r="A179" s="4">
        <v>78</v>
      </c>
      <c r="B179" s="256"/>
      <c r="C179" s="7" t="s">
        <v>710</v>
      </c>
      <c r="D179" s="256"/>
      <c r="E179" s="742"/>
      <c r="F179" s="256"/>
      <c r="G179" s="420">
        <f>G168+G175</f>
        <v>52646.499000000003</v>
      </c>
      <c r="H179" s="256"/>
      <c r="I179" s="914">
        <f>J179/G179*100</f>
        <v>1.6417676200219227</v>
      </c>
      <c r="J179" s="808">
        <f>J162+J168+J175+J177</f>
        <v>864.33317365716528</v>
      </c>
      <c r="K179" s="750"/>
      <c r="L179" s="807">
        <f t="shared" ref="L179:Q179" si="49">L162+L168+L175+L177</f>
        <v>272.10434456292859</v>
      </c>
      <c r="M179" s="807">
        <f t="shared" si="49"/>
        <v>0</v>
      </c>
      <c r="N179" s="807">
        <f t="shared" si="49"/>
        <v>5.5685738769876725</v>
      </c>
      <c r="O179" s="807">
        <f t="shared" si="49"/>
        <v>111.84241907945309</v>
      </c>
      <c r="P179" s="807">
        <f t="shared" si="49"/>
        <v>0</v>
      </c>
      <c r="Q179" s="807">
        <f t="shared" si="49"/>
        <v>474.81783613779601</v>
      </c>
      <c r="R179" s="750"/>
      <c r="S179" s="807">
        <f t="shared" ref="S179:X179" si="50">S162+S168+S175+S177</f>
        <v>24.120389915594213</v>
      </c>
      <c r="T179" s="807">
        <f t="shared" si="50"/>
        <v>979.65831828089802</v>
      </c>
      <c r="U179" s="807">
        <f t="shared" si="50"/>
        <v>0</v>
      </c>
      <c r="V179" s="807">
        <f t="shared" si="50"/>
        <v>4.6568760308610049</v>
      </c>
      <c r="W179" s="807">
        <f t="shared" si="50"/>
        <v>122.57043568736097</v>
      </c>
      <c r="X179" s="807">
        <f t="shared" si="50"/>
        <v>0</v>
      </c>
      <c r="Y179" s="771"/>
      <c r="Z179" s="807">
        <f>Z162+Z168+Z175+Z177</f>
        <v>1605.8238560525106</v>
      </c>
      <c r="AA179" s="902">
        <f>Z179/G179*100</f>
        <v>3.050200652568579</v>
      </c>
      <c r="AB179" s="807">
        <f>AB162+AB168+AB175+AB177</f>
        <v>741.49068239534517</v>
      </c>
      <c r="AC179" s="804">
        <f>AA179/I179-1</f>
        <v>0.85787599619478994</v>
      </c>
      <c r="AD179" s="769"/>
      <c r="AF179" s="763"/>
      <c r="AI179" s="763"/>
      <c r="AK179" s="763"/>
      <c r="AM179" s="776"/>
    </row>
    <row r="180" spans="1:39">
      <c r="A180" s="4"/>
      <c r="B180" s="256"/>
      <c r="C180" s="7"/>
      <c r="D180" s="256"/>
      <c r="E180" s="36"/>
      <c r="F180" s="256"/>
      <c r="G180" s="453"/>
      <c r="H180" s="256"/>
      <c r="I180" s="504"/>
      <c r="J180" s="256"/>
      <c r="K180" s="256"/>
      <c r="L180" s="762"/>
      <c r="M180" s="762"/>
      <c r="N180" s="762"/>
      <c r="O180" s="762"/>
      <c r="P180" s="762"/>
      <c r="Q180" s="762"/>
      <c r="R180" s="256"/>
      <c r="S180" s="771"/>
      <c r="T180" s="762"/>
      <c r="U180" s="762"/>
      <c r="V180" s="762"/>
      <c r="W180" s="762"/>
      <c r="X180" s="762"/>
      <c r="Y180" s="771"/>
      <c r="Z180" s="771"/>
      <c r="AA180" s="771"/>
      <c r="AB180" s="504"/>
      <c r="AC180" s="770"/>
      <c r="AD180" s="769"/>
      <c r="AF180" s="763"/>
      <c r="AI180" s="763"/>
      <c r="AK180" s="763"/>
      <c r="AM180" s="776"/>
    </row>
    <row r="181" spans="1:39">
      <c r="A181" s="4">
        <v>79</v>
      </c>
      <c r="C181" s="9" t="s">
        <v>711</v>
      </c>
      <c r="E181" s="742" t="s">
        <v>674</v>
      </c>
      <c r="G181" s="35">
        <v>52646.499000000003</v>
      </c>
      <c r="H181" s="752"/>
      <c r="I181" s="35">
        <v>0</v>
      </c>
      <c r="J181" s="68">
        <f>G181*I181/100</f>
        <v>0</v>
      </c>
      <c r="L181" s="762">
        <v>0</v>
      </c>
      <c r="M181" s="762">
        <v>0</v>
      </c>
      <c r="N181" s="762">
        <v>0</v>
      </c>
      <c r="O181" s="762">
        <v>0</v>
      </c>
      <c r="P181" s="762">
        <v>0</v>
      </c>
      <c r="Q181" s="762">
        <f>J181-L181-M181-N181-O181-P181</f>
        <v>0</v>
      </c>
      <c r="S181" s="68">
        <v>0</v>
      </c>
      <c r="T181" s="762">
        <v>0</v>
      </c>
      <c r="U181" s="762">
        <v>0</v>
      </c>
      <c r="V181" s="762">
        <v>0</v>
      </c>
      <c r="W181" s="762">
        <v>0</v>
      </c>
      <c r="X181" s="762">
        <v>0</v>
      </c>
      <c r="Y181" s="68"/>
      <c r="Z181" s="68">
        <f>Q181+S181+T181+U181+V181+W181+X181</f>
        <v>0</v>
      </c>
      <c r="AA181" s="68">
        <f>Z181/G181*100</f>
        <v>0</v>
      </c>
      <c r="AB181" s="762">
        <f>Z181-J181</f>
        <v>0</v>
      </c>
      <c r="AC181" s="834"/>
      <c r="AD181" s="833"/>
      <c r="AF181" s="763"/>
      <c r="AI181" s="763"/>
      <c r="AK181" s="763"/>
      <c r="AM181" s="776"/>
    </row>
    <row r="182" spans="1:39">
      <c r="A182" s="4"/>
      <c r="C182" s="9"/>
      <c r="E182" s="742"/>
      <c r="G182" s="35"/>
      <c r="H182" s="752"/>
      <c r="I182" s="35"/>
      <c r="J182" s="68"/>
      <c r="L182" s="762"/>
      <c r="M182" s="762"/>
      <c r="N182" s="762"/>
      <c r="O182" s="762"/>
      <c r="P182" s="762"/>
      <c r="Q182" s="762"/>
      <c r="S182" s="68"/>
      <c r="T182" s="762"/>
      <c r="U182" s="762"/>
      <c r="V182" s="762"/>
      <c r="W182" s="762"/>
      <c r="X182" s="762"/>
      <c r="Y182" s="68"/>
      <c r="Z182" s="68"/>
      <c r="AA182" s="68"/>
      <c r="AB182" s="762"/>
      <c r="AC182" s="834"/>
      <c r="AD182" s="833"/>
      <c r="AF182" s="763"/>
      <c r="AI182" s="763"/>
      <c r="AK182" s="763"/>
      <c r="AM182" s="776"/>
    </row>
    <row r="183" spans="1:39">
      <c r="A183" s="4"/>
      <c r="C183" s="7" t="s">
        <v>712</v>
      </c>
      <c r="E183" s="742"/>
      <c r="G183" s="35"/>
      <c r="H183" s="752"/>
      <c r="I183" s="35"/>
      <c r="J183" s="68"/>
      <c r="L183" s="762"/>
      <c r="M183" s="762"/>
      <c r="N183" s="762"/>
      <c r="O183" s="762"/>
      <c r="P183" s="762"/>
      <c r="Q183" s="762"/>
      <c r="S183" s="68"/>
      <c r="T183" s="762"/>
      <c r="U183" s="762"/>
      <c r="V183" s="762"/>
      <c r="W183" s="762"/>
      <c r="X183" s="762"/>
      <c r="Y183" s="68"/>
      <c r="Z183" s="68"/>
      <c r="AA183" s="68"/>
      <c r="AB183" s="762"/>
      <c r="AC183" s="834"/>
      <c r="AD183" s="833"/>
      <c r="AF183" s="763"/>
      <c r="AI183" s="763"/>
      <c r="AK183" s="763"/>
      <c r="AM183" s="776"/>
    </row>
    <row r="184" spans="1:39">
      <c r="A184" s="4">
        <v>80</v>
      </c>
      <c r="B184" s="256"/>
      <c r="C184" s="9" t="s">
        <v>713</v>
      </c>
      <c r="D184" s="256"/>
      <c r="E184" s="742" t="s">
        <v>674</v>
      </c>
      <c r="F184" s="256"/>
      <c r="G184" s="35">
        <v>4391.5119999999997</v>
      </c>
      <c r="H184" s="750"/>
      <c r="I184" s="861">
        <v>3.9267447076426962</v>
      </c>
      <c r="J184" s="752">
        <f>G184*I184/100</f>
        <v>172.44346504549389</v>
      </c>
      <c r="K184" s="256"/>
      <c r="L184" s="762">
        <v>0</v>
      </c>
      <c r="M184" s="762">
        <v>0</v>
      </c>
      <c r="N184" s="762">
        <v>0</v>
      </c>
      <c r="O184" s="762">
        <v>0</v>
      </c>
      <c r="P184" s="762">
        <v>0</v>
      </c>
      <c r="Q184" s="762">
        <f>J184-L184-M184-N184-O184-P184</f>
        <v>172.44346504549389</v>
      </c>
      <c r="R184" s="256"/>
      <c r="S184" s="35">
        <v>8.9117909077539359E-2</v>
      </c>
      <c r="T184" s="762">
        <v>0</v>
      </c>
      <c r="U184" s="762">
        <v>0</v>
      </c>
      <c r="V184" s="762">
        <v>0</v>
      </c>
      <c r="W184" s="762">
        <v>0</v>
      </c>
      <c r="X184" s="762">
        <v>0</v>
      </c>
      <c r="Y184" s="771"/>
      <c r="Z184" s="68">
        <f>Q184+S184+T184+U184+V184+W184+X184</f>
        <v>172.53258295457144</v>
      </c>
      <c r="AA184" s="911">
        <f>Z184/G184*100</f>
        <v>3.9287740294133648</v>
      </c>
      <c r="AB184" s="762">
        <f>Z184-J184</f>
        <v>8.91179090775438E-2</v>
      </c>
      <c r="AC184" s="770"/>
      <c r="AD184" s="769"/>
      <c r="AF184" s="763"/>
      <c r="AI184" s="763"/>
      <c r="AK184" s="763"/>
      <c r="AM184" s="776"/>
    </row>
    <row r="185" spans="1:39">
      <c r="A185" s="4">
        <v>81</v>
      </c>
      <c r="B185" s="256"/>
      <c r="C185" s="9" t="s">
        <v>714</v>
      </c>
      <c r="D185" s="256"/>
      <c r="E185" s="742" t="s">
        <v>674</v>
      </c>
      <c r="F185" s="256"/>
      <c r="G185" s="35">
        <v>48254.987000000001</v>
      </c>
      <c r="H185" s="750"/>
      <c r="I185" s="861">
        <v>0.96972153366292246</v>
      </c>
      <c r="J185" s="752">
        <f>G185*I185/100</f>
        <v>467.93900000524388</v>
      </c>
      <c r="K185" s="256"/>
      <c r="L185" s="762">
        <v>0</v>
      </c>
      <c r="M185" s="762">
        <v>0</v>
      </c>
      <c r="N185" s="762">
        <v>0</v>
      </c>
      <c r="O185" s="762">
        <v>0</v>
      </c>
      <c r="P185" s="762">
        <v>0</v>
      </c>
      <c r="Q185" s="762">
        <f>J185-L185-M185-N185-O185-P185</f>
        <v>467.93900000524388</v>
      </c>
      <c r="R185" s="256"/>
      <c r="S185" s="35">
        <v>7.7787252976260675</v>
      </c>
      <c r="T185" s="762">
        <v>0</v>
      </c>
      <c r="U185" s="762">
        <v>0</v>
      </c>
      <c r="V185" s="762">
        <v>0</v>
      </c>
      <c r="W185" s="762">
        <v>0</v>
      </c>
      <c r="X185" s="762">
        <v>0</v>
      </c>
      <c r="Y185" s="771"/>
      <c r="Z185" s="68">
        <f>Q185+S185+T185+U185+V185+W185+X185</f>
        <v>475.71772530286995</v>
      </c>
      <c r="AA185" s="911">
        <f>Z185/G185*100</f>
        <v>0.98584157799663263</v>
      </c>
      <c r="AB185" s="762">
        <f>Z185-J185</f>
        <v>7.7787252976260675</v>
      </c>
      <c r="AC185" s="770"/>
      <c r="AD185" s="769"/>
      <c r="AF185" s="763"/>
      <c r="AI185" s="763"/>
      <c r="AK185" s="763"/>
      <c r="AM185" s="776"/>
    </row>
    <row r="186" spans="1:39">
      <c r="A186" s="4">
        <v>82</v>
      </c>
      <c r="B186" s="256"/>
      <c r="C186" s="7" t="s">
        <v>712</v>
      </c>
      <c r="D186" s="256"/>
      <c r="E186" s="742"/>
      <c r="F186" s="256"/>
      <c r="G186" s="420">
        <f>SUM(G184:G185)</f>
        <v>52646.499000000003</v>
      </c>
      <c r="H186" s="750"/>
      <c r="I186" s="891">
        <f>J186/G186*100</f>
        <v>1.2163818624496525</v>
      </c>
      <c r="J186" s="913">
        <f>SUM(J184:J185)</f>
        <v>640.38246505073778</v>
      </c>
      <c r="K186" s="752"/>
      <c r="L186" s="416">
        <f t="shared" ref="L186:Q186" si="51">SUM(L184:L185)</f>
        <v>0</v>
      </c>
      <c r="M186" s="416">
        <f t="shared" si="51"/>
        <v>0</v>
      </c>
      <c r="N186" s="416">
        <f t="shared" si="51"/>
        <v>0</v>
      </c>
      <c r="O186" s="416">
        <f t="shared" si="51"/>
        <v>0</v>
      </c>
      <c r="P186" s="416">
        <f t="shared" si="51"/>
        <v>0</v>
      </c>
      <c r="Q186" s="805">
        <f t="shared" si="51"/>
        <v>640.38246505073778</v>
      </c>
      <c r="R186" s="752"/>
      <c r="S186" s="420">
        <f t="shared" ref="S186:X186" si="52">SUM(S184:S185)</f>
        <v>7.8678432067036068</v>
      </c>
      <c r="T186" s="416">
        <f t="shared" si="52"/>
        <v>0</v>
      </c>
      <c r="U186" s="416">
        <f t="shared" si="52"/>
        <v>0</v>
      </c>
      <c r="V186" s="416">
        <f t="shared" si="52"/>
        <v>0</v>
      </c>
      <c r="W186" s="416">
        <f t="shared" si="52"/>
        <v>0</v>
      </c>
      <c r="X186" s="416">
        <f t="shared" si="52"/>
        <v>0</v>
      </c>
      <c r="Y186" s="752"/>
      <c r="Z186" s="416">
        <f>SUM(Z184:Z185)</f>
        <v>648.25030825744136</v>
      </c>
      <c r="AA186" s="912">
        <f>Z186/G186*100</f>
        <v>1.2313265280136507</v>
      </c>
      <c r="AB186" s="805">
        <f>SUM(AB184:AB185)</f>
        <v>7.8678432067036113</v>
      </c>
      <c r="AC186" s="804">
        <f>AA186/I186-1</f>
        <v>1.2286162779426402E-2</v>
      </c>
      <c r="AD186" s="769"/>
      <c r="AF186" s="763"/>
      <c r="AI186" s="763"/>
      <c r="AK186" s="763"/>
      <c r="AM186" s="776"/>
    </row>
    <row r="187" spans="1:39">
      <c r="A187" s="4"/>
      <c r="B187" s="256"/>
      <c r="D187" s="256"/>
      <c r="E187" s="36"/>
      <c r="F187" s="256"/>
      <c r="G187" s="818"/>
      <c r="H187" s="750"/>
      <c r="I187" s="909"/>
      <c r="J187" s="752"/>
      <c r="K187" s="256"/>
      <c r="L187" s="762"/>
      <c r="M187" s="762"/>
      <c r="N187" s="762"/>
      <c r="O187" s="762"/>
      <c r="P187" s="762"/>
      <c r="Q187" s="762"/>
      <c r="R187" s="256"/>
      <c r="S187" s="771"/>
      <c r="T187" s="762"/>
      <c r="U187" s="762"/>
      <c r="V187" s="762"/>
      <c r="W187" s="762"/>
      <c r="X187" s="762"/>
      <c r="Y187" s="771"/>
      <c r="Z187" s="68"/>
      <c r="AA187" s="911"/>
      <c r="AB187" s="762"/>
      <c r="AC187" s="770"/>
      <c r="AD187" s="769"/>
      <c r="AF187" s="763"/>
      <c r="AI187" s="763"/>
      <c r="AK187" s="763"/>
      <c r="AM187" s="776"/>
    </row>
    <row r="188" spans="1:39">
      <c r="A188" s="4">
        <v>83</v>
      </c>
      <c r="C188" s="7" t="s">
        <v>715</v>
      </c>
      <c r="E188" s="742" t="s">
        <v>674</v>
      </c>
      <c r="G188" s="35">
        <v>4391.5119999999997</v>
      </c>
      <c r="H188" s="752"/>
      <c r="I188" s="861">
        <v>18.34709332635693</v>
      </c>
      <c r="J188" s="752">
        <f>G188*I188/100</f>
        <v>805.71480507816364</v>
      </c>
      <c r="L188" s="762">
        <v>0</v>
      </c>
      <c r="M188" s="762">
        <v>0</v>
      </c>
      <c r="N188" s="762">
        <v>0</v>
      </c>
      <c r="O188" s="762">
        <v>0</v>
      </c>
      <c r="P188" s="762">
        <v>0</v>
      </c>
      <c r="Q188" s="762">
        <f>J188-L188-M188-N188-O188-P188</f>
        <v>805.71480507816364</v>
      </c>
      <c r="S188" s="35">
        <v>6.4694020866267632E-2</v>
      </c>
      <c r="T188" s="762">
        <v>0</v>
      </c>
      <c r="U188" s="762">
        <v>0</v>
      </c>
      <c r="V188" s="762">
        <v>0</v>
      </c>
      <c r="W188" s="762">
        <v>0</v>
      </c>
      <c r="X188" s="762">
        <v>0</v>
      </c>
      <c r="Y188" s="68"/>
      <c r="Z188" s="68">
        <f>Q188+S188+T188+U188+V188+W188+X188</f>
        <v>805.77949909902986</v>
      </c>
      <c r="AA188" s="911">
        <f>Z188/G188*100</f>
        <v>18.348566486873537</v>
      </c>
      <c r="AB188" s="762">
        <f>Z188-J188</f>
        <v>6.469402086622722E-2</v>
      </c>
      <c r="AC188" s="770">
        <f>AA188/I188-1</f>
        <v>8.0293945771359176E-5</v>
      </c>
      <c r="AD188" s="769"/>
      <c r="AF188" s="763"/>
      <c r="AI188" s="763"/>
      <c r="AK188" s="763"/>
      <c r="AM188" s="776"/>
    </row>
    <row r="189" spans="1:39">
      <c r="A189" s="4"/>
      <c r="B189" s="256"/>
      <c r="C189" s="7"/>
      <c r="D189" s="256"/>
      <c r="E189" s="134"/>
      <c r="F189" s="256"/>
      <c r="G189" s="910"/>
      <c r="H189" s="750"/>
      <c r="I189" s="909"/>
      <c r="J189" s="750"/>
      <c r="K189" s="256"/>
      <c r="L189" s="762"/>
      <c r="M189" s="504"/>
      <c r="N189" s="762"/>
      <c r="O189" s="762"/>
      <c r="P189" s="762"/>
      <c r="Q189" s="762"/>
      <c r="R189" s="256"/>
      <c r="S189" s="35"/>
      <c r="T189" s="762"/>
      <c r="U189" s="762"/>
      <c r="V189" s="762"/>
      <c r="W189" s="762"/>
      <c r="X189" s="762"/>
      <c r="Y189" s="771"/>
      <c r="Z189" s="771"/>
      <c r="AA189" s="821"/>
      <c r="AB189" s="504"/>
      <c r="AC189" s="770"/>
      <c r="AD189" s="769"/>
      <c r="AF189" s="763"/>
      <c r="AI189" s="763"/>
      <c r="AK189" s="763"/>
      <c r="AM189" s="776"/>
    </row>
    <row r="190" spans="1:39" ht="13.5" thickBot="1">
      <c r="A190" s="4">
        <v>84</v>
      </c>
      <c r="B190" s="256"/>
      <c r="C190" s="7" t="s">
        <v>743</v>
      </c>
      <c r="D190" s="256"/>
      <c r="E190" s="36"/>
      <c r="F190" s="256"/>
      <c r="G190" s="768">
        <f>G179</f>
        <v>52646.499000000003</v>
      </c>
      <c r="H190" s="256"/>
      <c r="I190" s="908">
        <f>J190/G190*100</f>
        <v>4.3885737659137911</v>
      </c>
      <c r="J190" s="756">
        <f>J179+J181+J186+J188</f>
        <v>2310.4304437860665</v>
      </c>
      <c r="K190" s="750"/>
      <c r="L190" s="768">
        <f t="shared" ref="L190:Q190" si="53">L179+L181+L186+L188</f>
        <v>272.10434456292859</v>
      </c>
      <c r="M190" s="768">
        <f t="shared" si="53"/>
        <v>0</v>
      </c>
      <c r="N190" s="768">
        <f t="shared" si="53"/>
        <v>5.5685738769876725</v>
      </c>
      <c r="O190" s="768">
        <f t="shared" si="53"/>
        <v>111.84241907945309</v>
      </c>
      <c r="P190" s="768">
        <f t="shared" si="53"/>
        <v>0</v>
      </c>
      <c r="Q190" s="768">
        <f t="shared" si="53"/>
        <v>1920.9151062666974</v>
      </c>
      <c r="R190" s="750"/>
      <c r="S190" s="768">
        <f t="shared" ref="S190:X190" si="54">S179+S181+S186+S188</f>
        <v>32.052927143164091</v>
      </c>
      <c r="T190" s="768">
        <f t="shared" si="54"/>
        <v>979.65831828089802</v>
      </c>
      <c r="U190" s="781">
        <f t="shared" si="54"/>
        <v>0</v>
      </c>
      <c r="V190" s="781">
        <f t="shared" si="54"/>
        <v>4.6568760308610049</v>
      </c>
      <c r="W190" s="768">
        <f t="shared" si="54"/>
        <v>122.57043568736097</v>
      </c>
      <c r="X190" s="781">
        <f t="shared" si="54"/>
        <v>0</v>
      </c>
      <c r="Y190" s="750"/>
      <c r="Z190" s="768">
        <f>Z179+Z181+Z186+Z188</f>
        <v>3059.8536634089814</v>
      </c>
      <c r="AA190" s="901">
        <f>Z190/G190*100</f>
        <v>5.8120743478288679</v>
      </c>
      <c r="AB190" s="781">
        <f>AB179+AB181+AB186+AB188</f>
        <v>749.42321962291498</v>
      </c>
      <c r="AC190" s="780">
        <f>AA190/I190-1</f>
        <v>0.32436519421673093</v>
      </c>
      <c r="AD190" s="779"/>
      <c r="AF190" s="763"/>
      <c r="AI190" s="763"/>
      <c r="AK190" s="763"/>
      <c r="AM190" s="776"/>
    </row>
    <row r="191" spans="1:39" ht="13.5" thickTop="1">
      <c r="A191" s="4"/>
      <c r="B191" s="256"/>
      <c r="C191" s="7"/>
      <c r="D191" s="256"/>
      <c r="E191" s="36"/>
      <c r="F191" s="256"/>
      <c r="G191" s="35"/>
      <c r="H191" s="256"/>
      <c r="I191" s="256"/>
      <c r="J191" s="256"/>
      <c r="K191" s="256"/>
      <c r="L191" s="504"/>
      <c r="M191" s="504"/>
      <c r="N191" s="504"/>
      <c r="O191" s="504"/>
      <c r="P191" s="504"/>
      <c r="Q191" s="504"/>
      <c r="R191" s="256"/>
      <c r="S191" s="750"/>
      <c r="T191" s="753"/>
      <c r="U191" s="753"/>
      <c r="V191" s="753"/>
      <c r="W191" s="753"/>
      <c r="X191" s="753"/>
      <c r="Y191" s="750"/>
      <c r="Z191" s="750"/>
      <c r="AA191" s="750"/>
      <c r="AB191" s="753"/>
      <c r="AC191" s="770"/>
      <c r="AD191" s="769"/>
      <c r="AF191" s="763"/>
      <c r="AM191" s="776"/>
    </row>
    <row r="192" spans="1:39">
      <c r="A192" s="4"/>
      <c r="B192" s="256"/>
      <c r="C192" s="6" t="s">
        <v>169</v>
      </c>
      <c r="D192" s="256"/>
      <c r="E192" s="36"/>
      <c r="F192" s="256"/>
      <c r="G192" s="453"/>
      <c r="H192" s="256"/>
      <c r="I192" s="256"/>
      <c r="J192" s="256"/>
      <c r="K192" s="256"/>
      <c r="L192" s="504"/>
      <c r="M192" s="504"/>
      <c r="N192" s="504"/>
      <c r="O192" s="504"/>
      <c r="P192" s="504"/>
      <c r="Q192" s="504"/>
      <c r="R192" s="256"/>
      <c r="S192" s="256"/>
      <c r="T192" s="504"/>
      <c r="U192" s="504"/>
      <c r="V192" s="504"/>
      <c r="W192" s="504"/>
      <c r="X192" s="504"/>
      <c r="Y192" s="256"/>
      <c r="Z192" s="256"/>
      <c r="AA192" s="256"/>
      <c r="AB192" s="504"/>
      <c r="AC192" s="504"/>
    </row>
    <row r="193" spans="1:39">
      <c r="A193" s="4">
        <v>85</v>
      </c>
      <c r="C193" s="7" t="s">
        <v>703</v>
      </c>
      <c r="E193" s="36" t="s">
        <v>704</v>
      </c>
      <c r="G193" s="35">
        <v>192</v>
      </c>
      <c r="I193" s="778">
        <v>134.92647936727528</v>
      </c>
      <c r="J193" s="752">
        <f>G193*I193/1000</f>
        <v>25.905884038516852</v>
      </c>
      <c r="L193" s="762">
        <v>0</v>
      </c>
      <c r="M193" s="762">
        <v>0</v>
      </c>
      <c r="N193" s="762">
        <v>0</v>
      </c>
      <c r="O193" s="762">
        <v>0</v>
      </c>
      <c r="P193" s="762">
        <v>0</v>
      </c>
      <c r="Q193" s="68">
        <f>J193-L193-M193-N193-O193-P193</f>
        <v>25.905884038516852</v>
      </c>
      <c r="R193" s="68"/>
      <c r="S193" s="35">
        <v>0.69855673454514644</v>
      </c>
      <c r="T193" s="762">
        <v>0</v>
      </c>
      <c r="U193" s="762">
        <v>0</v>
      </c>
      <c r="V193" s="762">
        <v>0</v>
      </c>
      <c r="W193" s="762">
        <v>0</v>
      </c>
      <c r="X193" s="762">
        <v>0</v>
      </c>
      <c r="Y193" s="68"/>
      <c r="Z193" s="68">
        <f>Q193+S193+T193+U193+V193+W193+X193</f>
        <v>26.604440773061999</v>
      </c>
      <c r="AA193" s="904">
        <f>Z193/G193*1000</f>
        <v>138.56479569303124</v>
      </c>
      <c r="AB193" s="762">
        <f>Z193-J193</f>
        <v>0.69855673454514644</v>
      </c>
      <c r="AC193" s="770">
        <f>AA193/I193-1</f>
        <v>2.696517646363783E-2</v>
      </c>
      <c r="AD193" s="769"/>
      <c r="AF193" s="763"/>
      <c r="AI193" s="763"/>
      <c r="AK193" s="763"/>
      <c r="AM193" s="776"/>
    </row>
    <row r="194" spans="1:39">
      <c r="A194" s="4">
        <v>86</v>
      </c>
      <c r="B194" s="256"/>
      <c r="C194" s="512" t="s">
        <v>726</v>
      </c>
      <c r="D194" s="256"/>
      <c r="E194" s="36" t="s">
        <v>675</v>
      </c>
      <c r="F194" s="256"/>
      <c r="G194" s="35">
        <v>6138.48</v>
      </c>
      <c r="H194" s="256"/>
      <c r="I194" s="861">
        <v>9.0517208463813486</v>
      </c>
      <c r="J194" s="750">
        <f>G194*I194/100</f>
        <v>555.63807381094978</v>
      </c>
      <c r="K194" s="256"/>
      <c r="L194" s="762">
        <v>0</v>
      </c>
      <c r="M194" s="762">
        <v>0</v>
      </c>
      <c r="N194" s="762">
        <v>0</v>
      </c>
      <c r="O194" s="762">
        <v>0</v>
      </c>
      <c r="P194" s="762">
        <v>0</v>
      </c>
      <c r="Q194" s="68">
        <f>J194-L194-M194-N194-O194-P194</f>
        <v>555.63807381094978</v>
      </c>
      <c r="R194" s="771"/>
      <c r="S194" s="35">
        <v>14.982878710228078</v>
      </c>
      <c r="T194" s="762">
        <v>0</v>
      </c>
      <c r="U194" s="762">
        <v>0</v>
      </c>
      <c r="V194" s="762">
        <v>0</v>
      </c>
      <c r="W194" s="762">
        <v>0</v>
      </c>
      <c r="X194" s="762">
        <v>0</v>
      </c>
      <c r="Y194" s="771"/>
      <c r="Z194" s="68">
        <f>Q194+S194+T194+U194+V194+W194+X194</f>
        <v>570.62095252117786</v>
      </c>
      <c r="AA194" s="821">
        <f>Z194/G194*100</f>
        <v>9.2958020963036105</v>
      </c>
      <c r="AB194" s="762">
        <f>Z194-J194</f>
        <v>14.982878710228078</v>
      </c>
      <c r="AC194" s="770">
        <f>AA194/I194-1</f>
        <v>2.696517646363783E-2</v>
      </c>
      <c r="AD194" s="769"/>
      <c r="AF194" s="763"/>
      <c r="AI194" s="763"/>
      <c r="AK194" s="763"/>
      <c r="AM194" s="776"/>
    </row>
    <row r="195" spans="1:39">
      <c r="A195" s="4"/>
      <c r="B195" s="256"/>
      <c r="C195" s="512" t="s">
        <v>705</v>
      </c>
      <c r="D195" s="256"/>
      <c r="E195" s="36"/>
      <c r="F195" s="256"/>
      <c r="G195" s="35"/>
      <c r="H195" s="256"/>
      <c r="I195" s="256"/>
      <c r="J195" s="750"/>
      <c r="K195" s="256"/>
      <c r="L195" s="762"/>
      <c r="M195" s="762"/>
      <c r="N195" s="762"/>
      <c r="O195" s="762"/>
      <c r="P195" s="762"/>
      <c r="Q195" s="68"/>
      <c r="R195" s="771"/>
      <c r="S195" s="35"/>
      <c r="T195" s="762"/>
      <c r="U195" s="762"/>
      <c r="V195" s="762"/>
      <c r="W195" s="762"/>
      <c r="X195" s="762"/>
      <c r="Y195" s="771"/>
      <c r="Z195" s="68"/>
      <c r="AA195" s="821"/>
      <c r="AB195" s="762"/>
      <c r="AC195" s="770"/>
      <c r="AD195" s="769"/>
      <c r="AF195" s="763"/>
      <c r="AI195" s="763"/>
      <c r="AK195" s="763"/>
      <c r="AM195" s="776"/>
    </row>
    <row r="196" spans="1:39">
      <c r="A196" s="4">
        <v>87</v>
      </c>
      <c r="B196" s="256"/>
      <c r="C196" s="512" t="s">
        <v>738</v>
      </c>
      <c r="D196" s="256"/>
      <c r="E196" s="36" t="s">
        <v>674</v>
      </c>
      <c r="F196" s="256"/>
      <c r="G196" s="35">
        <v>2496.9</v>
      </c>
      <c r="H196" s="256"/>
      <c r="I196" s="861">
        <v>7.4823219899090896</v>
      </c>
      <c r="J196" s="750">
        <f>G196*I196/100</f>
        <v>186.82609776604008</v>
      </c>
      <c r="K196" s="256"/>
      <c r="L196" s="35">
        <v>191.80981250237761</v>
      </c>
      <c r="M196" s="35">
        <v>0</v>
      </c>
      <c r="N196" s="35">
        <v>0.26410440157569681</v>
      </c>
      <c r="O196" s="35">
        <v>5.8685587970682915</v>
      </c>
      <c r="P196" s="35">
        <v>0.71365196917169615</v>
      </c>
      <c r="Q196" s="68">
        <f>'Sch.19 - Delivery pg.18-34'!N201+'Sch.19-Gas Cost pg.35-51'!O199</f>
        <v>2.2572754399925552</v>
      </c>
      <c r="R196" s="771"/>
      <c r="S196" s="35">
        <v>0</v>
      </c>
      <c r="T196" s="35">
        <v>50.747074313533822</v>
      </c>
      <c r="U196" s="762">
        <v>0</v>
      </c>
      <c r="V196" s="35">
        <v>0.22086471051867745</v>
      </c>
      <c r="W196" s="35">
        <v>6.4314757721983336</v>
      </c>
      <c r="X196" s="35">
        <v>0.63740236112499682</v>
      </c>
      <c r="Y196" s="771"/>
      <c r="Z196" s="68">
        <f>Q196+S196+T196+U196+V196+W196+X196</f>
        <v>60.294092597368383</v>
      </c>
      <c r="AA196" s="821">
        <f>Z196/G196*100</f>
        <v>2.4147580038194714</v>
      </c>
      <c r="AB196" s="762">
        <f>Z196-J196</f>
        <v>-126.5320051686717</v>
      </c>
      <c r="AC196" s="785"/>
      <c r="AD196" s="785"/>
      <c r="AF196" s="763"/>
      <c r="AI196" s="763"/>
      <c r="AK196" s="763"/>
      <c r="AM196" s="776"/>
    </row>
    <row r="197" spans="1:39">
      <c r="A197" s="4">
        <v>88</v>
      </c>
      <c r="B197" s="256"/>
      <c r="C197" s="512" t="s">
        <v>739</v>
      </c>
      <c r="D197" s="256"/>
      <c r="E197" s="36" t="s">
        <v>674</v>
      </c>
      <c r="F197" s="256"/>
      <c r="G197" s="35">
        <v>4159.7690000000002</v>
      </c>
      <c r="H197" s="256"/>
      <c r="I197" s="861">
        <v>6.1080928904752776</v>
      </c>
      <c r="J197" s="750">
        <f>G197*I197/100</f>
        <v>254.08255454919458</v>
      </c>
      <c r="K197" s="256"/>
      <c r="L197" s="35">
        <v>319.55004683535697</v>
      </c>
      <c r="M197" s="35">
        <v>0</v>
      </c>
      <c r="N197" s="35">
        <v>0.43999090970328597</v>
      </c>
      <c r="O197" s="35">
        <v>9.7768628934767001</v>
      </c>
      <c r="P197" s="35">
        <v>1.1889252025108643</v>
      </c>
      <c r="Q197" s="68">
        <f>'Sch.19 - Delivery pg.18-34'!N202+'Sch.19-Gas Cost pg.35-51'!O200</f>
        <v>3.758321823003973</v>
      </c>
      <c r="R197" s="771"/>
      <c r="S197" s="35">
        <v>0</v>
      </c>
      <c r="T197" s="35">
        <v>84.54327629065412</v>
      </c>
      <c r="U197" s="762">
        <v>0</v>
      </c>
      <c r="V197" s="35">
        <v>0.36795473427432746</v>
      </c>
      <c r="W197" s="35">
        <v>10.71466760440614</v>
      </c>
      <c r="X197" s="35">
        <v>1.0618953832090057</v>
      </c>
      <c r="Y197" s="771"/>
      <c r="Z197" s="68">
        <f>Q197+S197+T197+U197+V197+W197+X197</f>
        <v>100.44611583554756</v>
      </c>
      <c r="AA197" s="821">
        <f>Z197/G197*100</f>
        <v>2.4147041779374661</v>
      </c>
      <c r="AB197" s="762">
        <f>Z197-J197</f>
        <v>-153.63643871364701</v>
      </c>
      <c r="AC197" s="785"/>
      <c r="AD197" s="785"/>
      <c r="AF197" s="763"/>
      <c r="AI197" s="763"/>
      <c r="AK197" s="763"/>
      <c r="AM197" s="776"/>
    </row>
    <row r="198" spans="1:39">
      <c r="A198" s="4">
        <v>89</v>
      </c>
      <c r="B198" s="256"/>
      <c r="C198" s="512" t="s">
        <v>740</v>
      </c>
      <c r="D198" s="256"/>
      <c r="E198" s="36" t="s">
        <v>674</v>
      </c>
      <c r="F198" s="256"/>
      <c r="G198" s="35">
        <v>9056.9930000000004</v>
      </c>
      <c r="H198" s="256"/>
      <c r="I198" s="861">
        <v>5.542619907675042</v>
      </c>
      <c r="J198" s="750">
        <f>G198*I198/100</f>
        <v>501.99469705473501</v>
      </c>
      <c r="K198" s="256"/>
      <c r="L198" s="35">
        <v>695.75078263660794</v>
      </c>
      <c r="M198" s="35">
        <v>0</v>
      </c>
      <c r="N198" s="35">
        <v>0.95798458742451642</v>
      </c>
      <c r="O198" s="35">
        <v>21.286994250925524</v>
      </c>
      <c r="P198" s="35">
        <v>2.5886262522424874</v>
      </c>
      <c r="Q198" s="68">
        <f>'Sch.19 - Delivery pg.18-34'!N203+'Sch.19-Gas Cost pg.35-51'!O201</f>
        <v>8.185962944069697</v>
      </c>
      <c r="R198" s="771"/>
      <c r="S198" s="35">
        <v>0</v>
      </c>
      <c r="T198" s="35">
        <v>184.07461124921127</v>
      </c>
      <c r="U198" s="762">
        <v>0</v>
      </c>
      <c r="V198" s="35">
        <v>0.80114147026900884</v>
      </c>
      <c r="W198" s="35">
        <v>23.328860206043455</v>
      </c>
      <c r="X198" s="35">
        <v>2.3120464267261673</v>
      </c>
      <c r="Y198" s="771"/>
      <c r="Z198" s="68">
        <f>Q198+S198+T198+U198+V198+W198+X198</f>
        <v>218.70262229631962</v>
      </c>
      <c r="AA198" s="821">
        <f>Z198/G198*100</f>
        <v>2.4147376761395267</v>
      </c>
      <c r="AB198" s="762">
        <f>Z198-J198</f>
        <v>-283.29207475841542</v>
      </c>
      <c r="AC198" s="785"/>
      <c r="AD198" s="785"/>
      <c r="AF198" s="763"/>
      <c r="AI198" s="763"/>
      <c r="AK198" s="763"/>
      <c r="AM198" s="776"/>
    </row>
    <row r="199" spans="1:39">
      <c r="A199" s="4">
        <v>90</v>
      </c>
      <c r="B199" s="256"/>
      <c r="C199" s="512" t="s">
        <v>705</v>
      </c>
      <c r="D199" s="256"/>
      <c r="E199" s="742"/>
      <c r="F199" s="256"/>
      <c r="G199" s="137">
        <f>SUM(G196:G198)</f>
        <v>15713.662</v>
      </c>
      <c r="H199" s="256"/>
      <c r="I199" s="806">
        <f>J199/G199*100</f>
        <v>6.0005322080236265</v>
      </c>
      <c r="J199" s="808">
        <f>SUM(J196:J198)</f>
        <v>942.90334936996965</v>
      </c>
      <c r="K199" s="256"/>
      <c r="L199" s="807">
        <f t="shared" ref="L199:Q199" si="55">SUM(L196:L198)</f>
        <v>1207.1106419743426</v>
      </c>
      <c r="M199" s="805">
        <f t="shared" si="55"/>
        <v>0</v>
      </c>
      <c r="N199" s="805">
        <f t="shared" si="55"/>
        <v>1.662079898703499</v>
      </c>
      <c r="O199" s="807">
        <f t="shared" si="55"/>
        <v>36.932415941470516</v>
      </c>
      <c r="P199" s="805">
        <f t="shared" si="55"/>
        <v>4.4912034239250485</v>
      </c>
      <c r="Q199" s="805">
        <f t="shared" si="55"/>
        <v>14.201560207066226</v>
      </c>
      <c r="R199" s="771"/>
      <c r="S199" s="807">
        <f t="shared" ref="S199:X199" si="56">SUM(S196:S198)</f>
        <v>0</v>
      </c>
      <c r="T199" s="807">
        <f t="shared" si="56"/>
        <v>319.36496185339922</v>
      </c>
      <c r="U199" s="807">
        <f t="shared" si="56"/>
        <v>0</v>
      </c>
      <c r="V199" s="807">
        <f t="shared" si="56"/>
        <v>1.3899609150620136</v>
      </c>
      <c r="W199" s="807">
        <f t="shared" si="56"/>
        <v>40.475003582647929</v>
      </c>
      <c r="X199" s="807">
        <f t="shared" si="56"/>
        <v>4.0113441710601698</v>
      </c>
      <c r="Y199" s="771"/>
      <c r="Z199" s="807">
        <f>SUM(Z196:Z198)</f>
        <v>379.44283072923554</v>
      </c>
      <c r="AA199" s="902">
        <f>Z199/G199*100</f>
        <v>2.4147320384594981</v>
      </c>
      <c r="AB199" s="805">
        <f>SUM(AB196:AB198)</f>
        <v>-563.46051864073411</v>
      </c>
      <c r="AC199" s="816">
        <f>AA199/I199-1</f>
        <v>-0.59758035541736887</v>
      </c>
      <c r="AD199" s="785"/>
      <c r="AF199" s="763"/>
      <c r="AI199" s="763"/>
      <c r="AK199" s="763"/>
      <c r="AM199" s="776"/>
    </row>
    <row r="200" spans="1:39">
      <c r="A200" s="4"/>
      <c r="C200" s="7"/>
      <c r="L200" s="762"/>
      <c r="M200" s="762"/>
      <c r="N200" s="762"/>
      <c r="O200" s="762"/>
      <c r="P200" s="762"/>
      <c r="Q200" s="762"/>
      <c r="R200" s="68"/>
      <c r="S200" s="68"/>
      <c r="T200" s="762"/>
      <c r="U200" s="762"/>
      <c r="V200" s="762"/>
      <c r="W200" s="762"/>
      <c r="X200" s="762"/>
      <c r="Y200" s="68"/>
      <c r="Z200" s="68"/>
      <c r="AA200" s="793"/>
      <c r="AB200" s="762"/>
      <c r="AC200" s="770"/>
      <c r="AD200" s="769"/>
      <c r="AF200" s="763"/>
      <c r="AI200" s="763"/>
      <c r="AK200" s="763"/>
      <c r="AM200" s="776"/>
    </row>
    <row r="201" spans="1:39">
      <c r="A201" s="4">
        <v>91</v>
      </c>
      <c r="B201" s="734"/>
      <c r="C201" s="7" t="s">
        <v>744</v>
      </c>
      <c r="D201" s="734"/>
      <c r="E201" s="734"/>
      <c r="F201" s="734"/>
      <c r="G201" s="35">
        <v>172.20451506849315</v>
      </c>
      <c r="H201" s="3"/>
      <c r="I201" s="897">
        <v>-50</v>
      </c>
      <c r="J201" s="907">
        <f>G201*I201/100</f>
        <v>-86.102257534246576</v>
      </c>
      <c r="K201" s="734"/>
      <c r="L201" s="762">
        <v>0</v>
      </c>
      <c r="M201" s="762">
        <v>0</v>
      </c>
      <c r="N201" s="762">
        <v>0</v>
      </c>
      <c r="O201" s="762">
        <v>0</v>
      </c>
      <c r="P201" s="762">
        <v>0</v>
      </c>
      <c r="Q201" s="762">
        <f>J201-L201-M201-N201-O201-P201</f>
        <v>-86.102257534246576</v>
      </c>
      <c r="R201" s="790"/>
      <c r="S201" s="136">
        <v>0</v>
      </c>
      <c r="T201" s="827">
        <v>0</v>
      </c>
      <c r="U201" s="827">
        <v>0</v>
      </c>
      <c r="V201" s="827">
        <v>0</v>
      </c>
      <c r="W201" s="827">
        <v>0</v>
      </c>
      <c r="X201" s="827">
        <v>0</v>
      </c>
      <c r="Y201" s="906"/>
      <c r="Z201" s="136">
        <f>Q201+S201+T201+U201+V201+W201+X201</f>
        <v>-86.102257534246576</v>
      </c>
      <c r="AA201" s="821">
        <f>Z201/G201*100</f>
        <v>-50</v>
      </c>
      <c r="AB201" s="827">
        <v>0</v>
      </c>
      <c r="AC201" s="827"/>
      <c r="AD201" s="866"/>
      <c r="AF201" s="763"/>
      <c r="AI201" s="763"/>
      <c r="AK201" s="763"/>
      <c r="AM201" s="776"/>
    </row>
    <row r="202" spans="1:39">
      <c r="A202" s="4">
        <v>92</v>
      </c>
      <c r="B202" s="734"/>
      <c r="C202" s="7" t="s">
        <v>745</v>
      </c>
      <c r="D202" s="734"/>
      <c r="E202" s="734"/>
      <c r="F202" s="734"/>
      <c r="G202" s="762">
        <v>0</v>
      </c>
      <c r="I202" s="762">
        <v>0</v>
      </c>
      <c r="J202" s="762">
        <v>0</v>
      </c>
      <c r="K202" s="734"/>
      <c r="L202" s="762">
        <v>0</v>
      </c>
      <c r="M202" s="762">
        <v>0</v>
      </c>
      <c r="N202" s="762">
        <v>0</v>
      </c>
      <c r="O202" s="762">
        <v>0</v>
      </c>
      <c r="P202" s="762">
        <v>0</v>
      </c>
      <c r="Q202" s="762">
        <f>J202-L202-M202-N202-O202-P202</f>
        <v>0</v>
      </c>
      <c r="R202" s="790"/>
      <c r="S202" s="136">
        <v>0</v>
      </c>
      <c r="T202" s="827">
        <v>0</v>
      </c>
      <c r="U202" s="827">
        <v>0</v>
      </c>
      <c r="V202" s="827">
        <v>0</v>
      </c>
      <c r="W202" s="827">
        <v>0</v>
      </c>
      <c r="X202" s="827">
        <v>0</v>
      </c>
      <c r="Y202" s="906"/>
      <c r="Z202" s="136">
        <f>Q202+S202+T202+U202+V202+W202+X202</f>
        <v>0</v>
      </c>
      <c r="AA202" s="827">
        <v>0</v>
      </c>
      <c r="AB202" s="827">
        <v>0</v>
      </c>
      <c r="AC202" s="827"/>
      <c r="AD202" s="866"/>
      <c r="AF202" s="763"/>
      <c r="AI202" s="763"/>
      <c r="AK202" s="763"/>
      <c r="AM202" s="776"/>
    </row>
    <row r="203" spans="1:39">
      <c r="A203" s="4"/>
      <c r="B203" s="385"/>
      <c r="C203" s="7"/>
      <c r="D203" s="385"/>
      <c r="E203" s="447"/>
      <c r="F203" s="385"/>
      <c r="G203" s="447"/>
      <c r="H203" s="385"/>
      <c r="I203" s="385"/>
      <c r="J203" s="385"/>
      <c r="K203" s="385"/>
      <c r="L203" s="762"/>
      <c r="M203" s="762"/>
      <c r="N203" s="762"/>
      <c r="O203" s="762"/>
      <c r="P203" s="762"/>
      <c r="Q203" s="762"/>
      <c r="R203" s="789"/>
      <c r="S203" s="789"/>
      <c r="T203" s="762"/>
      <c r="U203" s="762"/>
      <c r="V203" s="762"/>
      <c r="W203" s="762"/>
      <c r="X203" s="762"/>
      <c r="Y203" s="789"/>
      <c r="Z203" s="789"/>
      <c r="AA203" s="905"/>
      <c r="AB203" s="762"/>
      <c r="AC203" s="770"/>
      <c r="AD203" s="769"/>
      <c r="AF203" s="763"/>
      <c r="AI203" s="763"/>
      <c r="AK203" s="763"/>
      <c r="AM203" s="776"/>
    </row>
    <row r="204" spans="1:39">
      <c r="A204" s="4">
        <v>93</v>
      </c>
      <c r="B204" s="447"/>
      <c r="C204" s="7" t="s">
        <v>710</v>
      </c>
      <c r="D204" s="447"/>
      <c r="E204" s="385"/>
      <c r="F204" s="447"/>
      <c r="G204" s="137">
        <f>G199</f>
        <v>15713.662</v>
      </c>
      <c r="H204" s="447"/>
      <c r="I204" s="829">
        <f>J204/G204*100</f>
        <v>9.1534681711060735</v>
      </c>
      <c r="J204" s="852">
        <f>J193+J194+J199+J201+J202</f>
        <v>1438.3450496851899</v>
      </c>
      <c r="K204" s="818"/>
      <c r="L204" s="807">
        <f t="shared" ref="L204:Q204" si="57">L193+L194+L199+L201+L202</f>
        <v>1207.1106419743426</v>
      </c>
      <c r="M204" s="137">
        <f t="shared" si="57"/>
        <v>0</v>
      </c>
      <c r="N204" s="807">
        <f t="shared" si="57"/>
        <v>1.662079898703499</v>
      </c>
      <c r="O204" s="807">
        <f t="shared" si="57"/>
        <v>36.932415941470516</v>
      </c>
      <c r="P204" s="807">
        <f t="shared" si="57"/>
        <v>4.4912034239250485</v>
      </c>
      <c r="Q204" s="852">
        <f t="shared" si="57"/>
        <v>509.64326052228631</v>
      </c>
      <c r="R204" s="818"/>
      <c r="S204" s="807">
        <f t="shared" ref="S204:X204" si="58">S193+S194+S199+S201+S202</f>
        <v>15.681435444773225</v>
      </c>
      <c r="T204" s="807">
        <f t="shared" si="58"/>
        <v>319.36496185339922</v>
      </c>
      <c r="U204" s="137">
        <f t="shared" si="58"/>
        <v>0</v>
      </c>
      <c r="V204" s="807">
        <f t="shared" si="58"/>
        <v>1.3899609150620136</v>
      </c>
      <c r="W204" s="807">
        <f t="shared" si="58"/>
        <v>40.475003582647929</v>
      </c>
      <c r="X204" s="807">
        <f t="shared" si="58"/>
        <v>4.0113441710601698</v>
      </c>
      <c r="Y204" s="818"/>
      <c r="Z204" s="807">
        <f>Z193+Z194+Z199+Z201+Z202</f>
        <v>890.56596648922891</v>
      </c>
      <c r="AA204" s="829">
        <f>Z204/G204*100</f>
        <v>5.6674629153231679</v>
      </c>
      <c r="AB204" s="881">
        <f>AB193+AB194+AB199+AB201+AB202</f>
        <v>-547.77908319596088</v>
      </c>
      <c r="AC204" s="816">
        <f>AA204/I204-1</f>
        <v>-0.38083982929955051</v>
      </c>
      <c r="AD204" s="785"/>
      <c r="AF204" s="763"/>
      <c r="AI204" s="763"/>
      <c r="AK204" s="763"/>
      <c r="AM204" s="776"/>
    </row>
    <row r="205" spans="1:39">
      <c r="A205" s="4"/>
      <c r="B205" s="254"/>
      <c r="C205" s="254"/>
      <c r="D205" s="254"/>
      <c r="E205" s="4"/>
      <c r="F205" s="254"/>
      <c r="G205" s="13"/>
      <c r="H205" s="254"/>
      <c r="I205" s="254"/>
      <c r="J205" s="254"/>
      <c r="K205" s="254"/>
      <c r="L205" s="762"/>
      <c r="M205" s="762"/>
      <c r="N205" s="762"/>
      <c r="O205" s="762"/>
      <c r="P205" s="762"/>
      <c r="Q205" s="762"/>
      <c r="R205" s="786"/>
      <c r="S205" s="786"/>
      <c r="T205" s="762"/>
      <c r="U205" s="762"/>
      <c r="V205" s="762"/>
      <c r="W205" s="762"/>
      <c r="X205" s="762"/>
      <c r="Y205" s="786"/>
      <c r="Z205" s="786"/>
      <c r="AA205" s="855"/>
      <c r="AB205" s="762"/>
      <c r="AC205" s="770"/>
      <c r="AD205" s="769"/>
      <c r="AF205" s="763"/>
      <c r="AI205" s="763"/>
      <c r="AK205" s="763"/>
      <c r="AM205" s="776"/>
    </row>
    <row r="206" spans="1:39">
      <c r="A206" s="4">
        <v>94</v>
      </c>
      <c r="B206" s="256"/>
      <c r="C206" s="9" t="s">
        <v>711</v>
      </c>
      <c r="D206" s="256"/>
      <c r="E206" s="742" t="s">
        <v>674</v>
      </c>
      <c r="F206" s="256"/>
      <c r="G206" s="35">
        <v>15713.662</v>
      </c>
      <c r="H206" s="256"/>
      <c r="I206" s="861">
        <v>0.56728392094566971</v>
      </c>
      <c r="J206" s="750">
        <f>G206*I206/100</f>
        <v>89.14107791774974</v>
      </c>
      <c r="K206" s="256"/>
      <c r="L206" s="762">
        <v>0</v>
      </c>
      <c r="M206" s="35">
        <v>23.910450696564268</v>
      </c>
      <c r="N206" s="762">
        <v>0</v>
      </c>
      <c r="O206" s="762">
        <v>0</v>
      </c>
      <c r="P206" s="762">
        <v>0</v>
      </c>
      <c r="Q206" s="762">
        <f>J206-L206-M206-N206-O206-P206</f>
        <v>65.230627221185472</v>
      </c>
      <c r="R206" s="771"/>
      <c r="S206" s="35">
        <v>0.68245676067089178</v>
      </c>
      <c r="T206" s="762">
        <v>0</v>
      </c>
      <c r="U206" s="35">
        <v>23.82768445233804</v>
      </c>
      <c r="V206" s="762">
        <v>0</v>
      </c>
      <c r="W206" s="762">
        <v>0</v>
      </c>
      <c r="X206" s="762">
        <v>0</v>
      </c>
      <c r="Y206" s="771"/>
      <c r="Z206" s="771">
        <f>Q206+S206+T206+U206+V206+W206+X206</f>
        <v>89.740768434194393</v>
      </c>
      <c r="AA206" s="821">
        <f>Z206/G206*100</f>
        <v>0.57110028479799546</v>
      </c>
      <c r="AB206" s="762">
        <f>Z206-J206</f>
        <v>0.5996905164446531</v>
      </c>
      <c r="AC206" s="785">
        <f>AA206/I206-1</f>
        <v>6.7274317346486256E-3</v>
      </c>
      <c r="AD206" s="785"/>
      <c r="AF206" s="763"/>
      <c r="AI206" s="763"/>
      <c r="AK206" s="763"/>
      <c r="AM206" s="776"/>
    </row>
    <row r="207" spans="1:39">
      <c r="A207" s="4"/>
      <c r="B207" s="256"/>
      <c r="C207" s="9"/>
      <c r="D207" s="256"/>
      <c r="E207" s="742"/>
      <c r="F207" s="256"/>
      <c r="G207" s="35"/>
      <c r="H207" s="256"/>
      <c r="I207" s="861"/>
      <c r="J207" s="750"/>
      <c r="K207" s="256"/>
      <c r="L207" s="762"/>
      <c r="M207" s="35"/>
      <c r="N207" s="762"/>
      <c r="O207" s="762"/>
      <c r="P207" s="762"/>
      <c r="Q207" s="762"/>
      <c r="R207" s="771"/>
      <c r="S207" s="35"/>
      <c r="T207" s="762"/>
      <c r="U207" s="35"/>
      <c r="V207" s="762"/>
      <c r="W207" s="762"/>
      <c r="X207" s="762"/>
      <c r="Y207" s="771"/>
      <c r="Z207" s="771"/>
      <c r="AA207" s="792"/>
      <c r="AB207" s="762"/>
      <c r="AC207" s="785"/>
      <c r="AD207" s="785"/>
      <c r="AF207" s="763"/>
      <c r="AI207" s="763"/>
      <c r="AK207" s="763"/>
      <c r="AM207" s="776"/>
    </row>
    <row r="208" spans="1:39">
      <c r="A208" s="4"/>
      <c r="B208" s="256"/>
      <c r="C208" s="7" t="s">
        <v>712</v>
      </c>
      <c r="D208" s="256"/>
      <c r="E208" s="742"/>
      <c r="F208" s="256"/>
      <c r="G208" s="35"/>
      <c r="H208" s="256"/>
      <c r="I208" s="861"/>
      <c r="J208" s="750"/>
      <c r="K208" s="256"/>
      <c r="L208" s="762"/>
      <c r="M208" s="35"/>
      <c r="N208" s="762"/>
      <c r="O208" s="762"/>
      <c r="P208" s="762"/>
      <c r="Q208" s="762"/>
      <c r="R208" s="771"/>
      <c r="S208" s="35"/>
      <c r="T208" s="762"/>
      <c r="U208" s="35"/>
      <c r="V208" s="762"/>
      <c r="W208" s="762"/>
      <c r="X208" s="762"/>
      <c r="Y208" s="771"/>
      <c r="Z208" s="771"/>
      <c r="AA208" s="792"/>
      <c r="AB208" s="762"/>
      <c r="AC208" s="785"/>
      <c r="AD208" s="785"/>
      <c r="AF208" s="763"/>
      <c r="AI208" s="763"/>
      <c r="AK208" s="763"/>
      <c r="AM208" s="776"/>
    </row>
    <row r="209" spans="1:39">
      <c r="A209" s="4">
        <v>95</v>
      </c>
      <c r="B209" s="256"/>
      <c r="C209" s="9" t="s">
        <v>713</v>
      </c>
      <c r="D209" s="256"/>
      <c r="E209" s="742" t="s">
        <v>674</v>
      </c>
      <c r="F209" s="256"/>
      <c r="G209" s="35">
        <v>573.62400000000002</v>
      </c>
      <c r="H209" s="256"/>
      <c r="I209" s="861">
        <v>3.9267458432309148</v>
      </c>
      <c r="J209" s="750">
        <f>G209*I209/100</f>
        <v>22.524756575774905</v>
      </c>
      <c r="K209" s="256"/>
      <c r="L209" s="762">
        <v>0</v>
      </c>
      <c r="M209" s="762">
        <v>0</v>
      </c>
      <c r="N209" s="762">
        <v>0</v>
      </c>
      <c r="O209" s="762">
        <v>0</v>
      </c>
      <c r="P209" s="762">
        <v>0</v>
      </c>
      <c r="Q209" s="762">
        <f>J209-L209-M209-N209-O209-P209</f>
        <v>22.524756575774905</v>
      </c>
      <c r="R209" s="771"/>
      <c r="S209" s="35">
        <v>1.1645731568907303E-2</v>
      </c>
      <c r="T209" s="762">
        <v>0</v>
      </c>
      <c r="U209" s="762">
        <v>0</v>
      </c>
      <c r="V209" s="762">
        <v>0</v>
      </c>
      <c r="W209" s="762">
        <v>0</v>
      </c>
      <c r="X209" s="762">
        <v>0</v>
      </c>
      <c r="Y209" s="771"/>
      <c r="Z209" s="771">
        <f>Q209+S209+T209+U209+V209+W209+X209</f>
        <v>22.536402307343813</v>
      </c>
      <c r="AA209" s="821">
        <f>Z209/G209*100</f>
        <v>3.9287760462156069</v>
      </c>
      <c r="AB209" s="762">
        <f>Z209-J209</f>
        <v>1.1645731568908246E-2</v>
      </c>
      <c r="AC209" s="770"/>
      <c r="AD209" s="769"/>
      <c r="AF209" s="763"/>
      <c r="AI209" s="763"/>
      <c r="AK209" s="763"/>
      <c r="AM209" s="776"/>
    </row>
    <row r="210" spans="1:39">
      <c r="A210" s="4">
        <v>96</v>
      </c>
      <c r="B210" s="256"/>
      <c r="C210" s="9" t="s">
        <v>714</v>
      </c>
      <c r="D210" s="256"/>
      <c r="E210" s="742" t="s">
        <v>674</v>
      </c>
      <c r="F210" s="256"/>
      <c r="G210" s="35">
        <v>15140.038</v>
      </c>
      <c r="H210" s="256"/>
      <c r="I210" s="861">
        <v>0.96971985302412911</v>
      </c>
      <c r="J210" s="750">
        <f>G210*I210/100</f>
        <v>146.81595424139729</v>
      </c>
      <c r="K210" s="256"/>
      <c r="L210" s="762">
        <v>0</v>
      </c>
      <c r="M210" s="762">
        <v>0</v>
      </c>
      <c r="N210" s="762">
        <v>0</v>
      </c>
      <c r="O210" s="762">
        <v>0</v>
      </c>
      <c r="P210" s="762">
        <v>0</v>
      </c>
      <c r="Q210" s="762">
        <f>J210-L210-M210-N210-O210-P210</f>
        <v>146.81595424139729</v>
      </c>
      <c r="R210" s="771"/>
      <c r="S210" s="35">
        <v>2.4405009370906896</v>
      </c>
      <c r="T210" s="762">
        <v>0</v>
      </c>
      <c r="U210" s="762">
        <v>0</v>
      </c>
      <c r="V210" s="762">
        <v>0</v>
      </c>
      <c r="W210" s="762">
        <v>0</v>
      </c>
      <c r="X210" s="762">
        <v>0</v>
      </c>
      <c r="Y210" s="771"/>
      <c r="Z210" s="771">
        <f>Q210+S210+T210+U210+V210+W210+X210</f>
        <v>149.25645517848798</v>
      </c>
      <c r="AA210" s="821">
        <f>Z210/G210*100</f>
        <v>0.98583936961378815</v>
      </c>
      <c r="AB210" s="762">
        <f>Z210-J210</f>
        <v>2.4405009370906896</v>
      </c>
      <c r="AC210" s="770"/>
      <c r="AD210" s="769"/>
      <c r="AF210" s="763"/>
      <c r="AI210" s="763"/>
      <c r="AK210" s="763"/>
      <c r="AM210" s="776"/>
    </row>
    <row r="211" spans="1:39">
      <c r="A211" s="4">
        <v>97</v>
      </c>
      <c r="B211" s="256"/>
      <c r="C211" s="7" t="s">
        <v>712</v>
      </c>
      <c r="D211" s="256"/>
      <c r="E211" s="742"/>
      <c r="F211" s="256"/>
      <c r="G211" s="420">
        <f>SUM(G209:G210)</f>
        <v>15713.662</v>
      </c>
      <c r="H211" s="256"/>
      <c r="I211" s="891">
        <f>J211/G211*100</f>
        <v>1.0776654787227331</v>
      </c>
      <c r="J211" s="808">
        <f>SUM(J209:J210)</f>
        <v>169.34071081717221</v>
      </c>
      <c r="K211" s="256"/>
      <c r="L211" s="805">
        <f t="shared" ref="L211:Q211" si="59">SUM(L209:L210)</f>
        <v>0</v>
      </c>
      <c r="M211" s="805">
        <f t="shared" si="59"/>
        <v>0</v>
      </c>
      <c r="N211" s="805">
        <f t="shared" si="59"/>
        <v>0</v>
      </c>
      <c r="O211" s="805">
        <f t="shared" si="59"/>
        <v>0</v>
      </c>
      <c r="P211" s="805">
        <f t="shared" si="59"/>
        <v>0</v>
      </c>
      <c r="Q211" s="805">
        <f t="shared" si="59"/>
        <v>169.34071081717221</v>
      </c>
      <c r="R211" s="771"/>
      <c r="S211" s="420">
        <f t="shared" ref="S211:X211" si="60">SUM(S209:S210)</f>
        <v>2.452146668659597</v>
      </c>
      <c r="T211" s="420">
        <f t="shared" si="60"/>
        <v>0</v>
      </c>
      <c r="U211" s="420">
        <f t="shared" si="60"/>
        <v>0</v>
      </c>
      <c r="V211" s="420">
        <f t="shared" si="60"/>
        <v>0</v>
      </c>
      <c r="W211" s="420">
        <f t="shared" si="60"/>
        <v>0</v>
      </c>
      <c r="X211" s="420">
        <f t="shared" si="60"/>
        <v>0</v>
      </c>
      <c r="Y211" s="35"/>
      <c r="Z211" s="420">
        <f>SUM(Z209:Z210)</f>
        <v>171.7928574858318</v>
      </c>
      <c r="AA211" s="902">
        <f>Z211/G211*100</f>
        <v>1.0932706678165267</v>
      </c>
      <c r="AB211" s="805">
        <f>SUM(AB209:AB210)</f>
        <v>2.4521466686595979</v>
      </c>
      <c r="AC211" s="804">
        <f>AA211/I211-1</f>
        <v>1.4480550228155309E-2</v>
      </c>
      <c r="AD211" s="769"/>
      <c r="AF211" s="763"/>
      <c r="AI211" s="763"/>
      <c r="AK211" s="763"/>
      <c r="AM211" s="776"/>
    </row>
    <row r="212" spans="1:39">
      <c r="A212" s="4"/>
      <c r="B212" s="256"/>
      <c r="D212" s="256"/>
      <c r="E212" s="36"/>
      <c r="F212" s="256"/>
      <c r="G212" s="749"/>
      <c r="H212" s="256"/>
      <c r="I212" s="861"/>
      <c r="J212" s="750"/>
      <c r="K212" s="256"/>
      <c r="L212" s="762"/>
      <c r="M212" s="762"/>
      <c r="N212" s="762"/>
      <c r="O212" s="762"/>
      <c r="P212" s="762"/>
      <c r="Q212" s="762"/>
      <c r="R212" s="771"/>
      <c r="S212" s="35"/>
      <c r="T212" s="762"/>
      <c r="U212" s="762"/>
      <c r="V212" s="762"/>
      <c r="W212" s="762"/>
      <c r="X212" s="762"/>
      <c r="Y212" s="771"/>
      <c r="Z212" s="771"/>
      <c r="AA212" s="792"/>
      <c r="AB212" s="762"/>
      <c r="AC212" s="770"/>
      <c r="AD212" s="769"/>
      <c r="AF212" s="763"/>
      <c r="AI212" s="763"/>
      <c r="AK212" s="763"/>
      <c r="AM212" s="776"/>
    </row>
    <row r="213" spans="1:39">
      <c r="A213" s="4">
        <v>98</v>
      </c>
      <c r="B213" s="256"/>
      <c r="C213" s="7" t="s">
        <v>715</v>
      </c>
      <c r="D213" s="256"/>
      <c r="E213" s="742" t="s">
        <v>674</v>
      </c>
      <c r="F213" s="256"/>
      <c r="G213" s="35">
        <v>573.62400000000002</v>
      </c>
      <c r="H213" s="256"/>
      <c r="I213" s="861">
        <v>18.343372330048751</v>
      </c>
      <c r="J213" s="750">
        <f>G213*I213/100</f>
        <v>105.22198609451885</v>
      </c>
      <c r="K213" s="256"/>
      <c r="L213" s="762">
        <v>0</v>
      </c>
      <c r="M213" s="762">
        <v>0</v>
      </c>
      <c r="N213" s="762">
        <v>0</v>
      </c>
      <c r="O213" s="762">
        <v>0</v>
      </c>
      <c r="P213" s="762">
        <v>0</v>
      </c>
      <c r="Q213" s="762">
        <f>J213-L213-M213-N213-O213-P213</f>
        <v>105.22198609451885</v>
      </c>
      <c r="R213" s="771"/>
      <c r="S213" s="35">
        <v>7.8722046430914072E-3</v>
      </c>
      <c r="T213" s="762">
        <v>0</v>
      </c>
      <c r="U213" s="762">
        <v>0</v>
      </c>
      <c r="V213" s="762">
        <v>0</v>
      </c>
      <c r="W213" s="762">
        <v>0</v>
      </c>
      <c r="X213" s="762">
        <v>0</v>
      </c>
      <c r="Y213" s="771"/>
      <c r="Z213" s="771">
        <f>Q213+S213+T213+U213+V213+W213+X213</f>
        <v>105.22985829916195</v>
      </c>
      <c r="AA213" s="821">
        <f>Z213/G213*100</f>
        <v>18.344744693241903</v>
      </c>
      <c r="AB213" s="762">
        <f>Z213-J213</f>
        <v>7.872204643092573E-3</v>
      </c>
      <c r="AC213" s="770">
        <f>AA213/I213-1</f>
        <v>7.4815206738465534E-5</v>
      </c>
      <c r="AD213" s="769"/>
      <c r="AF213" s="763"/>
      <c r="AI213" s="763"/>
      <c r="AK213" s="763"/>
      <c r="AM213" s="776"/>
    </row>
    <row r="214" spans="1:39">
      <c r="A214" s="4"/>
      <c r="B214" s="256"/>
      <c r="C214" s="7"/>
      <c r="D214" s="256"/>
      <c r="E214" s="36"/>
      <c r="F214" s="256"/>
      <c r="G214" s="35"/>
      <c r="H214" s="256"/>
      <c r="I214" s="792"/>
      <c r="J214" s="256"/>
      <c r="K214" s="256"/>
      <c r="L214" s="762"/>
      <c r="M214" s="762"/>
      <c r="N214" s="762"/>
      <c r="O214" s="762"/>
      <c r="P214" s="762"/>
      <c r="Q214" s="762"/>
      <c r="R214" s="771"/>
      <c r="S214" s="771"/>
      <c r="T214" s="762"/>
      <c r="U214" s="762"/>
      <c r="V214" s="762"/>
      <c r="W214" s="762"/>
      <c r="X214" s="762"/>
      <c r="Y214" s="771"/>
      <c r="Z214" s="771"/>
      <c r="AA214" s="792"/>
      <c r="AB214" s="762"/>
      <c r="AC214" s="770"/>
      <c r="AD214" s="769"/>
      <c r="AF214" s="763"/>
      <c r="AI214" s="763"/>
      <c r="AK214" s="763"/>
      <c r="AM214" s="776"/>
    </row>
    <row r="215" spans="1:39" ht="13.5" thickBot="1">
      <c r="A215" s="4">
        <v>99</v>
      </c>
      <c r="B215" s="256"/>
      <c r="C215" s="7" t="s">
        <v>746</v>
      </c>
      <c r="D215" s="256"/>
      <c r="E215" s="36"/>
      <c r="F215" s="256"/>
      <c r="G215" s="768">
        <f>G204</f>
        <v>15713.662</v>
      </c>
      <c r="H215" s="256"/>
      <c r="I215" s="803">
        <f>J215/G215*100</f>
        <v>11.468038605607214</v>
      </c>
      <c r="J215" s="756">
        <f>J204+J206+J211+J213</f>
        <v>1802.0488245146307</v>
      </c>
      <c r="K215" s="750"/>
      <c r="L215" s="768">
        <f t="shared" ref="L215:Q215" si="61">L204+L206+L211+L213</f>
        <v>1207.1106419743426</v>
      </c>
      <c r="M215" s="768">
        <f t="shared" si="61"/>
        <v>23.910450696564268</v>
      </c>
      <c r="N215" s="768">
        <f t="shared" si="61"/>
        <v>1.662079898703499</v>
      </c>
      <c r="O215" s="768">
        <f t="shared" si="61"/>
        <v>36.932415941470516</v>
      </c>
      <c r="P215" s="768">
        <f t="shared" si="61"/>
        <v>4.4912034239250485</v>
      </c>
      <c r="Q215" s="768">
        <f t="shared" si="61"/>
        <v>849.43658465516273</v>
      </c>
      <c r="R215" s="750"/>
      <c r="S215" s="768">
        <f t="shared" ref="S215:X215" si="62">S204+S206+S211+S213</f>
        <v>18.823911078746807</v>
      </c>
      <c r="T215" s="768">
        <f t="shared" si="62"/>
        <v>319.36496185339922</v>
      </c>
      <c r="U215" s="768">
        <f t="shared" si="62"/>
        <v>23.82768445233804</v>
      </c>
      <c r="V215" s="768">
        <f t="shared" si="62"/>
        <v>1.3899609150620136</v>
      </c>
      <c r="W215" s="768">
        <f t="shared" si="62"/>
        <v>40.475003582647929</v>
      </c>
      <c r="X215" s="768">
        <f t="shared" si="62"/>
        <v>4.0113441710601698</v>
      </c>
      <c r="Y215" s="750"/>
      <c r="Z215" s="768">
        <f>Z204+Z206+Z211+Z213</f>
        <v>1257.329450708417</v>
      </c>
      <c r="AA215" s="901">
        <f>Z215/G215*100</f>
        <v>8.0015050006065866</v>
      </c>
      <c r="AB215" s="844">
        <f>AB204+AB206+AB211+AB213</f>
        <v>-544.71937380621353</v>
      </c>
      <c r="AC215" s="815">
        <f>AA215/I215-1</f>
        <v>-0.30227781089834238</v>
      </c>
      <c r="AD215" s="785"/>
      <c r="AF215" s="763"/>
      <c r="AI215" s="763"/>
      <c r="AK215" s="763"/>
      <c r="AM215" s="776"/>
    </row>
    <row r="216" spans="1:39" ht="13.5" thickTop="1">
      <c r="L216" s="2"/>
      <c r="M216" s="2"/>
      <c r="N216" s="2"/>
      <c r="O216" s="2"/>
      <c r="P216" s="504"/>
      <c r="Q216" s="504"/>
      <c r="T216" s="504"/>
      <c r="U216" s="504"/>
      <c r="V216" s="504"/>
      <c r="W216" s="504"/>
      <c r="X216" s="504"/>
      <c r="AB216" s="753"/>
      <c r="AC216" s="504"/>
      <c r="AF216" s="763"/>
      <c r="AI216" s="763"/>
      <c r="AK216" s="763"/>
      <c r="AM216" s="776"/>
    </row>
    <row r="217" spans="1:39">
      <c r="L217" s="2"/>
      <c r="M217" s="2"/>
      <c r="N217" s="2"/>
      <c r="O217" s="2"/>
      <c r="P217" s="504"/>
      <c r="Q217" s="504"/>
      <c r="T217" s="504"/>
      <c r="U217" s="504"/>
      <c r="V217" s="504"/>
      <c r="W217" s="504"/>
      <c r="X217" s="504"/>
      <c r="AB217" s="504"/>
      <c r="AC217" s="504"/>
      <c r="AF217" s="763"/>
      <c r="AI217" s="763"/>
      <c r="AK217" s="763"/>
      <c r="AM217" s="776"/>
    </row>
    <row r="218" spans="1:39">
      <c r="L218" s="2"/>
      <c r="M218" s="2"/>
      <c r="N218" s="2"/>
      <c r="O218" s="2"/>
      <c r="P218" s="504"/>
      <c r="Q218" s="504"/>
      <c r="T218" s="504"/>
      <c r="U218" s="504"/>
      <c r="V218" s="504"/>
      <c r="W218" s="504"/>
      <c r="X218" s="504"/>
      <c r="AB218" s="504"/>
      <c r="AC218" s="504"/>
      <c r="AF218" s="763"/>
      <c r="AI218" s="763"/>
      <c r="AK218" s="763"/>
      <c r="AM218" s="776"/>
    </row>
    <row r="219" spans="1:39">
      <c r="L219" s="2"/>
      <c r="M219" s="2"/>
      <c r="N219" s="2"/>
      <c r="O219" s="2"/>
      <c r="P219" s="504"/>
      <c r="Q219" s="504"/>
      <c r="T219" s="504"/>
      <c r="U219" s="504"/>
      <c r="V219" s="504"/>
      <c r="W219" s="504"/>
      <c r="X219" s="504"/>
      <c r="AB219" s="504"/>
      <c r="AC219" s="504"/>
      <c r="AF219" s="763"/>
      <c r="AI219" s="763"/>
      <c r="AK219" s="763"/>
      <c r="AM219" s="776"/>
    </row>
    <row r="220" spans="1:39">
      <c r="L220" s="2"/>
      <c r="M220" s="2"/>
      <c r="N220" s="2"/>
      <c r="O220" s="2"/>
      <c r="P220" s="504"/>
      <c r="Q220" s="504"/>
      <c r="T220" s="504"/>
      <c r="U220" s="504"/>
      <c r="V220" s="504"/>
      <c r="W220" s="504"/>
      <c r="X220" s="504"/>
      <c r="AB220" s="504"/>
      <c r="AC220" s="504"/>
      <c r="AF220" s="763"/>
      <c r="AI220" s="763"/>
      <c r="AK220" s="763"/>
      <c r="AM220" s="776"/>
    </row>
    <row r="221" spans="1:39">
      <c r="A221" s="1324" t="s">
        <v>724</v>
      </c>
      <c r="B221" s="1324"/>
      <c r="C221" s="1324"/>
      <c r="D221" s="1324"/>
      <c r="E221" s="1324"/>
      <c r="F221" s="1324"/>
      <c r="G221" s="1324"/>
      <c r="H221" s="1324"/>
      <c r="I221" s="1324"/>
      <c r="J221" s="1324"/>
      <c r="K221" s="1324"/>
      <c r="L221" s="1324"/>
      <c r="M221" s="1324"/>
      <c r="N221" s="1324"/>
      <c r="O221" s="1324"/>
      <c r="P221" s="1324"/>
      <c r="Q221" s="1324"/>
      <c r="R221" s="1324"/>
      <c r="S221" s="1324"/>
      <c r="T221" s="1324"/>
      <c r="U221" s="1324"/>
      <c r="V221" s="1324"/>
      <c r="W221" s="1324"/>
      <c r="X221" s="1324"/>
      <c r="Y221" s="1324"/>
      <c r="Z221" s="1324"/>
      <c r="AA221" s="1324"/>
      <c r="AB221" s="1324"/>
      <c r="AC221" s="1324"/>
      <c r="AD221" s="665"/>
      <c r="AF221" s="763"/>
      <c r="AI221" s="763"/>
      <c r="AK221" s="763"/>
      <c r="AM221" s="776"/>
    </row>
    <row r="222" spans="1:39">
      <c r="A222" s="385"/>
      <c r="B222" s="385"/>
      <c r="C222" s="385"/>
      <c r="D222" s="385"/>
      <c r="E222" s="447"/>
      <c r="F222" s="385"/>
      <c r="G222" s="447"/>
      <c r="H222" s="385"/>
      <c r="I222" s="385"/>
      <c r="J222" s="385"/>
      <c r="K222" s="385"/>
      <c r="L222" s="385"/>
      <c r="M222" s="385"/>
      <c r="N222" s="3"/>
      <c r="O222" s="3"/>
      <c r="P222" s="504"/>
      <c r="Q222" s="504"/>
      <c r="R222" s="385"/>
      <c r="S222" s="385"/>
      <c r="T222" s="504"/>
      <c r="U222" s="504"/>
      <c r="V222" s="504"/>
      <c r="W222" s="504"/>
      <c r="X222" s="504"/>
      <c r="Y222" s="385"/>
      <c r="Z222" s="385"/>
      <c r="AA222" s="385"/>
      <c r="AB222" s="504"/>
      <c r="AC222" s="504"/>
      <c r="AF222" s="763"/>
      <c r="AI222" s="763"/>
      <c r="AK222" s="763"/>
      <c r="AM222" s="776"/>
    </row>
    <row r="223" spans="1:39">
      <c r="A223" s="447"/>
      <c r="B223" s="447"/>
      <c r="C223" s="447"/>
      <c r="D223" s="447"/>
      <c r="E223" s="385"/>
      <c r="F223" s="447"/>
      <c r="G223" s="1313" t="s">
        <v>682</v>
      </c>
      <c r="H223" s="1313"/>
      <c r="I223" s="1313"/>
      <c r="J223" s="1313"/>
      <c r="K223" s="447"/>
      <c r="L223" s="1313" t="s">
        <v>496</v>
      </c>
      <c r="M223" s="1313"/>
      <c r="N223" s="1313"/>
      <c r="O223" s="1313"/>
      <c r="P223" s="1313"/>
      <c r="Q223" s="256"/>
      <c r="R223" s="447"/>
      <c r="S223" s="1313" t="s">
        <v>497</v>
      </c>
      <c r="T223" s="1313"/>
      <c r="U223" s="1313"/>
      <c r="V223" s="1313"/>
      <c r="W223" s="1313"/>
      <c r="X223" s="1313"/>
      <c r="Y223" s="447"/>
      <c r="Z223" s="1313" t="s">
        <v>683</v>
      </c>
      <c r="AA223" s="1313"/>
      <c r="AB223" s="1313"/>
      <c r="AC223" s="1313"/>
      <c r="AD223" s="4"/>
      <c r="AF223" s="763"/>
      <c r="AI223" s="763"/>
      <c r="AK223" s="763"/>
      <c r="AM223" s="776"/>
    </row>
    <row r="224" spans="1:39" ht="38.25">
      <c r="A224" s="254" t="s">
        <v>1</v>
      </c>
      <c r="B224" s="254"/>
      <c r="C224" s="254"/>
      <c r="D224" s="254"/>
      <c r="E224" s="4" t="s">
        <v>670</v>
      </c>
      <c r="F224" s="254"/>
      <c r="G224" s="13" t="s">
        <v>684</v>
      </c>
      <c r="H224" s="254"/>
      <c r="I224" s="13" t="s">
        <v>196</v>
      </c>
      <c r="J224" s="13" t="s">
        <v>503</v>
      </c>
      <c r="K224" s="254"/>
      <c r="L224" s="13" t="s">
        <v>505</v>
      </c>
      <c r="M224" s="13" t="s">
        <v>685</v>
      </c>
      <c r="N224" s="254" t="s">
        <v>686</v>
      </c>
      <c r="O224" s="254" t="s">
        <v>508</v>
      </c>
      <c r="P224" s="254" t="s">
        <v>687</v>
      </c>
      <c r="Q224" s="254" t="s">
        <v>688</v>
      </c>
      <c r="R224" s="254"/>
      <c r="S224" s="254" t="s">
        <v>689</v>
      </c>
      <c r="T224" s="13" t="s">
        <v>505</v>
      </c>
      <c r="U224" s="13" t="s">
        <v>685</v>
      </c>
      <c r="V224" s="254" t="s">
        <v>686</v>
      </c>
      <c r="W224" s="254" t="s">
        <v>508</v>
      </c>
      <c r="X224" s="254" t="s">
        <v>687</v>
      </c>
      <c r="Y224" s="254"/>
      <c r="Z224" s="13" t="s">
        <v>690</v>
      </c>
      <c r="AA224" s="13" t="s">
        <v>691</v>
      </c>
      <c r="AB224" s="13" t="s">
        <v>692</v>
      </c>
      <c r="AC224" s="254" t="s">
        <v>693</v>
      </c>
      <c r="AD224" s="254"/>
      <c r="AF224" s="763"/>
      <c r="AI224" s="763"/>
      <c r="AK224" s="763"/>
      <c r="AM224" s="776"/>
    </row>
    <row r="225" spans="1:39" ht="14.25">
      <c r="A225" s="255" t="s">
        <v>2</v>
      </c>
      <c r="B225" s="256"/>
      <c r="C225" s="449" t="s">
        <v>3</v>
      </c>
      <c r="D225" s="256"/>
      <c r="E225" s="255" t="s">
        <v>4</v>
      </c>
      <c r="F225" s="256"/>
      <c r="G225" s="255" t="s">
        <v>694</v>
      </c>
      <c r="H225" s="256"/>
      <c r="I225" s="255" t="s">
        <v>77</v>
      </c>
      <c r="J225" s="255" t="s">
        <v>20</v>
      </c>
      <c r="K225" s="256"/>
      <c r="L225" s="255" t="s">
        <v>20</v>
      </c>
      <c r="M225" s="255" t="s">
        <v>20</v>
      </c>
      <c r="N225" s="255" t="s">
        <v>20</v>
      </c>
      <c r="O225" s="255" t="s">
        <v>20</v>
      </c>
      <c r="P225" s="255" t="s">
        <v>20</v>
      </c>
      <c r="Q225" s="255" t="s">
        <v>20</v>
      </c>
      <c r="R225" s="256"/>
      <c r="S225" s="255" t="s">
        <v>20</v>
      </c>
      <c r="T225" s="255" t="s">
        <v>20</v>
      </c>
      <c r="U225" s="255" t="s">
        <v>20</v>
      </c>
      <c r="V225" s="255" t="s">
        <v>20</v>
      </c>
      <c r="W225" s="255" t="s">
        <v>20</v>
      </c>
      <c r="X225" s="255" t="s">
        <v>20</v>
      </c>
      <c r="Y225" s="256"/>
      <c r="Z225" s="255" t="s">
        <v>20</v>
      </c>
      <c r="AA225" s="255" t="s">
        <v>77</v>
      </c>
      <c r="AB225" s="255" t="s">
        <v>20</v>
      </c>
      <c r="AC225" s="255" t="s">
        <v>76</v>
      </c>
      <c r="AD225" s="4"/>
      <c r="AF225" s="763"/>
      <c r="AI225" s="763"/>
      <c r="AK225" s="763"/>
      <c r="AM225" s="776"/>
    </row>
    <row r="226" spans="1:39">
      <c r="A226" s="4"/>
      <c r="B226" s="256"/>
      <c r="C226" s="256"/>
      <c r="D226" s="256"/>
      <c r="E226" s="4"/>
      <c r="F226" s="256"/>
      <c r="G226" s="4" t="s">
        <v>8</v>
      </c>
      <c r="H226" s="4"/>
      <c r="I226" s="4" t="s">
        <v>9</v>
      </c>
      <c r="J226" s="4" t="s">
        <v>370</v>
      </c>
      <c r="K226" s="4"/>
      <c r="L226" s="132" t="s">
        <v>79</v>
      </c>
      <c r="M226" s="132" t="s">
        <v>115</v>
      </c>
      <c r="N226" s="132" t="s">
        <v>81</v>
      </c>
      <c r="O226" s="132" t="s">
        <v>82</v>
      </c>
      <c r="P226" s="4" t="s">
        <v>118</v>
      </c>
      <c r="Q226" s="4" t="s">
        <v>695</v>
      </c>
      <c r="R226" s="4"/>
      <c r="S226" s="4" t="s">
        <v>696</v>
      </c>
      <c r="T226" s="4" t="s">
        <v>517</v>
      </c>
      <c r="U226" s="4" t="s">
        <v>518</v>
      </c>
      <c r="V226" s="4" t="s">
        <v>519</v>
      </c>
      <c r="W226" s="4" t="s">
        <v>697</v>
      </c>
      <c r="X226" s="4" t="s">
        <v>698</v>
      </c>
      <c r="Y226" s="4"/>
      <c r="Z226" s="4" t="s">
        <v>725</v>
      </c>
      <c r="AA226" s="4" t="s">
        <v>700</v>
      </c>
      <c r="AB226" s="4" t="s">
        <v>701</v>
      </c>
      <c r="AC226" s="4" t="s">
        <v>702</v>
      </c>
      <c r="AD226" s="4"/>
      <c r="AF226" s="763"/>
      <c r="AI226" s="763"/>
      <c r="AK226" s="763"/>
      <c r="AM226" s="776"/>
    </row>
    <row r="227" spans="1:39">
      <c r="I227" s="504"/>
      <c r="J227" s="504"/>
      <c r="L227" s="762"/>
      <c r="M227" s="762"/>
      <c r="N227" s="762"/>
      <c r="O227" s="762"/>
      <c r="P227" s="762"/>
      <c r="Q227" s="762"/>
      <c r="R227" s="68"/>
      <c r="S227" s="68"/>
      <c r="T227" s="762"/>
      <c r="U227" s="762"/>
      <c r="V227" s="762"/>
      <c r="W227" s="762"/>
      <c r="X227" s="762"/>
      <c r="Y227" s="68"/>
      <c r="Z227" s="68"/>
      <c r="AA227" s="68"/>
      <c r="AB227" s="762"/>
      <c r="AC227" s="762"/>
      <c r="AD227" s="782"/>
      <c r="AE227" s="782"/>
      <c r="AF227" s="763"/>
      <c r="AI227" s="763"/>
      <c r="AK227" s="763"/>
      <c r="AM227" s="776"/>
    </row>
    <row r="228" spans="1:39">
      <c r="A228" s="4"/>
      <c r="B228" s="256"/>
      <c r="C228" s="6" t="s">
        <v>170</v>
      </c>
      <c r="D228" s="256"/>
      <c r="E228" s="36"/>
      <c r="F228" s="256"/>
      <c r="G228" s="35"/>
      <c r="H228" s="256"/>
      <c r="I228" s="256"/>
      <c r="J228" s="256"/>
      <c r="K228" s="256"/>
      <c r="L228" s="504"/>
      <c r="M228" s="504"/>
      <c r="N228" s="504"/>
      <c r="O228" s="504"/>
      <c r="P228" s="504"/>
      <c r="Q228" s="504"/>
      <c r="R228" s="256"/>
      <c r="S228" s="256"/>
      <c r="T228" s="504"/>
      <c r="U228" s="504"/>
      <c r="V228" s="504"/>
      <c r="W228" s="504"/>
      <c r="X228" s="504"/>
      <c r="Y228" s="256"/>
      <c r="Z228" s="256"/>
      <c r="AA228" s="256"/>
      <c r="AB228" s="504"/>
      <c r="AC228" s="504"/>
      <c r="AI228" s="763"/>
    </row>
    <row r="229" spans="1:39">
      <c r="A229" s="4">
        <v>100</v>
      </c>
      <c r="B229" s="256"/>
      <c r="C229" s="7" t="s">
        <v>703</v>
      </c>
      <c r="D229" s="256"/>
      <c r="E229" s="36" t="s">
        <v>704</v>
      </c>
      <c r="F229" s="256"/>
      <c r="G229" s="35">
        <v>264</v>
      </c>
      <c r="I229" s="778">
        <v>305.5481997087212</v>
      </c>
      <c r="J229" s="752">
        <f>G229*I229/1000</f>
        <v>80.664724723102395</v>
      </c>
      <c r="L229" s="762">
        <v>0</v>
      </c>
      <c r="M229" s="762">
        <v>0</v>
      </c>
      <c r="N229" s="762">
        <v>0</v>
      </c>
      <c r="O229" s="762">
        <v>0</v>
      </c>
      <c r="P229" s="762">
        <v>0</v>
      </c>
      <c r="Q229" s="68">
        <f>J229-L229-M229-N229-O229-P229</f>
        <v>80.664724723102395</v>
      </c>
      <c r="R229" s="68"/>
      <c r="S229" s="35">
        <v>2.1751385365492268</v>
      </c>
      <c r="T229" s="762">
        <v>0</v>
      </c>
      <c r="U229" s="762">
        <v>0</v>
      </c>
      <c r="V229" s="762">
        <v>0</v>
      </c>
      <c r="W229" s="762">
        <v>0</v>
      </c>
      <c r="X229" s="762">
        <v>0</v>
      </c>
      <c r="Y229" s="68"/>
      <c r="Z229" s="68">
        <f>Q229+S229+T229+U229+V229+W229+X229</f>
        <v>82.839863259651622</v>
      </c>
      <c r="AA229" s="904">
        <f>Z229/G229*1000</f>
        <v>313.78736083201369</v>
      </c>
      <c r="AB229" s="762">
        <f>Z229-J229</f>
        <v>2.1751385365492268</v>
      </c>
      <c r="AC229" s="770">
        <f>AA229/I229-1</f>
        <v>2.696517646363783E-2</v>
      </c>
      <c r="AD229" s="769"/>
      <c r="AF229" s="763"/>
      <c r="AI229" s="763"/>
      <c r="AK229" s="763"/>
      <c r="AM229" s="776"/>
    </row>
    <row r="230" spans="1:39">
      <c r="A230" s="4">
        <v>101</v>
      </c>
      <c r="B230" s="256"/>
      <c r="C230" s="512" t="s">
        <v>726</v>
      </c>
      <c r="D230" s="256"/>
      <c r="E230" s="36" t="s">
        <v>675</v>
      </c>
      <c r="F230" s="256"/>
      <c r="G230" s="35">
        <v>30927.768</v>
      </c>
      <c r="H230" s="256"/>
      <c r="I230" s="861">
        <v>4.4945119394531865</v>
      </c>
      <c r="J230" s="750">
        <f>G230*I230/100</f>
        <v>1390.0522253663821</v>
      </c>
      <c r="K230" s="256"/>
      <c r="L230" s="762">
        <v>0</v>
      </c>
      <c r="M230" s="762">
        <v>0</v>
      </c>
      <c r="N230" s="762">
        <v>0</v>
      </c>
      <c r="O230" s="762">
        <v>0</v>
      </c>
      <c r="P230" s="762">
        <v>0</v>
      </c>
      <c r="Q230" s="68">
        <f>J230-L230-M230-N230-O230-P230</f>
        <v>1390.0522253663821</v>
      </c>
      <c r="R230" s="771"/>
      <c r="S230" s="35">
        <v>37.48300355067704</v>
      </c>
      <c r="T230" s="762">
        <v>0</v>
      </c>
      <c r="U230" s="762">
        <v>0</v>
      </c>
      <c r="V230" s="762">
        <v>0</v>
      </c>
      <c r="W230" s="762">
        <v>0</v>
      </c>
      <c r="X230" s="762">
        <v>0</v>
      </c>
      <c r="Y230" s="771"/>
      <c r="Z230" s="68">
        <f>Q230+S230+T230+U230+V230+W230+X230</f>
        <v>1427.5352289170592</v>
      </c>
      <c r="AA230" s="821">
        <f>Z230/G230*100</f>
        <v>4.6157072470184701</v>
      </c>
      <c r="AB230" s="762">
        <f>Z230-J230</f>
        <v>37.48300355067704</v>
      </c>
      <c r="AC230" s="770">
        <f>AA230/I230-1</f>
        <v>2.6965176463638052E-2</v>
      </c>
      <c r="AD230" s="769"/>
      <c r="AF230" s="763"/>
      <c r="AI230" s="763"/>
      <c r="AK230" s="763"/>
      <c r="AM230" s="776"/>
    </row>
    <row r="231" spans="1:39">
      <c r="A231" s="4"/>
      <c r="B231" s="256"/>
      <c r="C231" s="512" t="s">
        <v>705</v>
      </c>
      <c r="D231" s="256"/>
      <c r="E231" s="36"/>
      <c r="F231" s="256"/>
      <c r="G231" s="35"/>
      <c r="H231" s="256"/>
      <c r="I231" s="256"/>
      <c r="J231" s="750"/>
      <c r="K231" s="256"/>
      <c r="L231" s="504"/>
      <c r="M231" s="504"/>
      <c r="N231" s="504"/>
      <c r="O231" s="504"/>
      <c r="P231" s="504"/>
      <c r="Q231" s="68"/>
      <c r="R231" s="256"/>
      <c r="S231" s="256"/>
      <c r="T231" s="504"/>
      <c r="U231" s="504"/>
      <c r="V231" s="504"/>
      <c r="W231" s="504"/>
      <c r="X231" s="504"/>
      <c r="Y231" s="256"/>
      <c r="Z231" s="68"/>
      <c r="AA231" s="821"/>
      <c r="AB231" s="762"/>
      <c r="AC231" s="770"/>
      <c r="AD231" s="769"/>
      <c r="AF231" s="763"/>
      <c r="AI231" s="763"/>
      <c r="AK231" s="763"/>
      <c r="AM231" s="776"/>
    </row>
    <row r="232" spans="1:39">
      <c r="A232" s="4">
        <v>102</v>
      </c>
      <c r="B232" s="256"/>
      <c r="C232" s="9" t="s">
        <v>728</v>
      </c>
      <c r="D232" s="256"/>
      <c r="E232" s="36" t="s">
        <v>674</v>
      </c>
      <c r="F232" s="256"/>
      <c r="G232" s="35">
        <v>183923.41800000001</v>
      </c>
      <c r="H232" s="256"/>
      <c r="I232" s="861">
        <v>0.59804635914981807</v>
      </c>
      <c r="J232" s="750">
        <f>G232*I232/100</f>
        <v>1099.9473049729013</v>
      </c>
      <c r="K232" s="256"/>
      <c r="L232" s="35">
        <v>1347.3118645257566</v>
      </c>
      <c r="M232" s="35">
        <v>0</v>
      </c>
      <c r="N232" s="35">
        <v>19.45411680349503</v>
      </c>
      <c r="O232" s="35">
        <v>409.35571905921825</v>
      </c>
      <c r="P232" s="35">
        <v>23.565270754459615</v>
      </c>
      <c r="Q232" s="68">
        <f>'Sch.19 - Delivery pg.18-34'!N238+'Sch.19-Gas Cost pg.35-51'!O235</f>
        <v>117.6637003581381</v>
      </c>
      <c r="R232" s="771"/>
      <c r="S232" s="35">
        <v>0</v>
      </c>
      <c r="T232" s="35">
        <v>208.96896806109086</v>
      </c>
      <c r="U232" s="762">
        <v>0</v>
      </c>
      <c r="V232" s="35">
        <v>16.269050612429695</v>
      </c>
      <c r="W232" s="35">
        <v>448.62145551909913</v>
      </c>
      <c r="X232" s="35">
        <v>21.047457119576208</v>
      </c>
      <c r="Y232" s="771"/>
      <c r="Z232" s="68">
        <f>Q232+S232+T232+U232+V232+W232+X232</f>
        <v>812.57063167033391</v>
      </c>
      <c r="AA232" s="821">
        <f>Z232/G232*100</f>
        <v>0.44179835308972665</v>
      </c>
      <c r="AB232" s="762">
        <f>Z232-J232</f>
        <v>-287.37667330256738</v>
      </c>
      <c r="AC232" s="785"/>
      <c r="AD232" s="785"/>
      <c r="AF232" s="763"/>
      <c r="AI232" s="763"/>
      <c r="AK232" s="763"/>
      <c r="AM232" s="776"/>
    </row>
    <row r="233" spans="1:39">
      <c r="A233" s="4">
        <v>103</v>
      </c>
      <c r="B233" s="256"/>
      <c r="C233" s="9" t="s">
        <v>729</v>
      </c>
      <c r="D233" s="256"/>
      <c r="E233" s="36" t="s">
        <v>674</v>
      </c>
      <c r="F233" s="256"/>
      <c r="G233" s="35">
        <v>139330.31</v>
      </c>
      <c r="H233" s="256"/>
      <c r="I233" s="861">
        <v>0.39401422289777976</v>
      </c>
      <c r="J233" s="750">
        <f>G233*I233/100</f>
        <v>548.98123820756746</v>
      </c>
      <c r="K233" s="256"/>
      <c r="L233" s="35">
        <v>1020.6496910091769</v>
      </c>
      <c r="M233" s="35">
        <v>0</v>
      </c>
      <c r="N233" s="35">
        <v>14.737373600827556</v>
      </c>
      <c r="O233" s="35">
        <v>310.10547681749682</v>
      </c>
      <c r="P233" s="35">
        <v>17.851758711078279</v>
      </c>
      <c r="Q233" s="68">
        <f>'Sch.19 - Delivery pg.18-34'!N239+'Sch.19-Gas Cost pg.35-51'!O236</f>
        <v>89.136105067656047</v>
      </c>
      <c r="R233" s="771"/>
      <c r="S233" s="35">
        <v>0</v>
      </c>
      <c r="T233" s="35">
        <v>158.30344725505202</v>
      </c>
      <c r="U233" s="762">
        <v>0</v>
      </c>
      <c r="V233" s="35">
        <v>12.324541865764585</v>
      </c>
      <c r="W233" s="35">
        <v>339.85104860397541</v>
      </c>
      <c r="X233" s="35">
        <v>15.944400974443937</v>
      </c>
      <c r="Y233" s="771"/>
      <c r="Z233" s="68">
        <f>Q233+S233+T233+U233+V233+W233+X233</f>
        <v>615.55954376689203</v>
      </c>
      <c r="AA233" s="821">
        <f>Z233/G233*100</f>
        <v>0.44179873264251834</v>
      </c>
      <c r="AB233" s="762">
        <f>Z233-J233</f>
        <v>66.578305559324576</v>
      </c>
      <c r="AC233" s="785"/>
      <c r="AD233" s="785"/>
      <c r="AF233" s="763"/>
      <c r="AI233" s="763"/>
      <c r="AK233" s="763"/>
      <c r="AM233" s="776"/>
    </row>
    <row r="234" spans="1:39">
      <c r="A234" s="4">
        <v>104</v>
      </c>
      <c r="B234" s="256"/>
      <c r="C234" s="512" t="s">
        <v>705</v>
      </c>
      <c r="D234" s="256"/>
      <c r="E234" s="36" t="s">
        <v>674</v>
      </c>
      <c r="F234" s="256"/>
      <c r="G234" s="137">
        <f>SUM(G232:G233)</f>
        <v>323253.728</v>
      </c>
      <c r="H234" s="256"/>
      <c r="I234" s="806">
        <f>J234/G234*100</f>
        <v>0.51010348848334663</v>
      </c>
      <c r="J234" s="808">
        <f>SUM(J232:J233)</f>
        <v>1648.9285431804688</v>
      </c>
      <c r="K234" s="256"/>
      <c r="L234" s="805">
        <f t="shared" ref="L234:Q234" si="63">SUM(L232:L233)</f>
        <v>2367.9615555349337</v>
      </c>
      <c r="M234" s="805">
        <f t="shared" si="63"/>
        <v>0</v>
      </c>
      <c r="N234" s="805">
        <f t="shared" si="63"/>
        <v>34.191490404322586</v>
      </c>
      <c r="O234" s="805">
        <f t="shared" si="63"/>
        <v>719.46119587671501</v>
      </c>
      <c r="P234" s="805">
        <f t="shared" si="63"/>
        <v>41.417029465537894</v>
      </c>
      <c r="Q234" s="805">
        <f t="shared" si="63"/>
        <v>206.79980542579415</v>
      </c>
      <c r="R234" s="762"/>
      <c r="S234" s="805">
        <f t="shared" ref="S234:X234" si="64">SUM(S232:S233)</f>
        <v>0</v>
      </c>
      <c r="T234" s="805">
        <f t="shared" si="64"/>
        <v>367.27241531614288</v>
      </c>
      <c r="U234" s="805">
        <f t="shared" si="64"/>
        <v>0</v>
      </c>
      <c r="V234" s="805">
        <f t="shared" si="64"/>
        <v>28.593592478194282</v>
      </c>
      <c r="W234" s="805">
        <f t="shared" si="64"/>
        <v>788.47250412307449</v>
      </c>
      <c r="X234" s="805">
        <f t="shared" si="64"/>
        <v>36.991858094020145</v>
      </c>
      <c r="Y234" s="771"/>
      <c r="Z234" s="807">
        <f>SUM(Z232:Z233)</f>
        <v>1428.1301754372259</v>
      </c>
      <c r="AA234" s="903">
        <f>Z234/G234*100</f>
        <v>0.44179851668631831</v>
      </c>
      <c r="AB234" s="805">
        <f>SUM(AB232:AB233)</f>
        <v>-220.79836774324281</v>
      </c>
      <c r="AC234" s="816">
        <f>AA234/I234-1</f>
        <v>-0.13390414560801078</v>
      </c>
      <c r="AD234" s="785"/>
      <c r="AF234" s="763"/>
      <c r="AI234" s="763"/>
      <c r="AK234" s="763"/>
      <c r="AM234" s="776"/>
    </row>
    <row r="235" spans="1:39">
      <c r="A235" s="4"/>
      <c r="B235" s="256"/>
      <c r="C235" s="7"/>
      <c r="D235" s="256"/>
      <c r="E235" s="36"/>
      <c r="F235" s="256"/>
      <c r="G235" s="35"/>
      <c r="H235" s="256"/>
      <c r="I235" s="256"/>
      <c r="J235" s="256"/>
      <c r="K235" s="256"/>
      <c r="L235" s="504"/>
      <c r="M235" s="504"/>
      <c r="N235" s="504"/>
      <c r="O235" s="504"/>
      <c r="P235" s="504"/>
      <c r="Q235" s="504"/>
      <c r="R235" s="256"/>
      <c r="S235" s="256"/>
      <c r="T235" s="504"/>
      <c r="U235" s="504"/>
      <c r="V235" s="504"/>
      <c r="W235" s="504"/>
      <c r="X235" s="504"/>
      <c r="Y235" s="256"/>
      <c r="Z235" s="256"/>
      <c r="AA235" s="256"/>
      <c r="AB235" s="504"/>
      <c r="AC235" s="504"/>
      <c r="AF235" s="763"/>
      <c r="AI235" s="763"/>
      <c r="AK235" s="763"/>
      <c r="AM235" s="776"/>
    </row>
    <row r="236" spans="1:39">
      <c r="A236" s="4">
        <v>105</v>
      </c>
      <c r="B236" s="256"/>
      <c r="C236" s="7" t="s">
        <v>742</v>
      </c>
      <c r="D236" s="256"/>
      <c r="E236" s="36"/>
      <c r="F236" s="256"/>
      <c r="G236" s="35">
        <v>3542.5066082191779</v>
      </c>
      <c r="H236" s="256"/>
      <c r="I236" s="897">
        <v>-110</v>
      </c>
      <c r="J236" s="896">
        <f>G236*I236/100</f>
        <v>-3896.7572690410957</v>
      </c>
      <c r="K236" s="256"/>
      <c r="L236" s="762">
        <v>0</v>
      </c>
      <c r="M236" s="762">
        <v>0</v>
      </c>
      <c r="N236" s="762">
        <v>0</v>
      </c>
      <c r="O236" s="762">
        <v>0</v>
      </c>
      <c r="P236" s="762">
        <v>0</v>
      </c>
      <c r="Q236" s="762">
        <f>J236-L236-M236-N236-O236-P236</f>
        <v>-3896.7572690410957</v>
      </c>
      <c r="R236" s="771"/>
      <c r="S236" s="771">
        <v>0</v>
      </c>
      <c r="T236" s="762">
        <v>0</v>
      </c>
      <c r="U236" s="762">
        <v>0</v>
      </c>
      <c r="V236" s="762">
        <v>0</v>
      </c>
      <c r="W236" s="762">
        <v>0</v>
      </c>
      <c r="X236" s="762">
        <v>0</v>
      </c>
      <c r="Y236" s="771"/>
      <c r="Z236" s="771">
        <f>Q236+S236+T236+U236+V236+W236+X236</f>
        <v>-3896.7572690410957</v>
      </c>
      <c r="AA236" s="821">
        <f>Z236/G236*100</f>
        <v>-110.00000000000001</v>
      </c>
      <c r="AB236" s="762">
        <v>0</v>
      </c>
      <c r="AC236" s="762"/>
      <c r="AD236" s="782"/>
      <c r="AF236" s="763"/>
      <c r="AI236" s="763"/>
      <c r="AK236" s="763"/>
      <c r="AM236" s="776"/>
    </row>
    <row r="237" spans="1:39">
      <c r="A237" s="4"/>
      <c r="B237" s="256"/>
      <c r="C237" s="7"/>
      <c r="D237" s="256"/>
      <c r="E237" s="36"/>
      <c r="F237" s="256"/>
      <c r="G237" s="453"/>
      <c r="H237" s="256"/>
      <c r="I237" s="256"/>
      <c r="J237" s="256"/>
      <c r="K237" s="256"/>
      <c r="L237" s="755"/>
      <c r="M237" s="755"/>
      <c r="N237" s="755"/>
      <c r="O237" s="755"/>
      <c r="P237" s="755"/>
      <c r="Q237" s="755"/>
      <c r="R237" s="256"/>
      <c r="S237" s="795"/>
      <c r="T237" s="755"/>
      <c r="U237" s="755"/>
      <c r="V237" s="755"/>
      <c r="W237" s="755"/>
      <c r="X237" s="755"/>
      <c r="Y237" s="256"/>
      <c r="Z237" s="256"/>
      <c r="AA237" s="256"/>
      <c r="AB237" s="504"/>
      <c r="AC237" s="504"/>
      <c r="AF237" s="763"/>
      <c r="AI237" s="763"/>
      <c r="AK237" s="763"/>
      <c r="AM237" s="776"/>
    </row>
    <row r="238" spans="1:39">
      <c r="A238" s="4">
        <v>106</v>
      </c>
      <c r="B238" s="256"/>
      <c r="C238" s="7" t="s">
        <v>710</v>
      </c>
      <c r="D238" s="256"/>
      <c r="E238" s="36"/>
      <c r="F238" s="256"/>
      <c r="G238" s="137">
        <f>G234</f>
        <v>323253.728</v>
      </c>
      <c r="H238" s="447"/>
      <c r="I238" s="894">
        <f>J238/G238*100</f>
        <v>-0.24040303589975678</v>
      </c>
      <c r="J238" s="881">
        <f>J229+J230+J234+J236</f>
        <v>-777.11177577114222</v>
      </c>
      <c r="K238" s="739"/>
      <c r="L238" s="881">
        <f t="shared" ref="L238:Q238" si="65">L229+L230+L234+L236</f>
        <v>2367.9615555349337</v>
      </c>
      <c r="M238" s="137">
        <f t="shared" si="65"/>
        <v>0</v>
      </c>
      <c r="N238" s="881">
        <f t="shared" si="65"/>
        <v>34.191490404322586</v>
      </c>
      <c r="O238" s="881">
        <f t="shared" si="65"/>
        <v>719.46119587671501</v>
      </c>
      <c r="P238" s="881">
        <f t="shared" si="65"/>
        <v>41.417029465537894</v>
      </c>
      <c r="Q238" s="881">
        <f t="shared" si="65"/>
        <v>-2219.2405135258168</v>
      </c>
      <c r="R238" s="739"/>
      <c r="S238" s="881">
        <f t="shared" ref="S238:X238" si="66">S229+S230+S234+S236</f>
        <v>39.658142087226267</v>
      </c>
      <c r="T238" s="881">
        <f t="shared" si="66"/>
        <v>367.27241531614288</v>
      </c>
      <c r="U238" s="137">
        <f t="shared" si="66"/>
        <v>0</v>
      </c>
      <c r="V238" s="881">
        <f t="shared" si="66"/>
        <v>28.593592478194282</v>
      </c>
      <c r="W238" s="881">
        <f t="shared" si="66"/>
        <v>788.47250412307449</v>
      </c>
      <c r="X238" s="881">
        <f t="shared" si="66"/>
        <v>36.991858094020145</v>
      </c>
      <c r="Y238" s="739"/>
      <c r="Z238" s="881">
        <f>Z229+Z230+Z234+Z236</f>
        <v>-958.25200142715903</v>
      </c>
      <c r="AA238" s="894">
        <f>Z238/G238*100</f>
        <v>-0.29643958241594015</v>
      </c>
      <c r="AB238" s="881">
        <f>AB229+AB230+AB234</f>
        <v>-181.14022565601653</v>
      </c>
      <c r="AC238" s="816">
        <f>AA238/I238-1</f>
        <v>0.23309417165409463</v>
      </c>
      <c r="AD238" s="785"/>
      <c r="AF238" s="763"/>
      <c r="AI238" s="763"/>
      <c r="AK238" s="763"/>
      <c r="AM238" s="776"/>
    </row>
    <row r="239" spans="1:39">
      <c r="A239" s="4"/>
      <c r="B239" s="256"/>
      <c r="C239" s="7"/>
      <c r="D239" s="256"/>
      <c r="E239" s="36"/>
      <c r="F239" s="256"/>
      <c r="G239" s="35"/>
      <c r="H239" s="256"/>
      <c r="I239" s="256"/>
      <c r="J239" s="256"/>
      <c r="K239" s="256"/>
      <c r="L239" s="504"/>
      <c r="M239" s="504"/>
      <c r="N239" s="504"/>
      <c r="O239" s="504"/>
      <c r="P239" s="504"/>
      <c r="Q239" s="504"/>
      <c r="R239" s="256"/>
      <c r="S239" s="795"/>
      <c r="T239" s="755"/>
      <c r="U239" s="755"/>
      <c r="V239" s="755"/>
      <c r="W239" s="755"/>
      <c r="X239" s="755"/>
      <c r="Y239" s="256"/>
      <c r="Z239" s="256"/>
      <c r="AA239" s="256"/>
      <c r="AB239" s="504"/>
      <c r="AC239" s="504"/>
      <c r="AF239" s="763"/>
      <c r="AI239" s="763"/>
      <c r="AK239" s="763"/>
      <c r="AM239" s="776"/>
    </row>
    <row r="240" spans="1:39">
      <c r="A240" s="4">
        <v>107</v>
      </c>
      <c r="B240" s="256"/>
      <c r="C240" s="9" t="s">
        <v>711</v>
      </c>
      <c r="D240" s="256"/>
      <c r="E240" s="742" t="s">
        <v>674</v>
      </c>
      <c r="F240" s="256"/>
      <c r="G240" s="35">
        <v>323253.728</v>
      </c>
      <c r="H240" s="256"/>
      <c r="I240" s="861">
        <v>0.24646816740977195</v>
      </c>
      <c r="J240" s="750">
        <f>G240*I240/100</f>
        <v>796.71753948536889</v>
      </c>
      <c r="K240" s="256"/>
      <c r="L240" s="762">
        <v>0</v>
      </c>
      <c r="M240" s="865">
        <v>215.84879949943192</v>
      </c>
      <c r="N240" s="762">
        <v>0</v>
      </c>
      <c r="O240" s="762">
        <v>0</v>
      </c>
      <c r="P240" s="762">
        <v>0</v>
      </c>
      <c r="Q240" s="755">
        <f>J240-L240-M240-N240-O240-P240</f>
        <v>580.86873998593694</v>
      </c>
      <c r="R240" s="795"/>
      <c r="S240" s="35">
        <v>6.2466383627516109</v>
      </c>
      <c r="T240" s="762">
        <v>0</v>
      </c>
      <c r="U240" s="35">
        <v>215.10163690170319</v>
      </c>
      <c r="V240" s="762">
        <v>0</v>
      </c>
      <c r="W240" s="762">
        <v>0</v>
      </c>
      <c r="X240" s="762">
        <v>0</v>
      </c>
      <c r="Y240" s="256"/>
      <c r="Z240" s="795">
        <f>Q240+S240+T240+U240+V240+W240+X240</f>
        <v>802.21701525039168</v>
      </c>
      <c r="AA240" s="821">
        <f>Z240/G240*100</f>
        <v>0.24816945506360616</v>
      </c>
      <c r="AB240" s="847">
        <f>Z240-J240</f>
        <v>5.4994757650227939</v>
      </c>
      <c r="AC240" s="785">
        <f>AA240/I240-1</f>
        <v>6.902666870588936E-3</v>
      </c>
      <c r="AD240" s="785"/>
      <c r="AF240" s="763"/>
      <c r="AI240" s="763"/>
      <c r="AK240" s="763"/>
      <c r="AM240" s="776"/>
    </row>
    <row r="241" spans="1:39">
      <c r="A241" s="4"/>
      <c r="B241" s="256"/>
      <c r="C241" s="9"/>
      <c r="D241" s="256"/>
      <c r="E241" s="742"/>
      <c r="F241" s="256"/>
      <c r="G241" s="35"/>
      <c r="H241" s="256"/>
      <c r="I241" s="861"/>
      <c r="J241" s="750"/>
      <c r="K241" s="256"/>
      <c r="L241" s="755"/>
      <c r="M241" s="865"/>
      <c r="N241" s="755"/>
      <c r="O241" s="755"/>
      <c r="P241" s="755"/>
      <c r="Q241" s="755"/>
      <c r="R241" s="795"/>
      <c r="S241" s="35"/>
      <c r="T241" s="755"/>
      <c r="U241" s="35"/>
      <c r="V241" s="755"/>
      <c r="W241" s="755"/>
      <c r="X241" s="755"/>
      <c r="Y241" s="256"/>
      <c r="Z241" s="795"/>
      <c r="AA241" s="792"/>
      <c r="AB241" s="847"/>
      <c r="AC241" s="785"/>
      <c r="AD241" s="785"/>
      <c r="AF241" s="763"/>
      <c r="AI241" s="763"/>
      <c r="AK241" s="763"/>
      <c r="AM241" s="776"/>
    </row>
    <row r="242" spans="1:39">
      <c r="A242" s="4"/>
      <c r="B242" s="256"/>
      <c r="C242" s="7" t="s">
        <v>712</v>
      </c>
      <c r="D242" s="256"/>
      <c r="E242" s="742"/>
      <c r="F242" s="256"/>
      <c r="G242" s="35"/>
      <c r="H242" s="256"/>
      <c r="I242" s="861"/>
      <c r="J242" s="750"/>
      <c r="K242" s="256"/>
      <c r="L242" s="755"/>
      <c r="M242" s="865"/>
      <c r="N242" s="755"/>
      <c r="O242" s="755"/>
      <c r="P242" s="755"/>
      <c r="Q242" s="755"/>
      <c r="R242" s="795"/>
      <c r="S242" s="35"/>
      <c r="T242" s="755"/>
      <c r="U242" s="35"/>
      <c r="V242" s="755"/>
      <c r="W242" s="755"/>
      <c r="X242" s="755"/>
      <c r="Y242" s="256"/>
      <c r="Z242" s="795"/>
      <c r="AA242" s="792"/>
      <c r="AB242" s="847"/>
      <c r="AC242" s="785"/>
      <c r="AD242" s="785"/>
      <c r="AF242" s="763"/>
      <c r="AI242" s="763"/>
      <c r="AK242" s="763"/>
      <c r="AM242" s="776"/>
    </row>
    <row r="243" spans="1:39">
      <c r="A243" s="4">
        <v>108</v>
      </c>
      <c r="B243" s="256"/>
      <c r="C243" s="9" t="s">
        <v>713</v>
      </c>
      <c r="D243" s="256"/>
      <c r="E243" s="742" t="s">
        <v>674</v>
      </c>
      <c r="F243" s="256"/>
      <c r="G243" s="35">
        <v>5360.2020000000002</v>
      </c>
      <c r="H243" s="256"/>
      <c r="I243" s="861">
        <v>3.9267445962601735</v>
      </c>
      <c r="J243" s="750">
        <f>G243*I243/100</f>
        <v>210.48144238362977</v>
      </c>
      <c r="K243" s="256"/>
      <c r="L243" s="762">
        <v>0</v>
      </c>
      <c r="M243" s="762">
        <v>0</v>
      </c>
      <c r="N243" s="762">
        <v>0</v>
      </c>
      <c r="O243" s="762">
        <v>0</v>
      </c>
      <c r="P243" s="762">
        <v>0</v>
      </c>
      <c r="Q243" s="755">
        <f>J243-L243-M243-N243-O243-P243</f>
        <v>210.48144238362977</v>
      </c>
      <c r="R243" s="795"/>
      <c r="S243" s="35">
        <v>0.10877111317592991</v>
      </c>
      <c r="T243" s="762">
        <v>0</v>
      </c>
      <c r="U243" s="762">
        <v>0</v>
      </c>
      <c r="V243" s="762">
        <v>0</v>
      </c>
      <c r="W243" s="762">
        <v>0</v>
      </c>
      <c r="X243" s="762">
        <v>0</v>
      </c>
      <c r="Y243" s="256"/>
      <c r="Z243" s="795">
        <f>Q243+S243+T243+U243+V243+W243+X243</f>
        <v>210.59021349680569</v>
      </c>
      <c r="AA243" s="821">
        <f>Z243/G243*100</f>
        <v>3.9287738315982437</v>
      </c>
      <c r="AB243" s="847">
        <f>Z243-J243</f>
        <v>0.10877111317591925</v>
      </c>
      <c r="AC243" s="770"/>
      <c r="AD243" s="769"/>
      <c r="AF243" s="763"/>
      <c r="AI243" s="763"/>
      <c r="AK243" s="763"/>
      <c r="AM243" s="776"/>
    </row>
    <row r="244" spans="1:39">
      <c r="A244" s="4">
        <v>109</v>
      </c>
      <c r="C244" s="9" t="s">
        <v>714</v>
      </c>
      <c r="E244" s="742" t="s">
        <v>674</v>
      </c>
      <c r="G244" s="35">
        <v>108433.382</v>
      </c>
      <c r="I244" s="861">
        <v>0.96972043047287659</v>
      </c>
      <c r="J244" s="750">
        <f>G244*I244/100</f>
        <v>1051.5006587066987</v>
      </c>
      <c r="L244" s="762">
        <v>0</v>
      </c>
      <c r="M244" s="762">
        <v>0</v>
      </c>
      <c r="N244" s="762">
        <v>0</v>
      </c>
      <c r="O244" s="762">
        <v>0</v>
      </c>
      <c r="P244" s="762">
        <v>0</v>
      </c>
      <c r="Q244" s="755">
        <f>J244-L244-M244-N244-O244-P244</f>
        <v>1051.5006587066987</v>
      </c>
      <c r="R244" s="892"/>
      <c r="S244" s="35">
        <v>17.479133619185177</v>
      </c>
      <c r="T244" s="762">
        <v>0</v>
      </c>
      <c r="U244" s="762">
        <v>0</v>
      </c>
      <c r="V244" s="762">
        <v>0</v>
      </c>
      <c r="W244" s="762">
        <v>0</v>
      </c>
      <c r="X244" s="762">
        <v>0</v>
      </c>
      <c r="Z244" s="795">
        <f>Q244+S244+T244+U244+V244+W244+X244</f>
        <v>1068.9797923258839</v>
      </c>
      <c r="AA244" s="821">
        <f>Z244/G244*100</f>
        <v>0.9858401283895063</v>
      </c>
      <c r="AB244" s="847">
        <f>Z244-J244</f>
        <v>17.479133619185177</v>
      </c>
      <c r="AC244" s="770"/>
      <c r="AD244" s="769"/>
      <c r="AF244" s="763"/>
      <c r="AI244" s="763"/>
      <c r="AK244" s="763"/>
      <c r="AM244" s="776"/>
    </row>
    <row r="245" spans="1:39">
      <c r="A245" s="4">
        <v>110</v>
      </c>
      <c r="C245" s="7" t="s">
        <v>712</v>
      </c>
      <c r="E245" s="742"/>
      <c r="G245" s="420">
        <f>SUM(G243:G244)</f>
        <v>113793.584</v>
      </c>
      <c r="I245" s="891">
        <f>J245/G245*100</f>
        <v>1.109009890303067</v>
      </c>
      <c r="J245" s="808">
        <f>SUM(J243:J244)</f>
        <v>1261.9821010903283</v>
      </c>
      <c r="K245" s="750"/>
      <c r="L245" s="807">
        <f t="shared" ref="L245:Q245" si="67">SUM(L243:L244)</f>
        <v>0</v>
      </c>
      <c r="M245" s="807">
        <f t="shared" si="67"/>
        <v>0</v>
      </c>
      <c r="N245" s="807">
        <f t="shared" si="67"/>
        <v>0</v>
      </c>
      <c r="O245" s="807">
        <f t="shared" si="67"/>
        <v>0</v>
      </c>
      <c r="P245" s="807">
        <f t="shared" si="67"/>
        <v>0</v>
      </c>
      <c r="Q245" s="807">
        <f t="shared" si="67"/>
        <v>1261.9821010903283</v>
      </c>
      <c r="R245" s="750"/>
      <c r="S245" s="420">
        <f t="shared" ref="S245:X245" si="68">SUM(S243:S244)</f>
        <v>17.587904732361107</v>
      </c>
      <c r="T245" s="807">
        <f t="shared" si="68"/>
        <v>0</v>
      </c>
      <c r="U245" s="807">
        <f t="shared" si="68"/>
        <v>0</v>
      </c>
      <c r="V245" s="807">
        <f t="shared" si="68"/>
        <v>0</v>
      </c>
      <c r="W245" s="807">
        <f t="shared" si="68"/>
        <v>0</v>
      </c>
      <c r="X245" s="807">
        <f t="shared" si="68"/>
        <v>0</v>
      </c>
      <c r="Y245" s="750"/>
      <c r="Z245" s="873">
        <f>SUM(Z243:Z244)</f>
        <v>1279.5700058226896</v>
      </c>
      <c r="AA245" s="902">
        <f>Z245/G245*100</f>
        <v>1.1244658625241029</v>
      </c>
      <c r="AB245" s="851">
        <f>Z245-J245</f>
        <v>17.587904732361267</v>
      </c>
      <c r="AC245" s="804">
        <f>AA245/I245-1</f>
        <v>1.3936730732682756E-2</v>
      </c>
      <c r="AD245" s="769"/>
      <c r="AF245" s="763"/>
      <c r="AI245" s="763"/>
      <c r="AK245" s="763"/>
      <c r="AM245" s="776"/>
    </row>
    <row r="246" spans="1:39">
      <c r="A246" s="4"/>
      <c r="B246" s="256"/>
      <c r="D246" s="256"/>
      <c r="E246" s="36"/>
      <c r="F246" s="256"/>
      <c r="G246" s="35"/>
      <c r="H246" s="256"/>
      <c r="I246" s="861"/>
      <c r="J246" s="750"/>
      <c r="K246" s="256"/>
      <c r="L246" s="755"/>
      <c r="M246" s="755"/>
      <c r="N246" s="755"/>
      <c r="O246" s="755"/>
      <c r="P246" s="755"/>
      <c r="Q246" s="755"/>
      <c r="R246" s="795"/>
      <c r="S246" s="35"/>
      <c r="T246" s="755"/>
      <c r="U246" s="755"/>
      <c r="V246" s="755"/>
      <c r="W246" s="755"/>
      <c r="X246" s="755"/>
      <c r="Y246" s="256"/>
      <c r="Z246" s="795"/>
      <c r="AA246" s="792"/>
      <c r="AB246" s="753"/>
      <c r="AC246" s="770"/>
      <c r="AD246" s="769"/>
      <c r="AF246" s="763"/>
      <c r="AI246" s="763"/>
      <c r="AK246" s="763"/>
      <c r="AM246" s="776"/>
    </row>
    <row r="247" spans="1:39">
      <c r="A247" s="4">
        <v>111</v>
      </c>
      <c r="B247" s="256"/>
      <c r="C247" s="7" t="s">
        <v>715</v>
      </c>
      <c r="D247" s="256"/>
      <c r="E247" s="742" t="s">
        <v>674</v>
      </c>
      <c r="F247" s="256"/>
      <c r="G247" s="35">
        <v>5360.2020000000002</v>
      </c>
      <c r="H247" s="256"/>
      <c r="I247" s="861">
        <v>18.339431198808857</v>
      </c>
      <c r="J247" s="750">
        <f>G247*I247/100</f>
        <v>983.03055790717644</v>
      </c>
      <c r="K247" s="256"/>
      <c r="L247" s="762">
        <v>0</v>
      </c>
      <c r="M247" s="762">
        <v>0</v>
      </c>
      <c r="N247" s="762">
        <v>0</v>
      </c>
      <c r="O247" s="762">
        <v>0</v>
      </c>
      <c r="P247" s="762">
        <v>0</v>
      </c>
      <c r="Q247" s="755">
        <f>J247-L247-M247-N247-O247-P247</f>
        <v>983.03055790717644</v>
      </c>
      <c r="R247" s="795"/>
      <c r="S247" s="35">
        <v>6.7819592380469196E-2</v>
      </c>
      <c r="T247" s="762">
        <v>0</v>
      </c>
      <c r="U247" s="762">
        <v>0</v>
      </c>
      <c r="V247" s="762">
        <v>0</v>
      </c>
      <c r="W247" s="762">
        <v>0</v>
      </c>
      <c r="X247" s="762">
        <v>0</v>
      </c>
      <c r="Y247" s="256"/>
      <c r="Z247" s="795">
        <f>Q247+S247+T247+U247+V247+W247+X247</f>
        <v>983.09837749955693</v>
      </c>
      <c r="AA247" s="821">
        <f>Z247/G247*100</f>
        <v>18.340696442028808</v>
      </c>
      <c r="AB247" s="847">
        <f>Z247-J247</f>
        <v>6.7819592380487848E-2</v>
      </c>
      <c r="AC247" s="770">
        <f>AA247/I247-1</f>
        <v>6.899031961427049E-5</v>
      </c>
      <c r="AD247" s="769"/>
      <c r="AF247" s="763"/>
      <c r="AI247" s="763"/>
      <c r="AK247" s="763"/>
      <c r="AM247" s="776"/>
    </row>
    <row r="248" spans="1:39">
      <c r="A248" s="4"/>
      <c r="B248" s="256"/>
      <c r="C248" s="7"/>
      <c r="D248" s="256"/>
      <c r="E248" s="742"/>
      <c r="F248" s="256"/>
      <c r="G248" s="35"/>
      <c r="H248" s="256"/>
      <c r="I248" s="256"/>
      <c r="J248" s="750"/>
      <c r="K248" s="256"/>
      <c r="L248" s="755"/>
      <c r="M248" s="755"/>
      <c r="N248" s="755"/>
      <c r="O248" s="755"/>
      <c r="P248" s="755"/>
      <c r="Q248" s="755"/>
      <c r="R248" s="795"/>
      <c r="S248" s="795"/>
      <c r="T248" s="755"/>
      <c r="U248" s="755"/>
      <c r="V248" s="755"/>
      <c r="W248" s="755"/>
      <c r="X248" s="755"/>
      <c r="Y248" s="256"/>
      <c r="Z248" s="256"/>
      <c r="AA248" s="792"/>
      <c r="AB248" s="504"/>
      <c r="AC248" s="770"/>
      <c r="AD248" s="769"/>
      <c r="AF248" s="763"/>
      <c r="AI248" s="763"/>
      <c r="AK248" s="763"/>
      <c r="AM248" s="776"/>
    </row>
    <row r="249" spans="1:39" ht="13.5" thickBot="1">
      <c r="A249" s="4">
        <v>112</v>
      </c>
      <c r="B249" s="256"/>
      <c r="C249" s="7" t="s">
        <v>747</v>
      </c>
      <c r="D249" s="256"/>
      <c r="E249" s="742"/>
      <c r="F249" s="256"/>
      <c r="G249" s="768">
        <f>G238</f>
        <v>323253.728</v>
      </c>
      <c r="H249" s="256"/>
      <c r="I249" s="803">
        <f>J249/G249*100</f>
        <v>0.70056993208496932</v>
      </c>
      <c r="J249" s="756">
        <f>J238+J240+J245+J247</f>
        <v>2264.6184227117315</v>
      </c>
      <c r="K249" s="750"/>
      <c r="L249" s="844">
        <f t="shared" ref="L249:Q249" si="69">L238+L240+L245+L247</f>
        <v>2367.9615555349337</v>
      </c>
      <c r="M249" s="844">
        <f t="shared" si="69"/>
        <v>215.84879949943192</v>
      </c>
      <c r="N249" s="844">
        <f t="shared" si="69"/>
        <v>34.191490404322586</v>
      </c>
      <c r="O249" s="844">
        <f t="shared" si="69"/>
        <v>719.46119587671501</v>
      </c>
      <c r="P249" s="844">
        <f t="shared" si="69"/>
        <v>41.417029465537894</v>
      </c>
      <c r="Q249" s="844">
        <f t="shared" si="69"/>
        <v>606.64088545762479</v>
      </c>
      <c r="R249" s="896"/>
      <c r="S249" s="844">
        <f t="shared" ref="S249:X249" si="70">S238+S240+S245+S247</f>
        <v>63.560504774719455</v>
      </c>
      <c r="T249" s="844">
        <f t="shared" si="70"/>
        <v>367.27241531614288</v>
      </c>
      <c r="U249" s="844">
        <f t="shared" si="70"/>
        <v>215.10163690170319</v>
      </c>
      <c r="V249" s="844">
        <f t="shared" si="70"/>
        <v>28.593592478194282</v>
      </c>
      <c r="W249" s="844">
        <f t="shared" si="70"/>
        <v>788.47250412307449</v>
      </c>
      <c r="X249" s="844">
        <f t="shared" si="70"/>
        <v>36.991858094020145</v>
      </c>
      <c r="Y249" s="896"/>
      <c r="Z249" s="844">
        <f>Q249+S249+T249+U249+V249+W249+X249</f>
        <v>2106.6333971454796</v>
      </c>
      <c r="AA249" s="901">
        <f>Z249/G249*100</f>
        <v>0.65169655124456283</v>
      </c>
      <c r="AB249" s="844">
        <f>AB238+AB240+AB245+AB247</f>
        <v>-157.98502556625198</v>
      </c>
      <c r="AC249" s="815">
        <f>AA249/I249-1</f>
        <v>-6.976231579758807E-2</v>
      </c>
      <c r="AD249" s="785"/>
      <c r="AF249" s="763"/>
      <c r="AI249" s="763"/>
      <c r="AK249" s="763"/>
      <c r="AM249" s="776"/>
    </row>
    <row r="250" spans="1:39" ht="13.5" thickTop="1">
      <c r="A250" s="4"/>
      <c r="B250" s="256"/>
      <c r="C250" s="9"/>
      <c r="D250" s="256"/>
      <c r="E250" s="742"/>
      <c r="F250" s="256"/>
      <c r="G250" s="35"/>
      <c r="H250" s="256"/>
      <c r="I250" s="256"/>
      <c r="J250" s="256"/>
      <c r="K250" s="256"/>
      <c r="L250" s="504"/>
      <c r="M250" s="504"/>
      <c r="N250" s="504"/>
      <c r="O250" s="504"/>
      <c r="P250" s="504"/>
      <c r="Q250" s="504"/>
      <c r="R250" s="256"/>
      <c r="S250" s="256"/>
      <c r="T250" s="504"/>
      <c r="U250" s="504"/>
      <c r="V250" s="504"/>
      <c r="W250" s="504"/>
      <c r="X250" s="504"/>
      <c r="Y250" s="256"/>
      <c r="Z250" s="256"/>
      <c r="AA250" s="256"/>
      <c r="AB250" s="847"/>
      <c r="AC250" s="504"/>
    </row>
    <row r="251" spans="1:39">
      <c r="A251" s="4"/>
      <c r="B251" s="256"/>
      <c r="C251" s="6" t="s">
        <v>171</v>
      </c>
      <c r="D251" s="256"/>
      <c r="E251" s="36"/>
      <c r="F251" s="256"/>
      <c r="G251" s="453"/>
      <c r="H251" s="256"/>
      <c r="I251" s="256"/>
      <c r="J251" s="256"/>
      <c r="K251" s="256"/>
      <c r="L251" s="504"/>
      <c r="M251" s="504"/>
      <c r="N251" s="504"/>
      <c r="O251" s="504"/>
      <c r="P251" s="504"/>
      <c r="Q251" s="504"/>
      <c r="R251" s="256"/>
      <c r="S251" s="256"/>
      <c r="T251" s="504"/>
      <c r="U251" s="504"/>
      <c r="V251" s="504"/>
      <c r="W251" s="504"/>
      <c r="X251" s="504"/>
      <c r="Y251" s="256"/>
      <c r="Z251" s="256"/>
      <c r="AA251" s="256"/>
      <c r="AB251" s="504"/>
      <c r="AC251" s="504"/>
    </row>
    <row r="252" spans="1:39">
      <c r="A252" s="4">
        <v>113</v>
      </c>
      <c r="C252" s="7" t="s">
        <v>703</v>
      </c>
      <c r="E252" s="36" t="s">
        <v>704</v>
      </c>
      <c r="G252" s="35">
        <v>12</v>
      </c>
      <c r="I252" s="900">
        <v>0</v>
      </c>
      <c r="J252" s="899">
        <f>G252*I252/1000</f>
        <v>0</v>
      </c>
      <c r="L252" s="827">
        <v>0</v>
      </c>
      <c r="M252" s="827">
        <v>0</v>
      </c>
      <c r="N252" s="827">
        <v>0</v>
      </c>
      <c r="O252" s="827">
        <v>0</v>
      </c>
      <c r="P252" s="827">
        <v>0</v>
      </c>
      <c r="Q252" s="136">
        <f>J252-L252-M252-N252-O252-P252</f>
        <v>0</v>
      </c>
      <c r="R252" s="68"/>
      <c r="S252" s="35">
        <v>0</v>
      </c>
      <c r="T252" s="762">
        <v>0</v>
      </c>
      <c r="U252" s="762">
        <v>0</v>
      </c>
      <c r="V252" s="762">
        <v>0</v>
      </c>
      <c r="W252" s="762">
        <v>0</v>
      </c>
      <c r="X252" s="762">
        <v>0</v>
      </c>
      <c r="Y252" s="68"/>
      <c r="Z252" s="68">
        <f>Q252+S252+T252+U252+V252+W252+X252</f>
        <v>0</v>
      </c>
      <c r="AA252" s="892">
        <f>Z252/G252*1000</f>
        <v>0</v>
      </c>
      <c r="AB252" s="762">
        <f>Z252-J252</f>
        <v>0</v>
      </c>
      <c r="AC252" s="834"/>
      <c r="AD252" s="833"/>
      <c r="AF252" s="763"/>
      <c r="AI252" s="763"/>
      <c r="AK252" s="763"/>
      <c r="AM252" s="776"/>
    </row>
    <row r="253" spans="1:39">
      <c r="A253" s="4">
        <v>114</v>
      </c>
      <c r="B253" s="256"/>
      <c r="C253" s="512" t="s">
        <v>726</v>
      </c>
      <c r="D253" s="256"/>
      <c r="E253" s="36" t="s">
        <v>675</v>
      </c>
      <c r="F253" s="256"/>
      <c r="G253" s="35">
        <v>15025.2</v>
      </c>
      <c r="H253" s="256"/>
      <c r="I253" s="861">
        <v>16.259208437643476</v>
      </c>
      <c r="J253" s="750">
        <f>G253*I253/100</f>
        <v>2442.9785861728078</v>
      </c>
      <c r="K253" s="256"/>
      <c r="L253" s="827">
        <v>0</v>
      </c>
      <c r="M253" s="827">
        <v>0</v>
      </c>
      <c r="N253" s="827">
        <v>0</v>
      </c>
      <c r="O253" s="827">
        <v>0</v>
      </c>
      <c r="P253" s="827">
        <v>0</v>
      </c>
      <c r="Q253" s="136">
        <f>J253-L253-M253-N253-O253-P253</f>
        <v>2442.9785861728078</v>
      </c>
      <c r="R253" s="771"/>
      <c r="S253" s="35">
        <v>65.875348673038388</v>
      </c>
      <c r="T253" s="762">
        <v>0</v>
      </c>
      <c r="U253" s="762">
        <v>0</v>
      </c>
      <c r="V253" s="762">
        <v>0</v>
      </c>
      <c r="W253" s="762">
        <v>0</v>
      </c>
      <c r="X253" s="762">
        <v>0</v>
      </c>
      <c r="Y253" s="771"/>
      <c r="Z253" s="68">
        <f>Q253+S253+T253+U253+V253+W253+X253</f>
        <v>2508.8539348458462</v>
      </c>
      <c r="AA253" s="898">
        <f>Z253/G253*100</f>
        <v>16.697640862323603</v>
      </c>
      <c r="AB253" s="762">
        <f>Z253-J253</f>
        <v>65.875348673038388</v>
      </c>
      <c r="AC253" s="770">
        <f>AA253/I253-1</f>
        <v>2.696517646363783E-2</v>
      </c>
      <c r="AD253" s="769"/>
      <c r="AF253" s="763"/>
      <c r="AI253" s="763"/>
      <c r="AK253" s="763"/>
      <c r="AM253" s="776"/>
    </row>
    <row r="254" spans="1:39">
      <c r="A254" s="4">
        <v>115</v>
      </c>
      <c r="B254" s="256"/>
      <c r="C254" s="512" t="s">
        <v>705</v>
      </c>
      <c r="D254" s="256"/>
      <c r="E254" s="36" t="s">
        <v>674</v>
      </c>
      <c r="F254" s="256"/>
      <c r="G254" s="35">
        <v>188852.1</v>
      </c>
      <c r="H254" s="256"/>
      <c r="I254" s="861">
        <v>1.3602427937070853</v>
      </c>
      <c r="J254" s="750">
        <f>G254*I254/100</f>
        <v>2568.8470810144986</v>
      </c>
      <c r="K254" s="256"/>
      <c r="L254" s="35">
        <v>40.750410090988815</v>
      </c>
      <c r="M254" s="35">
        <v>0</v>
      </c>
      <c r="N254" s="35">
        <v>19.975437885703734</v>
      </c>
      <c r="O254" s="35">
        <v>484.16838165175238</v>
      </c>
      <c r="P254" s="35">
        <v>150.91966472771608</v>
      </c>
      <c r="Q254" s="136">
        <f>J254-L254-M254-N254-O254-P254</f>
        <v>1873.0331866583376</v>
      </c>
      <c r="R254" s="771"/>
      <c r="S254" s="35">
        <v>28.863388082580968</v>
      </c>
      <c r="T254" s="35">
        <v>42.257140600837147</v>
      </c>
      <c r="U254" s="762">
        <v>0</v>
      </c>
      <c r="V254" s="35">
        <v>16.705019983717541</v>
      </c>
      <c r="W254" s="35">
        <v>530.61021009337355</v>
      </c>
      <c r="X254" s="35">
        <v>134.79476662733822</v>
      </c>
      <c r="Y254" s="771"/>
      <c r="Z254" s="68">
        <f>Q254+S254+T254+U254+V254+W254+X254</f>
        <v>2626.263712046185</v>
      </c>
      <c r="AA254" s="898">
        <f>Z254/G254*100</f>
        <v>1.3906457550888685</v>
      </c>
      <c r="AB254" s="762">
        <f>Z254-J254</f>
        <v>57.416631031686393</v>
      </c>
      <c r="AC254" s="785">
        <f>AA254/I254-1</f>
        <v>2.2351128432686274E-2</v>
      </c>
      <c r="AD254" s="785"/>
      <c r="AF254" s="763"/>
      <c r="AI254" s="763"/>
      <c r="AK254" s="763"/>
      <c r="AM254" s="776"/>
    </row>
    <row r="255" spans="1:39">
      <c r="A255" s="4"/>
      <c r="B255" s="256"/>
      <c r="C255" s="7"/>
      <c r="D255" s="256"/>
      <c r="E255" s="36"/>
      <c r="F255" s="256"/>
      <c r="G255" s="35"/>
      <c r="H255" s="256"/>
      <c r="I255" s="861"/>
      <c r="J255" s="750"/>
      <c r="K255" s="256"/>
      <c r="L255" s="35"/>
      <c r="M255" s="35"/>
      <c r="N255" s="35"/>
      <c r="O255" s="35"/>
      <c r="P255" s="35"/>
      <c r="Q255" s="136"/>
      <c r="R255" s="771"/>
      <c r="S255" s="35"/>
      <c r="T255" s="35"/>
      <c r="U255" s="762"/>
      <c r="V255" s="35"/>
      <c r="W255" s="35"/>
      <c r="X255" s="35"/>
      <c r="Y255" s="771"/>
      <c r="Z255" s="68"/>
      <c r="AA255" s="898"/>
      <c r="AB255" s="762"/>
      <c r="AC255" s="785"/>
      <c r="AD255" s="785"/>
      <c r="AF255" s="763"/>
      <c r="AI255" s="763"/>
      <c r="AK255" s="763"/>
      <c r="AM255" s="776"/>
    </row>
    <row r="256" spans="1:39">
      <c r="A256" s="4">
        <v>116</v>
      </c>
      <c r="B256" s="256"/>
      <c r="C256" s="7" t="s">
        <v>742</v>
      </c>
      <c r="D256" s="256"/>
      <c r="E256" s="36"/>
      <c r="F256" s="256"/>
      <c r="G256" s="35">
        <v>236.82964000000001</v>
      </c>
      <c r="H256" s="256"/>
      <c r="I256" s="897">
        <v>-110</v>
      </c>
      <c r="J256" s="896">
        <f>G256*I256/100</f>
        <v>-260.51260400000001</v>
      </c>
      <c r="K256" s="256"/>
      <c r="L256" s="827">
        <v>0</v>
      </c>
      <c r="M256" s="827">
        <v>0</v>
      </c>
      <c r="N256" s="827">
        <v>0</v>
      </c>
      <c r="O256" s="895">
        <v>0</v>
      </c>
      <c r="P256" s="895">
        <v>0</v>
      </c>
      <c r="Q256" s="136">
        <f>J256-L256-M256-N256-O256-P256</f>
        <v>-260.51260400000001</v>
      </c>
      <c r="R256" s="256"/>
      <c r="S256" s="35">
        <v>0</v>
      </c>
      <c r="T256" s="762">
        <v>0</v>
      </c>
      <c r="U256" s="762">
        <v>0</v>
      </c>
      <c r="V256" s="762">
        <v>0</v>
      </c>
      <c r="W256" s="762">
        <v>0</v>
      </c>
      <c r="X256" s="762">
        <v>0</v>
      </c>
      <c r="Y256" s="256"/>
      <c r="Z256" s="68">
        <f>Q256+S256+T256+U256+V256+W256+X256</f>
        <v>-260.51260400000001</v>
      </c>
      <c r="AA256" s="821">
        <f>Z256/G256*100</f>
        <v>-110.00000000000001</v>
      </c>
      <c r="AB256" s="762">
        <v>0</v>
      </c>
      <c r="AC256" s="785"/>
      <c r="AD256" s="785"/>
      <c r="AF256" s="763"/>
      <c r="AI256" s="763"/>
      <c r="AK256" s="763"/>
      <c r="AM256" s="776"/>
    </row>
    <row r="257" spans="1:39">
      <c r="A257" s="4"/>
      <c r="C257" s="7"/>
      <c r="G257" s="135"/>
      <c r="L257" s="827">
        <v>0</v>
      </c>
      <c r="M257" s="666"/>
      <c r="N257" s="666"/>
      <c r="O257" s="666"/>
      <c r="P257" s="666"/>
      <c r="Q257" s="136"/>
      <c r="T257" s="504"/>
      <c r="U257" s="504"/>
      <c r="V257" s="504"/>
      <c r="W257" s="504"/>
      <c r="X257" s="504"/>
      <c r="AA257" s="793"/>
      <c r="AB257" s="504"/>
      <c r="AC257" s="504"/>
      <c r="AF257" s="763"/>
      <c r="AI257" s="763"/>
      <c r="AK257" s="763"/>
      <c r="AM257" s="776"/>
    </row>
    <row r="258" spans="1:39">
      <c r="A258" s="4">
        <v>117</v>
      </c>
      <c r="B258" s="256"/>
      <c r="C258" s="7" t="s">
        <v>710</v>
      </c>
      <c r="D258" s="256"/>
      <c r="E258" s="134"/>
      <c r="F258" s="256"/>
      <c r="G258" s="137">
        <f>G254</f>
        <v>188852.1</v>
      </c>
      <c r="H258" s="447"/>
      <c r="I258" s="894">
        <f>J258/G258*100</f>
        <v>2.5158910402305859</v>
      </c>
      <c r="J258" s="881">
        <f>SUM(J252:J257)</f>
        <v>4751.3130631873064</v>
      </c>
      <c r="K258" s="739"/>
      <c r="L258" s="893">
        <f t="shared" ref="L258:Q258" si="71">SUM(L252:L257)</f>
        <v>40.750410090988815</v>
      </c>
      <c r="M258" s="137">
        <f t="shared" si="71"/>
        <v>0</v>
      </c>
      <c r="N258" s="881">
        <f t="shared" si="71"/>
        <v>19.975437885703734</v>
      </c>
      <c r="O258" s="881">
        <f t="shared" si="71"/>
        <v>484.16838165175238</v>
      </c>
      <c r="P258" s="881">
        <f t="shared" si="71"/>
        <v>150.91966472771608</v>
      </c>
      <c r="Q258" s="881">
        <f t="shared" si="71"/>
        <v>4055.4991688311452</v>
      </c>
      <c r="R258" s="739"/>
      <c r="S258" s="881">
        <f t="shared" ref="S258:X258" si="72">SUM(S252:S257)</f>
        <v>94.738736755619357</v>
      </c>
      <c r="T258" s="881">
        <f t="shared" si="72"/>
        <v>42.257140600837147</v>
      </c>
      <c r="U258" s="137">
        <f t="shared" si="72"/>
        <v>0</v>
      </c>
      <c r="V258" s="881">
        <f t="shared" si="72"/>
        <v>16.705019983717541</v>
      </c>
      <c r="W258" s="881">
        <f t="shared" si="72"/>
        <v>530.61021009337355</v>
      </c>
      <c r="X258" s="881">
        <f t="shared" si="72"/>
        <v>134.79476662733822</v>
      </c>
      <c r="Y258" s="739"/>
      <c r="Z258" s="881">
        <f>SUM(Z252:Z257)</f>
        <v>4874.6050428920316</v>
      </c>
      <c r="AA258" s="829">
        <f>Z258/G258*100</f>
        <v>2.5811759799822354</v>
      </c>
      <c r="AB258" s="881">
        <f>SUM(AB252:AB257)</f>
        <v>123.29197970472478</v>
      </c>
      <c r="AC258" s="816">
        <f>AA258/I258-1</f>
        <v>2.5949033049406545E-2</v>
      </c>
      <c r="AD258" s="785"/>
      <c r="AF258" s="763"/>
      <c r="AI258" s="763"/>
      <c r="AK258" s="763"/>
      <c r="AM258" s="776"/>
    </row>
    <row r="259" spans="1:39">
      <c r="A259" s="4"/>
      <c r="B259" s="256"/>
      <c r="C259" s="7"/>
      <c r="D259" s="256"/>
      <c r="E259" s="134"/>
      <c r="F259" s="256"/>
      <c r="G259" s="35"/>
      <c r="H259" s="256"/>
      <c r="I259" s="256"/>
      <c r="J259" s="256"/>
      <c r="K259" s="256"/>
      <c r="L259" s="504"/>
      <c r="M259" s="504"/>
      <c r="N259" s="504"/>
      <c r="O259" s="504"/>
      <c r="P259" s="504"/>
      <c r="Q259" s="504"/>
      <c r="R259" s="256"/>
      <c r="S259" s="795"/>
      <c r="T259" s="755"/>
      <c r="U259" s="755"/>
      <c r="V259" s="755"/>
      <c r="W259" s="755"/>
      <c r="X259" s="755"/>
      <c r="Y259" s="256"/>
      <c r="Z259" s="256"/>
      <c r="AA259" s="256"/>
      <c r="AB259" s="504"/>
      <c r="AC259" s="504"/>
      <c r="AF259" s="763"/>
      <c r="AI259" s="763"/>
      <c r="AK259" s="763"/>
      <c r="AM259" s="776"/>
    </row>
    <row r="260" spans="1:39">
      <c r="A260" s="4">
        <v>118</v>
      </c>
      <c r="B260" s="256"/>
      <c r="C260" s="9" t="s">
        <v>711</v>
      </c>
      <c r="D260" s="256"/>
      <c r="E260" s="742" t="s">
        <v>674</v>
      </c>
      <c r="F260" s="256"/>
      <c r="G260" s="35">
        <v>188852.1</v>
      </c>
      <c r="H260" s="256"/>
      <c r="I260" s="861">
        <v>1.1360059253757275</v>
      </c>
      <c r="J260" s="750">
        <f>G260*I260/100</f>
        <v>2145.3710461964943</v>
      </c>
      <c r="K260" s="256"/>
      <c r="L260" s="755">
        <v>0</v>
      </c>
      <c r="M260" s="865">
        <v>550.32869750354416</v>
      </c>
      <c r="N260" s="755">
        <v>0</v>
      </c>
      <c r="O260" s="755">
        <v>0</v>
      </c>
      <c r="P260" s="755">
        <v>0</v>
      </c>
      <c r="Q260" s="755">
        <f>J260-L260-M260-N260-O260-P260</f>
        <v>1595.0423486929501</v>
      </c>
      <c r="R260" s="795"/>
      <c r="S260" s="35">
        <v>16.743311794035435</v>
      </c>
      <c r="T260" s="755">
        <v>0</v>
      </c>
      <c r="U260" s="35">
        <v>548.42372967335484</v>
      </c>
      <c r="V260" s="755">
        <v>0</v>
      </c>
      <c r="W260" s="755">
        <v>0</v>
      </c>
      <c r="X260" s="755">
        <v>0</v>
      </c>
      <c r="Y260" s="256"/>
      <c r="Z260" s="795">
        <f>Q260+S260+T260+U260+V260+W260+X260</f>
        <v>2160.2093901603403</v>
      </c>
      <c r="AA260" s="792">
        <f>Z260/G260*100</f>
        <v>1.1438630495294149</v>
      </c>
      <c r="AB260" s="847">
        <f>Z260-J260</f>
        <v>14.838343963846</v>
      </c>
      <c r="AC260" s="785">
        <f>AA260/I260-1</f>
        <v>6.9164464534712256E-3</v>
      </c>
      <c r="AD260" s="785"/>
      <c r="AF260" s="763"/>
      <c r="AI260" s="763"/>
      <c r="AK260" s="763"/>
      <c r="AM260" s="776"/>
    </row>
    <row r="261" spans="1:39">
      <c r="A261" s="4"/>
      <c r="B261" s="256"/>
      <c r="C261" s="9"/>
      <c r="D261" s="256"/>
      <c r="E261" s="742"/>
      <c r="F261" s="256"/>
      <c r="G261" s="35"/>
      <c r="H261" s="256"/>
      <c r="I261" s="861"/>
      <c r="J261" s="750"/>
      <c r="K261" s="256"/>
      <c r="L261" s="755"/>
      <c r="M261" s="865"/>
      <c r="N261" s="755"/>
      <c r="O261" s="755"/>
      <c r="P261" s="755"/>
      <c r="Q261" s="755"/>
      <c r="R261" s="795"/>
      <c r="S261" s="35"/>
      <c r="T261" s="755"/>
      <c r="U261" s="35"/>
      <c r="V261" s="755"/>
      <c r="W261" s="755"/>
      <c r="X261" s="755"/>
      <c r="Y261" s="256"/>
      <c r="Z261" s="795"/>
      <c r="AA261" s="792"/>
      <c r="AB261" s="847"/>
      <c r="AC261" s="785"/>
      <c r="AD261" s="785"/>
      <c r="AF261" s="763"/>
      <c r="AI261" s="763"/>
      <c r="AK261" s="763"/>
      <c r="AM261" s="776"/>
    </row>
    <row r="262" spans="1:39">
      <c r="A262" s="4"/>
      <c r="B262" s="256"/>
      <c r="C262" s="7" t="s">
        <v>712</v>
      </c>
      <c r="D262" s="256"/>
      <c r="E262" s="742"/>
      <c r="F262" s="256"/>
      <c r="G262" s="35"/>
      <c r="H262" s="256"/>
      <c r="I262" s="861"/>
      <c r="J262" s="750"/>
      <c r="K262" s="256"/>
      <c r="L262" s="755"/>
      <c r="M262" s="865"/>
      <c r="N262" s="755"/>
      <c r="O262" s="755"/>
      <c r="P262" s="755"/>
      <c r="Q262" s="755"/>
      <c r="R262" s="795"/>
      <c r="S262" s="35"/>
      <c r="T262" s="755"/>
      <c r="U262" s="35"/>
      <c r="V262" s="755"/>
      <c r="W262" s="755"/>
      <c r="X262" s="755"/>
      <c r="Y262" s="256"/>
      <c r="Z262" s="795"/>
      <c r="AA262" s="792"/>
      <c r="AB262" s="847"/>
      <c r="AC262" s="785"/>
      <c r="AD262" s="785"/>
      <c r="AF262" s="763"/>
      <c r="AI262" s="763"/>
      <c r="AK262" s="763"/>
      <c r="AM262" s="776"/>
    </row>
    <row r="263" spans="1:39">
      <c r="A263" s="4">
        <v>119</v>
      </c>
      <c r="B263" s="256"/>
      <c r="C263" s="9" t="s">
        <v>713</v>
      </c>
      <c r="D263" s="256"/>
      <c r="E263" s="742" t="s">
        <v>674</v>
      </c>
      <c r="F263" s="256"/>
      <c r="G263" s="35">
        <v>140307.6</v>
      </c>
      <c r="H263" s="256"/>
      <c r="I263" s="861">
        <v>3.9267443834816063</v>
      </c>
      <c r="J263" s="750">
        <f>G263*I263/100</f>
        <v>5509.5208025978391</v>
      </c>
      <c r="K263" s="256"/>
      <c r="L263" s="755">
        <v>0</v>
      </c>
      <c r="M263" s="755">
        <v>0</v>
      </c>
      <c r="N263" s="755">
        <v>0</v>
      </c>
      <c r="O263" s="755">
        <v>0</v>
      </c>
      <c r="P263" s="755">
        <v>0</v>
      </c>
      <c r="Q263" s="755">
        <f>J263-L263-M263-N263-O263-P263</f>
        <v>5509.5208025978391</v>
      </c>
      <c r="R263" s="795"/>
      <c r="S263" s="35">
        <v>2.8469420231929092</v>
      </c>
      <c r="T263" s="755">
        <v>0</v>
      </c>
      <c r="U263" s="755">
        <v>0</v>
      </c>
      <c r="V263" s="755">
        <v>0</v>
      </c>
      <c r="W263" s="755">
        <v>0</v>
      </c>
      <c r="X263" s="755">
        <v>0</v>
      </c>
      <c r="Y263" s="256"/>
      <c r="Z263" s="795">
        <f>Q263+S263+T263+U263+V263+W263+X263</f>
        <v>5512.3677446210322</v>
      </c>
      <c r="AA263" s="792">
        <f>Z263/G263*100</f>
        <v>3.9287734553374385</v>
      </c>
      <c r="AB263" s="847">
        <f>Z263-J263</f>
        <v>2.8469420231931508</v>
      </c>
      <c r="AC263" s="785"/>
      <c r="AD263" s="785"/>
      <c r="AF263" s="763"/>
      <c r="AI263" s="763"/>
      <c r="AK263" s="763"/>
      <c r="AM263" s="776"/>
    </row>
    <row r="264" spans="1:39">
      <c r="A264" s="4">
        <v>120</v>
      </c>
      <c r="B264" s="256"/>
      <c r="C264" s="9" t="s">
        <v>714</v>
      </c>
      <c r="D264" s="256"/>
      <c r="E264" s="742" t="s">
        <v>674</v>
      </c>
      <c r="F264" s="256"/>
      <c r="G264" s="35">
        <v>48544.5</v>
      </c>
      <c r="I264" s="861">
        <v>0.96972041146112009</v>
      </c>
      <c r="J264" s="750">
        <f>G264*I264/100</f>
        <v>470.74592514174344</v>
      </c>
      <c r="L264" s="755">
        <v>0</v>
      </c>
      <c r="M264" s="755">
        <v>0</v>
      </c>
      <c r="N264" s="755">
        <v>0</v>
      </c>
      <c r="O264" s="755">
        <v>0</v>
      </c>
      <c r="P264" s="755">
        <v>0</v>
      </c>
      <c r="Q264" s="755">
        <f>J264-L264-M264-N264-O264-P264</f>
        <v>470.74592514174344</v>
      </c>
      <c r="R264" s="892"/>
      <c r="S264" s="35">
        <v>7.8252238570525492</v>
      </c>
      <c r="T264" s="755">
        <v>0</v>
      </c>
      <c r="U264" s="755">
        <v>0</v>
      </c>
      <c r="V264" s="755">
        <v>0</v>
      </c>
      <c r="W264" s="755">
        <v>0</v>
      </c>
      <c r="X264" s="755">
        <v>0</v>
      </c>
      <c r="Z264" s="795">
        <f>Q264+S264+T264+U264+V264+W264+X264</f>
        <v>478.57114899879599</v>
      </c>
      <c r="AA264" s="792">
        <f>Z264/G264*100</f>
        <v>0.98584010340779293</v>
      </c>
      <c r="AB264" s="847">
        <f>Z264-J264</f>
        <v>7.8252238570525492</v>
      </c>
      <c r="AC264" s="785"/>
      <c r="AD264" s="785"/>
      <c r="AF264" s="763"/>
      <c r="AI264" s="763"/>
      <c r="AK264" s="763"/>
      <c r="AM264" s="776"/>
    </row>
    <row r="265" spans="1:39">
      <c r="A265" s="4">
        <v>121</v>
      </c>
      <c r="B265" s="256"/>
      <c r="C265" s="7" t="s">
        <v>712</v>
      </c>
      <c r="D265" s="256"/>
      <c r="E265" s="742"/>
      <c r="F265" s="256"/>
      <c r="G265" s="420">
        <f>SUM(G263:G264)</f>
        <v>188852.1</v>
      </c>
      <c r="I265" s="891">
        <f>J265/G265*100</f>
        <v>3.1666403115133921</v>
      </c>
      <c r="J265" s="808">
        <f>SUM(J263:J264)</f>
        <v>5980.2667277395822</v>
      </c>
      <c r="L265" s="887">
        <f t="shared" ref="L265:Q265" si="73">SUM(L263:L264)</f>
        <v>0</v>
      </c>
      <c r="M265" s="887">
        <f t="shared" si="73"/>
        <v>0</v>
      </c>
      <c r="N265" s="887">
        <f t="shared" si="73"/>
        <v>0</v>
      </c>
      <c r="O265" s="887">
        <f t="shared" si="73"/>
        <v>0</v>
      </c>
      <c r="P265" s="887">
        <f t="shared" si="73"/>
        <v>0</v>
      </c>
      <c r="Q265" s="887">
        <f t="shared" si="73"/>
        <v>5980.2667277395822</v>
      </c>
      <c r="R265" s="755"/>
      <c r="S265" s="887">
        <f t="shared" ref="S265:X265" si="74">SUM(S263:S264)</f>
        <v>10.672165880245458</v>
      </c>
      <c r="T265" s="887">
        <f t="shared" si="74"/>
        <v>0</v>
      </c>
      <c r="U265" s="887">
        <f t="shared" si="74"/>
        <v>0</v>
      </c>
      <c r="V265" s="887">
        <f t="shared" si="74"/>
        <v>0</v>
      </c>
      <c r="W265" s="887">
        <f t="shared" si="74"/>
        <v>0</v>
      </c>
      <c r="X265" s="887">
        <f t="shared" si="74"/>
        <v>0</v>
      </c>
      <c r="Y265" s="755"/>
      <c r="Z265" s="887">
        <f>SUM(Z263:Z264)</f>
        <v>5990.9388936198284</v>
      </c>
      <c r="AA265" s="806">
        <f>Z265/G265*100</f>
        <v>3.1722913823144294</v>
      </c>
      <c r="AB265" s="851">
        <f>SUM(AB263:AB264)</f>
        <v>10.6721658802457</v>
      </c>
      <c r="AC265" s="816">
        <f>AA265/I265-1</f>
        <v>1.7845635263629145E-3</v>
      </c>
      <c r="AD265" s="785"/>
      <c r="AF265" s="763"/>
      <c r="AI265" s="763"/>
      <c r="AK265" s="763"/>
      <c r="AM265" s="776"/>
    </row>
    <row r="266" spans="1:39">
      <c r="A266" s="4"/>
      <c r="B266" s="256"/>
      <c r="D266" s="256"/>
      <c r="E266" s="36"/>
      <c r="F266" s="256"/>
      <c r="G266" s="35"/>
      <c r="H266" s="256"/>
      <c r="I266" s="861"/>
      <c r="J266" s="750"/>
      <c r="K266" s="256"/>
      <c r="L266" s="755"/>
      <c r="M266" s="755"/>
      <c r="N266" s="755"/>
      <c r="O266" s="755"/>
      <c r="P266" s="755"/>
      <c r="Q266" s="755"/>
      <c r="R266" s="795"/>
      <c r="S266" s="35"/>
      <c r="T266" s="755"/>
      <c r="U266" s="755"/>
      <c r="V266" s="755"/>
      <c r="W266" s="755"/>
      <c r="X266" s="755"/>
      <c r="Y266" s="256"/>
      <c r="Z266" s="795"/>
      <c r="AA266" s="792"/>
      <c r="AB266" s="847"/>
      <c r="AC266" s="785"/>
      <c r="AD266" s="785"/>
      <c r="AF266" s="763"/>
      <c r="AI266" s="763"/>
      <c r="AK266" s="763"/>
      <c r="AM266" s="776"/>
    </row>
    <row r="267" spans="1:39">
      <c r="A267" s="4">
        <v>122</v>
      </c>
      <c r="B267" s="256"/>
      <c r="C267" s="7" t="s">
        <v>715</v>
      </c>
      <c r="D267" s="256"/>
      <c r="E267" s="742" t="s">
        <v>674</v>
      </c>
      <c r="F267" s="256"/>
      <c r="G267" s="35">
        <v>140305.60000000001</v>
      </c>
      <c r="H267" s="256"/>
      <c r="I267" s="861">
        <v>18.339330746597561</v>
      </c>
      <c r="J267" s="750">
        <f>G267*I267/100</f>
        <v>25731.108039998187</v>
      </c>
      <c r="K267" s="256"/>
      <c r="L267" s="755">
        <v>0</v>
      </c>
      <c r="M267" s="755">
        <v>0</v>
      </c>
      <c r="N267" s="755">
        <v>0</v>
      </c>
      <c r="O267" s="755">
        <v>0</v>
      </c>
      <c r="P267" s="755">
        <v>0</v>
      </c>
      <c r="Q267" s="755">
        <f>J267-L267-M267-N267-O267-P267</f>
        <v>25731.108039998187</v>
      </c>
      <c r="R267" s="795"/>
      <c r="S267" s="35">
        <v>1.7750078563292959</v>
      </c>
      <c r="T267" s="755">
        <v>0</v>
      </c>
      <c r="U267" s="755">
        <v>0</v>
      </c>
      <c r="V267" s="755">
        <v>0</v>
      </c>
      <c r="W267" s="755">
        <v>0</v>
      </c>
      <c r="X267" s="755">
        <v>0</v>
      </c>
      <c r="Y267" s="256"/>
      <c r="Z267" s="795">
        <f>Q267+S267+T267+U267+V267+W267+X267</f>
        <v>25732.883047854517</v>
      </c>
      <c r="AA267" s="792">
        <f>Z267/G267*100</f>
        <v>18.34059584781685</v>
      </c>
      <c r="AB267" s="847">
        <f>Z267-J267</f>
        <v>1.7750078563294664</v>
      </c>
      <c r="AC267" s="785">
        <f>AA267/I267-1</f>
        <v>6.8982954545493413E-5</v>
      </c>
      <c r="AD267" s="785"/>
      <c r="AF267" s="763"/>
      <c r="AI267" s="763"/>
      <c r="AK267" s="763"/>
      <c r="AM267" s="776"/>
    </row>
    <row r="268" spans="1:39">
      <c r="A268" s="4"/>
      <c r="B268" s="256"/>
      <c r="C268" s="7"/>
      <c r="D268" s="256"/>
      <c r="E268" s="36"/>
      <c r="F268" s="256"/>
      <c r="G268" s="35"/>
      <c r="H268" s="256"/>
      <c r="I268" s="256"/>
      <c r="J268" s="750"/>
      <c r="K268" s="256"/>
      <c r="L268" s="755"/>
      <c r="M268" s="755"/>
      <c r="N268" s="755"/>
      <c r="O268" s="755"/>
      <c r="P268" s="755"/>
      <c r="Q268" s="755"/>
      <c r="R268" s="795"/>
      <c r="S268" s="795"/>
      <c r="T268" s="755"/>
      <c r="U268" s="755"/>
      <c r="V268" s="755"/>
      <c r="W268" s="755"/>
      <c r="X268" s="755"/>
      <c r="Y268" s="256"/>
      <c r="Z268" s="256"/>
      <c r="AA268" s="792"/>
      <c r="AB268" s="504"/>
      <c r="AC268" s="770"/>
      <c r="AD268" s="769"/>
      <c r="AF268" s="763"/>
      <c r="AI268" s="763"/>
      <c r="AK268" s="763"/>
      <c r="AM268" s="776"/>
    </row>
    <row r="269" spans="1:39" ht="13.5" thickBot="1">
      <c r="A269" s="4">
        <v>123</v>
      </c>
      <c r="B269" s="256"/>
      <c r="C269" s="7" t="s">
        <v>748</v>
      </c>
      <c r="D269" s="256"/>
      <c r="E269" s="36"/>
      <c r="F269" s="256"/>
      <c r="G269" s="768">
        <f>G258</f>
        <v>188852.1</v>
      </c>
      <c r="H269" s="256"/>
      <c r="I269" s="803">
        <f>J269/G269*100</f>
        <v>20.443542262501484</v>
      </c>
      <c r="J269" s="756">
        <f>J258+J260+J265+J267</f>
        <v>38608.05887712157</v>
      </c>
      <c r="K269" s="750"/>
      <c r="L269" s="844">
        <f t="shared" ref="L269:Q269" si="75">L258+L260+L265+L267</f>
        <v>40.750410090988815</v>
      </c>
      <c r="M269" s="844">
        <f t="shared" si="75"/>
        <v>550.32869750354416</v>
      </c>
      <c r="N269" s="844">
        <f t="shared" si="75"/>
        <v>19.975437885703734</v>
      </c>
      <c r="O269" s="844">
        <f t="shared" si="75"/>
        <v>484.16838165175238</v>
      </c>
      <c r="P269" s="844">
        <f t="shared" si="75"/>
        <v>150.91966472771608</v>
      </c>
      <c r="Q269" s="844">
        <f t="shared" si="75"/>
        <v>37361.916285261861</v>
      </c>
      <c r="R269" s="750"/>
      <c r="S269" s="844">
        <f t="shared" ref="S269:X269" si="76">S258+S260+S265+S267</f>
        <v>123.92922228622955</v>
      </c>
      <c r="T269" s="844">
        <f t="shared" si="76"/>
        <v>42.257140600837147</v>
      </c>
      <c r="U269" s="844">
        <f t="shared" si="76"/>
        <v>548.42372967335484</v>
      </c>
      <c r="V269" s="844">
        <f t="shared" si="76"/>
        <v>16.705019983717541</v>
      </c>
      <c r="W269" s="844">
        <f t="shared" si="76"/>
        <v>530.61021009337355</v>
      </c>
      <c r="X269" s="844">
        <f t="shared" si="76"/>
        <v>134.79476662733822</v>
      </c>
      <c r="Y269" s="750"/>
      <c r="Z269" s="844">
        <f>Z258+Z260+Z265+Z267</f>
        <v>38758.636374526715</v>
      </c>
      <c r="AA269" s="845">
        <f>Z269/G269*100</f>
        <v>20.523275290307449</v>
      </c>
      <c r="AB269" s="844">
        <f>AB258+AB260+AB265+AB267</f>
        <v>150.57749740514595</v>
      </c>
      <c r="AC269" s="815">
        <f>AA269/I269-1</f>
        <v>3.9001571636738674E-3</v>
      </c>
      <c r="AD269" s="785"/>
      <c r="AF269" s="763"/>
      <c r="AI269" s="763"/>
      <c r="AK269" s="763"/>
      <c r="AM269" s="776"/>
    </row>
    <row r="270" spans="1:39" ht="13.5" thickTop="1">
      <c r="L270" s="2"/>
      <c r="M270" s="2"/>
      <c r="N270" s="2"/>
      <c r="O270" s="2"/>
      <c r="P270" s="504"/>
      <c r="Q270" s="504"/>
      <c r="T270" s="504"/>
      <c r="U270" s="504"/>
      <c r="V270" s="504"/>
      <c r="W270" s="504"/>
      <c r="X270" s="504"/>
      <c r="AB270" s="753"/>
      <c r="AC270" s="504"/>
      <c r="AF270" s="763"/>
      <c r="AI270" s="763"/>
      <c r="AK270" s="763"/>
      <c r="AM270" s="776"/>
    </row>
    <row r="271" spans="1:39">
      <c r="L271" s="2"/>
      <c r="M271" s="2"/>
      <c r="N271" s="2"/>
      <c r="O271" s="2"/>
      <c r="P271" s="504"/>
      <c r="Q271" s="504"/>
      <c r="T271" s="504"/>
      <c r="U271" s="504"/>
      <c r="V271" s="504"/>
      <c r="W271" s="504"/>
      <c r="X271" s="504"/>
      <c r="AB271" s="504"/>
      <c r="AC271" s="504"/>
      <c r="AF271" s="763"/>
      <c r="AI271" s="763"/>
      <c r="AK271" s="763"/>
      <c r="AM271" s="776"/>
    </row>
    <row r="272" spans="1:39">
      <c r="L272" s="2"/>
      <c r="M272" s="2"/>
      <c r="N272" s="2"/>
      <c r="O272" s="2"/>
      <c r="P272" s="504"/>
      <c r="Q272" s="504"/>
      <c r="T272" s="504"/>
      <c r="U272" s="504"/>
      <c r="V272" s="504"/>
      <c r="W272" s="504"/>
      <c r="X272" s="504"/>
      <c r="AB272" s="504"/>
      <c r="AC272" s="504"/>
      <c r="AF272" s="763"/>
      <c r="AI272" s="763"/>
      <c r="AK272" s="763"/>
      <c r="AM272" s="776"/>
    </row>
    <row r="273" spans="1:39">
      <c r="L273" s="2"/>
      <c r="M273" s="2"/>
      <c r="N273" s="2"/>
      <c r="O273" s="2"/>
      <c r="P273" s="504"/>
      <c r="Q273" s="504"/>
      <c r="T273" s="504"/>
      <c r="U273" s="504"/>
      <c r="V273" s="504"/>
      <c r="W273" s="504"/>
      <c r="X273" s="504"/>
      <c r="AB273" s="504"/>
      <c r="AC273" s="504"/>
      <c r="AF273" s="763"/>
      <c r="AI273" s="763"/>
      <c r="AK273" s="763"/>
      <c r="AM273" s="776"/>
    </row>
    <row r="274" spans="1:39">
      <c r="L274" s="2"/>
      <c r="M274" s="2"/>
      <c r="N274" s="2"/>
      <c r="O274" s="2"/>
      <c r="P274" s="504"/>
      <c r="Q274" s="504"/>
      <c r="T274" s="504"/>
      <c r="U274" s="504"/>
      <c r="V274" s="504"/>
      <c r="W274" s="504"/>
      <c r="X274" s="504"/>
      <c r="AB274" s="504"/>
      <c r="AC274" s="504"/>
      <c r="AF274" s="763"/>
      <c r="AI274" s="763"/>
      <c r="AK274" s="763"/>
      <c r="AM274" s="776"/>
    </row>
    <row r="275" spans="1:39">
      <c r="A275" s="1324" t="s">
        <v>724</v>
      </c>
      <c r="B275" s="1324"/>
      <c r="C275" s="1324"/>
      <c r="D275" s="1324"/>
      <c r="E275" s="1324"/>
      <c r="F275" s="1324"/>
      <c r="G275" s="1324"/>
      <c r="H275" s="1324"/>
      <c r="I275" s="1324"/>
      <c r="J275" s="1324"/>
      <c r="K275" s="1324"/>
      <c r="L275" s="1324"/>
      <c r="M275" s="1324"/>
      <c r="N275" s="1324"/>
      <c r="O275" s="1324"/>
      <c r="P275" s="1324"/>
      <c r="Q275" s="1324"/>
      <c r="R275" s="1324"/>
      <c r="S275" s="1324"/>
      <c r="T275" s="1324"/>
      <c r="U275" s="1324"/>
      <c r="V275" s="1324"/>
      <c r="W275" s="1324"/>
      <c r="X275" s="1324"/>
      <c r="Y275" s="1324"/>
      <c r="Z275" s="1324"/>
      <c r="AA275" s="1324"/>
      <c r="AB275" s="1324"/>
      <c r="AC275" s="1324"/>
      <c r="AD275" s="665"/>
      <c r="AF275" s="763"/>
      <c r="AI275" s="763"/>
      <c r="AK275" s="763"/>
      <c r="AM275" s="776"/>
    </row>
    <row r="276" spans="1:39">
      <c r="A276" s="385"/>
      <c r="B276" s="385"/>
      <c r="C276" s="385"/>
      <c r="D276" s="385"/>
      <c r="E276" s="447"/>
      <c r="F276" s="385"/>
      <c r="G276" s="447"/>
      <c r="H276" s="385"/>
      <c r="I276" s="385"/>
      <c r="J276" s="385"/>
      <c r="K276" s="385"/>
      <c r="L276" s="385"/>
      <c r="M276" s="385"/>
      <c r="N276" s="3"/>
      <c r="O276" s="3"/>
      <c r="P276" s="504"/>
      <c r="Q276" s="504"/>
      <c r="R276" s="385"/>
      <c r="S276" s="385"/>
      <c r="T276" s="504"/>
      <c r="U276" s="504"/>
      <c r="V276" s="504"/>
      <c r="W276" s="504"/>
      <c r="X276" s="504"/>
      <c r="Y276" s="385"/>
      <c r="Z276" s="385"/>
      <c r="AA276" s="385"/>
      <c r="AB276" s="504"/>
      <c r="AC276" s="504"/>
      <c r="AF276" s="763"/>
      <c r="AI276" s="763"/>
      <c r="AK276" s="763"/>
      <c r="AM276" s="776"/>
    </row>
    <row r="277" spans="1:39">
      <c r="A277" s="447"/>
      <c r="B277" s="447"/>
      <c r="C277" s="447"/>
      <c r="D277" s="447"/>
      <c r="E277" s="385"/>
      <c r="F277" s="447"/>
      <c r="G277" s="1313" t="str">
        <f>G8</f>
        <v>Current Approved Revenue</v>
      </c>
      <c r="H277" s="1313"/>
      <c r="I277" s="1313"/>
      <c r="J277" s="1313"/>
      <c r="K277" s="447"/>
      <c r="L277" s="1313" t="str">
        <f>L8</f>
        <v>Adjustments to 2023 Base Rates</v>
      </c>
      <c r="M277" s="1313"/>
      <c r="N277" s="1313"/>
      <c r="O277" s="1313"/>
      <c r="P277" s="1313"/>
      <c r="Q277" s="256"/>
      <c r="R277" s="447"/>
      <c r="S277" s="1313" t="str">
        <f>S8</f>
        <v>Adjustments to 2024 Base Rates</v>
      </c>
      <c r="T277" s="1313"/>
      <c r="U277" s="1313"/>
      <c r="V277" s="1313"/>
      <c r="W277" s="1313"/>
      <c r="X277" s="1313"/>
      <c r="Y277" s="447"/>
      <c r="Z277" s="1313" t="str">
        <f>Z8</f>
        <v>2024 Proposed Revenue</v>
      </c>
      <c r="AA277" s="1313"/>
      <c r="AB277" s="1313"/>
      <c r="AC277" s="1313"/>
      <c r="AD277" s="4"/>
      <c r="AF277" s="763"/>
      <c r="AI277" s="763"/>
      <c r="AK277" s="763"/>
      <c r="AM277" s="776"/>
    </row>
    <row r="278" spans="1:39" ht="38.25">
      <c r="A278" s="254" t="s">
        <v>1</v>
      </c>
      <c r="B278" s="254"/>
      <c r="C278" s="254"/>
      <c r="D278" s="254"/>
      <c r="E278" s="4" t="s">
        <v>670</v>
      </c>
      <c r="F278" s="254"/>
      <c r="G278" s="13" t="s">
        <v>684</v>
      </c>
      <c r="H278" s="254"/>
      <c r="I278" s="13" t="s">
        <v>196</v>
      </c>
      <c r="J278" s="13" t="s">
        <v>503</v>
      </c>
      <c r="K278" s="254"/>
      <c r="L278" s="13" t="s">
        <v>505</v>
      </c>
      <c r="M278" s="13" t="s">
        <v>685</v>
      </c>
      <c r="N278" s="254" t="s">
        <v>686</v>
      </c>
      <c r="O278" s="254" t="s">
        <v>508</v>
      </c>
      <c r="P278" s="254" t="s">
        <v>687</v>
      </c>
      <c r="Q278" s="254" t="s">
        <v>688</v>
      </c>
      <c r="R278" s="254"/>
      <c r="S278" s="254" t="s">
        <v>689</v>
      </c>
      <c r="T278" s="13" t="s">
        <v>505</v>
      </c>
      <c r="U278" s="13" t="s">
        <v>685</v>
      </c>
      <c r="V278" s="254" t="s">
        <v>686</v>
      </c>
      <c r="W278" s="254" t="s">
        <v>508</v>
      </c>
      <c r="X278" s="254" t="s">
        <v>687</v>
      </c>
      <c r="Y278" s="254"/>
      <c r="Z278" s="13" t="s">
        <v>690</v>
      </c>
      <c r="AA278" s="13" t="s">
        <v>691</v>
      </c>
      <c r="AB278" s="13" t="s">
        <v>692</v>
      </c>
      <c r="AC278" s="254" t="s">
        <v>693</v>
      </c>
      <c r="AD278" s="254"/>
      <c r="AF278" s="763"/>
      <c r="AI278" s="763"/>
      <c r="AK278" s="763"/>
      <c r="AM278" s="776"/>
    </row>
    <row r="279" spans="1:39" ht="14.25">
      <c r="A279" s="255" t="s">
        <v>2</v>
      </c>
      <c r="B279" s="256"/>
      <c r="C279" s="449" t="s">
        <v>3</v>
      </c>
      <c r="D279" s="256"/>
      <c r="E279" s="255" t="s">
        <v>4</v>
      </c>
      <c r="F279" s="256"/>
      <c r="G279" s="255" t="s">
        <v>694</v>
      </c>
      <c r="H279" s="256"/>
      <c r="I279" s="255" t="s">
        <v>77</v>
      </c>
      <c r="J279" s="255" t="s">
        <v>20</v>
      </c>
      <c r="K279" s="256"/>
      <c r="L279" s="255" t="s">
        <v>20</v>
      </c>
      <c r="M279" s="255" t="s">
        <v>20</v>
      </c>
      <c r="N279" s="255" t="s">
        <v>20</v>
      </c>
      <c r="O279" s="255" t="s">
        <v>20</v>
      </c>
      <c r="P279" s="255" t="s">
        <v>20</v>
      </c>
      <c r="Q279" s="255" t="s">
        <v>20</v>
      </c>
      <c r="R279" s="256"/>
      <c r="S279" s="255" t="s">
        <v>20</v>
      </c>
      <c r="T279" s="255" t="s">
        <v>20</v>
      </c>
      <c r="U279" s="255" t="s">
        <v>20</v>
      </c>
      <c r="V279" s="255" t="s">
        <v>20</v>
      </c>
      <c r="W279" s="255" t="s">
        <v>20</v>
      </c>
      <c r="X279" s="255" t="s">
        <v>20</v>
      </c>
      <c r="Y279" s="256"/>
      <c r="Z279" s="255" t="s">
        <v>20</v>
      </c>
      <c r="AA279" s="255" t="s">
        <v>77</v>
      </c>
      <c r="AB279" s="255" t="s">
        <v>20</v>
      </c>
      <c r="AC279" s="255" t="s">
        <v>76</v>
      </c>
      <c r="AD279" s="4"/>
      <c r="AF279" s="763"/>
      <c r="AI279" s="763"/>
      <c r="AK279" s="763"/>
      <c r="AM279" s="776"/>
    </row>
    <row r="280" spans="1:39">
      <c r="A280" s="4"/>
      <c r="B280" s="256"/>
      <c r="C280" s="256"/>
      <c r="D280" s="256"/>
      <c r="E280" s="4"/>
      <c r="F280" s="256"/>
      <c r="G280" s="4" t="s">
        <v>8</v>
      </c>
      <c r="H280" s="4"/>
      <c r="I280" s="4" t="s">
        <v>9</v>
      </c>
      <c r="J280" s="4" t="s">
        <v>370</v>
      </c>
      <c r="K280" s="4"/>
      <c r="L280" s="132" t="s">
        <v>79</v>
      </c>
      <c r="M280" s="132" t="s">
        <v>115</v>
      </c>
      <c r="N280" s="132" t="s">
        <v>81</v>
      </c>
      <c r="O280" s="132" t="s">
        <v>82</v>
      </c>
      <c r="P280" s="4" t="s">
        <v>118</v>
      </c>
      <c r="Q280" s="4" t="s">
        <v>695</v>
      </c>
      <c r="R280" s="4"/>
      <c r="S280" s="4" t="s">
        <v>696</v>
      </c>
      <c r="T280" s="4" t="s">
        <v>517</v>
      </c>
      <c r="U280" s="4" t="s">
        <v>518</v>
      </c>
      <c r="V280" s="4" t="s">
        <v>519</v>
      </c>
      <c r="W280" s="4" t="s">
        <v>697</v>
      </c>
      <c r="X280" s="4" t="s">
        <v>698</v>
      </c>
      <c r="Y280" s="4"/>
      <c r="Z280" s="4" t="s">
        <v>725</v>
      </c>
      <c r="AA280" s="4" t="s">
        <v>700</v>
      </c>
      <c r="AB280" s="4" t="s">
        <v>701</v>
      </c>
      <c r="AC280" s="4" t="s">
        <v>702</v>
      </c>
      <c r="AD280" s="4"/>
      <c r="AF280" s="763"/>
      <c r="AI280" s="763"/>
      <c r="AK280" s="763"/>
      <c r="AM280" s="776"/>
    </row>
    <row r="281" spans="1:39">
      <c r="A281" s="4"/>
      <c r="B281" s="256"/>
      <c r="C281" s="7"/>
      <c r="D281" s="256"/>
      <c r="E281" s="36"/>
      <c r="F281" s="256"/>
      <c r="G281" s="35"/>
      <c r="H281" s="256"/>
      <c r="I281" s="256"/>
      <c r="J281" s="256"/>
      <c r="K281" s="256"/>
      <c r="L281" s="504"/>
      <c r="M281" s="504"/>
      <c r="N281" s="504"/>
      <c r="O281" s="504"/>
      <c r="P281" s="504"/>
      <c r="Q281" s="504"/>
      <c r="R281" s="256"/>
      <c r="S281" s="256"/>
      <c r="T281" s="504"/>
      <c r="U281" s="504"/>
      <c r="V281" s="504"/>
      <c r="W281" s="504"/>
      <c r="X281" s="504"/>
      <c r="Y281" s="256"/>
      <c r="Z281" s="256"/>
      <c r="AA281" s="256"/>
      <c r="AB281" s="504"/>
      <c r="AC281" s="504"/>
    </row>
    <row r="282" spans="1:39">
      <c r="A282" s="4"/>
      <c r="B282" s="256"/>
      <c r="C282" s="802" t="s">
        <v>172</v>
      </c>
      <c r="D282" s="256"/>
      <c r="E282" s="36"/>
      <c r="F282" s="256"/>
      <c r="G282" s="35"/>
      <c r="H282" s="256"/>
      <c r="I282" s="256"/>
      <c r="J282" s="256"/>
      <c r="K282" s="256"/>
      <c r="L282" s="504"/>
      <c r="M282" s="504"/>
      <c r="N282" s="504"/>
      <c r="O282" s="504"/>
      <c r="P282" s="504"/>
      <c r="Q282" s="504"/>
      <c r="R282" s="256"/>
      <c r="S282" s="256"/>
      <c r="T282" s="504"/>
      <c r="U282" s="504"/>
      <c r="V282" s="504"/>
      <c r="W282" s="504"/>
      <c r="X282" s="504"/>
      <c r="Y282" s="256"/>
      <c r="Z282" s="256"/>
      <c r="AA282" s="256"/>
      <c r="AB282" s="504"/>
      <c r="AC282" s="504"/>
    </row>
    <row r="283" spans="1:39">
      <c r="A283" s="4"/>
      <c r="B283" s="256"/>
      <c r="C283" s="6" t="s">
        <v>173</v>
      </c>
      <c r="D283" s="256"/>
      <c r="E283" s="36"/>
      <c r="F283" s="256"/>
      <c r="G283" s="35"/>
      <c r="H283" s="256"/>
      <c r="I283" s="256"/>
      <c r="J283" s="256"/>
      <c r="K283" s="256"/>
      <c r="L283" s="504"/>
      <c r="M283" s="504"/>
      <c r="N283" s="504"/>
      <c r="O283" s="504"/>
      <c r="P283" s="504"/>
      <c r="Q283" s="504"/>
      <c r="R283" s="256"/>
      <c r="S283" s="256"/>
      <c r="T283" s="504"/>
      <c r="U283" s="504"/>
      <c r="V283" s="504"/>
      <c r="W283" s="504"/>
      <c r="X283" s="504"/>
      <c r="Y283" s="256"/>
      <c r="Z283" s="256"/>
      <c r="AA283" s="256"/>
      <c r="AB283" s="504"/>
      <c r="AC283" s="504"/>
    </row>
    <row r="284" spans="1:39">
      <c r="A284" s="4">
        <v>124</v>
      </c>
      <c r="B284" s="256"/>
      <c r="C284" s="7" t="s">
        <v>703</v>
      </c>
      <c r="D284" s="256"/>
      <c r="E284" s="36" t="s">
        <v>704</v>
      </c>
      <c r="F284" s="256"/>
      <c r="G284" s="35">
        <v>4435128.0000000037</v>
      </c>
      <c r="H284" s="256"/>
      <c r="I284" s="778">
        <v>22.98</v>
      </c>
      <c r="J284" s="750">
        <f>G284*I284/1000</f>
        <v>101919.24144000009</v>
      </c>
      <c r="K284" s="256"/>
      <c r="L284" s="865">
        <v>0</v>
      </c>
      <c r="M284" s="865">
        <v>0</v>
      </c>
      <c r="N284" s="865">
        <v>0</v>
      </c>
      <c r="O284" s="865">
        <v>0</v>
      </c>
      <c r="P284" s="865">
        <v>0</v>
      </c>
      <c r="Q284" s="753">
        <f>J284-L284-M284-N284-O284-P284</f>
        <v>101919.24144000009</v>
      </c>
      <c r="R284" s="256"/>
      <c r="S284" s="35">
        <v>2748.2703304697061</v>
      </c>
      <c r="T284" s="35">
        <v>9989.5303963250917</v>
      </c>
      <c r="U284" s="865">
        <v>0</v>
      </c>
      <c r="V284" s="865">
        <v>0</v>
      </c>
      <c r="W284" s="35">
        <v>0</v>
      </c>
      <c r="X284" s="35">
        <v>0</v>
      </c>
      <c r="Y284" s="256"/>
      <c r="Z284" s="750">
        <f>Q284+S284+T284+U284+V284+W284+X284</f>
        <v>114657.04216679488</v>
      </c>
      <c r="AA284" s="811">
        <f>Z284/G284*1000</f>
        <v>25.852025503389033</v>
      </c>
      <c r="AB284" s="753">
        <f>Z284-J284</f>
        <v>12737.800726794798</v>
      </c>
      <c r="AC284" s="770">
        <f>AA284/I284-1</f>
        <v>0.12497935175757324</v>
      </c>
      <c r="AD284" s="769"/>
      <c r="AF284" s="763"/>
      <c r="AI284" s="763"/>
      <c r="AK284" s="763"/>
      <c r="AM284" s="776"/>
    </row>
    <row r="285" spans="1:39">
      <c r="C285" s="512" t="s">
        <v>705</v>
      </c>
      <c r="E285" s="36"/>
      <c r="G285" s="35"/>
      <c r="J285" s="752"/>
      <c r="L285" s="865"/>
      <c r="M285" s="504"/>
      <c r="N285" s="504"/>
      <c r="O285" s="504"/>
      <c r="P285" s="504"/>
      <c r="Q285" s="753"/>
      <c r="S285" s="35"/>
      <c r="T285" s="35"/>
      <c r="U285" s="504"/>
      <c r="V285" s="504"/>
      <c r="W285" s="35"/>
      <c r="X285" s="35"/>
      <c r="Z285" s="750"/>
      <c r="AA285" s="793"/>
      <c r="AB285" s="753"/>
      <c r="AC285" s="770"/>
      <c r="AD285" s="769"/>
      <c r="AF285" s="763"/>
      <c r="AI285" s="763"/>
      <c r="AK285" s="763"/>
      <c r="AM285" s="776"/>
    </row>
    <row r="286" spans="1:39">
      <c r="A286" s="4">
        <v>125</v>
      </c>
      <c r="B286" s="256"/>
      <c r="C286" s="519" t="s">
        <v>749</v>
      </c>
      <c r="D286" s="256"/>
      <c r="E286" s="513" t="s">
        <v>674</v>
      </c>
      <c r="F286" s="256"/>
      <c r="G286" s="35">
        <v>299290.46273039118</v>
      </c>
      <c r="H286" s="256"/>
      <c r="I286" s="861">
        <v>11.1409</v>
      </c>
      <c r="J286" s="750">
        <f>G286*I286/100</f>
        <v>33343.651162330156</v>
      </c>
      <c r="K286" s="256"/>
      <c r="L286" s="865">
        <v>1858.8930640184597</v>
      </c>
      <c r="M286" s="865">
        <v>858.13967814085549</v>
      </c>
      <c r="N286" s="865">
        <v>194.2395103120239</v>
      </c>
      <c r="O286" s="865">
        <v>0</v>
      </c>
      <c r="P286" s="865">
        <v>0</v>
      </c>
      <c r="Q286" s="753">
        <f>J286-L286-M286-N286-O286-P286</f>
        <v>30432.378909858817</v>
      </c>
      <c r="R286" s="256"/>
      <c r="S286" s="35">
        <v>820.61446751263429</v>
      </c>
      <c r="T286" s="35">
        <v>625.58933759444324</v>
      </c>
      <c r="U286" s="35">
        <v>834.35089028881271</v>
      </c>
      <c r="V286" s="35">
        <v>182.07498238504988</v>
      </c>
      <c r="W286" s="35">
        <v>0</v>
      </c>
      <c r="X286" s="35">
        <v>0</v>
      </c>
      <c r="Y286" s="256"/>
      <c r="Z286" s="750">
        <f>Q286+S286+T286+U286+V286+W286+X286</f>
        <v>32895.008587639757</v>
      </c>
      <c r="AA286" s="792">
        <f t="shared" ref="AA286:AA291" si="77">Z286/G286*100</f>
        <v>10.990997938104181</v>
      </c>
      <c r="AB286" s="847">
        <f>Z286-J286</f>
        <v>-448.64257469039876</v>
      </c>
      <c r="AC286" s="770"/>
      <c r="AD286" s="769"/>
      <c r="AF286" s="763"/>
      <c r="AI286" s="763"/>
      <c r="AK286" s="763"/>
      <c r="AM286" s="776"/>
    </row>
    <row r="287" spans="1:39">
      <c r="A287" s="4">
        <v>126</v>
      </c>
      <c r="B287" s="256"/>
      <c r="C287" s="519" t="s">
        <v>750</v>
      </c>
      <c r="D287" s="256"/>
      <c r="E287" s="513" t="s">
        <v>674</v>
      </c>
      <c r="F287" s="256"/>
      <c r="G287" s="35">
        <v>342667.32910551433</v>
      </c>
      <c r="H287" s="256"/>
      <c r="I287" s="861">
        <v>10.862900000000002</v>
      </c>
      <c r="J287" s="750">
        <f>G287*I287/100</f>
        <v>37223.609293402922</v>
      </c>
      <c r="K287" s="256"/>
      <c r="L287" s="865">
        <v>2075.1933450629949</v>
      </c>
      <c r="M287" s="865">
        <v>982.51186765308512</v>
      </c>
      <c r="N287" s="865">
        <v>222.39109658947879</v>
      </c>
      <c r="O287" s="865">
        <v>0</v>
      </c>
      <c r="P287" s="865">
        <v>0</v>
      </c>
      <c r="Q287" s="753">
        <f>J287-L287-M287-N287-O287-P287</f>
        <v>33943.512984097368</v>
      </c>
      <c r="R287" s="256"/>
      <c r="S287" s="35">
        <v>915.2928174119661</v>
      </c>
      <c r="T287" s="35">
        <v>716.25746264920281</v>
      </c>
      <c r="U287" s="35">
        <v>955.27531516975239</v>
      </c>
      <c r="V287" s="35">
        <v>208.46353519464537</v>
      </c>
      <c r="W287" s="35">
        <v>0</v>
      </c>
      <c r="X287" s="35">
        <v>0</v>
      </c>
      <c r="Y287" s="256"/>
      <c r="Z287" s="750">
        <f>Q287+S287+T287+U287+V287+W287+X287</f>
        <v>36738.802114522943</v>
      </c>
      <c r="AA287" s="792">
        <f t="shared" si="77"/>
        <v>10.721419579282479</v>
      </c>
      <c r="AB287" s="847">
        <f>Z287-J287</f>
        <v>-484.80717887997889</v>
      </c>
      <c r="AC287" s="770"/>
      <c r="AD287" s="769"/>
      <c r="AF287" s="763"/>
      <c r="AI287" s="763"/>
      <c r="AK287" s="763"/>
      <c r="AM287" s="776"/>
    </row>
    <row r="288" spans="1:39">
      <c r="A288" s="4">
        <v>127</v>
      </c>
      <c r="B288" s="256"/>
      <c r="C288" s="519" t="s">
        <v>751</v>
      </c>
      <c r="D288" s="256"/>
      <c r="E288" s="513" t="s">
        <v>674</v>
      </c>
      <c r="F288" s="256"/>
      <c r="G288" s="35">
        <v>128559.93934024102</v>
      </c>
      <c r="H288" s="256"/>
      <c r="I288" s="861">
        <v>10.4222</v>
      </c>
      <c r="J288" s="750">
        <f>G288*I288/100</f>
        <v>13398.773997918601</v>
      </c>
      <c r="K288" s="256"/>
      <c r="L288" s="865">
        <v>746.93324756680022</v>
      </c>
      <c r="M288" s="865">
        <v>368.61309899682192</v>
      </c>
      <c r="N288" s="865">
        <v>83.435400631816435</v>
      </c>
      <c r="O288" s="865">
        <v>0</v>
      </c>
      <c r="P288" s="865">
        <v>0</v>
      </c>
      <c r="Q288" s="753">
        <f>J288-L288-M288-N288-O288-P288</f>
        <v>12199.792250723161</v>
      </c>
      <c r="R288" s="256"/>
      <c r="S288" s="35">
        <v>328.96955086047092</v>
      </c>
      <c r="T288" s="35">
        <v>268.72131694183923</v>
      </c>
      <c r="U288" s="35">
        <v>358.39464734508499</v>
      </c>
      <c r="V288" s="35">
        <v>78.210138997591812</v>
      </c>
      <c r="W288" s="35">
        <v>0</v>
      </c>
      <c r="X288" s="35">
        <v>0</v>
      </c>
      <c r="Y288" s="256"/>
      <c r="Z288" s="750">
        <f>Q288+S288+T288+U288+V288+W288+X288</f>
        <v>13234.087904868149</v>
      </c>
      <c r="AA288" s="792">
        <f t="shared" si="77"/>
        <v>10.294099369355955</v>
      </c>
      <c r="AB288" s="847">
        <f>Z288-J288</f>
        <v>-164.68609305045175</v>
      </c>
      <c r="AC288" s="770"/>
      <c r="AD288" s="769"/>
      <c r="AF288" s="763"/>
      <c r="AI288" s="763"/>
      <c r="AK288" s="763"/>
      <c r="AM288" s="776"/>
    </row>
    <row r="289" spans="1:39">
      <c r="A289" s="4">
        <v>128</v>
      </c>
      <c r="B289" s="256"/>
      <c r="C289" s="519" t="s">
        <v>752</v>
      </c>
      <c r="D289" s="256"/>
      <c r="E289" s="513" t="s">
        <v>674</v>
      </c>
      <c r="F289" s="256"/>
      <c r="G289" s="35">
        <v>86233.647863598511</v>
      </c>
      <c r="H289" s="256"/>
      <c r="I289" s="861">
        <v>10.017900000000001</v>
      </c>
      <c r="J289" s="750">
        <f>G289*I289/100</f>
        <v>8638.8006093274362</v>
      </c>
      <c r="K289" s="256"/>
      <c r="L289" s="865">
        <v>481.61492331819767</v>
      </c>
      <c r="M289" s="865">
        <v>247.25316719912297</v>
      </c>
      <c r="N289" s="865">
        <v>55.965637463475431</v>
      </c>
      <c r="O289" s="865">
        <v>0</v>
      </c>
      <c r="P289" s="865">
        <v>0</v>
      </c>
      <c r="Q289" s="753">
        <f>J289-L289-M289-N289-O289-P289</f>
        <v>7853.9668813466405</v>
      </c>
      <c r="R289" s="256"/>
      <c r="S289" s="35">
        <v>211.78360289507964</v>
      </c>
      <c r="T289" s="35">
        <v>180.24914711010294</v>
      </c>
      <c r="U289" s="35">
        <v>240.39897633710794</v>
      </c>
      <c r="V289" s="35">
        <v>52.460709146977266</v>
      </c>
      <c r="W289" s="35">
        <v>0</v>
      </c>
      <c r="X289" s="35">
        <v>0</v>
      </c>
      <c r="Y289" s="256"/>
      <c r="Z289" s="750">
        <f>Q289+S289+T289+U289+V289+W289+X289</f>
        <v>8538.8593168359075</v>
      </c>
      <c r="AA289" s="792">
        <f t="shared" si="77"/>
        <v>9.9020040649821386</v>
      </c>
      <c r="AB289" s="847">
        <f>Z289-J289</f>
        <v>-99.941292491528657</v>
      </c>
      <c r="AC289" s="770"/>
      <c r="AD289" s="769"/>
      <c r="AF289" s="763"/>
      <c r="AI289" s="763"/>
      <c r="AK289" s="763"/>
      <c r="AM289" s="776"/>
    </row>
    <row r="290" spans="1:39">
      <c r="A290" s="4">
        <v>129</v>
      </c>
      <c r="B290" s="256"/>
      <c r="C290" s="519" t="s">
        <v>753</v>
      </c>
      <c r="D290" s="256"/>
      <c r="E290" s="742"/>
      <c r="F290" s="256"/>
      <c r="G290" s="35">
        <v>120128.48102739092</v>
      </c>
      <c r="H290" s="256"/>
      <c r="I290" s="861">
        <v>9.6836000000000002</v>
      </c>
      <c r="J290" s="750">
        <f>G290*I290/100</f>
        <v>11632.761588768428</v>
      </c>
      <c r="K290" s="256"/>
      <c r="L290" s="865">
        <v>648.45354058585622</v>
      </c>
      <c r="M290" s="865">
        <v>344.43802553527627</v>
      </c>
      <c r="N290" s="865">
        <v>77.963384186776707</v>
      </c>
      <c r="O290" s="865">
        <v>0</v>
      </c>
      <c r="P290" s="865">
        <v>0</v>
      </c>
      <c r="Q290" s="753">
        <f>J290-L290-M290-N290-O290-P290</f>
        <v>10561.906638460518</v>
      </c>
      <c r="R290" s="256"/>
      <c r="S290" s="35">
        <v>284.80367629855573</v>
      </c>
      <c r="T290" s="35">
        <v>251.09753310064622</v>
      </c>
      <c r="U290" s="35">
        <v>334.8897394854028</v>
      </c>
      <c r="V290" s="35">
        <v>73.0808154308219</v>
      </c>
      <c r="W290" s="35">
        <v>0</v>
      </c>
      <c r="X290" s="35">
        <v>0</v>
      </c>
      <c r="Y290" s="256"/>
      <c r="Z290" s="750">
        <f>Q290+S290+T290+U290+V290+W290+X290</f>
        <v>11505.778402775944</v>
      </c>
      <c r="AA290" s="792">
        <f t="shared" si="77"/>
        <v>9.5778938552902133</v>
      </c>
      <c r="AB290" s="847">
        <f>Z290-J290</f>
        <v>-126.98318599248341</v>
      </c>
      <c r="AC290" s="770"/>
      <c r="AD290" s="769"/>
      <c r="AF290" s="763"/>
      <c r="AI290" s="763"/>
      <c r="AK290" s="763"/>
      <c r="AM290" s="776"/>
    </row>
    <row r="291" spans="1:39">
      <c r="A291" s="4">
        <v>130</v>
      </c>
      <c r="B291" s="256"/>
      <c r="C291" s="512" t="s">
        <v>705</v>
      </c>
      <c r="D291" s="256"/>
      <c r="E291" s="36"/>
      <c r="F291" s="256"/>
      <c r="G291" s="137">
        <f>SUM(G286:G290)</f>
        <v>976879.860067136</v>
      </c>
      <c r="H291" s="256"/>
      <c r="I291" s="806">
        <f>J291/G291*100</f>
        <v>10.670462245437614</v>
      </c>
      <c r="J291" s="808">
        <f>SUM(J286:J290)</f>
        <v>104237.59665174753</v>
      </c>
      <c r="K291" s="256"/>
      <c r="L291" s="887">
        <f t="shared" ref="L291:Q291" si="78">SUM(L286:L290)</f>
        <v>5811.0881205523092</v>
      </c>
      <c r="M291" s="887">
        <f t="shared" si="78"/>
        <v>2800.9558375251618</v>
      </c>
      <c r="N291" s="887">
        <f t="shared" si="78"/>
        <v>633.99502918357121</v>
      </c>
      <c r="O291" s="887">
        <f t="shared" si="78"/>
        <v>0</v>
      </c>
      <c r="P291" s="887">
        <f t="shared" si="78"/>
        <v>0</v>
      </c>
      <c r="Q291" s="808">
        <f t="shared" si="78"/>
        <v>94991.557664486492</v>
      </c>
      <c r="R291" s="256"/>
      <c r="S291" s="807">
        <f t="shared" ref="S291:X291" si="79">SUM(S286:S290)</f>
        <v>2561.4641149787067</v>
      </c>
      <c r="T291" s="807">
        <f t="shared" si="79"/>
        <v>2041.9147973962345</v>
      </c>
      <c r="U291" s="807">
        <f t="shared" si="79"/>
        <v>2723.3095686261609</v>
      </c>
      <c r="V291" s="807">
        <f t="shared" si="79"/>
        <v>594.2901811550862</v>
      </c>
      <c r="W291" s="805">
        <f t="shared" si="79"/>
        <v>0</v>
      </c>
      <c r="X291" s="805">
        <f t="shared" si="79"/>
        <v>0</v>
      </c>
      <c r="Y291" s="453"/>
      <c r="Z291" s="808">
        <f>SUM(Z286:Z290)</f>
        <v>102912.53632664272</v>
      </c>
      <c r="AA291" s="829">
        <f t="shared" si="77"/>
        <v>10.534820148669056</v>
      </c>
      <c r="AB291" s="137">
        <f>SUM(AB286:AB290)</f>
        <v>-1325.0603251048415</v>
      </c>
      <c r="AC291" s="816">
        <f>AA291/I291-1</f>
        <v>-1.2711923218373666E-2</v>
      </c>
      <c r="AD291" s="889"/>
      <c r="AF291" s="763"/>
      <c r="AI291" s="763"/>
      <c r="AK291" s="763"/>
      <c r="AM291" s="776"/>
    </row>
    <row r="292" spans="1:39">
      <c r="A292" s="4"/>
      <c r="C292" s="7"/>
      <c r="G292" s="135"/>
      <c r="L292" s="504"/>
      <c r="M292" s="504"/>
      <c r="N292" s="504"/>
      <c r="O292" s="504"/>
      <c r="P292" s="504"/>
      <c r="Q292" s="504"/>
      <c r="T292" s="504"/>
      <c r="U292" s="504"/>
      <c r="V292" s="504"/>
      <c r="W292" s="762"/>
      <c r="X292" s="762"/>
      <c r="AA292" s="793"/>
      <c r="AB292" s="504"/>
      <c r="AC292" s="770"/>
      <c r="AD292" s="769"/>
      <c r="AF292" s="763"/>
      <c r="AI292" s="763"/>
      <c r="AK292" s="763"/>
      <c r="AM292" s="776"/>
    </row>
    <row r="293" spans="1:39">
      <c r="A293" s="4">
        <v>131</v>
      </c>
      <c r="B293" s="256"/>
      <c r="C293" s="7" t="s">
        <v>710</v>
      </c>
      <c r="D293" s="256"/>
      <c r="E293" s="36"/>
      <c r="F293" s="256"/>
      <c r="G293" s="420">
        <f>G291</f>
        <v>976879.860067136</v>
      </c>
      <c r="H293" s="256"/>
      <c r="I293" s="806">
        <f>J293/G293*100</f>
        <v>21.10360204146081</v>
      </c>
      <c r="J293" s="808">
        <f>J284+J291</f>
        <v>206156.8380917476</v>
      </c>
      <c r="K293" s="750"/>
      <c r="L293" s="886">
        <f t="shared" ref="L293:Q293" si="80">L284+L291</f>
        <v>5811.0881205523092</v>
      </c>
      <c r="M293" s="886">
        <f t="shared" si="80"/>
        <v>2800.9558375251618</v>
      </c>
      <c r="N293" s="886">
        <f t="shared" si="80"/>
        <v>633.99502918357121</v>
      </c>
      <c r="O293" s="873">
        <f t="shared" si="80"/>
        <v>0</v>
      </c>
      <c r="P293" s="873">
        <f t="shared" si="80"/>
        <v>0</v>
      </c>
      <c r="Q293" s="808">
        <f t="shared" si="80"/>
        <v>196910.79910448659</v>
      </c>
      <c r="R293" s="750"/>
      <c r="S293" s="886">
        <f t="shared" ref="S293:X293" si="81">S284+S291</f>
        <v>5309.7344454484128</v>
      </c>
      <c r="T293" s="886">
        <f t="shared" si="81"/>
        <v>12031.445193721327</v>
      </c>
      <c r="U293" s="886">
        <f t="shared" si="81"/>
        <v>2723.3095686261609</v>
      </c>
      <c r="V293" s="886">
        <f t="shared" si="81"/>
        <v>594.2901811550862</v>
      </c>
      <c r="W293" s="807">
        <f t="shared" si="81"/>
        <v>0</v>
      </c>
      <c r="X293" s="807">
        <f t="shared" si="81"/>
        <v>0</v>
      </c>
      <c r="Y293" s="868"/>
      <c r="Z293" s="808">
        <f>Z284+Z291</f>
        <v>217569.57849343761</v>
      </c>
      <c r="AA293" s="806">
        <f>Z293/G293*100</f>
        <v>22.271886993195373</v>
      </c>
      <c r="AB293" s="886">
        <f>AB284+AB291</f>
        <v>11412.740401689956</v>
      </c>
      <c r="AC293" s="841">
        <f>AA293/I293-1</f>
        <v>5.5359504478871058E-2</v>
      </c>
      <c r="AD293" s="779"/>
      <c r="AF293" s="763"/>
      <c r="AI293" s="763"/>
      <c r="AK293" s="763"/>
      <c r="AM293" s="776"/>
    </row>
    <row r="294" spans="1:39">
      <c r="A294" s="4"/>
      <c r="B294" s="256"/>
      <c r="C294" s="7"/>
      <c r="D294" s="256"/>
      <c r="E294" s="36"/>
      <c r="F294" s="256"/>
      <c r="G294" s="35"/>
      <c r="H294" s="256"/>
      <c r="I294" s="256"/>
      <c r="J294" s="256"/>
      <c r="K294" s="256"/>
      <c r="L294" s="504"/>
      <c r="M294" s="504"/>
      <c r="N294" s="504"/>
      <c r="O294" s="504"/>
      <c r="P294" s="504"/>
      <c r="Q294" s="504"/>
      <c r="R294" s="256"/>
      <c r="S294" s="256"/>
      <c r="T294" s="504"/>
      <c r="U294" s="504"/>
      <c r="V294" s="504"/>
      <c r="W294" s="504"/>
      <c r="X294" s="504"/>
      <c r="Y294" s="256"/>
      <c r="Z294" s="256"/>
      <c r="AA294" s="256"/>
      <c r="AB294" s="504"/>
      <c r="AC294" s="504"/>
      <c r="AF294" s="763"/>
      <c r="AI294" s="763"/>
      <c r="AK294" s="763"/>
      <c r="AM294" s="776"/>
    </row>
    <row r="295" spans="1:39">
      <c r="A295" s="4"/>
      <c r="B295" s="734"/>
      <c r="C295" s="7" t="s">
        <v>712</v>
      </c>
      <c r="D295" s="734"/>
      <c r="E295" s="734"/>
      <c r="F295" s="734"/>
      <c r="G295" s="734"/>
      <c r="H295" s="734"/>
      <c r="I295" s="734"/>
      <c r="J295" s="734"/>
      <c r="K295" s="734"/>
      <c r="L295" s="504"/>
      <c r="M295" s="504"/>
      <c r="N295" s="504"/>
      <c r="O295" s="504"/>
      <c r="P295" s="504"/>
      <c r="Q295" s="504"/>
      <c r="R295" s="734"/>
      <c r="S295" s="734"/>
      <c r="T295" s="504"/>
      <c r="U295" s="504"/>
      <c r="V295" s="504"/>
      <c r="W295" s="504"/>
      <c r="X295" s="504"/>
      <c r="Y295" s="734"/>
      <c r="Z295" s="734"/>
      <c r="AA295" s="885"/>
      <c r="AB295" s="504"/>
      <c r="AC295" s="770"/>
      <c r="AD295" s="769"/>
      <c r="AF295" s="763"/>
      <c r="AI295" s="763"/>
      <c r="AK295" s="763"/>
      <c r="AM295" s="776"/>
    </row>
    <row r="296" spans="1:39">
      <c r="A296" s="4">
        <v>132</v>
      </c>
      <c r="B296" s="385"/>
      <c r="C296" s="9" t="s">
        <v>754</v>
      </c>
      <c r="D296" s="385"/>
      <c r="E296" s="513" t="s">
        <v>674</v>
      </c>
      <c r="F296" s="385"/>
      <c r="G296" s="35">
        <v>274790.8752561867</v>
      </c>
      <c r="H296" s="822"/>
      <c r="I296" s="861">
        <v>4.4904000000000011</v>
      </c>
      <c r="J296" s="818">
        <f>G296*I296/100</f>
        <v>12339.20946250381</v>
      </c>
      <c r="K296" s="822"/>
      <c r="L296" s="865">
        <v>0</v>
      </c>
      <c r="M296" s="865">
        <v>0</v>
      </c>
      <c r="N296" s="865">
        <v>0</v>
      </c>
      <c r="O296" s="35">
        <v>39.985002056233732</v>
      </c>
      <c r="P296" s="865">
        <v>0</v>
      </c>
      <c r="Q296" s="753">
        <f>J296-L296-M296-N296-O296-P296</f>
        <v>12299.224460447576</v>
      </c>
      <c r="R296" s="822"/>
      <c r="S296" s="35">
        <v>-31.110101730070937</v>
      </c>
      <c r="T296" s="865">
        <v>0</v>
      </c>
      <c r="U296" s="865">
        <v>0</v>
      </c>
      <c r="V296" s="865">
        <v>0</v>
      </c>
      <c r="W296" s="35">
        <v>49.117732712342395</v>
      </c>
      <c r="X296" s="35">
        <v>0</v>
      </c>
      <c r="Y296" s="822"/>
      <c r="Z296" s="818">
        <f>Q296+S296+T296+U296+V296+W296+X296</f>
        <v>12317.232091429847</v>
      </c>
      <c r="AA296" s="823">
        <f>Z296/G296*100</f>
        <v>4.4824021467039357</v>
      </c>
      <c r="AB296" s="884">
        <f>Z296-J296</f>
        <v>-21.977371073962786</v>
      </c>
      <c r="AC296" s="834"/>
      <c r="AD296" s="833"/>
      <c r="AF296" s="763"/>
      <c r="AI296" s="763"/>
      <c r="AK296" s="763"/>
      <c r="AM296" s="776"/>
    </row>
    <row r="297" spans="1:39">
      <c r="A297" s="4">
        <v>133</v>
      </c>
      <c r="B297" s="447"/>
      <c r="C297" s="9" t="s">
        <v>755</v>
      </c>
      <c r="D297" s="447"/>
      <c r="E297" s="513" t="s">
        <v>674</v>
      </c>
      <c r="F297" s="447"/>
      <c r="G297" s="35">
        <v>702088.9848109493</v>
      </c>
      <c r="H297" s="856"/>
      <c r="I297" s="861">
        <v>2.2974999999999999</v>
      </c>
      <c r="J297" s="818">
        <f>G297*I297/100</f>
        <v>16130.494426031561</v>
      </c>
      <c r="K297" s="856"/>
      <c r="L297" s="865">
        <v>0</v>
      </c>
      <c r="M297" s="865">
        <v>0</v>
      </c>
      <c r="N297" s="865">
        <v>0</v>
      </c>
      <c r="O297" s="35">
        <v>145.9449038169349</v>
      </c>
      <c r="P297" s="35">
        <v>108.01479003855833</v>
      </c>
      <c r="Q297" s="753">
        <f>J297-L297-M297-N297-O297-P297</f>
        <v>15876.534732176067</v>
      </c>
      <c r="R297" s="856"/>
      <c r="S297" s="35">
        <v>-30.740302338630499</v>
      </c>
      <c r="T297" s="865">
        <v>0</v>
      </c>
      <c r="U297" s="865">
        <v>0</v>
      </c>
      <c r="V297" s="865">
        <v>0</v>
      </c>
      <c r="W297" s="35">
        <v>179.27928992793807</v>
      </c>
      <c r="X297" s="35">
        <v>108.1365316886159</v>
      </c>
      <c r="Y297" s="856"/>
      <c r="Z297" s="818">
        <f>Q297+S297+T297+U297+V297+W297+X297</f>
        <v>16133.210251453991</v>
      </c>
      <c r="AA297" s="823">
        <f>Z297/G297*100</f>
        <v>2.2978868206852958</v>
      </c>
      <c r="AB297" s="884">
        <f>Z297-J297</f>
        <v>2.7158254224304983</v>
      </c>
      <c r="AC297" s="834"/>
      <c r="AD297" s="833"/>
      <c r="AF297" s="763"/>
      <c r="AI297" s="763"/>
      <c r="AK297" s="763"/>
      <c r="AM297" s="776"/>
    </row>
    <row r="298" spans="1:39">
      <c r="A298" s="4">
        <v>134</v>
      </c>
      <c r="B298" s="254"/>
      <c r="C298" s="7" t="s">
        <v>712</v>
      </c>
      <c r="D298" s="254"/>
      <c r="E298" s="4"/>
      <c r="F298" s="254"/>
      <c r="G298" s="420">
        <f>SUM(G296:G297)</f>
        <v>976879.860067136</v>
      </c>
      <c r="H298" s="854"/>
      <c r="I298" s="883">
        <f>J298/G298*100</f>
        <v>2.914350582125707</v>
      </c>
      <c r="J298" s="882">
        <f>SUM(J296:J297)</f>
        <v>28469.703888535369</v>
      </c>
      <c r="K298" s="854"/>
      <c r="L298" s="875">
        <f t="shared" ref="L298:Q298" si="82">SUM(L296:L297)</f>
        <v>0</v>
      </c>
      <c r="M298" s="875">
        <f t="shared" si="82"/>
        <v>0</v>
      </c>
      <c r="N298" s="875">
        <f t="shared" si="82"/>
        <v>0</v>
      </c>
      <c r="O298" s="420">
        <f t="shared" si="82"/>
        <v>185.92990587316862</v>
      </c>
      <c r="P298" s="420">
        <f t="shared" si="82"/>
        <v>108.01479003855833</v>
      </c>
      <c r="Q298" s="842">
        <f t="shared" si="82"/>
        <v>28175.759192623642</v>
      </c>
      <c r="R298" s="854"/>
      <c r="S298" s="881">
        <f t="shared" ref="S298:X298" si="83">SUM(S296:S297)</f>
        <v>-61.850404068701437</v>
      </c>
      <c r="T298" s="879">
        <f t="shared" si="83"/>
        <v>0</v>
      </c>
      <c r="U298" s="879">
        <f t="shared" si="83"/>
        <v>0</v>
      </c>
      <c r="V298" s="879">
        <f t="shared" si="83"/>
        <v>0</v>
      </c>
      <c r="W298" s="881">
        <f t="shared" si="83"/>
        <v>228.39702264028045</v>
      </c>
      <c r="X298" s="881">
        <f t="shared" si="83"/>
        <v>108.1365316886159</v>
      </c>
      <c r="Y298" s="739"/>
      <c r="Z298" s="882">
        <f>SUM(Z296:Z297)</f>
        <v>28450.442342883838</v>
      </c>
      <c r="AA298" s="890">
        <f>Z298/G298*100</f>
        <v>2.9123788406210549</v>
      </c>
      <c r="AB298" s="881">
        <f>SUM(AB296:AB297)</f>
        <v>-19.261545651532288</v>
      </c>
      <c r="AC298" s="880">
        <f>AA298/I298-1</f>
        <v>-6.7656290795803375E-4</v>
      </c>
      <c r="AD298" s="889"/>
      <c r="AF298" s="763"/>
      <c r="AI298" s="763"/>
      <c r="AK298" s="763"/>
      <c r="AM298" s="776"/>
    </row>
    <row r="299" spans="1:39">
      <c r="A299" s="4"/>
      <c r="B299" s="256"/>
      <c r="C299" s="256"/>
      <c r="D299" s="256"/>
      <c r="E299" s="4"/>
      <c r="F299" s="256"/>
      <c r="G299" s="877"/>
      <c r="H299" s="750"/>
      <c r="I299" s="750"/>
      <c r="J299" s="750"/>
      <c r="K299" s="750"/>
      <c r="L299" s="753"/>
      <c r="M299" s="753"/>
      <c r="N299" s="753"/>
      <c r="O299" s="753"/>
      <c r="P299" s="753"/>
      <c r="Q299" s="753"/>
      <c r="R299" s="750"/>
      <c r="S299" s="750"/>
      <c r="T299" s="753"/>
      <c r="U299" s="753"/>
      <c r="V299" s="753"/>
      <c r="W299" s="753"/>
      <c r="X299" s="753"/>
      <c r="Y299" s="256"/>
      <c r="Z299" s="256"/>
      <c r="AA299" s="792"/>
      <c r="AB299" s="504"/>
      <c r="AC299" s="770"/>
      <c r="AD299" s="769"/>
      <c r="AF299" s="763"/>
      <c r="AI299" s="763"/>
      <c r="AK299" s="763"/>
      <c r="AM299" s="776"/>
    </row>
    <row r="300" spans="1:39">
      <c r="A300" s="4"/>
      <c r="B300" s="256"/>
      <c r="C300" s="7" t="s">
        <v>756</v>
      </c>
      <c r="D300" s="256"/>
      <c r="E300" s="36"/>
      <c r="F300" s="256"/>
      <c r="G300" s="453"/>
      <c r="H300" s="256"/>
      <c r="I300" s="256"/>
      <c r="J300" s="256"/>
      <c r="K300" s="256"/>
      <c r="L300" s="504"/>
      <c r="M300" s="504"/>
      <c r="N300" s="504"/>
      <c r="O300" s="504"/>
      <c r="P300" s="504"/>
      <c r="Q300" s="504"/>
      <c r="R300" s="256"/>
      <c r="S300" s="256"/>
      <c r="T300" s="504"/>
      <c r="U300" s="504"/>
      <c r="V300" s="504"/>
      <c r="W300" s="504"/>
      <c r="X300" s="504"/>
      <c r="Y300" s="256"/>
      <c r="Z300" s="256"/>
      <c r="AA300" s="256"/>
      <c r="AB300" s="504"/>
      <c r="AC300" s="504"/>
      <c r="AF300" s="763"/>
      <c r="AI300" s="763"/>
      <c r="AK300" s="763"/>
      <c r="AM300" s="776"/>
    </row>
    <row r="301" spans="1:39">
      <c r="A301" s="4">
        <v>135</v>
      </c>
      <c r="B301" s="256"/>
      <c r="C301" s="9" t="s">
        <v>754</v>
      </c>
      <c r="D301" s="256"/>
      <c r="E301" s="513" t="s">
        <v>674</v>
      </c>
      <c r="F301" s="256"/>
      <c r="G301" s="35">
        <v>274790.8752561867</v>
      </c>
      <c r="H301" s="256"/>
      <c r="I301" s="861">
        <v>2.2812000000000001</v>
      </c>
      <c r="J301" s="750">
        <f>G301*I301/100</f>
        <v>6268.5294463441314</v>
      </c>
      <c r="K301" s="256"/>
      <c r="L301" s="865">
        <v>0</v>
      </c>
      <c r="M301" s="865">
        <v>0</v>
      </c>
      <c r="N301" s="865">
        <v>0</v>
      </c>
      <c r="O301" s="35">
        <v>63.68335431669415</v>
      </c>
      <c r="P301" s="35">
        <v>423.30398225785399</v>
      </c>
      <c r="Q301" s="753">
        <f>J301-L301-M301-N301-O301-P301</f>
        <v>5781.5421097695835</v>
      </c>
      <c r="R301" s="256"/>
      <c r="S301" s="35">
        <v>126.25375566992534</v>
      </c>
      <c r="T301" s="865">
        <v>0</v>
      </c>
      <c r="U301" s="865">
        <v>0</v>
      </c>
      <c r="V301" s="865">
        <v>0</v>
      </c>
      <c r="W301" s="35">
        <v>78.228881197847059</v>
      </c>
      <c r="X301" s="35">
        <v>423.78108104458141</v>
      </c>
      <c r="Y301" s="750"/>
      <c r="Z301" s="750">
        <f>Q301+S301+T301+U301+V301+W301+X301</f>
        <v>6409.8058276819374</v>
      </c>
      <c r="AA301" s="792">
        <f>Z301/G301*100</f>
        <v>2.3326123262666911</v>
      </c>
      <c r="AB301" s="753">
        <f>Z301-J301</f>
        <v>141.27638133780601</v>
      </c>
      <c r="AC301" s="770"/>
      <c r="AD301" s="769"/>
      <c r="AF301" s="763"/>
      <c r="AI301" s="763"/>
      <c r="AK301" s="763"/>
      <c r="AM301" s="776"/>
    </row>
    <row r="302" spans="1:39">
      <c r="A302" s="4">
        <v>136</v>
      </c>
      <c r="B302" s="256"/>
      <c r="C302" s="9" t="s">
        <v>755</v>
      </c>
      <c r="D302" s="256"/>
      <c r="E302" s="513" t="s">
        <v>674</v>
      </c>
      <c r="F302" s="256"/>
      <c r="G302" s="35">
        <v>702088.9848109493</v>
      </c>
      <c r="H302" s="256"/>
      <c r="I302" s="861">
        <v>6.2597999999999994</v>
      </c>
      <c r="J302" s="750">
        <f>G302*I302/100</f>
        <v>43949.366271195802</v>
      </c>
      <c r="K302" s="256"/>
      <c r="L302" s="865">
        <v>0</v>
      </c>
      <c r="M302" s="865">
        <v>0</v>
      </c>
      <c r="N302" s="865">
        <v>0</v>
      </c>
      <c r="O302" s="35">
        <v>170.3272640472313</v>
      </c>
      <c r="P302" s="35">
        <v>1323.8383073799539</v>
      </c>
      <c r="Q302" s="753">
        <f>J302-L302-M302-N302-O302-P302</f>
        <v>42455.200699768619</v>
      </c>
      <c r="R302" s="256"/>
      <c r="S302" s="35">
        <v>407.67744230847165</v>
      </c>
      <c r="T302" s="865">
        <v>0</v>
      </c>
      <c r="U302" s="865">
        <v>0</v>
      </c>
      <c r="V302" s="865">
        <v>0</v>
      </c>
      <c r="W302" s="35">
        <v>209.23067647541072</v>
      </c>
      <c r="X302" s="35">
        <v>1325.3303832326435</v>
      </c>
      <c r="Y302" s="750"/>
      <c r="Z302" s="750">
        <f>Q302+S302+T302+U302+V302+W302+X302</f>
        <v>44397.439201785142</v>
      </c>
      <c r="AA302" s="792">
        <f>Z302/G302*100</f>
        <v>6.3236199630364505</v>
      </c>
      <c r="AB302" s="753">
        <f>Z302-J302</f>
        <v>448.0729305893401</v>
      </c>
      <c r="AC302" s="770"/>
      <c r="AD302" s="769"/>
      <c r="AF302" s="763"/>
      <c r="AI302" s="763"/>
      <c r="AK302" s="763"/>
      <c r="AM302" s="776"/>
    </row>
    <row r="303" spans="1:39">
      <c r="A303" s="4">
        <v>137</v>
      </c>
      <c r="B303" s="256"/>
      <c r="C303" s="7" t="s">
        <v>757</v>
      </c>
      <c r="D303" s="256"/>
      <c r="E303" s="860"/>
      <c r="F303" s="256"/>
      <c r="G303" s="879">
        <f>SUM(G301:G302)</f>
        <v>976879.860067136</v>
      </c>
      <c r="H303" s="256"/>
      <c r="I303" s="878">
        <f>J303/G303*100</f>
        <v>5.1406419325799906</v>
      </c>
      <c r="J303" s="808">
        <f>SUM(J301:J302)</f>
        <v>50217.895717539934</v>
      </c>
      <c r="K303" s="750"/>
      <c r="L303" s="873">
        <f t="shared" ref="L303:Q303" si="84">SUM(L301:L302)</f>
        <v>0</v>
      </c>
      <c r="M303" s="873">
        <f t="shared" si="84"/>
        <v>0</v>
      </c>
      <c r="N303" s="873">
        <f t="shared" si="84"/>
        <v>0</v>
      </c>
      <c r="O303" s="873">
        <f t="shared" si="84"/>
        <v>234.01061836392546</v>
      </c>
      <c r="P303" s="873">
        <f t="shared" si="84"/>
        <v>1747.1422896378078</v>
      </c>
      <c r="Q303" s="808">
        <f t="shared" si="84"/>
        <v>48236.742809538206</v>
      </c>
      <c r="R303" s="795"/>
      <c r="S303" s="873">
        <f t="shared" ref="S303:X303" si="85">SUM(S301:S302)</f>
        <v>533.93119797839699</v>
      </c>
      <c r="T303" s="873">
        <f t="shared" si="85"/>
        <v>0</v>
      </c>
      <c r="U303" s="873">
        <f t="shared" si="85"/>
        <v>0</v>
      </c>
      <c r="V303" s="873">
        <f t="shared" si="85"/>
        <v>0</v>
      </c>
      <c r="W303" s="873">
        <f t="shared" si="85"/>
        <v>287.45955767325779</v>
      </c>
      <c r="X303" s="873">
        <f t="shared" si="85"/>
        <v>1749.111464277225</v>
      </c>
      <c r="Y303" s="750"/>
      <c r="Z303" s="808">
        <f>SUM(Z301:Z302)</f>
        <v>50807.245029467078</v>
      </c>
      <c r="AA303" s="806">
        <f>Z303/G303*100</f>
        <v>5.2009716963532604</v>
      </c>
      <c r="AB303" s="842">
        <f>SUM(AB301:AB302)</f>
        <v>589.34931192714612</v>
      </c>
      <c r="AC303" s="804">
        <f>AA303/I303-1</f>
        <v>1.1735842442344824E-2</v>
      </c>
      <c r="AD303" s="769"/>
      <c r="AF303" s="763"/>
      <c r="AI303" s="763"/>
      <c r="AK303" s="763"/>
      <c r="AM303" s="776"/>
    </row>
    <row r="304" spans="1:39">
      <c r="A304" s="4"/>
      <c r="L304" s="504"/>
      <c r="M304" s="504"/>
      <c r="N304" s="504"/>
      <c r="O304" s="504"/>
      <c r="P304" s="504"/>
      <c r="Q304" s="504"/>
      <c r="T304" s="504"/>
      <c r="U304" s="504"/>
      <c r="V304" s="504"/>
      <c r="W304" s="504"/>
      <c r="X304" s="504"/>
      <c r="AA304" s="793"/>
      <c r="AB304" s="504"/>
      <c r="AC304" s="770"/>
      <c r="AD304" s="769"/>
      <c r="AF304" s="763"/>
      <c r="AI304" s="763"/>
      <c r="AK304" s="763"/>
      <c r="AM304" s="776"/>
    </row>
    <row r="305" spans="1:39">
      <c r="A305" s="4"/>
      <c r="B305" s="256"/>
      <c r="C305" s="7" t="s">
        <v>715</v>
      </c>
      <c r="D305" s="256"/>
      <c r="E305" s="4"/>
      <c r="F305" s="256"/>
      <c r="G305" s="877"/>
      <c r="H305" s="750"/>
      <c r="I305" s="750"/>
      <c r="J305" s="750"/>
      <c r="K305" s="750"/>
      <c r="L305" s="753"/>
      <c r="M305" s="753"/>
      <c r="N305" s="753"/>
      <c r="O305" s="753"/>
      <c r="P305" s="753"/>
      <c r="Q305" s="753"/>
      <c r="R305" s="750"/>
      <c r="S305" s="750"/>
      <c r="T305" s="753"/>
      <c r="U305" s="753"/>
      <c r="V305" s="753"/>
      <c r="W305" s="753"/>
      <c r="X305" s="753"/>
      <c r="Y305" s="256"/>
      <c r="Z305" s="256"/>
      <c r="AA305" s="792"/>
      <c r="AB305" s="504"/>
      <c r="AC305" s="770"/>
      <c r="AD305" s="769"/>
      <c r="AF305" s="763"/>
      <c r="AI305" s="763"/>
      <c r="AK305" s="763"/>
      <c r="AM305" s="776"/>
    </row>
    <row r="306" spans="1:39">
      <c r="A306" s="4">
        <v>138</v>
      </c>
      <c r="B306" s="256"/>
      <c r="C306" s="9" t="s">
        <v>754</v>
      </c>
      <c r="D306" s="256"/>
      <c r="E306" s="513" t="s">
        <v>674</v>
      </c>
      <c r="F306" s="256"/>
      <c r="G306" s="35">
        <v>261993.35937156968</v>
      </c>
      <c r="H306" s="818"/>
      <c r="I306" s="861">
        <v>18.274100000000001</v>
      </c>
      <c r="J306" s="818">
        <f>G306*I306/100</f>
        <v>47876.928484920012</v>
      </c>
      <c r="K306" s="750"/>
      <c r="L306" s="865">
        <v>0</v>
      </c>
      <c r="M306" s="865">
        <v>0</v>
      </c>
      <c r="N306" s="865">
        <v>0</v>
      </c>
      <c r="O306" s="865">
        <v>0</v>
      </c>
      <c r="P306" s="865">
        <v>0</v>
      </c>
      <c r="Q306" s="753">
        <f>J306-L306-M306-N306-O306-P306</f>
        <v>47876.928484920012</v>
      </c>
      <c r="R306" s="750"/>
      <c r="S306" s="35">
        <v>14.729893594770601</v>
      </c>
      <c r="T306" s="865">
        <v>0</v>
      </c>
      <c r="U306" s="865">
        <v>0</v>
      </c>
      <c r="V306" s="865">
        <v>0</v>
      </c>
      <c r="W306" s="865">
        <v>0</v>
      </c>
      <c r="X306" s="865">
        <v>0</v>
      </c>
      <c r="Y306" s="256"/>
      <c r="Z306" s="750">
        <f>Q306+S306+T306+U306+V306+W306+X306</f>
        <v>47891.658378514781</v>
      </c>
      <c r="AA306" s="792">
        <f>Z306/G306*100</f>
        <v>18.279722239292667</v>
      </c>
      <c r="AB306" s="753">
        <f>Z306-J306</f>
        <v>14.729893594769237</v>
      </c>
      <c r="AC306" s="770"/>
      <c r="AD306" s="876"/>
      <c r="AF306" s="763"/>
      <c r="AI306" s="763"/>
      <c r="AK306" s="763"/>
      <c r="AM306" s="776"/>
    </row>
    <row r="307" spans="1:39">
      <c r="A307" s="4">
        <v>139</v>
      </c>
      <c r="B307" s="256"/>
      <c r="C307" s="9" t="s">
        <v>755</v>
      </c>
      <c r="D307" s="256"/>
      <c r="E307" s="513" t="s">
        <v>674</v>
      </c>
      <c r="F307" s="256"/>
      <c r="G307" s="35">
        <v>657094.96247954725</v>
      </c>
      <c r="H307" s="818"/>
      <c r="I307" s="861">
        <v>20.820800000000002</v>
      </c>
      <c r="J307" s="818">
        <f>G307*I307/100</f>
        <v>136812.42794794159</v>
      </c>
      <c r="K307" s="750"/>
      <c r="L307" s="865">
        <v>0</v>
      </c>
      <c r="M307" s="865">
        <v>0</v>
      </c>
      <c r="N307" s="865">
        <v>0</v>
      </c>
      <c r="O307" s="865">
        <v>0</v>
      </c>
      <c r="P307" s="865">
        <v>0</v>
      </c>
      <c r="Q307" s="753">
        <f>J307-L307-M307-N307-O307-P307</f>
        <v>136812.42794794159</v>
      </c>
      <c r="R307" s="750"/>
      <c r="S307" s="35">
        <v>36.943451170670414</v>
      </c>
      <c r="T307" s="865">
        <v>0</v>
      </c>
      <c r="U307" s="865">
        <v>0</v>
      </c>
      <c r="V307" s="865">
        <v>0</v>
      </c>
      <c r="W307" s="865">
        <v>0</v>
      </c>
      <c r="X307" s="865">
        <v>0</v>
      </c>
      <c r="Y307" s="256"/>
      <c r="Z307" s="750">
        <f>Q307+S307+T307+U307+V307+W307+X307</f>
        <v>136849.37139911225</v>
      </c>
      <c r="AA307" s="792">
        <f>Z307/G307*100</f>
        <v>20.826422239292668</v>
      </c>
      <c r="AB307" s="753">
        <f>Z307-J307</f>
        <v>36.943451170664048</v>
      </c>
      <c r="AC307" s="770"/>
      <c r="AD307" s="876"/>
      <c r="AF307" s="763"/>
      <c r="AI307" s="763"/>
      <c r="AK307" s="763"/>
      <c r="AM307" s="776"/>
    </row>
    <row r="308" spans="1:39">
      <c r="A308" s="4">
        <v>140</v>
      </c>
      <c r="B308" s="256"/>
      <c r="C308" s="7" t="s">
        <v>715</v>
      </c>
      <c r="D308" s="256"/>
      <c r="E308" s="36"/>
      <c r="F308" s="256"/>
      <c r="G308" s="420">
        <f>SUM(G306:G307)</f>
        <v>919088.32185111695</v>
      </c>
      <c r="H308" s="420"/>
      <c r="I308" s="810">
        <f>J308/G308*100</f>
        <v>20.094843122463196</v>
      </c>
      <c r="J308" s="842">
        <f>SUM(J306:J307)</f>
        <v>184689.35643286159</v>
      </c>
      <c r="K308" s="750"/>
      <c r="L308" s="875">
        <f t="shared" ref="L308:Q308" si="86">SUM(L306:L307)</f>
        <v>0</v>
      </c>
      <c r="M308" s="875">
        <f t="shared" si="86"/>
        <v>0</v>
      </c>
      <c r="N308" s="875">
        <f t="shared" si="86"/>
        <v>0</v>
      </c>
      <c r="O308" s="875">
        <f t="shared" si="86"/>
        <v>0</v>
      </c>
      <c r="P308" s="875">
        <f t="shared" si="86"/>
        <v>0</v>
      </c>
      <c r="Q308" s="842">
        <f t="shared" si="86"/>
        <v>184689.35643286159</v>
      </c>
      <c r="R308" s="750"/>
      <c r="S308" s="420">
        <f t="shared" ref="S308:X308" si="87">SUM(S306:S307)</f>
        <v>51.673344765441016</v>
      </c>
      <c r="T308" s="875">
        <f t="shared" si="87"/>
        <v>0</v>
      </c>
      <c r="U308" s="875">
        <f t="shared" si="87"/>
        <v>0</v>
      </c>
      <c r="V308" s="875">
        <f t="shared" si="87"/>
        <v>0</v>
      </c>
      <c r="W308" s="875">
        <f t="shared" si="87"/>
        <v>0</v>
      </c>
      <c r="X308" s="875">
        <f t="shared" si="87"/>
        <v>0</v>
      </c>
      <c r="Y308" s="256"/>
      <c r="Z308" s="808">
        <f>SUM(Z306:Z307)</f>
        <v>184741.02977762703</v>
      </c>
      <c r="AA308" s="806">
        <f>Z308/G308*100</f>
        <v>20.100465361755866</v>
      </c>
      <c r="AB308" s="842">
        <f>SUM(AB306:AB307)</f>
        <v>51.673344765433285</v>
      </c>
      <c r="AC308" s="804">
        <f>AA308/I308-1</f>
        <v>2.7978517963078708E-4</v>
      </c>
      <c r="AD308" s="769"/>
      <c r="AF308" s="763"/>
      <c r="AI308" s="763"/>
      <c r="AK308" s="763"/>
      <c r="AM308" s="776"/>
    </row>
    <row r="309" spans="1:39">
      <c r="A309" s="4"/>
      <c r="B309" s="256"/>
      <c r="C309" s="7"/>
      <c r="D309" s="256"/>
      <c r="E309" s="36"/>
      <c r="F309" s="256"/>
      <c r="G309" s="828"/>
      <c r="H309" s="818"/>
      <c r="I309" s="818"/>
      <c r="J309" s="818"/>
      <c r="K309" s="750"/>
      <c r="L309" s="753"/>
      <c r="M309" s="753"/>
      <c r="N309" s="753"/>
      <c r="O309" s="753"/>
      <c r="P309" s="753"/>
      <c r="Q309" s="753"/>
      <c r="R309" s="750"/>
      <c r="S309" s="750"/>
      <c r="T309" s="753"/>
      <c r="U309" s="753"/>
      <c r="V309" s="753"/>
      <c r="W309" s="753"/>
      <c r="X309" s="753"/>
      <c r="Y309" s="256"/>
      <c r="Z309" s="256"/>
      <c r="AA309" s="792"/>
      <c r="AB309" s="504"/>
      <c r="AC309" s="770"/>
      <c r="AD309" s="769"/>
      <c r="AF309" s="763"/>
      <c r="AI309" s="763"/>
      <c r="AK309" s="763"/>
      <c r="AM309" s="776"/>
    </row>
    <row r="310" spans="1:39">
      <c r="A310" s="4">
        <v>141</v>
      </c>
      <c r="B310" s="256"/>
      <c r="C310" s="7" t="s">
        <v>758</v>
      </c>
      <c r="D310" s="256"/>
      <c r="E310" s="36"/>
      <c r="F310" s="256"/>
      <c r="G310" s="35"/>
      <c r="H310" s="888"/>
      <c r="I310" s="888"/>
      <c r="J310" s="888"/>
      <c r="K310" s="256"/>
      <c r="L310" s="504"/>
      <c r="M310" s="504"/>
      <c r="N310" s="504"/>
      <c r="O310" s="504"/>
      <c r="P310" s="504"/>
      <c r="Q310" s="504"/>
      <c r="R310" s="256"/>
      <c r="S310" s="256"/>
      <c r="T310" s="504"/>
      <c r="U310" s="504"/>
      <c r="V310" s="504"/>
      <c r="W310" s="504"/>
      <c r="X310" s="504"/>
      <c r="Y310" s="256"/>
      <c r="Z310" s="256"/>
      <c r="AA310" s="792"/>
      <c r="AB310" s="504"/>
      <c r="AC310" s="770"/>
      <c r="AD310" s="769"/>
      <c r="AF310" s="763"/>
      <c r="AI310" s="763"/>
      <c r="AK310" s="763"/>
      <c r="AM310" s="776"/>
    </row>
    <row r="311" spans="1:39" ht="13.5" thickBot="1">
      <c r="A311" s="4"/>
      <c r="B311" s="256"/>
      <c r="C311" s="9"/>
      <c r="D311" s="256"/>
      <c r="E311" s="36"/>
      <c r="F311" s="256"/>
      <c r="G311" s="768">
        <f>G293</f>
        <v>976879.860067136</v>
      </c>
      <c r="H311" s="256"/>
      <c r="I311" s="845">
        <f>J311/G311*100</f>
        <v>48.06464063026295</v>
      </c>
      <c r="J311" s="756">
        <f>J293+J303+J298+J308</f>
        <v>469533.79413068452</v>
      </c>
      <c r="K311" s="750"/>
      <c r="L311" s="768">
        <f t="shared" ref="L311:Q311" si="88">L293+L298+L303+L308</f>
        <v>5811.0881205523092</v>
      </c>
      <c r="M311" s="768">
        <f t="shared" si="88"/>
        <v>2800.9558375251618</v>
      </c>
      <c r="N311" s="768">
        <f t="shared" si="88"/>
        <v>633.99502918357121</v>
      </c>
      <c r="O311" s="768">
        <f t="shared" si="88"/>
        <v>419.94052423709411</v>
      </c>
      <c r="P311" s="768">
        <f t="shared" si="88"/>
        <v>1855.1570796763663</v>
      </c>
      <c r="Q311" s="768">
        <f t="shared" si="88"/>
        <v>458012.65753950999</v>
      </c>
      <c r="R311" s="750"/>
      <c r="S311" s="768">
        <f t="shared" ref="S311:X311" si="89">S293+S298+S303+S308</f>
        <v>5833.48858412355</v>
      </c>
      <c r="T311" s="768">
        <f t="shared" si="89"/>
        <v>12031.445193721327</v>
      </c>
      <c r="U311" s="768">
        <f t="shared" si="89"/>
        <v>2723.3095686261609</v>
      </c>
      <c r="V311" s="768">
        <f t="shared" si="89"/>
        <v>594.2901811550862</v>
      </c>
      <c r="W311" s="768">
        <f t="shared" si="89"/>
        <v>515.85658031353819</v>
      </c>
      <c r="X311" s="768">
        <f t="shared" si="89"/>
        <v>1857.2479959658408</v>
      </c>
      <c r="Y311" s="750"/>
      <c r="Z311" s="756">
        <f>Z293+Z303+Z298+Z308</f>
        <v>481568.29564341559</v>
      </c>
      <c r="AA311" s="845">
        <f>Z311/G311*100</f>
        <v>49.296573235763077</v>
      </c>
      <c r="AB311" s="756">
        <f>AB293+AB303+AB298+AB308</f>
        <v>12034.501512731003</v>
      </c>
      <c r="AC311" s="780">
        <f>AA311/I311-1</f>
        <v>2.5630746206483979E-2</v>
      </c>
      <c r="AD311" s="779"/>
      <c r="AF311" s="763"/>
      <c r="AI311" s="763"/>
      <c r="AK311" s="763"/>
      <c r="AM311" s="776"/>
    </row>
    <row r="312" spans="1:39" ht="13.5" thickTop="1">
      <c r="A312" s="4"/>
      <c r="B312" s="256"/>
      <c r="C312" s="9"/>
      <c r="D312" s="256"/>
      <c r="E312" s="36"/>
      <c r="F312" s="256"/>
      <c r="G312" s="35"/>
      <c r="H312" s="256"/>
      <c r="I312" s="256"/>
      <c r="J312" s="256"/>
      <c r="K312" s="256"/>
      <c r="L312" s="504"/>
      <c r="M312" s="504"/>
      <c r="N312" s="504"/>
      <c r="O312" s="504"/>
      <c r="P312" s="504"/>
      <c r="Q312" s="504"/>
      <c r="R312" s="256"/>
      <c r="S312" s="256"/>
      <c r="T312" s="504"/>
      <c r="U312" s="504"/>
      <c r="V312" s="504"/>
      <c r="W312" s="504"/>
      <c r="X312" s="504"/>
      <c r="Y312" s="256"/>
      <c r="Z312" s="256"/>
      <c r="AA312" s="256"/>
      <c r="AB312" s="753"/>
      <c r="AC312" s="504"/>
    </row>
    <row r="313" spans="1:39">
      <c r="A313" s="4"/>
      <c r="B313" s="256"/>
      <c r="C313" s="6" t="s">
        <v>174</v>
      </c>
      <c r="D313" s="256"/>
      <c r="E313" s="36"/>
      <c r="F313" s="256"/>
      <c r="G313" s="35"/>
      <c r="H313" s="256"/>
      <c r="I313" s="256"/>
      <c r="J313" s="256"/>
      <c r="K313" s="256"/>
      <c r="L313" s="504"/>
      <c r="M313" s="504"/>
      <c r="N313" s="504"/>
      <c r="O313" s="504"/>
      <c r="P313" s="504"/>
      <c r="Q313" s="504"/>
      <c r="R313" s="256"/>
      <c r="S313" s="256"/>
      <c r="T313" s="504"/>
      <c r="U313" s="504"/>
      <c r="V313" s="504"/>
      <c r="W313" s="504"/>
      <c r="X313" s="504"/>
      <c r="Y313" s="256"/>
      <c r="Z313" s="256"/>
      <c r="AA313" s="256"/>
      <c r="AB313" s="504"/>
      <c r="AC313" s="504"/>
    </row>
    <row r="314" spans="1:39">
      <c r="A314" s="4">
        <v>142</v>
      </c>
      <c r="B314" s="256"/>
      <c r="C314" s="7" t="s">
        <v>703</v>
      </c>
      <c r="D314" s="256"/>
      <c r="E314" s="36" t="s">
        <v>704</v>
      </c>
      <c r="F314" s="256"/>
      <c r="G314" s="35">
        <v>26448.999999999989</v>
      </c>
      <c r="H314" s="256"/>
      <c r="I314" s="778">
        <v>76.58</v>
      </c>
      <c r="J314" s="750">
        <f>G314*I314/1000</f>
        <v>2025.4644199999993</v>
      </c>
      <c r="K314" s="256"/>
      <c r="L314" s="865">
        <v>0</v>
      </c>
      <c r="M314" s="865">
        <v>0</v>
      </c>
      <c r="N314" s="865">
        <v>0</v>
      </c>
      <c r="O314" s="865">
        <v>0</v>
      </c>
      <c r="P314" s="865">
        <v>0</v>
      </c>
      <c r="Q314" s="753">
        <f>J314-L314-M314-N314-O314-P314</f>
        <v>2025.4644199999993</v>
      </c>
      <c r="R314" s="256"/>
      <c r="S314" s="35">
        <v>54.617005506119767</v>
      </c>
      <c r="T314" s="865">
        <v>0</v>
      </c>
      <c r="U314" s="865">
        <v>0</v>
      </c>
      <c r="V314" s="865">
        <v>0</v>
      </c>
      <c r="W314" s="865">
        <v>0</v>
      </c>
      <c r="X314" s="865">
        <v>0</v>
      </c>
      <c r="Y314" s="256"/>
      <c r="Z314" s="750">
        <f>Q314+S314+T314+U314+V314+W314+X314</f>
        <v>2080.0814255061191</v>
      </c>
      <c r="AA314" s="811">
        <f>Z314/G314*1000</f>
        <v>78.644993213585394</v>
      </c>
      <c r="AB314" s="753">
        <f>Z314-J314</f>
        <v>54.617005506119767</v>
      </c>
      <c r="AC314" s="770">
        <f>AA314/I314-1</f>
        <v>2.6965176463638052E-2</v>
      </c>
      <c r="AD314" s="769"/>
      <c r="AF314" s="763"/>
      <c r="AI314" s="763"/>
      <c r="AK314" s="763"/>
      <c r="AM314" s="776"/>
    </row>
    <row r="315" spans="1:39">
      <c r="A315" s="4"/>
      <c r="B315" s="256"/>
      <c r="C315" s="512" t="s">
        <v>705</v>
      </c>
      <c r="E315" s="36"/>
      <c r="G315" s="35"/>
      <c r="I315" s="778"/>
      <c r="J315" s="750"/>
      <c r="L315" s="865"/>
      <c r="M315" s="504"/>
      <c r="N315" s="504"/>
      <c r="O315" s="504"/>
      <c r="P315" s="504"/>
      <c r="Q315" s="753"/>
      <c r="S315" s="35"/>
      <c r="T315" s="35"/>
      <c r="U315" s="504"/>
      <c r="V315" s="504"/>
      <c r="W315" s="865"/>
      <c r="X315" s="865"/>
      <c r="Z315" s="750"/>
      <c r="AA315" s="793"/>
      <c r="AB315" s="753"/>
      <c r="AC315" s="770"/>
      <c r="AD315" s="769"/>
      <c r="AF315" s="763"/>
      <c r="AI315" s="763"/>
      <c r="AK315" s="763"/>
      <c r="AM315" s="776"/>
    </row>
    <row r="316" spans="1:39">
      <c r="A316" s="4">
        <v>143</v>
      </c>
      <c r="B316" s="256"/>
      <c r="C316" s="519" t="s">
        <v>759</v>
      </c>
      <c r="D316" s="256"/>
      <c r="E316" s="513" t="s">
        <v>674</v>
      </c>
      <c r="F316" s="256"/>
      <c r="G316" s="35">
        <v>21878.718395321583</v>
      </c>
      <c r="H316" s="256"/>
      <c r="I316" s="861">
        <v>10.1913</v>
      </c>
      <c r="J316" s="750">
        <f>G316*I316/100</f>
        <v>2229.7258278224085</v>
      </c>
      <c r="K316" s="256"/>
      <c r="L316" s="865">
        <v>279.10681056911744</v>
      </c>
      <c r="M316" s="865">
        <v>47.030201551170357</v>
      </c>
      <c r="N316" s="865">
        <v>3.5005949432514534</v>
      </c>
      <c r="O316" s="865">
        <v>0</v>
      </c>
      <c r="P316" s="865">
        <v>0</v>
      </c>
      <c r="Q316" s="753">
        <f>J316-L316-M316-N316-O316-P316</f>
        <v>1900.0882207588693</v>
      </c>
      <c r="R316" s="256"/>
      <c r="S316" s="35">
        <v>51.23621416924243</v>
      </c>
      <c r="T316" s="35">
        <v>148.39462954453123</v>
      </c>
      <c r="U316" s="35">
        <v>45.726461011211455</v>
      </c>
      <c r="V316" s="35">
        <v>3.2813651640999226</v>
      </c>
      <c r="W316" s="865">
        <v>0</v>
      </c>
      <c r="X316" s="865">
        <v>0</v>
      </c>
      <c r="Y316" s="256"/>
      <c r="Z316" s="750">
        <f>Q316+S316+T316+U316+V316+W316+X316</f>
        <v>2148.7268906479544</v>
      </c>
      <c r="AA316" s="792">
        <f t="shared" ref="AA316:AA321" si="90">Z316/G316*100</f>
        <v>9.8210820753898709</v>
      </c>
      <c r="AB316" s="847">
        <f>Z316-J316</f>
        <v>-80.998937174454113</v>
      </c>
      <c r="AC316" s="770"/>
      <c r="AD316" s="769"/>
      <c r="AF316" s="763"/>
      <c r="AI316" s="763"/>
      <c r="AK316" s="763"/>
      <c r="AM316" s="776"/>
    </row>
    <row r="317" spans="1:39">
      <c r="A317" s="4">
        <v>144</v>
      </c>
      <c r="B317" s="256"/>
      <c r="C317" s="519" t="s">
        <v>760</v>
      </c>
      <c r="D317" s="256"/>
      <c r="E317" s="513" t="s">
        <v>674</v>
      </c>
      <c r="F317" s="256"/>
      <c r="G317" s="35">
        <v>127369.83644505285</v>
      </c>
      <c r="H317" s="256"/>
      <c r="I317" s="861">
        <v>8.3182000000000009</v>
      </c>
      <c r="J317" s="750">
        <f>G317*I317/100</f>
        <v>10594.877735172387</v>
      </c>
      <c r="K317" s="256"/>
      <c r="L317" s="865">
        <v>1326.302106902335</v>
      </c>
      <c r="M317" s="865">
        <v>273.79250335025813</v>
      </c>
      <c r="N317" s="865">
        <v>20.379173831208458</v>
      </c>
      <c r="O317" s="865">
        <v>0</v>
      </c>
      <c r="P317" s="865">
        <v>0</v>
      </c>
      <c r="Q317" s="753">
        <f>J317-L317-M317-N317-O317-P317</f>
        <v>8974.4039510885868</v>
      </c>
      <c r="R317" s="256"/>
      <c r="S317" s="35">
        <v>241.99638619707184</v>
      </c>
      <c r="T317" s="35">
        <v>704.86973800039618</v>
      </c>
      <c r="U317" s="35">
        <v>266.20260633979802</v>
      </c>
      <c r="V317" s="35">
        <v>19.102898840604507</v>
      </c>
      <c r="W317" s="865">
        <v>0</v>
      </c>
      <c r="X317" s="865">
        <v>0</v>
      </c>
      <c r="Y317" s="256"/>
      <c r="Z317" s="750">
        <f>Q317+S317+T317+U317+V317+W317+X317</f>
        <v>10206.575580466459</v>
      </c>
      <c r="AA317" s="792">
        <f t="shared" si="90"/>
        <v>8.0133380597293602</v>
      </c>
      <c r="AB317" s="847">
        <f>Z317-J317</f>
        <v>-388.30215470592884</v>
      </c>
      <c r="AC317" s="770"/>
      <c r="AD317" s="769"/>
      <c r="AF317" s="763"/>
      <c r="AI317" s="763"/>
      <c r="AK317" s="763"/>
      <c r="AM317" s="776"/>
    </row>
    <row r="318" spans="1:39">
      <c r="A318" s="4">
        <v>145</v>
      </c>
      <c r="C318" s="519" t="s">
        <v>761</v>
      </c>
      <c r="D318" s="256"/>
      <c r="E318" s="513" t="s">
        <v>674</v>
      </c>
      <c r="F318" s="256"/>
      <c r="G318" s="35">
        <v>86147.272263560444</v>
      </c>
      <c r="H318" s="256"/>
      <c r="I318" s="861">
        <v>7.2328000000000001</v>
      </c>
      <c r="J318" s="750">
        <f>G318*I318/100</f>
        <v>6230.8599082787996</v>
      </c>
      <c r="K318" s="256"/>
      <c r="L318" s="865">
        <v>781.61420124728397</v>
      </c>
      <c r="M318" s="865">
        <v>185.18102863397834</v>
      </c>
      <c r="N318" s="865">
        <v>13.783563562169672</v>
      </c>
      <c r="O318" s="865">
        <v>0</v>
      </c>
      <c r="P318" s="865">
        <v>0</v>
      </c>
      <c r="Q318" s="753">
        <f>J318-L318-M318-N318-O318-P318</f>
        <v>5250.2811148353676</v>
      </c>
      <c r="R318" s="256"/>
      <c r="S318" s="35">
        <v>141.57475674524085</v>
      </c>
      <c r="T318" s="35">
        <v>414.41482532795089</v>
      </c>
      <c r="U318" s="35">
        <v>180.04756106848802</v>
      </c>
      <c r="V318" s="35">
        <v>12.920348124610694</v>
      </c>
      <c r="W318" s="865">
        <v>0</v>
      </c>
      <c r="X318" s="865">
        <v>0</v>
      </c>
      <c r="Y318" s="256"/>
      <c r="Z318" s="750">
        <f>Q318+S318+T318+U318+V318+W318+X318</f>
        <v>5999.2386061016578</v>
      </c>
      <c r="AA318" s="792">
        <f t="shared" si="90"/>
        <v>6.9639333300623658</v>
      </c>
      <c r="AB318" s="847">
        <f>Z318-J318</f>
        <v>-231.62130217714184</v>
      </c>
      <c r="AC318" s="770"/>
      <c r="AD318" s="769"/>
      <c r="AF318" s="763"/>
      <c r="AI318" s="763"/>
      <c r="AK318" s="763"/>
      <c r="AM318" s="776"/>
    </row>
    <row r="319" spans="1:39">
      <c r="A319" s="4">
        <v>146</v>
      </c>
      <c r="B319" s="256"/>
      <c r="C319" s="519" t="s">
        <v>762</v>
      </c>
      <c r="D319" s="256"/>
      <c r="E319" s="513" t="s">
        <v>674</v>
      </c>
      <c r="F319" s="256"/>
      <c r="G319" s="35">
        <v>61526.068987249084</v>
      </c>
      <c r="H319" s="256"/>
      <c r="I319" s="861">
        <v>6.5511999999999997</v>
      </c>
      <c r="J319" s="750">
        <f>G319*I319/100</f>
        <v>4030.6958314926619</v>
      </c>
      <c r="K319" s="256"/>
      <c r="L319" s="865">
        <v>505.62123493721293</v>
      </c>
      <c r="M319" s="865">
        <v>132.25561812342184</v>
      </c>
      <c r="N319" s="865">
        <v>9.8441710379598533</v>
      </c>
      <c r="O319" s="865">
        <v>0</v>
      </c>
      <c r="P319" s="865">
        <v>0</v>
      </c>
      <c r="Q319" s="753">
        <f>J319-L319-M319-N319-O319-P319</f>
        <v>3382.9748073940673</v>
      </c>
      <c r="R319" s="256"/>
      <c r="S319" s="35">
        <v>91.2225126534222</v>
      </c>
      <c r="T319" s="35">
        <v>268.01995763699853</v>
      </c>
      <c r="U319" s="35">
        <v>128.58931423150204</v>
      </c>
      <c r="V319" s="35">
        <v>9.2276657074181561</v>
      </c>
      <c r="W319" s="865">
        <v>0</v>
      </c>
      <c r="X319" s="865">
        <v>0</v>
      </c>
      <c r="Y319" s="256"/>
      <c r="Z319" s="750">
        <f>Q319+S319+T319+U319+V319+W319+X319</f>
        <v>3880.0342576234084</v>
      </c>
      <c r="AA319" s="792">
        <f t="shared" si="90"/>
        <v>6.3063256299171702</v>
      </c>
      <c r="AB319" s="847">
        <f>Z319-J319</f>
        <v>-150.66157386925352</v>
      </c>
      <c r="AC319" s="770"/>
      <c r="AD319" s="769"/>
      <c r="AF319" s="763"/>
      <c r="AI319" s="763"/>
      <c r="AK319" s="763"/>
      <c r="AM319" s="776"/>
    </row>
    <row r="320" spans="1:39">
      <c r="A320" s="4">
        <v>147</v>
      </c>
      <c r="B320" s="256"/>
      <c r="C320" s="519" t="s">
        <v>763</v>
      </c>
      <c r="D320" s="256"/>
      <c r="E320" s="742"/>
      <c r="F320" s="256"/>
      <c r="G320" s="35">
        <v>44741.947796564804</v>
      </c>
      <c r="H320" s="256"/>
      <c r="I320" s="861">
        <v>3.9687000000000001</v>
      </c>
      <c r="J320" s="750">
        <f>G320*I320/100</f>
        <v>1775.6736822022676</v>
      </c>
      <c r="K320" s="256"/>
      <c r="L320" s="865">
        <v>222.7254161312996</v>
      </c>
      <c r="M320" s="865">
        <v>96.176694843073619</v>
      </c>
      <c r="N320" s="865">
        <v>7.1587116474503683</v>
      </c>
      <c r="O320" s="865">
        <v>0</v>
      </c>
      <c r="P320" s="865">
        <v>0</v>
      </c>
      <c r="Q320" s="753">
        <f>J320-L320-M320-N320-O320-P320</f>
        <v>1449.6128595804439</v>
      </c>
      <c r="R320" s="256"/>
      <c r="S320" s="35">
        <v>39.089066562545213</v>
      </c>
      <c r="T320" s="35">
        <v>117.88480339881458</v>
      </c>
      <c r="U320" s="35">
        <v>93.510547305310183</v>
      </c>
      <c r="V320" s="35">
        <v>6.7103870629377917</v>
      </c>
      <c r="W320" s="865">
        <v>0</v>
      </c>
      <c r="X320" s="865">
        <v>0</v>
      </c>
      <c r="Y320" s="256"/>
      <c r="Z320" s="750">
        <f>Q320+S320+T320+U320+V320+W320+X320</f>
        <v>1706.8076639100516</v>
      </c>
      <c r="AA320" s="792">
        <f t="shared" si="90"/>
        <v>3.8147817606659871</v>
      </c>
      <c r="AB320" s="847">
        <f>Z320-J320</f>
        <v>-68.86601829221604</v>
      </c>
      <c r="AC320" s="770"/>
      <c r="AD320" s="769"/>
      <c r="AF320" s="763"/>
      <c r="AI320" s="763"/>
      <c r="AK320" s="763"/>
      <c r="AM320" s="776"/>
    </row>
    <row r="321" spans="1:39">
      <c r="A321" s="4">
        <v>148</v>
      </c>
      <c r="B321" s="256"/>
      <c r="C321" s="512" t="s">
        <v>705</v>
      </c>
      <c r="D321" s="256"/>
      <c r="E321" s="36"/>
      <c r="F321" s="256"/>
      <c r="G321" s="137">
        <f>SUM(G316:G320)</f>
        <v>341663.84388774872</v>
      </c>
      <c r="H321" s="256"/>
      <c r="I321" s="806">
        <f>J321/G321*100</f>
        <v>7.2766941629143265</v>
      </c>
      <c r="J321" s="808">
        <f>SUM(J316:J320)</f>
        <v>24861.832984968529</v>
      </c>
      <c r="K321" s="256"/>
      <c r="L321" s="887">
        <f t="shared" ref="L321:Q321" si="91">SUM(L316:L320)</f>
        <v>3115.369769787249</v>
      </c>
      <c r="M321" s="887">
        <f t="shared" si="91"/>
        <v>734.4360465019023</v>
      </c>
      <c r="N321" s="887">
        <f t="shared" si="91"/>
        <v>54.6662150220398</v>
      </c>
      <c r="O321" s="887">
        <f t="shared" si="91"/>
        <v>0</v>
      </c>
      <c r="P321" s="887">
        <f t="shared" si="91"/>
        <v>0</v>
      </c>
      <c r="Q321" s="842">
        <f t="shared" si="91"/>
        <v>20957.360953657335</v>
      </c>
      <c r="R321" s="256"/>
      <c r="S321" s="807">
        <f t="shared" ref="S321:X321" si="92">SUM(S316:S320)</f>
        <v>565.11893632752253</v>
      </c>
      <c r="T321" s="807">
        <f t="shared" si="92"/>
        <v>1653.5839539086912</v>
      </c>
      <c r="U321" s="807">
        <f t="shared" si="92"/>
        <v>714.07648995630973</v>
      </c>
      <c r="V321" s="807">
        <f t="shared" si="92"/>
        <v>51.24266489967107</v>
      </c>
      <c r="W321" s="887">
        <f t="shared" si="92"/>
        <v>0</v>
      </c>
      <c r="X321" s="887">
        <f t="shared" si="92"/>
        <v>0</v>
      </c>
      <c r="Y321" s="453"/>
      <c r="Z321" s="808">
        <f>SUM(Z316:Z320)</f>
        <v>23941.38299874953</v>
      </c>
      <c r="AA321" s="829">
        <f t="shared" si="90"/>
        <v>7.0072919412026824</v>
      </c>
      <c r="AB321" s="137">
        <f>SUM(AB316:AB320)</f>
        <v>-920.44998621899435</v>
      </c>
      <c r="AC321" s="816">
        <f>AA321/I321-1</f>
        <v>-3.7022611598087063E-2</v>
      </c>
      <c r="AD321" s="785"/>
      <c r="AF321" s="763"/>
      <c r="AI321" s="763"/>
      <c r="AK321" s="763"/>
      <c r="AM321" s="776"/>
    </row>
    <row r="322" spans="1:39">
      <c r="A322" s="4"/>
      <c r="B322" s="256"/>
      <c r="C322" s="7"/>
      <c r="G322" s="135"/>
      <c r="L322" s="755"/>
      <c r="M322" s="755"/>
      <c r="N322" s="755"/>
      <c r="O322" s="504"/>
      <c r="P322" s="504"/>
      <c r="Q322" s="504"/>
      <c r="S322" s="771"/>
      <c r="T322" s="771"/>
      <c r="U322" s="771"/>
      <c r="V322" s="771"/>
      <c r="W322" s="504"/>
      <c r="X322" s="504"/>
      <c r="Z322" s="750"/>
      <c r="AA322" s="793"/>
      <c r="AB322" s="504"/>
      <c r="AC322" s="770"/>
      <c r="AD322" s="769"/>
      <c r="AF322" s="763"/>
      <c r="AI322" s="763"/>
      <c r="AK322" s="763"/>
      <c r="AM322" s="776"/>
    </row>
    <row r="323" spans="1:39">
      <c r="A323" s="4">
        <v>149</v>
      </c>
      <c r="B323" s="256"/>
      <c r="C323" s="7" t="s">
        <v>710</v>
      </c>
      <c r="D323" s="256"/>
      <c r="E323" s="36"/>
      <c r="F323" s="256"/>
      <c r="G323" s="420">
        <f>G321</f>
        <v>341663.84388774872</v>
      </c>
      <c r="H323" s="256"/>
      <c r="I323" s="806">
        <f>J323/G323*100</f>
        <v>7.8695179153349812</v>
      </c>
      <c r="J323" s="808">
        <f>J314+J321</f>
        <v>26887.297404968529</v>
      </c>
      <c r="K323" s="750"/>
      <c r="L323" s="873">
        <f t="shared" ref="L323:Q323" si="93">L314+L321</f>
        <v>3115.369769787249</v>
      </c>
      <c r="M323" s="873">
        <f t="shared" si="93"/>
        <v>734.4360465019023</v>
      </c>
      <c r="N323" s="873">
        <f t="shared" si="93"/>
        <v>54.6662150220398</v>
      </c>
      <c r="O323" s="873">
        <f t="shared" si="93"/>
        <v>0</v>
      </c>
      <c r="P323" s="873">
        <f t="shared" si="93"/>
        <v>0</v>
      </c>
      <c r="Q323" s="808">
        <f t="shared" si="93"/>
        <v>22982.825373657335</v>
      </c>
      <c r="R323" s="750"/>
      <c r="S323" s="886">
        <f t="shared" ref="S323:X323" si="94">S314+S321</f>
        <v>619.7359418336423</v>
      </c>
      <c r="T323" s="886">
        <f t="shared" si="94"/>
        <v>1653.5839539086912</v>
      </c>
      <c r="U323" s="886">
        <f t="shared" si="94"/>
        <v>714.07648995630973</v>
      </c>
      <c r="V323" s="886">
        <f t="shared" si="94"/>
        <v>51.24266489967107</v>
      </c>
      <c r="W323" s="886">
        <f t="shared" si="94"/>
        <v>0</v>
      </c>
      <c r="X323" s="886">
        <f t="shared" si="94"/>
        <v>0</v>
      </c>
      <c r="Y323" s="868"/>
      <c r="Z323" s="808">
        <f>Z314+Z321</f>
        <v>26021.46442425565</v>
      </c>
      <c r="AA323" s="806">
        <f>Z323/G323*100</f>
        <v>7.6161012907191958</v>
      </c>
      <c r="AB323" s="886">
        <f>AB314+AB321</f>
        <v>-865.83298071287459</v>
      </c>
      <c r="AC323" s="816">
        <f>AA323/I323-1</f>
        <v>-3.2202306080524101E-2</v>
      </c>
      <c r="AD323" s="779"/>
      <c r="AF323" s="763"/>
      <c r="AI323" s="763"/>
      <c r="AK323" s="763"/>
      <c r="AM323" s="776"/>
    </row>
    <row r="324" spans="1:39">
      <c r="A324" s="4"/>
      <c r="B324" s="256"/>
      <c r="C324" s="7"/>
      <c r="D324" s="256"/>
      <c r="E324" s="36"/>
      <c r="F324" s="256"/>
      <c r="G324" s="35"/>
      <c r="H324" s="256"/>
      <c r="I324" s="792"/>
      <c r="J324" s="750"/>
      <c r="K324" s="750"/>
      <c r="L324" s="750"/>
      <c r="M324" s="750"/>
      <c r="N324" s="795"/>
      <c r="O324" s="795"/>
      <c r="P324" s="795"/>
      <c r="Q324" s="750"/>
      <c r="R324" s="750"/>
      <c r="S324" s="750"/>
      <c r="T324" s="750"/>
      <c r="U324" s="750"/>
      <c r="V324" s="750"/>
      <c r="W324" s="868"/>
      <c r="X324" s="868"/>
      <c r="Y324" s="868"/>
      <c r="Z324" s="868"/>
      <c r="AA324" s="792"/>
      <c r="AB324" s="868"/>
      <c r="AC324" s="779"/>
      <c r="AD324" s="779"/>
      <c r="AF324" s="763"/>
      <c r="AI324" s="763"/>
      <c r="AK324" s="763"/>
      <c r="AM324" s="776"/>
    </row>
    <row r="325" spans="1:39">
      <c r="A325" s="4"/>
      <c r="B325" s="256"/>
      <c r="C325" s="7" t="s">
        <v>712</v>
      </c>
      <c r="D325" s="734"/>
      <c r="E325" s="734"/>
      <c r="F325" s="734"/>
      <c r="G325" s="734"/>
      <c r="H325" s="734"/>
      <c r="I325" s="734"/>
      <c r="J325" s="734"/>
      <c r="K325" s="734"/>
      <c r="L325" s="504"/>
      <c r="M325" s="504"/>
      <c r="N325" s="504"/>
      <c r="O325" s="504"/>
      <c r="P325" s="504"/>
      <c r="Q325" s="504"/>
      <c r="R325" s="734"/>
      <c r="S325" s="734"/>
      <c r="T325" s="504"/>
      <c r="U325" s="504"/>
      <c r="V325" s="504"/>
      <c r="W325" s="504"/>
      <c r="X325" s="504"/>
      <c r="Y325" s="734"/>
      <c r="Z325" s="734"/>
      <c r="AA325" s="885"/>
      <c r="AB325" s="504"/>
      <c r="AC325" s="770"/>
      <c r="AF325" s="763"/>
      <c r="AI325" s="763"/>
      <c r="AK325" s="763"/>
      <c r="AM325" s="776"/>
    </row>
    <row r="326" spans="1:39">
      <c r="A326" s="4">
        <v>150</v>
      </c>
      <c r="B326" s="256"/>
      <c r="C326" s="9" t="s">
        <v>754</v>
      </c>
      <c r="D326" s="385"/>
      <c r="E326" s="513" t="s">
        <v>674</v>
      </c>
      <c r="F326" s="385"/>
      <c r="G326" s="35">
        <v>76356.43767764869</v>
      </c>
      <c r="H326" s="822"/>
      <c r="I326" s="861">
        <v>3.9398999999999997</v>
      </c>
      <c r="J326" s="818">
        <f>G326*I326/100</f>
        <v>3008.3672880616809</v>
      </c>
      <c r="K326" s="822"/>
      <c r="L326" s="865">
        <v>0</v>
      </c>
      <c r="M326" s="865">
        <v>0</v>
      </c>
      <c r="N326" s="865">
        <v>0</v>
      </c>
      <c r="O326" s="35">
        <v>1.7103842039793304</v>
      </c>
      <c r="P326" s="865">
        <v>0</v>
      </c>
      <c r="Q326" s="753">
        <f>J326-L326-M326-N326-O326-P326</f>
        <v>3006.6569038577018</v>
      </c>
      <c r="R326" s="822"/>
      <c r="S326" s="35">
        <v>-8.0221911288580827</v>
      </c>
      <c r="T326" s="865">
        <v>0</v>
      </c>
      <c r="U326" s="865">
        <v>0</v>
      </c>
      <c r="V326" s="865">
        <v>0</v>
      </c>
      <c r="W326" s="35">
        <v>2.1010426371447921</v>
      </c>
      <c r="X326" s="35">
        <v>0</v>
      </c>
      <c r="Y326" s="822"/>
      <c r="Z326" s="818">
        <f>Q326+S326+T326+U326+V326+W326+X326</f>
        <v>3000.7357553659886</v>
      </c>
      <c r="AA326" s="823">
        <f>Z326/G326*100</f>
        <v>3.9299053840543086</v>
      </c>
      <c r="AB326" s="884">
        <f>Z326-J326</f>
        <v>-7.6315326956923855</v>
      </c>
      <c r="AC326" s="785"/>
      <c r="AF326" s="763"/>
      <c r="AI326" s="763"/>
      <c r="AK326" s="763"/>
      <c r="AM326" s="776"/>
    </row>
    <row r="327" spans="1:39">
      <c r="A327" s="4">
        <v>151</v>
      </c>
      <c r="B327" s="256"/>
      <c r="C327" s="9" t="s">
        <v>755</v>
      </c>
      <c r="D327" s="447"/>
      <c r="E327" s="513" t="s">
        <v>674</v>
      </c>
      <c r="F327" s="447"/>
      <c r="G327" s="35">
        <v>261426.39684107454</v>
      </c>
      <c r="H327" s="856"/>
      <c r="I327" s="861">
        <v>2.1114999999999999</v>
      </c>
      <c r="J327" s="818">
        <f>G327*I327/100</f>
        <v>5520.0183692992887</v>
      </c>
      <c r="K327" s="856"/>
      <c r="L327" s="865">
        <v>0</v>
      </c>
      <c r="M327" s="865">
        <v>0</v>
      </c>
      <c r="N327" s="865">
        <v>0</v>
      </c>
      <c r="O327" s="35">
        <v>53.413384148142541</v>
      </c>
      <c r="P327" s="35">
        <v>33.666044476119048</v>
      </c>
      <c r="Q327" s="753">
        <f>J327-L327-M327-N327-O327-P327</f>
        <v>5432.938940675027</v>
      </c>
      <c r="R327" s="856"/>
      <c r="S327" s="35">
        <v>-11.285532239275256</v>
      </c>
      <c r="T327" s="865">
        <v>0</v>
      </c>
      <c r="U327" s="865">
        <v>0</v>
      </c>
      <c r="V327" s="865">
        <v>0</v>
      </c>
      <c r="W327" s="35">
        <v>65.613209726998534</v>
      </c>
      <c r="X327" s="35">
        <v>33.703988907654505</v>
      </c>
      <c r="Y327" s="856"/>
      <c r="Z327" s="818">
        <f>Q327+S327+T327+U327+V327+W327+X327</f>
        <v>5520.9706070704042</v>
      </c>
      <c r="AA327" s="823">
        <f>Z327/G327*100</f>
        <v>2.1118642469860052</v>
      </c>
      <c r="AB327" s="884">
        <f>Z327-J327</f>
        <v>0.95223777111550589</v>
      </c>
      <c r="AC327" s="834"/>
      <c r="AF327" s="763"/>
      <c r="AI327" s="763"/>
      <c r="AK327" s="763"/>
      <c r="AM327" s="776"/>
    </row>
    <row r="328" spans="1:39">
      <c r="A328" s="4">
        <v>152</v>
      </c>
      <c r="B328" s="256"/>
      <c r="C328" s="7" t="s">
        <v>712</v>
      </c>
      <c r="D328" s="254"/>
      <c r="E328" s="4"/>
      <c r="F328" s="254"/>
      <c r="G328" s="420">
        <f>SUM(G326:G327)</f>
        <v>337782.83451872325</v>
      </c>
      <c r="H328" s="854"/>
      <c r="I328" s="883">
        <f>J328/G328*100</f>
        <v>2.5248132189761239</v>
      </c>
      <c r="J328" s="882">
        <f>SUM(J326:J327)</f>
        <v>8528.3856573609701</v>
      </c>
      <c r="K328" s="854"/>
      <c r="L328" s="875">
        <f t="shared" ref="L328:Q328" si="95">SUM(L326:L327)</f>
        <v>0</v>
      </c>
      <c r="M328" s="875">
        <f t="shared" si="95"/>
        <v>0</v>
      </c>
      <c r="N328" s="875">
        <f t="shared" si="95"/>
        <v>0</v>
      </c>
      <c r="O328" s="420">
        <f t="shared" si="95"/>
        <v>55.123768352121871</v>
      </c>
      <c r="P328" s="420">
        <f t="shared" si="95"/>
        <v>33.666044476119048</v>
      </c>
      <c r="Q328" s="842">
        <f t="shared" si="95"/>
        <v>8439.5958445327287</v>
      </c>
      <c r="R328" s="854"/>
      <c r="S328" s="881">
        <f t="shared" ref="S328:X328" si="96">SUM(S326:S327)</f>
        <v>-19.307723368133338</v>
      </c>
      <c r="T328" s="879">
        <f t="shared" si="96"/>
        <v>0</v>
      </c>
      <c r="U328" s="879">
        <f t="shared" si="96"/>
        <v>0</v>
      </c>
      <c r="V328" s="879">
        <f t="shared" si="96"/>
        <v>0</v>
      </c>
      <c r="W328" s="881">
        <f t="shared" si="96"/>
        <v>67.71425236414332</v>
      </c>
      <c r="X328" s="881">
        <f t="shared" si="96"/>
        <v>33.703988907654505</v>
      </c>
      <c r="Y328" s="739"/>
      <c r="Z328" s="852">
        <f>SUM(Z326:Z327)</f>
        <v>8521.7063624363927</v>
      </c>
      <c r="AA328" s="829">
        <f>Z328/G328*100</f>
        <v>2.5228358257394028</v>
      </c>
      <c r="AB328" s="881">
        <f>SUM(AB326:AB327)</f>
        <v>-6.6792949245768796</v>
      </c>
      <c r="AC328" s="880">
        <f>AA328/I328-1</f>
        <v>-7.8318396856424943E-4</v>
      </c>
      <c r="AF328" s="763"/>
      <c r="AI328" s="763"/>
      <c r="AK328" s="763"/>
      <c r="AM328" s="776"/>
    </row>
    <row r="329" spans="1:39">
      <c r="A329" s="4"/>
      <c r="B329" s="256"/>
      <c r="C329" s="7"/>
      <c r="D329" s="256"/>
      <c r="E329" s="36"/>
      <c r="F329" s="256"/>
      <c r="G329" s="35"/>
      <c r="H329" s="256"/>
      <c r="I329" s="256"/>
      <c r="J329" s="256"/>
      <c r="K329" s="256"/>
      <c r="L329" s="504"/>
      <c r="M329" s="504"/>
      <c r="N329" s="504"/>
      <c r="O329" s="504"/>
      <c r="P329" s="504"/>
      <c r="Q329" s="504"/>
      <c r="R329" s="256"/>
      <c r="S329" s="256"/>
      <c r="T329" s="504"/>
      <c r="U329" s="504"/>
      <c r="V329" s="504"/>
      <c r="W329" s="504"/>
      <c r="X329" s="504"/>
      <c r="Y329" s="256"/>
      <c r="Z329" s="256"/>
      <c r="AA329" s="256"/>
      <c r="AB329" s="504"/>
      <c r="AC329" s="504"/>
      <c r="AF329" s="763"/>
      <c r="AI329" s="763"/>
      <c r="AK329" s="763"/>
      <c r="AM329" s="776"/>
    </row>
    <row r="330" spans="1:39">
      <c r="A330" s="4"/>
      <c r="C330" s="7" t="s">
        <v>756</v>
      </c>
      <c r="D330" s="256"/>
      <c r="E330" s="36"/>
      <c r="F330" s="256"/>
      <c r="G330" s="453"/>
      <c r="H330" s="256"/>
      <c r="I330" s="256"/>
      <c r="J330" s="256"/>
      <c r="K330" s="256"/>
      <c r="L330" s="504"/>
      <c r="M330" s="504"/>
      <c r="N330" s="504"/>
      <c r="O330" s="504"/>
      <c r="P330" s="504"/>
      <c r="Q330" s="504"/>
      <c r="R330" s="256"/>
      <c r="S330" s="256"/>
      <c r="T330" s="504"/>
      <c r="U330" s="504"/>
      <c r="V330" s="504"/>
      <c r="W330" s="504"/>
      <c r="X330" s="504"/>
      <c r="Y330" s="256"/>
      <c r="Z330" s="256"/>
      <c r="AA330" s="256"/>
      <c r="AB330" s="504"/>
      <c r="AC330" s="504"/>
      <c r="AF330" s="763"/>
      <c r="AI330" s="763"/>
      <c r="AK330" s="763"/>
      <c r="AM330" s="776"/>
    </row>
    <row r="331" spans="1:39">
      <c r="A331" s="4">
        <v>153</v>
      </c>
      <c r="B331" s="256"/>
      <c r="C331" s="9" t="s">
        <v>754</v>
      </c>
      <c r="D331" s="256"/>
      <c r="E331" s="513" t="s">
        <v>674</v>
      </c>
      <c r="F331" s="256"/>
      <c r="G331" s="35">
        <v>76356.43767764869</v>
      </c>
      <c r="H331" s="256"/>
      <c r="I331" s="861">
        <v>1.8104</v>
      </c>
      <c r="J331" s="750">
        <f>G331*I331/100</f>
        <v>1382.3569477161518</v>
      </c>
      <c r="K331" s="256"/>
      <c r="L331" s="865">
        <v>0</v>
      </c>
      <c r="M331" s="865">
        <v>0</v>
      </c>
      <c r="N331" s="865">
        <v>0</v>
      </c>
      <c r="O331" s="35">
        <v>5.1595748636691825</v>
      </c>
      <c r="P331" s="35">
        <v>38.372022902411423</v>
      </c>
      <c r="Q331" s="750">
        <f>J331-L331-M331-N331-O331-P331</f>
        <v>1338.8253499500713</v>
      </c>
      <c r="R331" s="256"/>
      <c r="S331" s="35">
        <v>29.132065912854387</v>
      </c>
      <c r="T331" s="865">
        <v>0</v>
      </c>
      <c r="U331" s="865">
        <v>0</v>
      </c>
      <c r="V331" s="865">
        <v>0</v>
      </c>
      <c r="W331" s="35">
        <v>6.338041916481874</v>
      </c>
      <c r="X331" s="35">
        <v>38.415271362946505</v>
      </c>
      <c r="Y331" s="750"/>
      <c r="Z331" s="750">
        <f>Q331+S331+T331+U331+V331+W331+X331</f>
        <v>1412.710729142354</v>
      </c>
      <c r="AA331" s="792">
        <f>Z331/G331*100</f>
        <v>1.8501527469187939</v>
      </c>
      <c r="AB331" s="753">
        <f>Z331-J331</f>
        <v>30.353781426202204</v>
      </c>
      <c r="AC331" s="770"/>
      <c r="AD331" s="769"/>
      <c r="AF331" s="763"/>
      <c r="AI331" s="763"/>
      <c r="AK331" s="763"/>
      <c r="AM331" s="776"/>
    </row>
    <row r="332" spans="1:39">
      <c r="A332" s="4">
        <v>154</v>
      </c>
      <c r="B332" s="256"/>
      <c r="C332" s="9" t="s">
        <v>755</v>
      </c>
      <c r="D332" s="256"/>
      <c r="E332" s="513" t="s">
        <v>674</v>
      </c>
      <c r="F332" s="256"/>
      <c r="G332" s="35">
        <v>261426.39684107454</v>
      </c>
      <c r="H332" s="256"/>
      <c r="I332" s="861">
        <v>4.6779999999999999</v>
      </c>
      <c r="J332" s="750">
        <f>G332*I332/100</f>
        <v>12229.526844225467</v>
      </c>
      <c r="K332" s="256"/>
      <c r="L332" s="865">
        <v>0</v>
      </c>
      <c r="M332" s="865">
        <v>0</v>
      </c>
      <c r="N332" s="865">
        <v>0</v>
      </c>
      <c r="O332" s="35">
        <v>68.108873998540517</v>
      </c>
      <c r="P332" s="35">
        <v>506.52918931985471</v>
      </c>
      <c r="Q332" s="750">
        <f>J332-L332-M332-N332-O332-P332</f>
        <v>11654.888780907071</v>
      </c>
      <c r="R332" s="256"/>
      <c r="S332" s="35">
        <v>111.80300955274106</v>
      </c>
      <c r="T332" s="865">
        <v>0</v>
      </c>
      <c r="U332" s="865">
        <v>0</v>
      </c>
      <c r="V332" s="865">
        <v>0</v>
      </c>
      <c r="W332" s="35">
        <v>83.665206861665595</v>
      </c>
      <c r="X332" s="35">
        <v>507.10008983531299</v>
      </c>
      <c r="Y332" s="750"/>
      <c r="Z332" s="750">
        <f>Q332+S332+T332+U332+V332+W332+X332</f>
        <v>12357.45708715679</v>
      </c>
      <c r="AA332" s="792">
        <f>Z332/G332*100</f>
        <v>4.726935472652019</v>
      </c>
      <c r="AB332" s="753">
        <f>Z332-J332</f>
        <v>127.93024293132294</v>
      </c>
      <c r="AC332" s="770"/>
      <c r="AD332" s="769"/>
      <c r="AF332" s="763"/>
      <c r="AI332" s="763"/>
      <c r="AK332" s="763"/>
      <c r="AM332" s="776"/>
    </row>
    <row r="333" spans="1:39">
      <c r="A333" s="4">
        <v>155</v>
      </c>
      <c r="B333" s="256"/>
      <c r="C333" s="7" t="s">
        <v>757</v>
      </c>
      <c r="D333" s="256"/>
      <c r="E333" s="860"/>
      <c r="F333" s="256"/>
      <c r="G333" s="879">
        <f>SUM(G331:G332)</f>
        <v>337782.83451872325</v>
      </c>
      <c r="H333" s="256"/>
      <c r="I333" s="878">
        <f>J333/G333*100</f>
        <v>4.0297736891621447</v>
      </c>
      <c r="J333" s="808">
        <f>SUM(J331:J332)</f>
        <v>13611.883791941618</v>
      </c>
      <c r="K333" s="750"/>
      <c r="L333" s="873">
        <f t="shared" ref="L333:Q333" si="97">SUM(L331:L332)</f>
        <v>0</v>
      </c>
      <c r="M333" s="873">
        <f t="shared" si="97"/>
        <v>0</v>
      </c>
      <c r="N333" s="873">
        <f t="shared" si="97"/>
        <v>0</v>
      </c>
      <c r="O333" s="873">
        <f t="shared" si="97"/>
        <v>73.268448862209695</v>
      </c>
      <c r="P333" s="873">
        <f t="shared" si="97"/>
        <v>544.90121222226617</v>
      </c>
      <c r="Q333" s="808">
        <f t="shared" si="97"/>
        <v>12993.714130857143</v>
      </c>
      <c r="R333" s="795"/>
      <c r="S333" s="873">
        <f t="shared" ref="S333:X333" si="98">SUM(S331:S332)</f>
        <v>140.93507546559545</v>
      </c>
      <c r="T333" s="873">
        <f t="shared" si="98"/>
        <v>0</v>
      </c>
      <c r="U333" s="873">
        <f t="shared" si="98"/>
        <v>0</v>
      </c>
      <c r="V333" s="873">
        <f t="shared" si="98"/>
        <v>0</v>
      </c>
      <c r="W333" s="873">
        <f t="shared" si="98"/>
        <v>90.003248778147466</v>
      </c>
      <c r="X333" s="873">
        <f t="shared" si="98"/>
        <v>545.51536119825948</v>
      </c>
      <c r="Y333" s="750"/>
      <c r="Z333" s="808">
        <f>SUM(Z331:Z332)</f>
        <v>13770.167816299145</v>
      </c>
      <c r="AA333" s="806">
        <f>Z333/G333*100</f>
        <v>4.0766333895915805</v>
      </c>
      <c r="AB333" s="842">
        <f>SUM(AB331:AB332)</f>
        <v>158.28402435752514</v>
      </c>
      <c r="AC333" s="804">
        <f>AA333/I333-1</f>
        <v>1.1628370237133367E-2</v>
      </c>
      <c r="AD333" s="769"/>
      <c r="AF333" s="763"/>
      <c r="AI333" s="763"/>
      <c r="AK333" s="763"/>
      <c r="AM333" s="776"/>
    </row>
    <row r="334" spans="1:39">
      <c r="A334" s="4"/>
      <c r="B334" s="256"/>
      <c r="C334" s="256"/>
      <c r="L334" s="504"/>
      <c r="M334" s="504"/>
      <c r="N334" s="504"/>
      <c r="O334" s="504"/>
      <c r="P334" s="504"/>
      <c r="Q334" s="504"/>
      <c r="T334" s="504"/>
      <c r="U334" s="504"/>
      <c r="V334" s="504"/>
      <c r="W334" s="504"/>
      <c r="X334" s="504"/>
      <c r="AA334" s="793"/>
      <c r="AB334" s="504"/>
      <c r="AC334" s="770"/>
      <c r="AD334" s="769"/>
      <c r="AF334" s="763"/>
      <c r="AI334" s="763"/>
      <c r="AK334" s="763"/>
      <c r="AM334" s="776"/>
    </row>
    <row r="335" spans="1:39">
      <c r="A335" s="4"/>
      <c r="B335" s="256"/>
      <c r="C335" s="7" t="s">
        <v>715</v>
      </c>
      <c r="D335" s="256"/>
      <c r="E335" s="4"/>
      <c r="F335" s="256"/>
      <c r="G335" s="877"/>
      <c r="H335" s="750"/>
      <c r="I335" s="750"/>
      <c r="J335" s="750"/>
      <c r="K335" s="750"/>
      <c r="L335" s="753"/>
      <c r="M335" s="753"/>
      <c r="N335" s="753"/>
      <c r="O335" s="753"/>
      <c r="P335" s="753"/>
      <c r="Q335" s="753"/>
      <c r="R335" s="750"/>
      <c r="S335" s="750"/>
      <c r="T335" s="753"/>
      <c r="U335" s="753"/>
      <c r="V335" s="753"/>
      <c r="W335" s="753"/>
      <c r="X335" s="753"/>
      <c r="Y335" s="256"/>
      <c r="Z335" s="256"/>
      <c r="AA335" s="792"/>
      <c r="AB335" s="504"/>
      <c r="AC335" s="770"/>
      <c r="AD335" s="769"/>
      <c r="AF335" s="763"/>
      <c r="AI335" s="763"/>
      <c r="AK335" s="763"/>
      <c r="AM335" s="776"/>
    </row>
    <row r="336" spans="1:39">
      <c r="A336" s="4">
        <v>156</v>
      </c>
      <c r="B336" s="256"/>
      <c r="C336" s="9" t="s">
        <v>754</v>
      </c>
      <c r="D336" s="256"/>
      <c r="E336" s="513" t="s">
        <v>674</v>
      </c>
      <c r="F336" s="256"/>
      <c r="G336" s="35">
        <v>41057.419387362017</v>
      </c>
      <c r="H336" s="818"/>
      <c r="I336" s="861">
        <v>18.274100000000001</v>
      </c>
      <c r="J336" s="818">
        <f>G336*I336/100</f>
        <v>7502.8738762659232</v>
      </c>
      <c r="K336" s="750"/>
      <c r="L336" s="865">
        <v>0</v>
      </c>
      <c r="M336" s="865">
        <v>0</v>
      </c>
      <c r="N336" s="865">
        <v>0</v>
      </c>
      <c r="O336" s="865">
        <v>0</v>
      </c>
      <c r="P336" s="865">
        <v>0</v>
      </c>
      <c r="Q336" s="753">
        <f>J336-L336-M336-N336-O336-P336</f>
        <v>7502.8738762659232</v>
      </c>
      <c r="R336" s="750"/>
      <c r="S336" s="35">
        <v>2.3083463653519516</v>
      </c>
      <c r="T336" s="865">
        <v>0</v>
      </c>
      <c r="U336" s="865">
        <v>0</v>
      </c>
      <c r="V336" s="865">
        <v>0</v>
      </c>
      <c r="W336" s="865">
        <v>0</v>
      </c>
      <c r="X336" s="865">
        <v>0</v>
      </c>
      <c r="Y336" s="256"/>
      <c r="Z336" s="750">
        <f>Q336+S336+T336+U336+V336+W336+X336</f>
        <v>7505.1822226312752</v>
      </c>
      <c r="AA336" s="792">
        <f>Z336/G336*100</f>
        <v>18.279722239292671</v>
      </c>
      <c r="AB336" s="753">
        <f>Z336-J336</f>
        <v>2.3083463653520084</v>
      </c>
      <c r="AC336" s="770"/>
      <c r="AD336" s="876"/>
      <c r="AF336" s="763"/>
      <c r="AI336" s="763"/>
      <c r="AK336" s="763"/>
      <c r="AM336" s="776"/>
    </row>
    <row r="337" spans="1:39">
      <c r="A337" s="4">
        <v>157</v>
      </c>
      <c r="C337" s="9" t="s">
        <v>755</v>
      </c>
      <c r="D337" s="256"/>
      <c r="E337" s="513" t="s">
        <v>674</v>
      </c>
      <c r="F337" s="256"/>
      <c r="G337" s="35">
        <v>137222.46215211437</v>
      </c>
      <c r="H337" s="818"/>
      <c r="I337" s="861">
        <v>20.820800000000002</v>
      </c>
      <c r="J337" s="818">
        <f>G337*I337/100</f>
        <v>28570.814399767431</v>
      </c>
      <c r="K337" s="750"/>
      <c r="L337" s="865">
        <v>0</v>
      </c>
      <c r="M337" s="865">
        <v>0</v>
      </c>
      <c r="N337" s="865">
        <v>0</v>
      </c>
      <c r="O337" s="865">
        <v>0</v>
      </c>
      <c r="P337" s="865">
        <v>0</v>
      </c>
      <c r="Q337" s="753">
        <f>J337-L337-M337-N337-O337-P337</f>
        <v>28570.814399767431</v>
      </c>
      <c r="R337" s="750"/>
      <c r="S337" s="35">
        <v>7.7149751854832971</v>
      </c>
      <c r="T337" s="865">
        <v>0</v>
      </c>
      <c r="U337" s="865">
        <v>0</v>
      </c>
      <c r="V337" s="865">
        <v>0</v>
      </c>
      <c r="W337" s="865">
        <v>0</v>
      </c>
      <c r="X337" s="865">
        <v>0</v>
      </c>
      <c r="Y337" s="256"/>
      <c r="Z337" s="750">
        <f>Q337+S337+T337+U337+V337+W337+X337</f>
        <v>28578.529374952916</v>
      </c>
      <c r="AA337" s="792">
        <f>Z337/G337*100</f>
        <v>20.826422239292672</v>
      </c>
      <c r="AB337" s="753">
        <f>Z337-J337</f>
        <v>7.7149751854849455</v>
      </c>
      <c r="AC337" s="770"/>
      <c r="AD337" s="876"/>
      <c r="AF337" s="763"/>
      <c r="AI337" s="763"/>
      <c r="AK337" s="763"/>
      <c r="AM337" s="776"/>
    </row>
    <row r="338" spans="1:39">
      <c r="A338" s="4">
        <v>158</v>
      </c>
      <c r="B338" s="256"/>
      <c r="C338" s="7" t="s">
        <v>715</v>
      </c>
      <c r="D338" s="256"/>
      <c r="E338" s="36"/>
      <c r="F338" s="256"/>
      <c r="G338" s="420">
        <f>SUM(G336:G337)</f>
        <v>178279.8815394764</v>
      </c>
      <c r="H338" s="420"/>
      <c r="I338" s="810">
        <f>J338/G338*100</f>
        <v>20.234301237206946</v>
      </c>
      <c r="J338" s="420">
        <f>SUM(J336:J337)</f>
        <v>36073.688276033354</v>
      </c>
      <c r="K338" s="750"/>
      <c r="L338" s="875">
        <f t="shared" ref="L338:Q338" si="99">SUM(L336:L337)</f>
        <v>0</v>
      </c>
      <c r="M338" s="875">
        <f t="shared" si="99"/>
        <v>0</v>
      </c>
      <c r="N338" s="875">
        <f t="shared" si="99"/>
        <v>0</v>
      </c>
      <c r="O338" s="875">
        <f t="shared" si="99"/>
        <v>0</v>
      </c>
      <c r="P338" s="875">
        <f t="shared" si="99"/>
        <v>0</v>
      </c>
      <c r="Q338" s="842">
        <f t="shared" si="99"/>
        <v>36073.688276033354</v>
      </c>
      <c r="R338" s="750"/>
      <c r="S338" s="420">
        <f t="shared" ref="S338:X338" si="100">SUM(S336:S337)</f>
        <v>10.023321550835249</v>
      </c>
      <c r="T338" s="875">
        <f t="shared" si="100"/>
        <v>0</v>
      </c>
      <c r="U338" s="875">
        <f t="shared" si="100"/>
        <v>0</v>
      </c>
      <c r="V338" s="875">
        <f t="shared" si="100"/>
        <v>0</v>
      </c>
      <c r="W338" s="875">
        <f t="shared" si="100"/>
        <v>0</v>
      </c>
      <c r="X338" s="875">
        <f t="shared" si="100"/>
        <v>0</v>
      </c>
      <c r="Y338" s="256"/>
      <c r="Z338" s="808">
        <f>SUM(Z336:Z337)</f>
        <v>36083.711597584188</v>
      </c>
      <c r="AA338" s="806">
        <f>Z338/G338*100</f>
        <v>20.239923476499616</v>
      </c>
      <c r="AB338" s="842">
        <f>SUM(AB336:AB337)</f>
        <v>10.023321550836954</v>
      </c>
      <c r="AC338" s="804">
        <f>AA338/I338-1</f>
        <v>2.7785685439596364E-4</v>
      </c>
      <c r="AD338" s="769"/>
      <c r="AE338" s="874"/>
      <c r="AF338" s="763"/>
      <c r="AI338" s="763"/>
      <c r="AK338" s="763"/>
      <c r="AM338" s="776"/>
    </row>
    <row r="339" spans="1:39">
      <c r="A339" s="4"/>
      <c r="B339" s="256"/>
      <c r="C339" s="7"/>
      <c r="D339" s="256"/>
      <c r="E339" s="36"/>
      <c r="F339" s="256"/>
      <c r="G339" s="828"/>
      <c r="H339" s="818"/>
      <c r="I339" s="818"/>
      <c r="J339" s="818"/>
      <c r="K339" s="750"/>
      <c r="L339" s="753"/>
      <c r="M339" s="753"/>
      <c r="N339" s="753"/>
      <c r="O339" s="753"/>
      <c r="P339" s="753"/>
      <c r="Q339" s="753"/>
      <c r="R339" s="750"/>
      <c r="S339" s="750"/>
      <c r="T339" s="753"/>
      <c r="U339" s="753"/>
      <c r="V339" s="753"/>
      <c r="W339" s="753"/>
      <c r="X339" s="753"/>
      <c r="Y339" s="256"/>
      <c r="Z339" s="256"/>
      <c r="AA339" s="792"/>
      <c r="AB339" s="504"/>
      <c r="AC339" s="770"/>
      <c r="AD339" s="769"/>
      <c r="AF339" s="763"/>
      <c r="AI339" s="763"/>
      <c r="AK339" s="763"/>
      <c r="AM339" s="776"/>
    </row>
    <row r="340" spans="1:39" ht="13.5" thickBot="1">
      <c r="A340" s="4">
        <v>159</v>
      </c>
      <c r="B340" s="256"/>
      <c r="C340" s="7" t="s">
        <v>764</v>
      </c>
      <c r="D340" s="256"/>
      <c r="E340" s="36"/>
      <c r="F340" s="256"/>
      <c r="G340" s="768">
        <f>G323</f>
        <v>341663.84388774872</v>
      </c>
      <c r="H340" s="256"/>
      <c r="I340" s="845">
        <f>J340/G340*100</f>
        <v>24.907890212188768</v>
      </c>
      <c r="J340" s="756">
        <f>J323+J333+J328+J338</f>
        <v>85101.255130304475</v>
      </c>
      <c r="K340" s="750"/>
      <c r="L340" s="768">
        <f>L323+L328+L333+L338</f>
        <v>3115.369769787249</v>
      </c>
      <c r="M340" s="768">
        <f>M323+M328+M333+M338</f>
        <v>734.4360465019023</v>
      </c>
      <c r="N340" s="768">
        <f>N323+N328+N333+N338</f>
        <v>54.6662150220398</v>
      </c>
      <c r="O340" s="768">
        <f>O323+O328+O333+O338</f>
        <v>128.39221721433157</v>
      </c>
      <c r="P340" s="768">
        <f>P323+P328+P333+P338</f>
        <v>578.56725669838522</v>
      </c>
      <c r="Q340" s="756">
        <f>Q323+Q333+Q328+Q338</f>
        <v>80489.823625080549</v>
      </c>
      <c r="R340" s="750"/>
      <c r="S340" s="756">
        <f t="shared" ref="S340:X340" si="101">S323+S333+S328+S338</f>
        <v>751.38661548193966</v>
      </c>
      <c r="T340" s="756">
        <f t="shared" si="101"/>
        <v>1653.5839539086912</v>
      </c>
      <c r="U340" s="756">
        <f t="shared" si="101"/>
        <v>714.07648995630973</v>
      </c>
      <c r="V340" s="756">
        <f t="shared" si="101"/>
        <v>51.24266489967107</v>
      </c>
      <c r="W340" s="756">
        <f t="shared" si="101"/>
        <v>157.71750114229079</v>
      </c>
      <c r="X340" s="756">
        <f t="shared" si="101"/>
        <v>579.21935010591403</v>
      </c>
      <c r="Y340" s="750"/>
      <c r="Z340" s="756">
        <f>Z323+Z333+Z328+Z338</f>
        <v>84397.050200575381</v>
      </c>
      <c r="AA340" s="845">
        <f>Z340/G340*100</f>
        <v>24.701779749426294</v>
      </c>
      <c r="AB340" s="844">
        <f>AB323+AB328+AB333+AB338</f>
        <v>-704.20492972908937</v>
      </c>
      <c r="AC340" s="815">
        <f>AA340/I340-1</f>
        <v>-8.2749065057952098E-3</v>
      </c>
      <c r="AD340" s="779"/>
      <c r="AF340" s="763"/>
      <c r="AI340" s="763"/>
      <c r="AK340" s="763"/>
      <c r="AM340" s="776"/>
    </row>
    <row r="341" spans="1:39" ht="13.5" thickTop="1">
      <c r="L341" s="2"/>
      <c r="M341" s="2"/>
      <c r="N341" s="2"/>
      <c r="O341" s="2"/>
      <c r="P341" s="504"/>
      <c r="Q341" s="504"/>
      <c r="T341" s="504"/>
      <c r="U341" s="504"/>
      <c r="V341" s="504"/>
      <c r="W341" s="504"/>
      <c r="X341" s="504"/>
      <c r="Z341" s="752"/>
      <c r="AB341" s="753"/>
      <c r="AC341" s="504"/>
      <c r="AF341" s="763"/>
      <c r="AI341" s="763"/>
      <c r="AK341" s="763"/>
      <c r="AM341" s="776"/>
    </row>
    <row r="342" spans="1:39">
      <c r="L342" s="2"/>
      <c r="M342" s="2"/>
      <c r="N342" s="2"/>
      <c r="O342" s="2"/>
      <c r="P342" s="504"/>
      <c r="Q342" s="504"/>
      <c r="T342" s="504"/>
      <c r="U342" s="504"/>
      <c r="V342" s="504"/>
      <c r="W342" s="504"/>
      <c r="X342" s="504"/>
      <c r="AB342" s="504"/>
      <c r="AC342" s="504"/>
      <c r="AF342" s="763"/>
      <c r="AI342" s="763"/>
      <c r="AK342" s="763"/>
      <c r="AM342" s="776"/>
    </row>
    <row r="343" spans="1:39">
      <c r="L343" s="2"/>
      <c r="M343" s="2"/>
      <c r="N343" s="2"/>
      <c r="O343" s="2"/>
      <c r="P343" s="504"/>
      <c r="Q343" s="504"/>
      <c r="T343" s="504"/>
      <c r="U343" s="504"/>
      <c r="V343" s="504"/>
      <c r="W343" s="504"/>
      <c r="X343" s="504"/>
      <c r="AB343" s="504"/>
      <c r="AC343" s="504"/>
      <c r="AF343" s="763"/>
      <c r="AI343" s="763"/>
      <c r="AK343" s="763"/>
      <c r="AM343" s="776"/>
    </row>
    <row r="344" spans="1:39">
      <c r="L344" s="2"/>
      <c r="M344" s="2"/>
      <c r="N344" s="2"/>
      <c r="O344" s="2"/>
      <c r="P344" s="504"/>
      <c r="Q344" s="504"/>
      <c r="T344" s="504"/>
      <c r="U344" s="504"/>
      <c r="V344" s="504"/>
      <c r="W344" s="504"/>
      <c r="X344" s="504"/>
      <c r="AB344" s="504"/>
      <c r="AC344" s="504"/>
      <c r="AF344" s="763"/>
      <c r="AI344" s="763"/>
      <c r="AK344" s="763"/>
      <c r="AM344" s="776"/>
    </row>
    <row r="345" spans="1:39">
      <c r="L345" s="2"/>
      <c r="M345" s="2"/>
      <c r="N345" s="2"/>
      <c r="O345" s="2"/>
      <c r="P345" s="504"/>
      <c r="Q345" s="504"/>
      <c r="T345" s="504"/>
      <c r="U345" s="504"/>
      <c r="V345" s="504"/>
      <c r="W345" s="504"/>
      <c r="X345" s="504"/>
      <c r="AB345" s="504"/>
      <c r="AC345" s="504"/>
      <c r="AF345" s="763"/>
      <c r="AI345" s="763"/>
      <c r="AK345" s="763"/>
      <c r="AM345" s="776"/>
    </row>
    <row r="346" spans="1:39">
      <c r="A346" s="1324" t="s">
        <v>724</v>
      </c>
      <c r="B346" s="1324"/>
      <c r="C346" s="1324"/>
      <c r="D346" s="1324"/>
      <c r="E346" s="1324"/>
      <c r="F346" s="1324"/>
      <c r="G346" s="1324"/>
      <c r="H346" s="1324"/>
      <c r="I346" s="1324"/>
      <c r="J346" s="1324"/>
      <c r="K346" s="1324"/>
      <c r="L346" s="1324"/>
      <c r="M346" s="1324"/>
      <c r="N346" s="1324"/>
      <c r="O346" s="1324"/>
      <c r="P346" s="1324"/>
      <c r="Q346" s="1324"/>
      <c r="R346" s="1324"/>
      <c r="S346" s="1324"/>
      <c r="T346" s="1324"/>
      <c r="U346" s="1324"/>
      <c r="V346" s="1324"/>
      <c r="W346" s="1324"/>
      <c r="X346" s="1324"/>
      <c r="Y346" s="1324"/>
      <c r="Z346" s="1324"/>
      <c r="AA346" s="1324"/>
      <c r="AB346" s="1324"/>
      <c r="AC346" s="1324"/>
      <c r="AD346" s="665"/>
      <c r="AF346" s="763"/>
      <c r="AI346" s="763"/>
      <c r="AK346" s="763"/>
      <c r="AM346" s="776"/>
    </row>
    <row r="347" spans="1:39">
      <c r="A347" s="4"/>
      <c r="B347" s="4"/>
      <c r="C347" s="4"/>
      <c r="D347" s="4"/>
      <c r="E347" s="447"/>
      <c r="F347" s="4"/>
      <c r="G347" s="447"/>
      <c r="H347" s="4"/>
      <c r="I347" s="4"/>
      <c r="J347" s="4"/>
      <c r="K347" s="4"/>
      <c r="L347" s="4"/>
      <c r="M347" s="4"/>
      <c r="N347" s="1"/>
      <c r="O347" s="1"/>
      <c r="P347" s="504"/>
      <c r="Q347" s="504"/>
      <c r="R347" s="4"/>
      <c r="S347" s="4"/>
      <c r="T347" s="504"/>
      <c r="U347" s="504"/>
      <c r="V347" s="504"/>
      <c r="W347" s="504"/>
      <c r="X347" s="504"/>
      <c r="Y347" s="4"/>
      <c r="Z347" s="4"/>
      <c r="AA347" s="4"/>
      <c r="AB347" s="504"/>
      <c r="AC347" s="504"/>
      <c r="AF347" s="763"/>
      <c r="AI347" s="763"/>
      <c r="AK347" s="763"/>
      <c r="AM347" s="776"/>
    </row>
    <row r="348" spans="1:39">
      <c r="A348" s="447"/>
      <c r="B348" s="447"/>
      <c r="C348" s="447"/>
      <c r="D348" s="447"/>
      <c r="E348" s="385"/>
      <c r="F348" s="447"/>
      <c r="G348" s="1313" t="str">
        <f>G8</f>
        <v>Current Approved Revenue</v>
      </c>
      <c r="H348" s="1313"/>
      <c r="I348" s="1313"/>
      <c r="J348" s="1313"/>
      <c r="K348" s="447"/>
      <c r="L348" s="1313" t="str">
        <f>L8</f>
        <v>Adjustments to 2023 Base Rates</v>
      </c>
      <c r="M348" s="1313"/>
      <c r="N348" s="1313"/>
      <c r="O348" s="1313"/>
      <c r="P348" s="1313"/>
      <c r="Q348" s="256"/>
      <c r="R348" s="447"/>
      <c r="S348" s="1313" t="str">
        <f>S8</f>
        <v>Adjustments to 2024 Base Rates</v>
      </c>
      <c r="T348" s="1313"/>
      <c r="U348" s="1313"/>
      <c r="V348" s="1313"/>
      <c r="W348" s="1313"/>
      <c r="X348" s="1313"/>
      <c r="Y348" s="447"/>
      <c r="Z348" s="1313" t="str">
        <f>Z8</f>
        <v>2024 Proposed Revenue</v>
      </c>
      <c r="AA348" s="1313"/>
      <c r="AB348" s="1313"/>
      <c r="AC348" s="1313"/>
      <c r="AD348" s="4"/>
      <c r="AF348" s="763"/>
      <c r="AI348" s="763"/>
      <c r="AK348" s="763"/>
      <c r="AM348" s="776"/>
    </row>
    <row r="349" spans="1:39" ht="38.25">
      <c r="A349" s="254" t="s">
        <v>1</v>
      </c>
      <c r="B349" s="254"/>
      <c r="C349" s="254"/>
      <c r="D349" s="254"/>
      <c r="E349" s="4" t="s">
        <v>670</v>
      </c>
      <c r="F349" s="254"/>
      <c r="G349" s="13" t="s">
        <v>684</v>
      </c>
      <c r="H349" s="254"/>
      <c r="I349" s="13" t="s">
        <v>196</v>
      </c>
      <c r="J349" s="13" t="s">
        <v>503</v>
      </c>
      <c r="K349" s="254"/>
      <c r="L349" s="13" t="s">
        <v>505</v>
      </c>
      <c r="M349" s="13" t="s">
        <v>685</v>
      </c>
      <c r="N349" s="254" t="s">
        <v>686</v>
      </c>
      <c r="O349" s="254" t="s">
        <v>508</v>
      </c>
      <c r="P349" s="254" t="s">
        <v>687</v>
      </c>
      <c r="Q349" s="254" t="s">
        <v>688</v>
      </c>
      <c r="R349" s="254"/>
      <c r="S349" s="254" t="s">
        <v>689</v>
      </c>
      <c r="T349" s="13" t="s">
        <v>505</v>
      </c>
      <c r="U349" s="13" t="s">
        <v>685</v>
      </c>
      <c r="V349" s="254" t="s">
        <v>686</v>
      </c>
      <c r="W349" s="254" t="s">
        <v>508</v>
      </c>
      <c r="X349" s="254" t="s">
        <v>687</v>
      </c>
      <c r="Y349" s="254"/>
      <c r="Z349" s="13" t="s">
        <v>690</v>
      </c>
      <c r="AA349" s="13" t="s">
        <v>691</v>
      </c>
      <c r="AB349" s="13" t="s">
        <v>692</v>
      </c>
      <c r="AC349" s="254" t="s">
        <v>693</v>
      </c>
      <c r="AD349" s="254"/>
      <c r="AF349" s="763"/>
      <c r="AI349" s="763"/>
      <c r="AK349" s="763"/>
      <c r="AM349" s="776"/>
    </row>
    <row r="350" spans="1:39" ht="14.25">
      <c r="A350" s="255" t="s">
        <v>2</v>
      </c>
      <c r="B350" s="256"/>
      <c r="C350" s="449" t="s">
        <v>3</v>
      </c>
      <c r="D350" s="256"/>
      <c r="E350" s="255" t="s">
        <v>4</v>
      </c>
      <c r="F350" s="256"/>
      <c r="G350" s="255" t="s">
        <v>694</v>
      </c>
      <c r="H350" s="256"/>
      <c r="I350" s="255" t="s">
        <v>77</v>
      </c>
      <c r="J350" s="255" t="s">
        <v>20</v>
      </c>
      <c r="K350" s="256"/>
      <c r="L350" s="255" t="s">
        <v>20</v>
      </c>
      <c r="M350" s="255" t="s">
        <v>20</v>
      </c>
      <c r="N350" s="255" t="s">
        <v>20</v>
      </c>
      <c r="O350" s="255" t="s">
        <v>20</v>
      </c>
      <c r="P350" s="255" t="s">
        <v>20</v>
      </c>
      <c r="Q350" s="255" t="s">
        <v>20</v>
      </c>
      <c r="R350" s="256"/>
      <c r="S350" s="255" t="s">
        <v>20</v>
      </c>
      <c r="T350" s="255" t="s">
        <v>20</v>
      </c>
      <c r="U350" s="255" t="s">
        <v>20</v>
      </c>
      <c r="V350" s="255" t="s">
        <v>20</v>
      </c>
      <c r="W350" s="255" t="s">
        <v>20</v>
      </c>
      <c r="X350" s="255" t="s">
        <v>20</v>
      </c>
      <c r="Y350" s="256"/>
      <c r="Z350" s="255" t="s">
        <v>20</v>
      </c>
      <c r="AA350" s="255" t="s">
        <v>77</v>
      </c>
      <c r="AB350" s="255" t="s">
        <v>20</v>
      </c>
      <c r="AC350" s="255" t="s">
        <v>76</v>
      </c>
      <c r="AD350" s="4"/>
      <c r="AF350" s="763"/>
      <c r="AI350" s="763"/>
      <c r="AK350" s="763"/>
      <c r="AM350" s="776"/>
    </row>
    <row r="351" spans="1:39">
      <c r="A351" s="4"/>
      <c r="B351" s="256"/>
      <c r="C351" s="256"/>
      <c r="D351" s="256"/>
      <c r="E351" s="4"/>
      <c r="F351" s="256"/>
      <c r="G351" s="4" t="s">
        <v>8</v>
      </c>
      <c r="H351" s="4"/>
      <c r="I351" s="4" t="s">
        <v>9</v>
      </c>
      <c r="J351" s="4" t="s">
        <v>370</v>
      </c>
      <c r="K351" s="4"/>
      <c r="L351" s="132" t="s">
        <v>79</v>
      </c>
      <c r="M351" s="132" t="s">
        <v>115</v>
      </c>
      <c r="N351" s="132" t="s">
        <v>81</v>
      </c>
      <c r="O351" s="132" t="s">
        <v>82</v>
      </c>
      <c r="P351" s="4" t="s">
        <v>118</v>
      </c>
      <c r="Q351" s="4" t="s">
        <v>695</v>
      </c>
      <c r="R351" s="4"/>
      <c r="S351" s="4" t="s">
        <v>696</v>
      </c>
      <c r="T351" s="4" t="s">
        <v>517</v>
      </c>
      <c r="U351" s="4" t="s">
        <v>518</v>
      </c>
      <c r="V351" s="4" t="s">
        <v>519</v>
      </c>
      <c r="W351" s="4" t="s">
        <v>697</v>
      </c>
      <c r="X351" s="4" t="s">
        <v>698</v>
      </c>
      <c r="Y351" s="4"/>
      <c r="Z351" s="4" t="s">
        <v>725</v>
      </c>
      <c r="AA351" s="4" t="s">
        <v>700</v>
      </c>
      <c r="AB351" s="4" t="s">
        <v>701</v>
      </c>
      <c r="AC351" s="4" t="s">
        <v>702</v>
      </c>
      <c r="AD351" s="4"/>
      <c r="AF351" s="763"/>
      <c r="AI351" s="763"/>
      <c r="AK351" s="763"/>
      <c r="AM351" s="776"/>
    </row>
    <row r="352" spans="1:39">
      <c r="A352" s="4"/>
      <c r="B352" s="256"/>
      <c r="C352" s="9"/>
      <c r="D352" s="256"/>
      <c r="E352" s="742"/>
      <c r="F352" s="256"/>
      <c r="G352" s="35"/>
      <c r="H352" s="256"/>
      <c r="I352" s="256"/>
      <c r="J352" s="256"/>
      <c r="K352" s="256"/>
      <c r="L352" s="504"/>
      <c r="M352" s="504"/>
      <c r="N352" s="504"/>
      <c r="O352" s="504"/>
      <c r="P352" s="504"/>
      <c r="Q352" s="504"/>
      <c r="R352" s="256"/>
      <c r="S352" s="256"/>
      <c r="T352" s="504"/>
      <c r="U352" s="504"/>
      <c r="V352" s="504"/>
      <c r="W352" s="504"/>
      <c r="X352" s="504"/>
      <c r="Y352" s="256"/>
      <c r="Z352" s="256"/>
      <c r="AA352" s="256"/>
      <c r="AB352" s="504"/>
      <c r="AC352" s="504"/>
      <c r="AI352" s="763"/>
    </row>
    <row r="353" spans="1:39">
      <c r="A353" s="4"/>
      <c r="B353" s="256"/>
      <c r="C353" s="6" t="s">
        <v>175</v>
      </c>
      <c r="D353" s="256"/>
      <c r="E353" s="742"/>
      <c r="F353" s="256"/>
      <c r="G353" s="35"/>
      <c r="H353" s="256"/>
      <c r="I353" s="256"/>
      <c r="J353" s="256"/>
      <c r="K353" s="256"/>
      <c r="L353" s="504"/>
      <c r="M353" s="504"/>
      <c r="N353" s="504"/>
      <c r="O353" s="504"/>
      <c r="P353" s="504"/>
      <c r="Q353" s="504"/>
      <c r="R353" s="256"/>
      <c r="S353" s="256"/>
      <c r="T353" s="504"/>
      <c r="U353" s="504"/>
      <c r="V353" s="504"/>
      <c r="W353" s="504"/>
      <c r="X353" s="504"/>
      <c r="Y353" s="256"/>
      <c r="Z353" s="256"/>
      <c r="AA353" s="256"/>
      <c r="AB353" s="504"/>
      <c r="AC353" s="504"/>
    </row>
    <row r="354" spans="1:39">
      <c r="A354" s="4">
        <v>160</v>
      </c>
      <c r="B354" s="256"/>
      <c r="C354" s="9" t="s">
        <v>200</v>
      </c>
      <c r="D354" s="256"/>
      <c r="E354" s="36" t="s">
        <v>704</v>
      </c>
      <c r="F354" s="256"/>
      <c r="G354" s="35">
        <v>756.00000000000398</v>
      </c>
      <c r="H354" s="256"/>
      <c r="I354" s="778">
        <v>1090.76</v>
      </c>
      <c r="J354" s="750">
        <f>G354*I354/1000</f>
        <v>824.61456000000442</v>
      </c>
      <c r="K354" s="256"/>
      <c r="L354" s="35">
        <v>0</v>
      </c>
      <c r="M354" s="35">
        <v>0</v>
      </c>
      <c r="N354" s="35">
        <v>0</v>
      </c>
      <c r="O354" s="35">
        <v>0</v>
      </c>
      <c r="P354" s="35">
        <v>0</v>
      </c>
      <c r="Q354" s="753">
        <f>J354-L354-M354-N354-O354-P354</f>
        <v>824.61456000000442</v>
      </c>
      <c r="R354" s="256"/>
      <c r="S354" s="35">
        <v>22.235877124885178</v>
      </c>
      <c r="T354" s="35">
        <v>0</v>
      </c>
      <c r="U354" s="35">
        <v>0</v>
      </c>
      <c r="V354" s="35">
        <v>0</v>
      </c>
      <c r="W354" s="35">
        <v>0</v>
      </c>
      <c r="X354" s="35">
        <v>0</v>
      </c>
      <c r="Y354" s="750"/>
      <c r="Z354" s="750">
        <f>Q354+S354+T354+U354+V354+W354+X354</f>
        <v>846.85043712488959</v>
      </c>
      <c r="AA354" s="811">
        <f>Z354/G354*1000</f>
        <v>1120.1725358794777</v>
      </c>
      <c r="AB354" s="753">
        <f>Z354-J354</f>
        <v>22.235877124885178</v>
      </c>
      <c r="AC354" s="770">
        <f>AA354/I354-1</f>
        <v>2.696517646363783E-2</v>
      </c>
      <c r="AD354" s="769"/>
      <c r="AF354" s="763"/>
      <c r="AI354" s="763"/>
      <c r="AK354" s="763"/>
      <c r="AM354" s="776"/>
    </row>
    <row r="355" spans="1:39">
      <c r="C355" s="9" t="s">
        <v>221</v>
      </c>
      <c r="E355" s="36"/>
      <c r="G355" s="35"/>
      <c r="J355" s="752"/>
      <c r="L355" s="762"/>
      <c r="M355" s="762"/>
      <c r="N355" s="762"/>
      <c r="O355" s="762"/>
      <c r="P355" s="762"/>
      <c r="Q355" s="753"/>
      <c r="S355" s="35"/>
      <c r="T355" s="753"/>
      <c r="U355" s="753"/>
      <c r="V355" s="753"/>
      <c r="W355" s="753"/>
      <c r="X355" s="753"/>
      <c r="Y355" s="752"/>
      <c r="Z355" s="750"/>
      <c r="AA355" s="862"/>
      <c r="AB355" s="753"/>
      <c r="AC355" s="770"/>
      <c r="AD355" s="769"/>
      <c r="AF355" s="763"/>
      <c r="AI355" s="763"/>
      <c r="AK355" s="763"/>
      <c r="AM355" s="776"/>
    </row>
    <row r="356" spans="1:39">
      <c r="A356" s="4">
        <v>161</v>
      </c>
      <c r="B356" s="256"/>
      <c r="C356" s="519" t="s">
        <v>765</v>
      </c>
      <c r="D356" s="256"/>
      <c r="E356" s="513" t="s">
        <v>675</v>
      </c>
      <c r="F356" s="256"/>
      <c r="G356" s="35">
        <v>25506.168000000001</v>
      </c>
      <c r="H356" s="256"/>
      <c r="I356" s="861">
        <v>34.796800000000005</v>
      </c>
      <c r="J356" s="750">
        <f>G356*I356/100</f>
        <v>8875.3302666240015</v>
      </c>
      <c r="K356" s="256"/>
      <c r="L356" s="35">
        <v>476.40420590399998</v>
      </c>
      <c r="M356" s="35">
        <v>0</v>
      </c>
      <c r="N356" s="35">
        <v>0</v>
      </c>
      <c r="O356" s="35">
        <v>0</v>
      </c>
      <c r="P356" s="35">
        <v>0</v>
      </c>
      <c r="Q356" s="753">
        <f>J356-L356-M356-N356-O356-P356</f>
        <v>8398.9260607200013</v>
      </c>
      <c r="R356" s="256"/>
      <c r="S356" s="35">
        <v>226.47852333236187</v>
      </c>
      <c r="T356" s="35">
        <v>338.12516062253968</v>
      </c>
      <c r="U356" s="35">
        <v>0</v>
      </c>
      <c r="V356" s="35">
        <v>0</v>
      </c>
      <c r="W356" s="35">
        <v>0</v>
      </c>
      <c r="X356" s="35">
        <v>0</v>
      </c>
      <c r="Y356" s="750"/>
      <c r="Z356" s="750">
        <f>Q356+S356+T356+U356+V356+W356+X356</f>
        <v>8963.5297446749028</v>
      </c>
      <c r="AA356" s="792">
        <f>Z356/G356*100</f>
        <v>35.142596663971247</v>
      </c>
      <c r="AB356" s="753">
        <f>Z356-J356</f>
        <v>88.199478050901234</v>
      </c>
      <c r="AC356" s="770"/>
      <c r="AD356" s="769"/>
      <c r="AF356" s="763"/>
      <c r="AI356" s="763"/>
      <c r="AK356" s="763"/>
      <c r="AM356" s="776"/>
    </row>
    <row r="357" spans="1:39">
      <c r="A357" s="4">
        <v>162</v>
      </c>
      <c r="B357" s="256"/>
      <c r="C357" s="519" t="s">
        <v>766</v>
      </c>
      <c r="D357" s="256"/>
      <c r="E357" s="513" t="s">
        <v>675</v>
      </c>
      <c r="F357" s="256"/>
      <c r="G357" s="35">
        <v>66225.600000000006</v>
      </c>
      <c r="H357" s="256"/>
      <c r="I357" s="861">
        <v>20.462300000000003</v>
      </c>
      <c r="J357" s="750">
        <f>G357*I357/100</f>
        <v>13551.280948800002</v>
      </c>
      <c r="K357" s="256"/>
      <c r="L357" s="35">
        <v>727.42199040000003</v>
      </c>
      <c r="M357" s="35">
        <v>0</v>
      </c>
      <c r="N357" s="35">
        <v>0</v>
      </c>
      <c r="O357" s="35">
        <v>0</v>
      </c>
      <c r="P357" s="35">
        <v>0</v>
      </c>
      <c r="Q357" s="753">
        <f>J357-L357-M357-N357-O357-P357</f>
        <v>12823.858958400002</v>
      </c>
      <c r="R357" s="256"/>
      <c r="S357" s="35">
        <v>345.79761975805923</v>
      </c>
      <c r="T357" s="35">
        <v>516.26575122337101</v>
      </c>
      <c r="U357" s="35">
        <v>0</v>
      </c>
      <c r="V357" s="35">
        <v>0</v>
      </c>
      <c r="W357" s="35">
        <v>0</v>
      </c>
      <c r="X357" s="35">
        <v>0</v>
      </c>
      <c r="Y357" s="750"/>
      <c r="Z357" s="750">
        <f>Q357+S357+T357+U357+V357+W357+X357</f>
        <v>13685.922329381432</v>
      </c>
      <c r="AA357" s="792">
        <f>Z357/G357*100</f>
        <v>20.66560715098305</v>
      </c>
      <c r="AB357" s="753">
        <f>Z357-J357</f>
        <v>134.64138058142998</v>
      </c>
      <c r="AC357" s="770"/>
      <c r="AD357" s="769"/>
      <c r="AF357" s="763"/>
      <c r="AI357" s="763"/>
      <c r="AK357" s="763"/>
      <c r="AM357" s="776"/>
    </row>
    <row r="358" spans="1:39">
      <c r="A358" s="4">
        <v>163</v>
      </c>
      <c r="B358" s="256"/>
      <c r="C358" s="512" t="s">
        <v>726</v>
      </c>
      <c r="D358" s="256"/>
      <c r="E358" s="36"/>
      <c r="F358" s="256"/>
      <c r="G358" s="137">
        <f>SUM(G356:G357)</f>
        <v>91731.768000000011</v>
      </c>
      <c r="H358" s="256"/>
      <c r="I358" s="806">
        <f>J358/G358*100</f>
        <v>24.44803115036876</v>
      </c>
      <c r="J358" s="808">
        <f>SUM(J356:J357)</f>
        <v>22426.611215424004</v>
      </c>
      <c r="K358" s="256"/>
      <c r="L358" s="807">
        <f t="shared" ref="L358:Q358" si="102">SUM(L356:L357)</f>
        <v>1203.826196304</v>
      </c>
      <c r="M358" s="807">
        <f t="shared" si="102"/>
        <v>0</v>
      </c>
      <c r="N358" s="807">
        <f t="shared" si="102"/>
        <v>0</v>
      </c>
      <c r="O358" s="807">
        <f t="shared" si="102"/>
        <v>0</v>
      </c>
      <c r="P358" s="807">
        <f t="shared" si="102"/>
        <v>0</v>
      </c>
      <c r="Q358" s="808">
        <f t="shared" si="102"/>
        <v>21222.785019120005</v>
      </c>
      <c r="R358" s="795"/>
      <c r="S358" s="420">
        <f t="shared" ref="S358:X358" si="103">SUM(S356:S357)</f>
        <v>572.2761430904211</v>
      </c>
      <c r="T358" s="420">
        <f t="shared" si="103"/>
        <v>854.39091184591075</v>
      </c>
      <c r="U358" s="807">
        <f t="shared" si="103"/>
        <v>0</v>
      </c>
      <c r="V358" s="807">
        <f t="shared" si="103"/>
        <v>0</v>
      </c>
      <c r="W358" s="807">
        <f t="shared" si="103"/>
        <v>0</v>
      </c>
      <c r="X358" s="807">
        <f t="shared" si="103"/>
        <v>0</v>
      </c>
      <c r="Y358" s="750"/>
      <c r="Z358" s="808">
        <f>SUM(Z356:Z357)</f>
        <v>22649.452074056335</v>
      </c>
      <c r="AA358" s="806">
        <f>Z358/G358*100</f>
        <v>24.690957743293833</v>
      </c>
      <c r="AB358" s="842">
        <f>SUM(AB356:AB357)</f>
        <v>222.84085863233122</v>
      </c>
      <c r="AC358" s="804">
        <f>AA358/I358-1</f>
        <v>9.9364481103179081E-3</v>
      </c>
      <c r="AD358" s="769"/>
      <c r="AF358" s="763"/>
      <c r="AI358" s="763"/>
      <c r="AK358" s="763"/>
      <c r="AM358" s="776"/>
    </row>
    <row r="359" spans="1:39">
      <c r="A359" s="4"/>
      <c r="C359" s="7"/>
      <c r="G359" s="135"/>
      <c r="J359" s="752"/>
      <c r="L359" s="762"/>
      <c r="M359" s="762"/>
      <c r="N359" s="762"/>
      <c r="O359" s="762"/>
      <c r="P359" s="762"/>
      <c r="Q359" s="504"/>
      <c r="T359" s="504"/>
      <c r="U359" s="504"/>
      <c r="V359" s="504"/>
      <c r="W359" s="504"/>
      <c r="X359" s="504"/>
      <c r="AA359" s="793"/>
      <c r="AB359" s="504"/>
      <c r="AC359" s="504"/>
      <c r="AF359" s="763"/>
      <c r="AI359" s="763"/>
      <c r="AK359" s="763"/>
      <c r="AM359" s="776"/>
    </row>
    <row r="360" spans="1:39">
      <c r="A360" s="4"/>
      <c r="B360" s="256"/>
      <c r="C360" s="512" t="s">
        <v>705</v>
      </c>
      <c r="D360" s="256"/>
      <c r="E360" s="134"/>
      <c r="F360" s="256"/>
      <c r="G360" s="749"/>
      <c r="H360" s="256"/>
      <c r="I360" s="256"/>
      <c r="J360" s="750"/>
      <c r="K360" s="256"/>
      <c r="L360" s="762"/>
      <c r="M360" s="762"/>
      <c r="N360" s="762"/>
      <c r="O360" s="762"/>
      <c r="P360" s="762"/>
      <c r="Q360" s="504"/>
      <c r="R360" s="256"/>
      <c r="S360" s="256"/>
      <c r="T360" s="504"/>
      <c r="U360" s="504"/>
      <c r="V360" s="504"/>
      <c r="W360" s="504"/>
      <c r="X360" s="504"/>
      <c r="Y360" s="256"/>
      <c r="Z360" s="256"/>
      <c r="AA360" s="792"/>
      <c r="AB360" s="840"/>
      <c r="AC360" s="504"/>
      <c r="AF360" s="763"/>
      <c r="AI360" s="763"/>
      <c r="AK360" s="763"/>
      <c r="AM360" s="776"/>
    </row>
    <row r="361" spans="1:39">
      <c r="A361" s="4">
        <v>164</v>
      </c>
      <c r="B361" s="256"/>
      <c r="C361" s="519" t="s">
        <v>767</v>
      </c>
      <c r="D361" s="256"/>
      <c r="E361" s="36" t="s">
        <v>674</v>
      </c>
      <c r="F361" s="256"/>
      <c r="G361" s="35">
        <v>338478.94474000001</v>
      </c>
      <c r="H361" s="256"/>
      <c r="I361" s="861">
        <v>0.77600000000000002</v>
      </c>
      <c r="J361" s="750">
        <f>G361*I361/100</f>
        <v>2626.5966111824005</v>
      </c>
      <c r="K361" s="256"/>
      <c r="L361" s="35">
        <v>310.72367127132003</v>
      </c>
      <c r="M361" s="35">
        <v>71.733497582074222</v>
      </c>
      <c r="N361" s="35">
        <v>24.032005076540003</v>
      </c>
      <c r="O361" s="35">
        <v>0</v>
      </c>
      <c r="P361" s="35">
        <v>0</v>
      </c>
      <c r="Q361" s="753">
        <f>J361-L361-M361-N361-O361-P361</f>
        <v>2220.1074372524663</v>
      </c>
      <c r="R361" s="256"/>
      <c r="S361" s="35">
        <v>59.865588813747308</v>
      </c>
      <c r="T361" s="35">
        <v>196.90814472516561</v>
      </c>
      <c r="U361" s="35">
        <v>69.744948399076549</v>
      </c>
      <c r="V361" s="35">
        <v>22.526966290017398</v>
      </c>
      <c r="W361" s="35">
        <v>0</v>
      </c>
      <c r="X361" s="35">
        <v>0</v>
      </c>
      <c r="Y361" s="750"/>
      <c r="Z361" s="750">
        <f>Q361+S361+T361+U361+V361+W361+X361</f>
        <v>2569.1530854804732</v>
      </c>
      <c r="AA361" s="792">
        <f>Z361/G361*100</f>
        <v>0.75902892200693561</v>
      </c>
      <c r="AB361" s="871">
        <f>Z361-J361</f>
        <v>-57.443525701927229</v>
      </c>
      <c r="AC361" s="770"/>
      <c r="AD361" s="769"/>
      <c r="AF361" s="763"/>
      <c r="AI361" s="763"/>
      <c r="AK361" s="763"/>
      <c r="AM361" s="776"/>
    </row>
    <row r="362" spans="1:39">
      <c r="A362" s="4">
        <v>165</v>
      </c>
      <c r="B362" s="256"/>
      <c r="C362" s="519" t="s">
        <v>768</v>
      </c>
      <c r="D362" s="256"/>
      <c r="E362" s="36" t="s">
        <v>674</v>
      </c>
      <c r="F362" s="256"/>
      <c r="G362" s="35">
        <v>590622.16051000007</v>
      </c>
      <c r="H362" s="256"/>
      <c r="I362" s="861">
        <v>0.5645</v>
      </c>
      <c r="J362" s="750">
        <f>G362*I362/100</f>
        <v>3334.0620960789506</v>
      </c>
      <c r="K362" s="256"/>
      <c r="L362" s="35">
        <v>394.53560322068006</v>
      </c>
      <c r="M362" s="35">
        <v>125.16995216765321</v>
      </c>
      <c r="N362" s="35">
        <v>41.934173396210007</v>
      </c>
      <c r="O362" s="35">
        <v>0</v>
      </c>
      <c r="P362" s="35">
        <v>0</v>
      </c>
      <c r="Q362" s="753">
        <f>J362-L362-M362-N362-O362-P362</f>
        <v>2772.4223672944072</v>
      </c>
      <c r="R362" s="256"/>
      <c r="S362" s="35">
        <v>74.758858365830292</v>
      </c>
      <c r="T362" s="35">
        <v>252.60993253334425</v>
      </c>
      <c r="U362" s="35">
        <v>121.70007248091335</v>
      </c>
      <c r="V362" s="35">
        <v>39.307985641960954</v>
      </c>
      <c r="W362" s="35">
        <v>0</v>
      </c>
      <c r="X362" s="35">
        <v>0</v>
      </c>
      <c r="Y362" s="750"/>
      <c r="Z362" s="750">
        <f>Q362+S362+T362+U362+V362+W362+X362</f>
        <v>3260.7992163164558</v>
      </c>
      <c r="AA362" s="792">
        <f>Z362/G362*100</f>
        <v>0.55209564326214378</v>
      </c>
      <c r="AB362" s="871">
        <f>Z362-J362</f>
        <v>-73.262879762494777</v>
      </c>
      <c r="AC362" s="770"/>
      <c r="AD362" s="769"/>
      <c r="AF362" s="763"/>
      <c r="AI362" s="763"/>
      <c r="AK362" s="763"/>
      <c r="AM362" s="776"/>
    </row>
    <row r="363" spans="1:39">
      <c r="A363" s="4">
        <v>166</v>
      </c>
      <c r="B363" s="256"/>
      <c r="C363" s="512" t="s">
        <v>705</v>
      </c>
      <c r="D363" s="256"/>
      <c r="E363" s="36"/>
      <c r="F363" s="256"/>
      <c r="G363" s="137">
        <f>SUM(G361:G362)</f>
        <v>929101.10525000002</v>
      </c>
      <c r="H363" s="256"/>
      <c r="I363" s="806">
        <f>J363/G363*100</f>
        <v>0.64155113728526603</v>
      </c>
      <c r="J363" s="808">
        <f>SUM(J361:J362)</f>
        <v>5960.6587072613511</v>
      </c>
      <c r="K363" s="256"/>
      <c r="L363" s="420">
        <f t="shared" ref="L363:Q363" si="104">SUM(L361:L362)</f>
        <v>705.25927449200003</v>
      </c>
      <c r="M363" s="807">
        <f t="shared" si="104"/>
        <v>196.90344974972743</v>
      </c>
      <c r="N363" s="807">
        <f t="shared" si="104"/>
        <v>65.966178472750016</v>
      </c>
      <c r="O363" s="807">
        <f t="shared" si="104"/>
        <v>0</v>
      </c>
      <c r="P363" s="807">
        <f t="shared" si="104"/>
        <v>0</v>
      </c>
      <c r="Q363" s="808">
        <f t="shared" si="104"/>
        <v>4992.5298045468735</v>
      </c>
      <c r="R363" s="795"/>
      <c r="S363" s="807">
        <f t="shared" ref="S363:X363" si="105">SUM(S361:S362)</f>
        <v>134.6244471795776</v>
      </c>
      <c r="T363" s="420">
        <f t="shared" si="105"/>
        <v>449.51807725850983</v>
      </c>
      <c r="U363" s="873">
        <f t="shared" si="105"/>
        <v>191.4450208799899</v>
      </c>
      <c r="V363" s="873">
        <f t="shared" si="105"/>
        <v>61.834951931978352</v>
      </c>
      <c r="W363" s="807">
        <f t="shared" si="105"/>
        <v>0</v>
      </c>
      <c r="X363" s="807">
        <f t="shared" si="105"/>
        <v>0</v>
      </c>
      <c r="Y363" s="750"/>
      <c r="Z363" s="808">
        <f>SUM(Z361:Z362)</f>
        <v>5829.9523017969295</v>
      </c>
      <c r="AA363" s="806">
        <f>Z363/G363*100</f>
        <v>0.6274830875621682</v>
      </c>
      <c r="AB363" s="872">
        <f>SUM(AB361:AB362)</f>
        <v>-130.70640546442201</v>
      </c>
      <c r="AC363" s="816">
        <f>AA363/I363-1</f>
        <v>-2.1928181411425718E-2</v>
      </c>
      <c r="AD363" s="769"/>
      <c r="AF363" s="763"/>
      <c r="AI363" s="763"/>
      <c r="AK363" s="763"/>
      <c r="AM363" s="776"/>
    </row>
    <row r="364" spans="1:39">
      <c r="A364" s="4"/>
      <c r="C364" s="7"/>
      <c r="E364" s="36"/>
      <c r="G364" s="35"/>
      <c r="J364" s="752"/>
      <c r="L364" s="762"/>
      <c r="M364" s="762"/>
      <c r="N364" s="762"/>
      <c r="O364" s="762"/>
      <c r="P364" s="762"/>
      <c r="Q364" s="504"/>
      <c r="T364" s="504"/>
      <c r="U364" s="504"/>
      <c r="V364" s="504"/>
      <c r="W364" s="504"/>
      <c r="X364" s="504"/>
      <c r="AA364" s="793"/>
      <c r="AB364" s="504"/>
      <c r="AC364" s="504"/>
      <c r="AF364" s="763"/>
      <c r="AI364" s="763"/>
      <c r="AK364" s="763"/>
      <c r="AM364" s="776"/>
    </row>
    <row r="365" spans="1:39">
      <c r="A365" s="4">
        <v>167</v>
      </c>
      <c r="B365" s="256"/>
      <c r="C365" s="512" t="s">
        <v>769</v>
      </c>
      <c r="D365" s="256"/>
      <c r="E365" s="36" t="s">
        <v>674</v>
      </c>
      <c r="F365" s="256"/>
      <c r="G365" s="35">
        <v>18115.468199999999</v>
      </c>
      <c r="H365" s="256"/>
      <c r="I365" s="861">
        <v>0.5645</v>
      </c>
      <c r="J365" s="750">
        <f>G365*I365/100</f>
        <v>102.26181798899999</v>
      </c>
      <c r="K365" s="256"/>
      <c r="L365" s="35">
        <v>16.629999807600001</v>
      </c>
      <c r="M365" s="35">
        <v>0</v>
      </c>
      <c r="N365" s="35">
        <v>1.2861982422</v>
      </c>
      <c r="O365" s="35">
        <v>0</v>
      </c>
      <c r="P365" s="35">
        <v>0</v>
      </c>
      <c r="Q365" s="753">
        <f>J365-L365-M365-N365-O365-P365</f>
        <v>84.345619939199992</v>
      </c>
      <c r="R365" s="771"/>
      <c r="S365" s="35">
        <v>2.2743945255954543</v>
      </c>
      <c r="T365" s="35">
        <v>10.538567581595844</v>
      </c>
      <c r="U365" s="35">
        <v>0</v>
      </c>
      <c r="V365" s="35">
        <v>1.2056482325148781</v>
      </c>
      <c r="W365" s="35">
        <v>0</v>
      </c>
      <c r="X365" s="35">
        <v>0</v>
      </c>
      <c r="Y365" s="771"/>
      <c r="Z365" s="750">
        <f>Q365+S365+T365+U365+V365+W365+X365</f>
        <v>98.364230278906163</v>
      </c>
      <c r="AA365" s="792">
        <f>Z365/G365*100</f>
        <v>0.54298475310125394</v>
      </c>
      <c r="AB365" s="871">
        <f>Z365-J365</f>
        <v>-3.8975877100938305</v>
      </c>
      <c r="AC365" s="785">
        <f>AA365/I365-1</f>
        <v>-3.8113812043837125E-2</v>
      </c>
      <c r="AD365" s="769"/>
      <c r="AF365" s="763"/>
      <c r="AI365" s="763"/>
      <c r="AK365" s="763"/>
      <c r="AM365" s="776"/>
    </row>
    <row r="366" spans="1:39">
      <c r="A366" s="4">
        <v>168</v>
      </c>
      <c r="B366" s="256"/>
      <c r="C366" s="519" t="s">
        <v>770</v>
      </c>
      <c r="D366" s="256"/>
      <c r="E366" s="36" t="s">
        <v>704</v>
      </c>
      <c r="F366" s="256"/>
      <c r="G366" s="35">
        <v>456.00000000000375</v>
      </c>
      <c r="H366" s="256"/>
      <c r="I366" s="778">
        <v>248.07</v>
      </c>
      <c r="J366" s="750">
        <f>G366*I366/1000</f>
        <v>113.11992000000093</v>
      </c>
      <c r="K366" s="256"/>
      <c r="L366" s="35">
        <v>0</v>
      </c>
      <c r="M366" s="35">
        <v>0</v>
      </c>
      <c r="N366" s="35">
        <v>0</v>
      </c>
      <c r="O366" s="35">
        <v>0</v>
      </c>
      <c r="P366" s="35">
        <v>0</v>
      </c>
      <c r="Q366" s="753">
        <f>J366-L366-M366-N366-O366-P366</f>
        <v>113.11992000000093</v>
      </c>
      <c r="R366" s="771"/>
      <c r="S366" s="35">
        <v>3.0502986043526192</v>
      </c>
      <c r="T366" s="35">
        <v>0</v>
      </c>
      <c r="U366" s="35">
        <v>0</v>
      </c>
      <c r="V366" s="35">
        <v>0</v>
      </c>
      <c r="W366" s="35">
        <v>0</v>
      </c>
      <c r="X366" s="35">
        <v>0</v>
      </c>
      <c r="Y366" s="771"/>
      <c r="Z366" s="750">
        <f>Q366+S366+T366+U366+V366+W366+X366</f>
        <v>116.17021860435355</v>
      </c>
      <c r="AA366" s="811">
        <f>Z366/G366*1000</f>
        <v>254.75925132533462</v>
      </c>
      <c r="AB366" s="753">
        <f>Z366-J366</f>
        <v>3.0502986043526192</v>
      </c>
      <c r="AC366" s="785">
        <f>AA366/I366-1</f>
        <v>2.696517646363783E-2</v>
      </c>
      <c r="AD366" s="769"/>
      <c r="AF366" s="763"/>
      <c r="AI366" s="763"/>
      <c r="AK366" s="763"/>
      <c r="AM366" s="776"/>
    </row>
    <row r="367" spans="1:39">
      <c r="A367" s="4"/>
      <c r="B367" s="256"/>
      <c r="C367" s="7"/>
      <c r="D367" s="256"/>
      <c r="E367" s="36"/>
      <c r="F367" s="256"/>
      <c r="G367" s="453"/>
      <c r="H367" s="256"/>
      <c r="I367" s="256"/>
      <c r="J367" s="750"/>
      <c r="K367" s="256"/>
      <c r="L367" s="762"/>
      <c r="M367" s="762"/>
      <c r="N367" s="762"/>
      <c r="O367" s="762"/>
      <c r="P367" s="762"/>
      <c r="Q367" s="762"/>
      <c r="R367" s="771"/>
      <c r="S367" s="771"/>
      <c r="T367" s="762"/>
      <c r="U367" s="762"/>
      <c r="V367" s="762"/>
      <c r="W367" s="762"/>
      <c r="X367" s="762"/>
      <c r="Y367" s="771"/>
      <c r="Z367" s="771"/>
      <c r="AA367" s="771"/>
      <c r="AB367" s="762"/>
      <c r="AC367" s="770"/>
      <c r="AD367" s="769"/>
      <c r="AF367" s="763"/>
      <c r="AI367" s="763"/>
      <c r="AK367" s="763"/>
      <c r="AM367" s="776"/>
    </row>
    <row r="368" spans="1:39">
      <c r="A368" s="4">
        <v>169</v>
      </c>
      <c r="B368" s="256"/>
      <c r="C368" s="7" t="s">
        <v>710</v>
      </c>
      <c r="D368" s="256"/>
      <c r="E368" s="36"/>
      <c r="F368" s="256"/>
      <c r="G368" s="137">
        <f>G363</f>
        <v>929101.10525000002</v>
      </c>
      <c r="H368" s="256"/>
      <c r="I368" s="806">
        <f>J368/G368*100</f>
        <v>3.1672835232238961</v>
      </c>
      <c r="J368" s="808">
        <f>J354+J358+J363+J365+J366</f>
        <v>29427.266220674363</v>
      </c>
      <c r="K368" s="750"/>
      <c r="L368" s="807">
        <f t="shared" ref="L368:Q368" si="106">L354+L358+L363+L365+L366</f>
        <v>1925.7154706035999</v>
      </c>
      <c r="M368" s="807">
        <f t="shared" si="106"/>
        <v>196.90344974972743</v>
      </c>
      <c r="N368" s="807">
        <f t="shared" si="106"/>
        <v>67.252376714950017</v>
      </c>
      <c r="O368" s="807">
        <f t="shared" si="106"/>
        <v>0</v>
      </c>
      <c r="P368" s="807">
        <f t="shared" si="106"/>
        <v>0</v>
      </c>
      <c r="Q368" s="808">
        <f t="shared" si="106"/>
        <v>27237.394923606083</v>
      </c>
      <c r="R368" s="771"/>
      <c r="S368" s="807">
        <f t="shared" ref="S368:X368" si="107">S354+S358+S363+S365+S366</f>
        <v>734.46116052483194</v>
      </c>
      <c r="T368" s="807">
        <f t="shared" si="107"/>
        <v>1314.4475566860162</v>
      </c>
      <c r="U368" s="807">
        <f t="shared" si="107"/>
        <v>191.4450208799899</v>
      </c>
      <c r="V368" s="807">
        <f t="shared" si="107"/>
        <v>63.040600164493227</v>
      </c>
      <c r="W368" s="807">
        <f t="shared" si="107"/>
        <v>0</v>
      </c>
      <c r="X368" s="807">
        <f t="shared" si="107"/>
        <v>0</v>
      </c>
      <c r="Y368" s="771"/>
      <c r="Z368" s="808">
        <f>Z354+Z358+Z363+Z365+Z366</f>
        <v>29540.789261861413</v>
      </c>
      <c r="AA368" s="806">
        <f>Z368/G368*100</f>
        <v>3.1795021117656139</v>
      </c>
      <c r="AB368" s="808">
        <f>AB354+AB358+AB363+AB365+AB366</f>
        <v>113.52304118705318</v>
      </c>
      <c r="AC368" s="804">
        <f>AA368/I368-1</f>
        <v>3.857750167336027E-3</v>
      </c>
      <c r="AD368" s="769"/>
      <c r="AF368" s="763"/>
      <c r="AI368" s="763"/>
      <c r="AK368" s="763"/>
      <c r="AM368" s="776"/>
    </row>
    <row r="369" spans="1:39">
      <c r="A369" s="4"/>
      <c r="B369" s="256"/>
      <c r="C369" s="7"/>
      <c r="D369" s="256"/>
      <c r="E369" s="36"/>
      <c r="F369" s="256"/>
      <c r="G369" s="453"/>
      <c r="H369" s="256"/>
      <c r="I369" s="256"/>
      <c r="J369" s="750"/>
      <c r="K369" s="256"/>
      <c r="L369" s="762"/>
      <c r="M369" s="762"/>
      <c r="N369" s="762"/>
      <c r="O369" s="762"/>
      <c r="P369" s="762"/>
      <c r="Q369" s="753"/>
      <c r="R369" s="750"/>
      <c r="S369" s="750"/>
      <c r="T369" s="753"/>
      <c r="U369" s="753"/>
      <c r="V369" s="753"/>
      <c r="W369" s="753"/>
      <c r="X369" s="753"/>
      <c r="Y369" s="750"/>
      <c r="Z369" s="750"/>
      <c r="AA369" s="792"/>
      <c r="AB369" s="753"/>
      <c r="AC369" s="753"/>
      <c r="AD369" s="728"/>
      <c r="AF369" s="763"/>
      <c r="AI369" s="763"/>
      <c r="AK369" s="763"/>
      <c r="AM369" s="776"/>
    </row>
    <row r="370" spans="1:39">
      <c r="A370" s="4"/>
      <c r="B370" s="256"/>
      <c r="C370" s="9" t="s">
        <v>275</v>
      </c>
      <c r="D370" s="256"/>
      <c r="E370" s="860"/>
      <c r="F370" s="256"/>
      <c r="G370" s="870"/>
      <c r="H370" s="256"/>
      <c r="I370" s="256"/>
      <c r="J370" s="750"/>
      <c r="K370" s="256"/>
      <c r="L370" s="762"/>
      <c r="M370" s="762"/>
      <c r="N370" s="762"/>
      <c r="O370" s="762"/>
      <c r="P370" s="762"/>
      <c r="Q370" s="762"/>
      <c r="R370" s="771"/>
      <c r="S370" s="771"/>
      <c r="T370" s="762"/>
      <c r="U370" s="762"/>
      <c r="V370" s="762"/>
      <c r="W370" s="762"/>
      <c r="X370" s="762"/>
      <c r="Y370" s="771"/>
      <c r="Z370" s="771"/>
      <c r="AA370" s="771"/>
      <c r="AB370" s="762"/>
      <c r="AC370" s="762"/>
      <c r="AD370" s="782"/>
      <c r="AF370" s="763"/>
      <c r="AI370" s="763"/>
      <c r="AK370" s="763"/>
      <c r="AM370" s="776"/>
    </row>
    <row r="371" spans="1:39">
      <c r="A371" s="4">
        <v>170</v>
      </c>
      <c r="C371" s="519" t="s">
        <v>754</v>
      </c>
      <c r="E371" s="513" t="s">
        <v>675</v>
      </c>
      <c r="G371" s="35">
        <v>1764.0360000000001</v>
      </c>
      <c r="H371" s="744"/>
      <c r="I371" s="861">
        <v>41.884799999999998</v>
      </c>
      <c r="J371" s="744">
        <f>G371*I371/100</f>
        <v>738.86295052799994</v>
      </c>
      <c r="L371" s="35">
        <v>0</v>
      </c>
      <c r="M371" s="35">
        <v>0</v>
      </c>
      <c r="N371" s="35">
        <v>0</v>
      </c>
      <c r="O371" s="35">
        <v>0</v>
      </c>
      <c r="P371" s="35">
        <v>0</v>
      </c>
      <c r="Q371" s="753">
        <f>J371-L371-M371-N371-O371-P371</f>
        <v>738.86295052799994</v>
      </c>
      <c r="R371" s="68"/>
      <c r="S371" s="35">
        <v>2.7906269127834094</v>
      </c>
      <c r="T371" s="453">
        <v>0</v>
      </c>
      <c r="U371" s="453">
        <v>0</v>
      </c>
      <c r="V371" s="453">
        <v>0</v>
      </c>
      <c r="W371" s="453">
        <v>0</v>
      </c>
      <c r="X371" s="453">
        <v>0</v>
      </c>
      <c r="Y371" s="136"/>
      <c r="Z371" s="750">
        <f>Q371+S371+T371+U371+V371+W371+X371</f>
        <v>741.65357744078335</v>
      </c>
      <c r="AA371" s="136">
        <f>Z371/G371*100</f>
        <v>42.042995576098406</v>
      </c>
      <c r="AB371" s="753">
        <f>Z371-J371</f>
        <v>2.7906269127834094</v>
      </c>
      <c r="AC371" s="827"/>
      <c r="AD371" s="866"/>
      <c r="AF371" s="763"/>
      <c r="AI371" s="763"/>
      <c r="AK371" s="763"/>
      <c r="AM371" s="776"/>
    </row>
    <row r="372" spans="1:39">
      <c r="A372" s="4">
        <v>171</v>
      </c>
      <c r="B372" s="734"/>
      <c r="C372" s="519" t="s">
        <v>755</v>
      </c>
      <c r="D372" s="734"/>
      <c r="E372" s="513" t="s">
        <v>675</v>
      </c>
      <c r="F372" s="734"/>
      <c r="G372" s="35">
        <v>6791.652</v>
      </c>
      <c r="H372" s="744"/>
      <c r="I372" s="861">
        <v>43.368399999999994</v>
      </c>
      <c r="J372" s="744">
        <f>G372*I372/100</f>
        <v>2945.4308059679997</v>
      </c>
      <c r="K372" s="734"/>
      <c r="L372" s="35">
        <v>0</v>
      </c>
      <c r="M372" s="35">
        <v>0</v>
      </c>
      <c r="N372" s="35">
        <v>0</v>
      </c>
      <c r="O372" s="35">
        <v>0</v>
      </c>
      <c r="P372" s="35">
        <v>0</v>
      </c>
      <c r="Q372" s="753">
        <f>J372-L372-M372-N372-O372-P372</f>
        <v>2945.4308059679997</v>
      </c>
      <c r="R372" s="790"/>
      <c r="S372" s="35">
        <v>7.9666206643915984</v>
      </c>
      <c r="T372" s="453">
        <v>0</v>
      </c>
      <c r="U372" s="453">
        <v>0</v>
      </c>
      <c r="V372" s="453">
        <v>0</v>
      </c>
      <c r="W372" s="453">
        <v>0</v>
      </c>
      <c r="X372" s="453">
        <v>0</v>
      </c>
      <c r="Y372" s="136"/>
      <c r="Z372" s="750">
        <f>Q372+S372+T372+U372+V372+W372+X372</f>
        <v>2953.3974266323912</v>
      </c>
      <c r="AA372" s="136">
        <f>Z372/G372*100</f>
        <v>43.485700189473654</v>
      </c>
      <c r="AB372" s="753">
        <f>Z372-J372</f>
        <v>7.9666206643914848</v>
      </c>
      <c r="AC372" s="827"/>
      <c r="AD372" s="866"/>
      <c r="AF372" s="763"/>
      <c r="AI372" s="763"/>
      <c r="AK372" s="763"/>
      <c r="AM372" s="776"/>
    </row>
    <row r="373" spans="1:39">
      <c r="A373" s="4"/>
      <c r="B373" s="447"/>
      <c r="C373" s="9" t="s">
        <v>771</v>
      </c>
      <c r="D373" s="447"/>
      <c r="E373" s="385"/>
      <c r="F373" s="447"/>
      <c r="G373" s="818"/>
      <c r="H373" s="818"/>
      <c r="I373" s="818"/>
      <c r="J373" s="818"/>
      <c r="K373" s="447"/>
      <c r="L373" s="762"/>
      <c r="M373" s="762"/>
      <c r="N373" s="762"/>
      <c r="O373" s="762"/>
      <c r="P373" s="762"/>
      <c r="Q373" s="753"/>
      <c r="R373" s="787"/>
      <c r="S373" s="453"/>
      <c r="T373" s="827"/>
      <c r="U373" s="827"/>
      <c r="V373" s="827"/>
      <c r="W373" s="827"/>
      <c r="X373" s="827"/>
      <c r="Y373" s="453"/>
      <c r="Z373" s="750"/>
      <c r="AA373" s="136"/>
      <c r="AB373" s="753"/>
      <c r="AC373" s="827"/>
      <c r="AD373" s="866"/>
      <c r="AF373" s="763"/>
      <c r="AI373" s="763"/>
      <c r="AK373" s="763"/>
      <c r="AM373" s="776"/>
    </row>
    <row r="374" spans="1:39">
      <c r="A374" s="4">
        <v>172</v>
      </c>
      <c r="B374" s="254"/>
      <c r="C374" s="519" t="s">
        <v>754</v>
      </c>
      <c r="D374" s="254"/>
      <c r="E374" s="513" t="s">
        <v>674</v>
      </c>
      <c r="F374" s="254"/>
      <c r="G374" s="35">
        <v>19327.7673</v>
      </c>
      <c r="H374" s="869"/>
      <c r="I374" s="861">
        <v>2.5133000000000001</v>
      </c>
      <c r="J374" s="869">
        <f>G374*I374/100</f>
        <v>485.76477555090003</v>
      </c>
      <c r="K374" s="254"/>
      <c r="L374" s="35">
        <v>0</v>
      </c>
      <c r="M374" s="35">
        <v>0</v>
      </c>
      <c r="N374" s="35">
        <v>0</v>
      </c>
      <c r="O374" s="35">
        <v>8.1064112855002968</v>
      </c>
      <c r="P374" s="35">
        <v>29.988618062799702</v>
      </c>
      <c r="Q374" s="753">
        <f>J374-L374-M374-N374-O374-P374</f>
        <v>447.66974620259998</v>
      </c>
      <c r="R374" s="786"/>
      <c r="S374" s="35">
        <v>-0.6438927381038404</v>
      </c>
      <c r="T374" s="453">
        <v>0</v>
      </c>
      <c r="U374" s="453">
        <v>0</v>
      </c>
      <c r="V374" s="453">
        <v>0</v>
      </c>
      <c r="W374" s="35">
        <v>9.9579472877742248</v>
      </c>
      <c r="X374" s="35">
        <v>30.022417728980681</v>
      </c>
      <c r="Y374" s="813"/>
      <c r="Z374" s="750">
        <f>Q374+S374+T374+U374+V374+W374+X374</f>
        <v>487.00621848125104</v>
      </c>
      <c r="AA374" s="136">
        <f>Z374/G374*100</f>
        <v>2.5197231057373659</v>
      </c>
      <c r="AB374" s="753">
        <f>Z374-J374</f>
        <v>1.2414429303510133</v>
      </c>
      <c r="AC374" s="827"/>
      <c r="AD374" s="866"/>
      <c r="AF374" s="763"/>
      <c r="AI374" s="763"/>
      <c r="AK374" s="763"/>
      <c r="AM374" s="776"/>
    </row>
    <row r="375" spans="1:39">
      <c r="A375" s="4">
        <v>173</v>
      </c>
      <c r="B375" s="256"/>
      <c r="C375" s="519" t="s">
        <v>755</v>
      </c>
      <c r="D375" s="256"/>
      <c r="E375" s="513" t="s">
        <v>674</v>
      </c>
      <c r="F375" s="256"/>
      <c r="G375" s="35">
        <v>62792.705639999993</v>
      </c>
      <c r="H375" s="818"/>
      <c r="I375" s="861">
        <v>1.7764000000000002</v>
      </c>
      <c r="J375" s="869">
        <f>G375*I375/100</f>
        <v>1115.4496229889601</v>
      </c>
      <c r="K375" s="256"/>
      <c r="L375" s="35">
        <v>0</v>
      </c>
      <c r="M375" s="35">
        <v>0</v>
      </c>
      <c r="N375" s="35">
        <v>0</v>
      </c>
      <c r="O375" s="35">
        <v>28.705455769500965</v>
      </c>
      <c r="P375" s="35">
        <v>106.192113756911</v>
      </c>
      <c r="Q375" s="753">
        <f>J375-L375-M375-N375-O375-P375</f>
        <v>980.55205346254809</v>
      </c>
      <c r="R375" s="771"/>
      <c r="S375" s="35">
        <v>-3.438515549874964</v>
      </c>
      <c r="T375" s="453">
        <v>0</v>
      </c>
      <c r="U375" s="453">
        <v>0</v>
      </c>
      <c r="V375" s="453">
        <v>0</v>
      </c>
      <c r="W375" s="35">
        <v>35.26189399438838</v>
      </c>
      <c r="X375" s="35">
        <v>106.31180109923933</v>
      </c>
      <c r="Y375" s="453"/>
      <c r="Z375" s="750">
        <f>Q375+S375+T375+U375+V375+W375+X375</f>
        <v>1118.6872330063009</v>
      </c>
      <c r="AA375" s="136">
        <f>Z375/G375*100</f>
        <v>1.781556028848164</v>
      </c>
      <c r="AB375" s="753">
        <f>Z375-J375</f>
        <v>3.2376100173407849</v>
      </c>
      <c r="AC375" s="827"/>
      <c r="AD375" s="866"/>
      <c r="AF375" s="763"/>
      <c r="AI375" s="763"/>
      <c r="AK375" s="763"/>
      <c r="AM375" s="776"/>
    </row>
    <row r="376" spans="1:39">
      <c r="A376" s="4"/>
      <c r="C376" s="9" t="s">
        <v>772</v>
      </c>
      <c r="G376" s="744"/>
      <c r="H376" s="744"/>
      <c r="I376" s="744"/>
      <c r="J376" s="744"/>
      <c r="L376" s="762"/>
      <c r="M376" s="762"/>
      <c r="N376" s="762"/>
      <c r="O376" s="762"/>
      <c r="P376" s="762"/>
      <c r="Q376" s="762"/>
      <c r="R376" s="68"/>
      <c r="S376" s="136"/>
      <c r="T376" s="827"/>
      <c r="U376" s="827"/>
      <c r="V376" s="827"/>
      <c r="W376" s="827"/>
      <c r="X376" s="827"/>
      <c r="Y376" s="136"/>
      <c r="Z376" s="136"/>
      <c r="AA376" s="136"/>
      <c r="AB376" s="827"/>
      <c r="AC376" s="827"/>
      <c r="AD376" s="866"/>
      <c r="AF376" s="763"/>
      <c r="AI376" s="763"/>
      <c r="AK376" s="763"/>
      <c r="AM376" s="776"/>
    </row>
    <row r="377" spans="1:39">
      <c r="A377" s="4">
        <v>174</v>
      </c>
      <c r="B377" s="256"/>
      <c r="C377" s="519" t="s">
        <v>754</v>
      </c>
      <c r="D377" s="256"/>
      <c r="E377" s="513" t="s">
        <v>674</v>
      </c>
      <c r="F377" s="256"/>
      <c r="G377" s="35">
        <v>15676.229820000002</v>
      </c>
      <c r="H377" s="818"/>
      <c r="I377" s="867">
        <v>0</v>
      </c>
      <c r="J377" s="867">
        <f>G377*I377/100</f>
        <v>0</v>
      </c>
      <c r="K377" s="868"/>
      <c r="L377" s="35">
        <v>0</v>
      </c>
      <c r="M377" s="35">
        <v>0</v>
      </c>
      <c r="N377" s="35">
        <v>0</v>
      </c>
      <c r="O377" s="35">
        <v>0</v>
      </c>
      <c r="P377" s="35">
        <v>0</v>
      </c>
      <c r="Q377" s="762">
        <f>J377-L377-M377-N377-O377-P377</f>
        <v>0</v>
      </c>
      <c r="R377" s="771"/>
      <c r="S377" s="453">
        <v>0</v>
      </c>
      <c r="T377" s="453">
        <v>0</v>
      </c>
      <c r="U377" s="453">
        <v>0</v>
      </c>
      <c r="V377" s="453">
        <v>0</v>
      </c>
      <c r="W377" s="453">
        <v>0</v>
      </c>
      <c r="X377" s="453">
        <v>0</v>
      </c>
      <c r="Y377" s="453"/>
      <c r="Z377" s="136">
        <f>Q377+S377+T377+U377+V377+W377+X377</f>
        <v>0</v>
      </c>
      <c r="AA377" s="136">
        <f>Z377/G377*100</f>
        <v>0</v>
      </c>
      <c r="AB377" s="827">
        <f>Z377-J377</f>
        <v>0</v>
      </c>
      <c r="AC377" s="827"/>
      <c r="AD377" s="866"/>
      <c r="AF377" s="24"/>
      <c r="AH377" s="782"/>
      <c r="AI377" s="24"/>
      <c r="AK377" s="24"/>
      <c r="AM377" s="24"/>
    </row>
    <row r="378" spans="1:39">
      <c r="A378" s="4">
        <v>175</v>
      </c>
      <c r="B378" s="256"/>
      <c r="C378" s="519" t="s">
        <v>755</v>
      </c>
      <c r="D378" s="256"/>
      <c r="E378" s="513" t="s">
        <v>674</v>
      </c>
      <c r="F378" s="256"/>
      <c r="G378" s="35">
        <v>37528.185069999978</v>
      </c>
      <c r="H378" s="818"/>
      <c r="I378" s="867">
        <v>0</v>
      </c>
      <c r="J378" s="867">
        <f>G378*I378/100</f>
        <v>0</v>
      </c>
      <c r="K378" s="867"/>
      <c r="L378" s="453">
        <f t="shared" ref="L378:Q378" si="108">I378*K378/100</f>
        <v>0</v>
      </c>
      <c r="M378" s="453">
        <f t="shared" si="108"/>
        <v>0</v>
      </c>
      <c r="N378" s="453">
        <f t="shared" si="108"/>
        <v>0</v>
      </c>
      <c r="O378" s="453">
        <f t="shared" si="108"/>
        <v>0</v>
      </c>
      <c r="P378" s="453">
        <f t="shared" si="108"/>
        <v>0</v>
      </c>
      <c r="Q378" s="453">
        <f t="shared" si="108"/>
        <v>0</v>
      </c>
      <c r="R378" s="771"/>
      <c r="S378" s="453">
        <v>0</v>
      </c>
      <c r="T378" s="453">
        <v>0</v>
      </c>
      <c r="U378" s="453">
        <v>0</v>
      </c>
      <c r="V378" s="453">
        <v>0</v>
      </c>
      <c r="W378" s="453">
        <v>0</v>
      </c>
      <c r="X378" s="453">
        <v>0</v>
      </c>
      <c r="Y378" s="453"/>
      <c r="Z378" s="136">
        <f>Q378+S378+T378+U378+V378+W378+X378</f>
        <v>0</v>
      </c>
      <c r="AA378" s="136">
        <f>Z378/G378*100</f>
        <v>0</v>
      </c>
      <c r="AB378" s="827">
        <f>Z378-J378</f>
        <v>0</v>
      </c>
      <c r="AC378" s="827"/>
      <c r="AD378" s="866"/>
      <c r="AF378" s="24"/>
      <c r="AH378" s="782"/>
      <c r="AI378" s="24"/>
      <c r="AK378" s="24"/>
      <c r="AM378" s="24"/>
    </row>
    <row r="379" spans="1:39">
      <c r="A379" s="4">
        <v>176</v>
      </c>
      <c r="B379" s="256"/>
      <c r="C379" s="9" t="s">
        <v>773</v>
      </c>
      <c r="D379" s="256"/>
      <c r="E379" s="36"/>
      <c r="F379" s="256"/>
      <c r="G379" s="137">
        <f>SUM(G374:G378)</f>
        <v>135324.88782999996</v>
      </c>
      <c r="H379" s="818"/>
      <c r="I379" s="806">
        <f>J379/G379*100</f>
        <v>3.9057916395066274</v>
      </c>
      <c r="J379" s="808">
        <f>SUM(J371:J378)</f>
        <v>5285.50815503586</v>
      </c>
      <c r="K379" s="453"/>
      <c r="L379" s="137">
        <f t="shared" ref="L379:Q379" si="109">SUM(L371:L378)</f>
        <v>0</v>
      </c>
      <c r="M379" s="137">
        <f t="shared" si="109"/>
        <v>0</v>
      </c>
      <c r="N379" s="137">
        <f t="shared" si="109"/>
        <v>0</v>
      </c>
      <c r="O379" s="807">
        <f t="shared" si="109"/>
        <v>36.811867055001258</v>
      </c>
      <c r="P379" s="807">
        <f t="shared" si="109"/>
        <v>136.1807318197107</v>
      </c>
      <c r="Q379" s="808">
        <f t="shared" si="109"/>
        <v>5112.5155561611482</v>
      </c>
      <c r="R379" s="750"/>
      <c r="S379" s="137">
        <f t="shared" ref="S379:X379" si="110">SUM(S371:S378)</f>
        <v>6.6748392891962034</v>
      </c>
      <c r="T379" s="807">
        <f t="shared" si="110"/>
        <v>0</v>
      </c>
      <c r="U379" s="807">
        <f t="shared" si="110"/>
        <v>0</v>
      </c>
      <c r="V379" s="807">
        <f t="shared" si="110"/>
        <v>0</v>
      </c>
      <c r="W379" s="137">
        <f t="shared" si="110"/>
        <v>45.219841282162605</v>
      </c>
      <c r="X379" s="137">
        <f t="shared" si="110"/>
        <v>136.33421882822</v>
      </c>
      <c r="Y379" s="750"/>
      <c r="Z379" s="808">
        <f>SUM(Z371:Z378)</f>
        <v>5300.7444555607262</v>
      </c>
      <c r="AA379" s="850">
        <f>Z379/G379*100</f>
        <v>3.9170506922715607</v>
      </c>
      <c r="AB379" s="842">
        <f>SUM(AB371:AB378)</f>
        <v>15.236300524866692</v>
      </c>
      <c r="AC379" s="804">
        <f>AA379/I379-1</f>
        <v>2.8826557594749946E-3</v>
      </c>
      <c r="AD379" s="769"/>
      <c r="AF379" s="763"/>
      <c r="AI379" s="763"/>
      <c r="AK379" s="763"/>
      <c r="AM379" s="776"/>
    </row>
    <row r="380" spans="1:39">
      <c r="A380" s="4"/>
      <c r="B380" s="256"/>
      <c r="C380" s="519"/>
      <c r="D380" s="256"/>
      <c r="E380" s="36"/>
      <c r="F380" s="256"/>
      <c r="G380" s="828"/>
      <c r="H380" s="818"/>
      <c r="I380" s="818"/>
      <c r="J380" s="818"/>
      <c r="K380" s="256"/>
      <c r="L380" s="762"/>
      <c r="M380" s="762"/>
      <c r="N380" s="762"/>
      <c r="O380" s="762"/>
      <c r="P380" s="762"/>
      <c r="Q380" s="753"/>
      <c r="R380" s="750"/>
      <c r="S380" s="750"/>
      <c r="T380" s="753"/>
      <c r="U380" s="753"/>
      <c r="V380" s="753"/>
      <c r="W380" s="753"/>
      <c r="X380" s="753"/>
      <c r="Y380" s="750"/>
      <c r="Z380" s="750"/>
      <c r="AA380" s="750"/>
      <c r="AB380" s="753"/>
      <c r="AC380" s="753"/>
      <c r="AD380" s="728"/>
    </row>
    <row r="381" spans="1:39">
      <c r="A381" s="4"/>
      <c r="B381" s="256"/>
      <c r="C381" s="9" t="s">
        <v>282</v>
      </c>
      <c r="D381" s="256"/>
      <c r="E381" s="36"/>
      <c r="F381" s="256"/>
      <c r="G381" s="828"/>
      <c r="H381" s="818"/>
      <c r="I381" s="818"/>
      <c r="J381" s="818"/>
      <c r="K381" s="256"/>
      <c r="L381" s="762"/>
      <c r="M381" s="762"/>
      <c r="N381" s="762"/>
      <c r="O381" s="762"/>
      <c r="P381" s="762"/>
      <c r="Q381" s="753"/>
      <c r="R381" s="750"/>
      <c r="S381" s="750"/>
      <c r="T381" s="753"/>
      <c r="U381" s="753"/>
      <c r="V381" s="753"/>
      <c r="W381" s="753"/>
      <c r="X381" s="753"/>
      <c r="Y381" s="750"/>
      <c r="AA381" s="750"/>
      <c r="AB381" s="753"/>
      <c r="AC381" s="753"/>
      <c r="AD381" s="728"/>
    </row>
    <row r="382" spans="1:39">
      <c r="A382" s="4">
        <v>177</v>
      </c>
      <c r="B382" s="256"/>
      <c r="C382" s="519" t="s">
        <v>774</v>
      </c>
      <c r="D382" s="256"/>
      <c r="E382" s="513" t="s">
        <v>775</v>
      </c>
      <c r="F382" s="256"/>
      <c r="G382" s="35">
        <v>141504</v>
      </c>
      <c r="H382" s="818"/>
      <c r="I382" s="784">
        <v>18.835000000000001</v>
      </c>
      <c r="J382" s="818">
        <f>G382*I382/1000</f>
        <v>2665.2278400000005</v>
      </c>
      <c r="K382" s="256"/>
      <c r="L382" s="35">
        <v>0</v>
      </c>
      <c r="M382" s="35">
        <v>0</v>
      </c>
      <c r="N382" s="35">
        <v>0</v>
      </c>
      <c r="O382" s="35">
        <v>0</v>
      </c>
      <c r="P382" s="35">
        <v>0</v>
      </c>
      <c r="Q382" s="753">
        <f>J382-L382-M382-N382-O382-P382</f>
        <v>2665.2278400000005</v>
      </c>
      <c r="R382" s="750"/>
      <c r="S382" s="35">
        <v>30.0904550848295</v>
      </c>
      <c r="T382" s="35">
        <v>0</v>
      </c>
      <c r="U382" s="35">
        <v>0</v>
      </c>
      <c r="V382" s="35">
        <v>0</v>
      </c>
      <c r="W382" s="35">
        <v>0</v>
      </c>
      <c r="X382" s="35">
        <v>0</v>
      </c>
      <c r="Y382" s="865"/>
      <c r="Z382" s="750">
        <f>Q382+S382+T382+U382+V382+W382+X382</f>
        <v>2695.31829508483</v>
      </c>
      <c r="AA382" s="864">
        <f>Z382/G382*1000</f>
        <v>19.047647381592252</v>
      </c>
      <c r="AB382" s="753">
        <f>Z382-J382</f>
        <v>30.0904550848295</v>
      </c>
      <c r="AC382" s="753"/>
      <c r="AD382" s="728"/>
      <c r="AF382" s="763"/>
      <c r="AI382" s="763"/>
      <c r="AK382" s="763"/>
      <c r="AM382" s="776"/>
    </row>
    <row r="383" spans="1:39">
      <c r="A383" s="4">
        <v>178</v>
      </c>
      <c r="B383" s="256"/>
      <c r="C383" s="519" t="s">
        <v>776</v>
      </c>
      <c r="D383" s="256"/>
      <c r="E383" s="513" t="s">
        <v>777</v>
      </c>
      <c r="F383" s="256"/>
      <c r="G383" s="35">
        <v>522359</v>
      </c>
      <c r="H383" s="818"/>
      <c r="I383" s="784">
        <v>0.24</v>
      </c>
      <c r="J383" s="818">
        <f>G383*I383/1000</f>
        <v>125.36615999999999</v>
      </c>
      <c r="K383" s="256"/>
      <c r="L383" s="35">
        <v>0</v>
      </c>
      <c r="M383" s="35">
        <v>0</v>
      </c>
      <c r="N383" s="35">
        <v>0</v>
      </c>
      <c r="O383" s="35">
        <v>3.8777291313530764</v>
      </c>
      <c r="P383" s="35">
        <v>30.597964868646926</v>
      </c>
      <c r="Q383" s="753">
        <f>J383-L383-M383-N383-O383-P383</f>
        <v>90.890465999999989</v>
      </c>
      <c r="R383" s="750"/>
      <c r="S383" s="35">
        <v>2.0142268735688162</v>
      </c>
      <c r="T383" s="35">
        <v>0</v>
      </c>
      <c r="U383" s="35">
        <v>0</v>
      </c>
      <c r="V383" s="35">
        <v>0</v>
      </c>
      <c r="W383" s="35">
        <v>4.763417611853547</v>
      </c>
      <c r="X383" s="35">
        <v>30.632451319346718</v>
      </c>
      <c r="Y383" s="750"/>
      <c r="Z383" s="750">
        <f>Q383+S383+T383+U383+V383+W383+X383</f>
        <v>128.30056180476907</v>
      </c>
      <c r="AA383" s="864">
        <f>Z383/G383*1000</f>
        <v>0.24561759595368143</v>
      </c>
      <c r="AB383" s="753">
        <f>Z383-J383</f>
        <v>2.934401804769081</v>
      </c>
      <c r="AC383" s="753"/>
      <c r="AD383" s="728"/>
      <c r="AF383" s="763"/>
      <c r="AI383" s="763"/>
      <c r="AK383" s="763"/>
      <c r="AM383" s="776"/>
    </row>
    <row r="384" spans="1:39">
      <c r="A384" s="4">
        <v>179</v>
      </c>
      <c r="B384" s="256"/>
      <c r="C384" s="9" t="s">
        <v>282</v>
      </c>
      <c r="D384" s="256"/>
      <c r="E384" s="36"/>
      <c r="F384" s="256"/>
      <c r="G384" s="137">
        <f>SUM(G382:G383)</f>
        <v>663863</v>
      </c>
      <c r="H384" s="256"/>
      <c r="I384" s="863">
        <f>J384/G384*1000</f>
        <v>4.2035691098916503</v>
      </c>
      <c r="J384" s="808">
        <f>SUM(J382:J383)</f>
        <v>2790.5940000000005</v>
      </c>
      <c r="K384" s="256"/>
      <c r="L384" s="805">
        <f t="shared" ref="L384:Q384" si="111">SUM(L382:L383)</f>
        <v>0</v>
      </c>
      <c r="M384" s="805">
        <f t="shared" si="111"/>
        <v>0</v>
      </c>
      <c r="N384" s="805">
        <f t="shared" si="111"/>
        <v>0</v>
      </c>
      <c r="O384" s="420">
        <f t="shared" si="111"/>
        <v>3.8777291313530764</v>
      </c>
      <c r="P384" s="805">
        <f t="shared" si="111"/>
        <v>30.597964868646926</v>
      </c>
      <c r="Q384" s="842">
        <f t="shared" si="111"/>
        <v>2756.1183060000003</v>
      </c>
      <c r="R384" s="750"/>
      <c r="S384" s="137">
        <f t="shared" ref="S384:X384" si="112">SUM(S382:S383)</f>
        <v>32.104681958398317</v>
      </c>
      <c r="T384" s="807">
        <f t="shared" si="112"/>
        <v>0</v>
      </c>
      <c r="U384" s="807">
        <f t="shared" si="112"/>
        <v>0</v>
      </c>
      <c r="V384" s="807">
        <f t="shared" si="112"/>
        <v>0</v>
      </c>
      <c r="W384" s="137">
        <f t="shared" si="112"/>
        <v>4.763417611853547</v>
      </c>
      <c r="X384" s="137">
        <f t="shared" si="112"/>
        <v>30.632451319346718</v>
      </c>
      <c r="Y384" s="750"/>
      <c r="Z384" s="808">
        <f>SUM(Z382:Z383)</f>
        <v>2823.6188568895991</v>
      </c>
      <c r="AA384" s="863">
        <f>Z384/G384*1000</f>
        <v>4.2533156041074731</v>
      </c>
      <c r="AB384" s="842">
        <f>SUM(AB382:AB383)</f>
        <v>33.024856889598581</v>
      </c>
      <c r="AC384" s="804">
        <f>AA384/I384-1</f>
        <v>1.183434669808614E-2</v>
      </c>
      <c r="AD384" s="769"/>
      <c r="AF384" s="763"/>
      <c r="AI384" s="763"/>
      <c r="AK384" s="763"/>
      <c r="AM384" s="776"/>
    </row>
    <row r="385" spans="1:39">
      <c r="A385" s="4"/>
      <c r="B385" s="256"/>
      <c r="C385" s="7"/>
      <c r="D385" s="256"/>
      <c r="E385" s="36"/>
      <c r="F385" s="256"/>
      <c r="G385" s="35"/>
      <c r="H385" s="256"/>
      <c r="I385" s="792"/>
      <c r="J385" s="750"/>
      <c r="K385" s="256"/>
      <c r="L385" s="762"/>
      <c r="M385" s="762"/>
      <c r="N385" s="762"/>
      <c r="O385" s="762"/>
      <c r="P385" s="762"/>
      <c r="Q385" s="753"/>
      <c r="R385" s="750"/>
      <c r="S385" s="750"/>
      <c r="T385" s="753"/>
      <c r="U385" s="753"/>
      <c r="V385" s="753"/>
      <c r="W385" s="753"/>
      <c r="X385" s="753"/>
      <c r="Y385" s="750"/>
      <c r="Z385" s="750"/>
      <c r="AA385" s="750"/>
      <c r="AB385" s="753"/>
      <c r="AC385" s="753"/>
      <c r="AD385" s="728"/>
      <c r="AF385" s="763"/>
      <c r="AI385" s="763"/>
      <c r="AK385" s="763"/>
      <c r="AM385" s="776"/>
    </row>
    <row r="386" spans="1:39">
      <c r="A386" s="4"/>
      <c r="B386" s="256"/>
      <c r="C386" s="9" t="s">
        <v>211</v>
      </c>
      <c r="D386" s="256"/>
      <c r="E386" s="36"/>
      <c r="F386" s="256"/>
      <c r="G386" s="453"/>
      <c r="H386" s="256"/>
      <c r="I386" s="792"/>
      <c r="J386" s="750"/>
      <c r="K386" s="256"/>
      <c r="L386" s="762"/>
      <c r="M386" s="762"/>
      <c r="N386" s="762"/>
      <c r="O386" s="762"/>
      <c r="P386" s="762"/>
      <c r="Q386" s="753"/>
      <c r="R386" s="750"/>
      <c r="S386" s="750"/>
      <c r="T386" s="753"/>
      <c r="U386" s="753"/>
      <c r="V386" s="753"/>
      <c r="W386" s="753"/>
      <c r="X386" s="753"/>
      <c r="Y386" s="750"/>
      <c r="Z386" s="750"/>
      <c r="AA386" s="750"/>
      <c r="AB386" s="753"/>
      <c r="AC386" s="753"/>
      <c r="AD386" s="728"/>
      <c r="AF386" s="763"/>
      <c r="AI386" s="763"/>
      <c r="AK386" s="763"/>
      <c r="AM386" s="776"/>
    </row>
    <row r="387" spans="1:39">
      <c r="A387" s="4">
        <v>180</v>
      </c>
      <c r="C387" s="9" t="s">
        <v>754</v>
      </c>
      <c r="E387" s="513" t="s">
        <v>674</v>
      </c>
      <c r="G387" s="35">
        <v>5777.0110000000004</v>
      </c>
      <c r="I387" s="861">
        <v>17.706099999999999</v>
      </c>
      <c r="J387" s="752">
        <f>G387*I387/100</f>
        <v>1022.883344671</v>
      </c>
      <c r="L387" s="35">
        <v>0</v>
      </c>
      <c r="M387" s="35">
        <v>0</v>
      </c>
      <c r="N387" s="35">
        <v>0</v>
      </c>
      <c r="O387" s="35">
        <v>0</v>
      </c>
      <c r="P387" s="35">
        <v>0</v>
      </c>
      <c r="Q387" s="752">
        <f>J387-L387-M387-N387-O387-P387</f>
        <v>1022.883344671</v>
      </c>
      <c r="R387" s="68"/>
      <c r="S387" s="35">
        <v>0.32479738238377998</v>
      </c>
      <c r="T387" s="35">
        <v>0</v>
      </c>
      <c r="U387" s="35">
        <v>0</v>
      </c>
      <c r="V387" s="35">
        <v>0</v>
      </c>
      <c r="W387" s="35">
        <v>0</v>
      </c>
      <c r="X387" s="35">
        <v>0</v>
      </c>
      <c r="Y387" s="752"/>
      <c r="Z387" s="752">
        <f>Q387+S387+T387+U387+V387+W387+X387</f>
        <v>1023.2081420533838</v>
      </c>
      <c r="AA387" s="862">
        <f>Z387/G387*100</f>
        <v>17.711722239292669</v>
      </c>
      <c r="AB387" s="753">
        <f>Z387-J387</f>
        <v>0.32479738238373557</v>
      </c>
      <c r="AC387" s="753"/>
      <c r="AD387" s="857"/>
      <c r="AF387" s="763"/>
      <c r="AI387" s="763"/>
      <c r="AK387" s="763"/>
      <c r="AM387" s="776"/>
    </row>
    <row r="388" spans="1:39">
      <c r="A388" s="4">
        <v>181</v>
      </c>
      <c r="B388" s="256"/>
      <c r="C388" s="9" t="s">
        <v>755</v>
      </c>
      <c r="D388" s="256"/>
      <c r="E388" s="513" t="s">
        <v>674</v>
      </c>
      <c r="F388" s="256"/>
      <c r="G388" s="35">
        <v>9854.0479600000017</v>
      </c>
      <c r="H388" s="256"/>
      <c r="I388" s="861">
        <v>20.172700000000003</v>
      </c>
      <c r="J388" s="752">
        <f>G388*I388/100</f>
        <v>1987.8275328269206</v>
      </c>
      <c r="K388" s="256"/>
      <c r="L388" s="35">
        <v>0</v>
      </c>
      <c r="M388" s="35">
        <v>0</v>
      </c>
      <c r="N388" s="35">
        <v>0</v>
      </c>
      <c r="O388" s="35">
        <v>0</v>
      </c>
      <c r="P388" s="35">
        <v>0</v>
      </c>
      <c r="Q388" s="752">
        <f>J388-L388-M388-N388-O388-P388</f>
        <v>1987.8275328269206</v>
      </c>
      <c r="R388" s="771"/>
      <c r="S388" s="35">
        <v>0.55401815632551887</v>
      </c>
      <c r="T388" s="35">
        <v>0</v>
      </c>
      <c r="U388" s="35">
        <v>0</v>
      </c>
      <c r="V388" s="35">
        <v>0</v>
      </c>
      <c r="W388" s="35">
        <v>0</v>
      </c>
      <c r="X388" s="35">
        <v>0</v>
      </c>
      <c r="Y388" s="750"/>
      <c r="Z388" s="752">
        <f>Q388+S388+T388+U388+V388+W388+X388</f>
        <v>1988.3815509832461</v>
      </c>
      <c r="AA388" s="862">
        <f>Z388/G388*100</f>
        <v>20.178322239292669</v>
      </c>
      <c r="AB388" s="753">
        <f>Z388-J388</f>
        <v>0.55401815632558282</v>
      </c>
      <c r="AC388" s="753"/>
      <c r="AD388" s="857"/>
      <c r="AF388" s="763"/>
      <c r="AI388" s="763"/>
      <c r="AK388" s="763"/>
      <c r="AM388" s="776"/>
    </row>
    <row r="389" spans="1:39">
      <c r="A389" s="4">
        <v>182</v>
      </c>
      <c r="B389" s="256"/>
      <c r="C389" s="9" t="s">
        <v>211</v>
      </c>
      <c r="D389" s="256"/>
      <c r="E389" s="513"/>
      <c r="F389" s="256"/>
      <c r="G389" s="420">
        <f>SUM(G387:G388)</f>
        <v>15631.058960000002</v>
      </c>
      <c r="H389" s="256"/>
      <c r="I389" s="806">
        <f>J389/G389*100</f>
        <v>19.261080680473107</v>
      </c>
      <c r="J389" s="808">
        <f>SUM(J387:J388)</f>
        <v>3010.7108774979206</v>
      </c>
      <c r="K389" s="256"/>
      <c r="L389" s="805">
        <f t="shared" ref="L389:Q389" si="113">SUM(L387:L388)</f>
        <v>0</v>
      </c>
      <c r="M389" s="805">
        <f t="shared" si="113"/>
        <v>0</v>
      </c>
      <c r="N389" s="805">
        <f t="shared" si="113"/>
        <v>0</v>
      </c>
      <c r="O389" s="805">
        <f t="shared" si="113"/>
        <v>0</v>
      </c>
      <c r="P389" s="805">
        <f t="shared" si="113"/>
        <v>0</v>
      </c>
      <c r="Q389" s="808">
        <f t="shared" si="113"/>
        <v>3010.7108774979206</v>
      </c>
      <c r="R389" s="771"/>
      <c r="S389" s="137">
        <f t="shared" ref="S389:X389" si="114">SUM(S387:S388)</f>
        <v>0.87881553870929885</v>
      </c>
      <c r="T389" s="807">
        <f t="shared" si="114"/>
        <v>0</v>
      </c>
      <c r="U389" s="807">
        <f t="shared" si="114"/>
        <v>0</v>
      </c>
      <c r="V389" s="807">
        <f t="shared" si="114"/>
        <v>0</v>
      </c>
      <c r="W389" s="807">
        <f t="shared" si="114"/>
        <v>0</v>
      </c>
      <c r="X389" s="807">
        <f t="shared" si="114"/>
        <v>0</v>
      </c>
      <c r="Y389" s="750"/>
      <c r="Z389" s="808">
        <f>SUM(Z387:Z388)</f>
        <v>3011.5896930366298</v>
      </c>
      <c r="AA389" s="850">
        <f>Z389/G389*100</f>
        <v>19.26670291976577</v>
      </c>
      <c r="AB389" s="842">
        <f>SUM(AB387:AB388)</f>
        <v>0.87881553870931839</v>
      </c>
      <c r="AC389" s="804">
        <f>AA389/I389-1</f>
        <v>2.9189635752691068E-4</v>
      </c>
      <c r="AD389" s="769"/>
      <c r="AF389" s="763"/>
      <c r="AI389" s="763"/>
      <c r="AK389" s="763"/>
      <c r="AM389" s="776"/>
    </row>
    <row r="390" spans="1:39">
      <c r="A390" s="4"/>
      <c r="B390" s="256"/>
      <c r="C390" s="7"/>
      <c r="D390" s="256"/>
      <c r="E390" s="36"/>
      <c r="F390" s="256"/>
      <c r="G390" s="35"/>
      <c r="H390" s="256"/>
      <c r="I390" s="792"/>
      <c r="J390" s="750"/>
      <c r="K390" s="256"/>
      <c r="L390" s="762"/>
      <c r="M390" s="762"/>
      <c r="N390" s="762"/>
      <c r="O390" s="762"/>
      <c r="P390" s="762"/>
      <c r="Q390" s="753"/>
      <c r="R390" s="750"/>
      <c r="S390" s="750"/>
      <c r="T390" s="753"/>
      <c r="U390" s="753"/>
      <c r="V390" s="753"/>
      <c r="W390" s="753"/>
      <c r="X390" s="753"/>
      <c r="Y390" s="750"/>
      <c r="Z390" s="750"/>
      <c r="AA390" s="750"/>
      <c r="AB390" s="753"/>
      <c r="AC390" s="753"/>
      <c r="AD390" s="728"/>
      <c r="AF390" s="763"/>
      <c r="AI390" s="763"/>
      <c r="AK390" s="763"/>
      <c r="AM390" s="776"/>
    </row>
    <row r="391" spans="1:39" ht="13.5" thickBot="1">
      <c r="A391" s="4">
        <v>183</v>
      </c>
      <c r="B391" s="256"/>
      <c r="C391" s="9" t="s">
        <v>474</v>
      </c>
      <c r="D391" s="256"/>
      <c r="E391" s="36"/>
      <c r="F391" s="256"/>
      <c r="G391" s="458">
        <f>G363</f>
        <v>929101.10525000002</v>
      </c>
      <c r="H391" s="256"/>
      <c r="I391" s="803">
        <f>J391/G391*100</f>
        <v>4.3605673294626763</v>
      </c>
      <c r="J391" s="756">
        <f>J368+J379+J384+J389</f>
        <v>40514.07925320814</v>
      </c>
      <c r="K391" s="750"/>
      <c r="L391" s="458">
        <f t="shared" ref="L391:Q391" si="115">L368+L379+L384+L389</f>
        <v>1925.7154706035999</v>
      </c>
      <c r="M391" s="458">
        <f t="shared" si="115"/>
        <v>196.90344974972743</v>
      </c>
      <c r="N391" s="458">
        <f t="shared" si="115"/>
        <v>67.252376714950017</v>
      </c>
      <c r="O391" s="458">
        <f t="shared" si="115"/>
        <v>40.689596186354336</v>
      </c>
      <c r="P391" s="458">
        <f t="shared" si="115"/>
        <v>166.77869668835763</v>
      </c>
      <c r="Q391" s="756">
        <f t="shared" si="115"/>
        <v>38116.739663265158</v>
      </c>
      <c r="R391" s="750"/>
      <c r="S391" s="458">
        <f t="shared" ref="S391:X391" si="116">S368+S379+S384+S389</f>
        <v>774.11949731113589</v>
      </c>
      <c r="T391" s="458">
        <f t="shared" si="116"/>
        <v>1314.4475566860162</v>
      </c>
      <c r="U391" s="458">
        <f t="shared" si="116"/>
        <v>191.4450208799899</v>
      </c>
      <c r="V391" s="458">
        <f t="shared" si="116"/>
        <v>63.040600164493227</v>
      </c>
      <c r="W391" s="458">
        <f t="shared" si="116"/>
        <v>49.983258894016153</v>
      </c>
      <c r="X391" s="458">
        <f t="shared" si="116"/>
        <v>166.96667014756673</v>
      </c>
      <c r="Y391" s="750"/>
      <c r="Z391" s="756">
        <f>Z368+Z379+Z384+Z389</f>
        <v>40676.742267348367</v>
      </c>
      <c r="AA391" s="845">
        <f>Z391/G391*100</f>
        <v>4.3780748981461146</v>
      </c>
      <c r="AB391" s="839">
        <f>AB368+AB379+AB384+AB389</f>
        <v>162.6630141402278</v>
      </c>
      <c r="AC391" s="798">
        <f>AA391/I391-1</f>
        <v>4.014974970148133E-3</v>
      </c>
      <c r="AD391" s="769"/>
      <c r="AF391" s="763"/>
      <c r="AI391" s="763"/>
      <c r="AK391" s="763"/>
      <c r="AM391" s="776"/>
    </row>
    <row r="392" spans="1:39" ht="13.5" thickTop="1">
      <c r="A392" s="4"/>
      <c r="E392" s="36"/>
      <c r="G392" s="35"/>
      <c r="J392" s="752"/>
      <c r="L392" s="504"/>
      <c r="M392" s="504"/>
      <c r="N392" s="504"/>
      <c r="O392" s="504"/>
      <c r="P392" s="504"/>
      <c r="Q392" s="504"/>
      <c r="T392" s="504"/>
      <c r="U392" s="504"/>
      <c r="V392" s="504"/>
      <c r="W392" s="504"/>
      <c r="X392" s="504"/>
      <c r="Z392" s="752"/>
      <c r="AB392" s="753"/>
      <c r="AC392" s="504"/>
    </row>
    <row r="393" spans="1:39">
      <c r="A393" s="4"/>
      <c r="B393" s="256"/>
      <c r="C393" s="6" t="s">
        <v>176</v>
      </c>
      <c r="D393" s="256"/>
      <c r="E393" s="742"/>
      <c r="F393" s="256"/>
      <c r="G393" s="35"/>
      <c r="H393" s="256"/>
      <c r="I393" s="256"/>
      <c r="J393" s="256"/>
      <c r="K393" s="256"/>
      <c r="L393" s="504"/>
      <c r="M393" s="504"/>
      <c r="N393" s="504"/>
      <c r="O393" s="504"/>
      <c r="P393" s="504"/>
      <c r="Q393" s="504"/>
      <c r="R393" s="256"/>
      <c r="S393" s="256"/>
      <c r="T393" s="504"/>
      <c r="U393" s="504"/>
      <c r="V393" s="504"/>
      <c r="W393" s="504"/>
      <c r="X393" s="504"/>
      <c r="Y393" s="256"/>
      <c r="Z393" s="256"/>
      <c r="AA393" s="256"/>
      <c r="AB393" s="504"/>
      <c r="AC393" s="504"/>
    </row>
    <row r="394" spans="1:39">
      <c r="A394" s="4">
        <v>184</v>
      </c>
      <c r="B394" s="256"/>
      <c r="C394" s="9" t="s">
        <v>200</v>
      </c>
      <c r="D394" s="256"/>
      <c r="E394" s="742" t="s">
        <v>704</v>
      </c>
      <c r="F394" s="256"/>
      <c r="G394" s="35">
        <v>863.99999999999602</v>
      </c>
      <c r="H394" s="256"/>
      <c r="I394" s="778">
        <v>368.56</v>
      </c>
      <c r="J394" s="750">
        <f>G394*I394/1000</f>
        <v>318.43583999999851</v>
      </c>
      <c r="K394" s="256"/>
      <c r="L394" s="35">
        <v>0</v>
      </c>
      <c r="M394" s="35">
        <v>0</v>
      </c>
      <c r="N394" s="35">
        <v>0</v>
      </c>
      <c r="O394" s="35">
        <v>0</v>
      </c>
      <c r="P394" s="35">
        <v>0</v>
      </c>
      <c r="Q394" s="762">
        <f>J394-L394-M394-N394-O394-P394</f>
        <v>318.43583999999851</v>
      </c>
      <c r="R394" s="771"/>
      <c r="S394" s="35">
        <v>8.5866786179466885</v>
      </c>
      <c r="T394" s="35">
        <v>0</v>
      </c>
      <c r="U394" s="35">
        <v>0</v>
      </c>
      <c r="V394" s="35">
        <v>0</v>
      </c>
      <c r="W394" s="35">
        <v>0</v>
      </c>
      <c r="X394" s="35">
        <v>0</v>
      </c>
      <c r="Y394" s="750"/>
      <c r="Z394" s="750">
        <f>Q394+S394+T394+U394+V394+W394+X394</f>
        <v>327.0225186179452</v>
      </c>
      <c r="AA394" s="811">
        <f>Z394/G394*1000</f>
        <v>378.49828543743831</v>
      </c>
      <c r="AB394" s="753">
        <f>Z394-J394</f>
        <v>8.5866786179466885</v>
      </c>
      <c r="AC394" s="770">
        <f>AA394/I394-1</f>
        <v>2.6965176463637608E-2</v>
      </c>
      <c r="AD394" s="769"/>
      <c r="AF394" s="763"/>
      <c r="AI394" s="763"/>
      <c r="AK394" s="763"/>
      <c r="AM394" s="776"/>
    </row>
    <row r="395" spans="1:39">
      <c r="A395" s="4">
        <v>185</v>
      </c>
      <c r="B395" s="256"/>
      <c r="C395" s="9" t="s">
        <v>289</v>
      </c>
      <c r="D395" s="256"/>
      <c r="E395" s="513" t="s">
        <v>674</v>
      </c>
      <c r="F395" s="256"/>
      <c r="G395" s="35">
        <v>126830.75640999997</v>
      </c>
      <c r="H395" s="256"/>
      <c r="I395" s="861">
        <v>3.2303027215464297</v>
      </c>
      <c r="J395" s="750">
        <f>G395*I395/100</f>
        <v>4097.0173760701518</v>
      </c>
      <c r="K395" s="256"/>
      <c r="L395" s="35">
        <v>36.654088602489992</v>
      </c>
      <c r="M395" s="762"/>
      <c r="N395" s="35">
        <v>13.444060179459997</v>
      </c>
      <c r="O395" s="762"/>
      <c r="P395" s="762"/>
      <c r="Q395" s="762">
        <f>J395-L395-M395-N395-O395-P395</f>
        <v>4046.9192272882019</v>
      </c>
      <c r="R395" s="771"/>
      <c r="S395" s="35">
        <v>109.12589109791497</v>
      </c>
      <c r="T395" s="35">
        <v>72.0634063970911</v>
      </c>
      <c r="U395" s="35">
        <v>0</v>
      </c>
      <c r="V395" s="35">
        <v>12.602106628185849</v>
      </c>
      <c r="W395" s="35">
        <v>0</v>
      </c>
      <c r="X395" s="35">
        <v>0</v>
      </c>
      <c r="Y395" s="750"/>
      <c r="Z395" s="750">
        <f>Q395+S395+T395+U395+V395+W395+X395</f>
        <v>4240.7106314113935</v>
      </c>
      <c r="AA395" s="848">
        <f>Z395/G395*100</f>
        <v>3.3435979973994971</v>
      </c>
      <c r="AB395" s="753">
        <f>Z395-J395</f>
        <v>143.69325534124164</v>
      </c>
      <c r="AC395" s="770">
        <f>AA395/I395-1</f>
        <v>3.5072649723314475E-2</v>
      </c>
      <c r="AD395" s="769"/>
      <c r="AF395" s="763"/>
      <c r="AI395" s="763"/>
      <c r="AK395" s="763"/>
      <c r="AM395" s="776"/>
    </row>
    <row r="396" spans="1:39">
      <c r="A396" s="4">
        <v>186</v>
      </c>
      <c r="B396" s="256"/>
      <c r="C396" s="9" t="s">
        <v>778</v>
      </c>
      <c r="D396" s="256"/>
      <c r="E396" s="513" t="s">
        <v>674</v>
      </c>
      <c r="F396" s="256"/>
      <c r="G396" s="35">
        <v>12203.927079999999</v>
      </c>
      <c r="H396" s="256"/>
      <c r="I396" s="861">
        <v>3.4721432355431703</v>
      </c>
      <c r="J396" s="750">
        <f>G396*I396/100</f>
        <v>423.73782857884112</v>
      </c>
      <c r="K396" s="256"/>
      <c r="L396" s="35">
        <v>3.5269349261199996</v>
      </c>
      <c r="M396" s="762"/>
      <c r="N396" s="35">
        <v>1.2936162704800001</v>
      </c>
      <c r="O396" s="762"/>
      <c r="P396" s="762"/>
      <c r="Q396" s="762">
        <f>J396-L396-M396-N396-O396-P396</f>
        <v>418.91727738224108</v>
      </c>
      <c r="R396" s="771"/>
      <c r="S396" s="35">
        <v>11.296178308278854</v>
      </c>
      <c r="T396" s="35">
        <v>6.9340953385433295</v>
      </c>
      <c r="U396" s="35">
        <v>0</v>
      </c>
      <c r="V396" s="35">
        <v>1.2126016961343202</v>
      </c>
      <c r="W396" s="35">
        <v>0</v>
      </c>
      <c r="X396" s="35">
        <v>0</v>
      </c>
      <c r="Y396" s="750"/>
      <c r="Z396" s="750">
        <f>Q396+S396+T396+U396+V396+W396+X396</f>
        <v>438.36015272519757</v>
      </c>
      <c r="AA396" s="848">
        <f>Z396/G396*100</f>
        <v>3.591959783532217</v>
      </c>
      <c r="AB396" s="753">
        <f>Z396-J396</f>
        <v>14.622324146356448</v>
      </c>
      <c r="AC396" s="770">
        <f>AA396/I396-1</f>
        <v>3.4507950813355004E-2</v>
      </c>
      <c r="AD396" s="769"/>
      <c r="AF396" s="763"/>
      <c r="AI396" s="763"/>
      <c r="AK396" s="763"/>
      <c r="AM396" s="776"/>
    </row>
    <row r="397" spans="1:39">
      <c r="A397" s="4">
        <v>187</v>
      </c>
      <c r="B397" s="256"/>
      <c r="C397" s="9" t="s">
        <v>770</v>
      </c>
      <c r="D397" s="256"/>
      <c r="E397" s="742" t="s">
        <v>704</v>
      </c>
      <c r="F397" s="256"/>
      <c r="G397" s="35">
        <v>167.99999999999986</v>
      </c>
      <c r="H397" s="256"/>
      <c r="I397" s="778">
        <v>248.07</v>
      </c>
      <c r="J397" s="750">
        <f>G397*I397/1000</f>
        <v>41.675759999999968</v>
      </c>
      <c r="K397" s="256"/>
      <c r="L397" s="35">
        <v>0</v>
      </c>
      <c r="M397" s="35">
        <v>0</v>
      </c>
      <c r="N397" s="35">
        <v>0</v>
      </c>
      <c r="O397" s="35">
        <v>0</v>
      </c>
      <c r="P397" s="35">
        <v>0</v>
      </c>
      <c r="Q397" s="762">
        <f>J397-L397-M397-N397-O397-P397</f>
        <v>41.675759999999968</v>
      </c>
      <c r="R397" s="771"/>
      <c r="S397" s="35">
        <v>1.1237942226562154</v>
      </c>
      <c r="T397" s="35">
        <v>0</v>
      </c>
      <c r="U397" s="35">
        <v>0</v>
      </c>
      <c r="V397" s="762"/>
      <c r="W397" s="35">
        <v>0</v>
      </c>
      <c r="X397" s="35">
        <v>0</v>
      </c>
      <c r="Y397" s="750"/>
      <c r="Z397" s="750">
        <f>Q397+S397+T397+U397+V397+W397+X397</f>
        <v>42.799554222656184</v>
      </c>
      <c r="AA397" s="811">
        <f>Z397/G397*1000</f>
        <v>254.75925132533467</v>
      </c>
      <c r="AB397" s="753">
        <f>Z397-J397</f>
        <v>1.1237942226562154</v>
      </c>
      <c r="AC397" s="770"/>
      <c r="AD397" s="769"/>
      <c r="AF397" s="763"/>
      <c r="AI397" s="763"/>
      <c r="AK397" s="763"/>
      <c r="AM397" s="776"/>
    </row>
    <row r="398" spans="1:39">
      <c r="A398" s="4">
        <v>188</v>
      </c>
      <c r="B398" s="256"/>
      <c r="C398" s="9" t="s">
        <v>779</v>
      </c>
      <c r="D398" s="256"/>
      <c r="E398" s="36"/>
      <c r="F398" s="256"/>
      <c r="G398" s="137">
        <f>SUM(G394:G397)</f>
        <v>140066.68348999997</v>
      </c>
      <c r="H398" s="256"/>
      <c r="I398" s="806">
        <f>J398/G398*100</f>
        <v>3.4846736447482605</v>
      </c>
      <c r="J398" s="808">
        <f>SUM(J394:J397)</f>
        <v>4880.8668046489911</v>
      </c>
      <c r="K398" s="256"/>
      <c r="L398" s="805">
        <f t="shared" ref="L398:Q398" si="117">SUM(L394:L397)</f>
        <v>40.181023528609991</v>
      </c>
      <c r="M398" s="805">
        <f t="shared" si="117"/>
        <v>0</v>
      </c>
      <c r="N398" s="805">
        <f t="shared" si="117"/>
        <v>14.737676449939997</v>
      </c>
      <c r="O398" s="805">
        <f t="shared" si="117"/>
        <v>0</v>
      </c>
      <c r="P398" s="805">
        <f t="shared" si="117"/>
        <v>0</v>
      </c>
      <c r="Q398" s="805">
        <f t="shared" si="117"/>
        <v>4825.9481046704414</v>
      </c>
      <c r="R398" s="771"/>
      <c r="S398" s="807">
        <f t="shared" ref="S398:X398" si="118">SUM(S394:S397)</f>
        <v>130.13254224679673</v>
      </c>
      <c r="T398" s="807">
        <f t="shared" si="118"/>
        <v>78.99750173563443</v>
      </c>
      <c r="U398" s="807">
        <f t="shared" si="118"/>
        <v>0</v>
      </c>
      <c r="V398" s="807">
        <f t="shared" si="118"/>
        <v>13.814708324320168</v>
      </c>
      <c r="W398" s="807">
        <f t="shared" si="118"/>
        <v>0</v>
      </c>
      <c r="X398" s="807">
        <f t="shared" si="118"/>
        <v>0</v>
      </c>
      <c r="Y398" s="750"/>
      <c r="Z398" s="808">
        <f>SUM(Z394:Z397)</f>
        <v>5048.8928569771924</v>
      </c>
      <c r="AA398" s="850">
        <f>Z398/G398*100</f>
        <v>3.6046351146292808</v>
      </c>
      <c r="AB398" s="842">
        <f>SUM(AB394:AB397)</f>
        <v>168.02605232820099</v>
      </c>
      <c r="AC398" s="804">
        <f>AA398/I398-1</f>
        <v>3.4425453316643706E-2</v>
      </c>
      <c r="AD398" s="769"/>
      <c r="AF398" s="763"/>
      <c r="AI398" s="763"/>
      <c r="AK398" s="763"/>
      <c r="AM398" s="776"/>
    </row>
    <row r="399" spans="1:39">
      <c r="A399" s="4"/>
      <c r="G399" s="135"/>
      <c r="I399" s="793"/>
      <c r="J399" s="752"/>
      <c r="L399" s="762"/>
      <c r="M399" s="762"/>
      <c r="N399" s="762"/>
      <c r="O399" s="762"/>
      <c r="P399" s="762"/>
      <c r="Q399" s="762"/>
      <c r="R399" s="68"/>
      <c r="S399" s="68"/>
      <c r="T399" s="762"/>
      <c r="U399" s="762"/>
      <c r="V399" s="762"/>
      <c r="W399" s="762"/>
      <c r="X399" s="762"/>
      <c r="Y399" s="752"/>
      <c r="Z399" s="752"/>
      <c r="AA399" s="752"/>
      <c r="AB399" s="753"/>
      <c r="AC399" s="753"/>
      <c r="AD399" s="728"/>
      <c r="AF399" s="763"/>
      <c r="AI399" s="763"/>
      <c r="AK399" s="763"/>
      <c r="AM399" s="776"/>
    </row>
    <row r="400" spans="1:39">
      <c r="A400" s="4">
        <v>189</v>
      </c>
      <c r="B400" s="256"/>
      <c r="C400" s="9" t="s">
        <v>266</v>
      </c>
      <c r="D400" s="256"/>
      <c r="E400" s="513" t="s">
        <v>674</v>
      </c>
      <c r="F400" s="256"/>
      <c r="G400" s="35">
        <v>5702.7569299999996</v>
      </c>
      <c r="H400" s="256"/>
      <c r="I400" s="861">
        <v>1.1345000000000001</v>
      </c>
      <c r="J400" s="750">
        <f>G400*I400/100</f>
        <v>64.697777370850005</v>
      </c>
      <c r="K400" s="256"/>
      <c r="L400" s="35">
        <v>0</v>
      </c>
      <c r="M400" s="35">
        <v>0</v>
      </c>
      <c r="N400" s="35">
        <v>0</v>
      </c>
      <c r="O400" s="35">
        <v>0</v>
      </c>
      <c r="P400" s="35">
        <v>0</v>
      </c>
      <c r="Q400" s="762">
        <f>J400-L400-M400-N400-O400-P400</f>
        <v>64.697777370850005</v>
      </c>
      <c r="R400" s="771"/>
      <c r="S400" s="35">
        <v>-0.35458088372549845</v>
      </c>
      <c r="T400" s="35">
        <v>0</v>
      </c>
      <c r="U400" s="35">
        <v>0</v>
      </c>
      <c r="V400" s="35">
        <v>0</v>
      </c>
      <c r="W400" s="35">
        <v>0</v>
      </c>
      <c r="X400" s="35">
        <v>0</v>
      </c>
      <c r="Y400" s="750"/>
      <c r="Z400" s="750">
        <f>Q400+S400+T400+U400+V400+W400+X400</f>
        <v>64.343196487124501</v>
      </c>
      <c r="AA400" s="848">
        <f>Z400/G400*100</f>
        <v>1.1282822900734173</v>
      </c>
      <c r="AB400" s="847">
        <f>Z400-J400</f>
        <v>-0.35458088372550378</v>
      </c>
      <c r="AC400" s="785">
        <f>AA400/I400-1</f>
        <v>-5.4805728749076632E-3</v>
      </c>
      <c r="AD400" s="785"/>
      <c r="AF400" s="763"/>
      <c r="AI400" s="763"/>
      <c r="AK400" s="763"/>
      <c r="AM400" s="776"/>
    </row>
    <row r="401" spans="1:39">
      <c r="A401" s="4"/>
      <c r="B401" s="256"/>
      <c r="D401" s="256"/>
      <c r="E401" s="36"/>
      <c r="F401" s="256"/>
      <c r="G401" s="35"/>
      <c r="H401" s="256"/>
      <c r="I401" s="792"/>
      <c r="J401" s="750"/>
      <c r="K401" s="256"/>
      <c r="L401" s="762"/>
      <c r="M401" s="762"/>
      <c r="N401" s="762"/>
      <c r="O401" s="762"/>
      <c r="P401" s="762"/>
      <c r="Q401" s="762"/>
      <c r="R401" s="771"/>
      <c r="S401" s="771"/>
      <c r="T401" s="762"/>
      <c r="U401" s="762"/>
      <c r="V401" s="762"/>
      <c r="W401" s="762"/>
      <c r="X401" s="762"/>
      <c r="Y401" s="750"/>
      <c r="Z401" s="750"/>
      <c r="AA401" s="750"/>
      <c r="AB401" s="753"/>
      <c r="AC401" s="753"/>
      <c r="AD401" s="728"/>
      <c r="AF401" s="763"/>
      <c r="AI401" s="763"/>
      <c r="AK401" s="763"/>
      <c r="AM401" s="776"/>
    </row>
    <row r="402" spans="1:39">
      <c r="A402" s="4"/>
      <c r="B402" s="256"/>
      <c r="C402" s="9" t="s">
        <v>211</v>
      </c>
      <c r="D402" s="256"/>
      <c r="E402" s="36"/>
      <c r="F402" s="256"/>
      <c r="G402" s="35"/>
      <c r="H402" s="256"/>
      <c r="I402" s="792"/>
      <c r="J402" s="750"/>
      <c r="K402" s="256"/>
      <c r="L402" s="762"/>
      <c r="M402" s="762"/>
      <c r="N402" s="762"/>
      <c r="O402" s="762"/>
      <c r="P402" s="762"/>
      <c r="Q402" s="762"/>
      <c r="R402" s="771"/>
      <c r="S402" s="771"/>
      <c r="T402" s="762"/>
      <c r="U402" s="762"/>
      <c r="V402" s="762"/>
      <c r="W402" s="762"/>
      <c r="X402" s="762"/>
      <c r="Y402" s="750"/>
      <c r="Z402" s="750"/>
      <c r="AA402" s="750"/>
      <c r="AB402" s="753"/>
      <c r="AC402" s="753"/>
      <c r="AD402" s="728"/>
      <c r="AF402" s="763"/>
      <c r="AI402" s="763"/>
      <c r="AK402" s="763"/>
      <c r="AM402" s="776"/>
    </row>
    <row r="403" spans="1:39">
      <c r="A403" s="4">
        <v>190</v>
      </c>
      <c r="B403" s="256"/>
      <c r="C403" s="9" t="s">
        <v>780</v>
      </c>
      <c r="D403" s="256"/>
      <c r="E403" s="513" t="s">
        <v>674</v>
      </c>
      <c r="F403" s="256"/>
      <c r="G403" s="35">
        <v>5109.6999900000001</v>
      </c>
      <c r="H403" s="256"/>
      <c r="I403" s="861">
        <v>21.412978924585243</v>
      </c>
      <c r="J403" s="750">
        <f>G403*I403/100</f>
        <v>1094.1389819682342</v>
      </c>
      <c r="K403" s="256"/>
      <c r="L403" s="35">
        <v>0</v>
      </c>
      <c r="M403" s="35">
        <v>0</v>
      </c>
      <c r="N403" s="35">
        <v>0</v>
      </c>
      <c r="O403" s="35">
        <v>0</v>
      </c>
      <c r="P403" s="35">
        <v>0</v>
      </c>
      <c r="Q403" s="762">
        <f>J403-L403-M403-N403-O403-P403</f>
        <v>1094.1389819682342</v>
      </c>
      <c r="R403" s="771"/>
      <c r="S403" s="35">
        <v>0.28727956057525716</v>
      </c>
      <c r="T403" s="35">
        <v>0</v>
      </c>
      <c r="U403" s="35">
        <v>0</v>
      </c>
      <c r="V403" s="35">
        <v>0</v>
      </c>
      <c r="W403" s="35">
        <v>0</v>
      </c>
      <c r="X403" s="35">
        <v>0</v>
      </c>
      <c r="Y403" s="750"/>
      <c r="Z403" s="750">
        <f>Q403+S403+T403+U403+V403+W403+X403</f>
        <v>1094.4262615288094</v>
      </c>
      <c r="AA403" s="848">
        <f>Z403/G403*100</f>
        <v>21.418601163877909</v>
      </c>
      <c r="AB403" s="753">
        <f>Z403-J403</f>
        <v>0.28727956057514348</v>
      </c>
      <c r="AC403" s="753"/>
      <c r="AD403" s="857"/>
      <c r="AF403" s="763"/>
      <c r="AI403" s="763"/>
      <c r="AK403" s="763"/>
      <c r="AM403" s="776"/>
    </row>
    <row r="404" spans="1:39">
      <c r="A404" s="4">
        <v>191</v>
      </c>
      <c r="B404" s="256"/>
      <c r="C404" s="9" t="s">
        <v>781</v>
      </c>
      <c r="D404" s="256"/>
      <c r="E404" s="513" t="s">
        <v>674</v>
      </c>
      <c r="F404" s="256"/>
      <c r="G404" s="35">
        <v>593.05693999999994</v>
      </c>
      <c r="H404" s="256"/>
      <c r="I404" s="861">
        <v>24.261380223452743</v>
      </c>
      <c r="J404" s="750">
        <f>G404*I404/100</f>
        <v>143.88379915497399</v>
      </c>
      <c r="K404" s="256"/>
      <c r="L404" s="35">
        <v>0</v>
      </c>
      <c r="M404" s="35">
        <v>0</v>
      </c>
      <c r="N404" s="35">
        <v>0</v>
      </c>
      <c r="O404" s="35">
        <v>0</v>
      </c>
      <c r="P404" s="35">
        <v>0</v>
      </c>
      <c r="Q404" s="762">
        <f>J404-L404-M404-N404-O404-P404</f>
        <v>143.88379915497399</v>
      </c>
      <c r="R404" s="771"/>
      <c r="S404" s="35">
        <v>3.3343080308577466E-2</v>
      </c>
      <c r="T404" s="35">
        <v>0</v>
      </c>
      <c r="U404" s="35">
        <v>0</v>
      </c>
      <c r="V404" s="35">
        <v>0</v>
      </c>
      <c r="W404" s="35">
        <v>0</v>
      </c>
      <c r="X404" s="35">
        <v>0</v>
      </c>
      <c r="Y404" s="750"/>
      <c r="Z404" s="750">
        <f>Q404+S404+T404+U404+V404+W404+X404</f>
        <v>143.91714223528257</v>
      </c>
      <c r="AA404" s="848">
        <f>Z404/G404*100</f>
        <v>24.267002462745413</v>
      </c>
      <c r="AB404" s="753">
        <f>Z404-J404</f>
        <v>3.3343080308583239E-2</v>
      </c>
      <c r="AC404" s="753"/>
      <c r="AD404" s="857"/>
      <c r="AF404" s="763"/>
      <c r="AI404" s="763"/>
      <c r="AK404" s="763"/>
      <c r="AM404" s="776"/>
    </row>
    <row r="405" spans="1:39">
      <c r="A405" s="4">
        <v>192</v>
      </c>
      <c r="B405" s="256"/>
      <c r="C405" s="9" t="s">
        <v>211</v>
      </c>
      <c r="D405" s="256"/>
      <c r="E405" s="36"/>
      <c r="F405" s="256"/>
      <c r="G405" s="137">
        <f>SUM(G403:G404)</f>
        <v>5702.7569299999996</v>
      </c>
      <c r="H405" s="256"/>
      <c r="I405" s="806">
        <f>J405/G405*100</f>
        <v>21.709197784854709</v>
      </c>
      <c r="J405" s="808">
        <f>SUM(J403:J404)</f>
        <v>1238.0227811232082</v>
      </c>
      <c r="K405" s="256"/>
      <c r="L405" s="805">
        <f t="shared" ref="L405:Q405" si="119">SUM(L403:L404)</f>
        <v>0</v>
      </c>
      <c r="M405" s="805">
        <f t="shared" si="119"/>
        <v>0</v>
      </c>
      <c r="N405" s="805">
        <f t="shared" si="119"/>
        <v>0</v>
      </c>
      <c r="O405" s="805">
        <f t="shared" si="119"/>
        <v>0</v>
      </c>
      <c r="P405" s="805">
        <f t="shared" si="119"/>
        <v>0</v>
      </c>
      <c r="Q405" s="805">
        <f t="shared" si="119"/>
        <v>1238.0227811232082</v>
      </c>
      <c r="R405" s="771"/>
      <c r="S405" s="807">
        <f t="shared" ref="S405:X405" si="120">SUM(S403:S404)</f>
        <v>0.32062264088383463</v>
      </c>
      <c r="T405" s="807">
        <f t="shared" si="120"/>
        <v>0</v>
      </c>
      <c r="U405" s="807">
        <f t="shared" si="120"/>
        <v>0</v>
      </c>
      <c r="V405" s="807">
        <f t="shared" si="120"/>
        <v>0</v>
      </c>
      <c r="W405" s="807">
        <f t="shared" si="120"/>
        <v>0</v>
      </c>
      <c r="X405" s="807">
        <f t="shared" si="120"/>
        <v>0</v>
      </c>
      <c r="Y405" s="750"/>
      <c r="Z405" s="808">
        <f>SUM(Z403:Z404)</f>
        <v>1238.343403764092</v>
      </c>
      <c r="AA405" s="850">
        <f>Z405/G405*100</f>
        <v>21.714820024147375</v>
      </c>
      <c r="AB405" s="842">
        <f>SUM(AB403:AB404)</f>
        <v>0.32062264088372672</v>
      </c>
      <c r="AC405" s="804">
        <f>AA405/I405-1</f>
        <v>2.5897959696097317E-4</v>
      </c>
      <c r="AD405" s="769"/>
      <c r="AF405" s="763"/>
      <c r="AI405" s="763"/>
      <c r="AK405" s="763"/>
      <c r="AM405" s="776"/>
    </row>
    <row r="406" spans="1:39">
      <c r="A406" s="4"/>
      <c r="B406" s="256"/>
      <c r="D406" s="256"/>
      <c r="E406" s="742"/>
      <c r="F406" s="256"/>
      <c r="G406" s="453"/>
      <c r="H406" s="256"/>
      <c r="I406" s="792"/>
      <c r="J406" s="256"/>
      <c r="K406" s="256"/>
      <c r="L406" s="762"/>
      <c r="M406" s="762"/>
      <c r="N406" s="762"/>
      <c r="O406" s="762"/>
      <c r="P406" s="762"/>
      <c r="Q406" s="762"/>
      <c r="R406" s="771"/>
      <c r="S406" s="771"/>
      <c r="T406" s="762"/>
      <c r="U406" s="762"/>
      <c r="V406" s="762"/>
      <c r="W406" s="762"/>
      <c r="X406" s="762"/>
      <c r="Y406" s="750"/>
      <c r="Z406" s="750"/>
      <c r="AA406" s="750"/>
      <c r="AB406" s="753"/>
      <c r="AC406" s="753"/>
      <c r="AD406" s="728"/>
      <c r="AF406" s="763"/>
      <c r="AI406" s="763"/>
      <c r="AK406" s="763"/>
      <c r="AM406" s="776"/>
    </row>
    <row r="407" spans="1:39" ht="13.5" thickBot="1">
      <c r="A407" s="4">
        <v>193</v>
      </c>
      <c r="B407" s="256"/>
      <c r="C407" s="9" t="s">
        <v>290</v>
      </c>
      <c r="D407" s="256"/>
      <c r="E407" s="134"/>
      <c r="F407" s="256"/>
      <c r="G407" s="458">
        <f>G395</f>
        <v>126830.75640999997</v>
      </c>
      <c r="H407" s="256"/>
      <c r="I407" s="803">
        <f>J407/G407*100</f>
        <v>4.8754636006061887</v>
      </c>
      <c r="J407" s="756">
        <f>J398+J400+J403+J404</f>
        <v>6183.5873631430495</v>
      </c>
      <c r="K407" s="750"/>
      <c r="L407" s="781">
        <f t="shared" ref="L407:Q407" si="121">L398+L400+L403+L404</f>
        <v>40.181023528609991</v>
      </c>
      <c r="M407" s="781">
        <f t="shared" si="121"/>
        <v>0</v>
      </c>
      <c r="N407" s="781">
        <f t="shared" si="121"/>
        <v>14.737676449939997</v>
      </c>
      <c r="O407" s="781">
        <f t="shared" si="121"/>
        <v>0</v>
      </c>
      <c r="P407" s="781">
        <f t="shared" si="121"/>
        <v>0</v>
      </c>
      <c r="Q407" s="781">
        <f t="shared" si="121"/>
        <v>6128.6686631645007</v>
      </c>
      <c r="R407" s="771"/>
      <c r="S407" s="781">
        <f t="shared" ref="S407:X407" si="122">S398+S400+S403+S404</f>
        <v>130.09858400395507</v>
      </c>
      <c r="T407" s="781">
        <f t="shared" si="122"/>
        <v>78.99750173563443</v>
      </c>
      <c r="U407" s="781">
        <f t="shared" si="122"/>
        <v>0</v>
      </c>
      <c r="V407" s="781">
        <f t="shared" si="122"/>
        <v>13.814708324320168</v>
      </c>
      <c r="W407" s="781">
        <f t="shared" si="122"/>
        <v>0</v>
      </c>
      <c r="X407" s="781">
        <f t="shared" si="122"/>
        <v>0</v>
      </c>
      <c r="Y407" s="750"/>
      <c r="Z407" s="756">
        <f>Z398+Z400+Z403+Z404</f>
        <v>6351.5794572284085</v>
      </c>
      <c r="AA407" s="845">
        <f>Z407/G407*100</f>
        <v>5.0079173514474276</v>
      </c>
      <c r="AB407" s="756">
        <f>AB398+AB400+AB403+AB404</f>
        <v>167.99209408535921</v>
      </c>
      <c r="AC407" s="780">
        <f>AA407/I407-1</f>
        <v>2.716741661752331E-2</v>
      </c>
      <c r="AD407" s="779"/>
      <c r="AF407" s="763"/>
      <c r="AI407" s="763"/>
      <c r="AK407" s="763"/>
      <c r="AM407" s="776"/>
    </row>
    <row r="408" spans="1:39" ht="13.5" thickTop="1">
      <c r="L408" s="2"/>
      <c r="M408" s="2"/>
      <c r="N408" s="2"/>
      <c r="O408" s="2"/>
      <c r="P408" s="504"/>
      <c r="Q408" s="504"/>
      <c r="T408" s="504"/>
      <c r="U408" s="504"/>
      <c r="V408" s="504"/>
      <c r="W408" s="504"/>
      <c r="X408" s="504"/>
      <c r="AB408" s="753"/>
      <c r="AC408" s="504"/>
      <c r="AF408" s="763"/>
      <c r="AI408" s="763"/>
      <c r="AK408" s="763"/>
      <c r="AM408" s="776"/>
    </row>
    <row r="409" spans="1:39">
      <c r="L409" s="2"/>
      <c r="M409" s="2"/>
      <c r="N409" s="2"/>
      <c r="O409" s="2"/>
      <c r="P409" s="504"/>
      <c r="Q409" s="504"/>
      <c r="T409" s="504"/>
      <c r="U409" s="504"/>
      <c r="V409" s="504"/>
      <c r="W409" s="504"/>
      <c r="X409" s="504"/>
      <c r="AB409" s="753"/>
      <c r="AC409" s="504"/>
      <c r="AF409" s="763"/>
      <c r="AI409" s="763"/>
      <c r="AK409" s="763"/>
      <c r="AM409" s="776"/>
    </row>
    <row r="410" spans="1:39">
      <c r="L410" s="2"/>
      <c r="M410" s="2"/>
      <c r="N410" s="2"/>
      <c r="O410" s="2"/>
      <c r="P410" s="504"/>
      <c r="Q410" s="504"/>
      <c r="T410" s="504"/>
      <c r="U410" s="504"/>
      <c r="V410" s="504"/>
      <c r="W410" s="504"/>
      <c r="X410" s="504"/>
      <c r="AB410" s="504"/>
      <c r="AC410" s="504"/>
      <c r="AF410" s="763"/>
      <c r="AI410" s="763"/>
      <c r="AK410" s="763"/>
      <c r="AM410" s="776"/>
    </row>
    <row r="411" spans="1:39">
      <c r="L411" s="2"/>
      <c r="M411" s="2"/>
      <c r="N411" s="2"/>
      <c r="O411" s="2"/>
      <c r="P411" s="504"/>
      <c r="Q411" s="504"/>
      <c r="T411" s="504"/>
      <c r="U411" s="504"/>
      <c r="V411" s="504"/>
      <c r="W411" s="504"/>
      <c r="X411" s="504"/>
      <c r="AB411" s="504"/>
      <c r="AC411" s="504"/>
      <c r="AF411" s="763"/>
      <c r="AI411" s="763"/>
      <c r="AK411" s="763"/>
      <c r="AM411" s="776"/>
    </row>
    <row r="412" spans="1:39">
      <c r="L412" s="2"/>
      <c r="M412" s="2"/>
      <c r="N412" s="2"/>
      <c r="O412" s="2"/>
      <c r="P412" s="504"/>
      <c r="Q412" s="504"/>
      <c r="T412" s="504"/>
      <c r="U412" s="504"/>
      <c r="V412" s="504"/>
      <c r="W412" s="504"/>
      <c r="X412" s="504"/>
      <c r="AB412" s="504"/>
      <c r="AC412" s="504"/>
      <c r="AF412" s="763"/>
      <c r="AI412" s="763"/>
      <c r="AK412" s="763"/>
      <c r="AM412" s="776"/>
    </row>
    <row r="413" spans="1:39">
      <c r="A413" s="1324" t="s">
        <v>724</v>
      </c>
      <c r="B413" s="1324"/>
      <c r="C413" s="1324"/>
      <c r="D413" s="1324"/>
      <c r="E413" s="1324"/>
      <c r="F413" s="1324"/>
      <c r="G413" s="1324"/>
      <c r="H413" s="1324"/>
      <c r="I413" s="1324"/>
      <c r="J413" s="1324"/>
      <c r="K413" s="1324"/>
      <c r="L413" s="1324"/>
      <c r="M413" s="1324"/>
      <c r="N413" s="1324"/>
      <c r="O413" s="1324"/>
      <c r="P413" s="1324"/>
      <c r="Q413" s="1324"/>
      <c r="R413" s="1324"/>
      <c r="S413" s="1324"/>
      <c r="T413" s="1324"/>
      <c r="U413" s="1324"/>
      <c r="V413" s="1324"/>
      <c r="W413" s="1324"/>
      <c r="X413" s="1324"/>
      <c r="Y413" s="1324"/>
      <c r="Z413" s="1324"/>
      <c r="AA413" s="1324"/>
      <c r="AB413" s="1324"/>
      <c r="AC413" s="1324"/>
      <c r="AD413" s="665"/>
      <c r="AF413" s="763"/>
      <c r="AI413" s="763"/>
      <c r="AK413" s="763"/>
      <c r="AM413" s="776"/>
    </row>
    <row r="414" spans="1:39">
      <c r="A414" s="385"/>
      <c r="B414" s="385"/>
      <c r="C414" s="385"/>
      <c r="D414" s="385"/>
      <c r="E414" s="447"/>
      <c r="F414" s="385"/>
      <c r="G414" s="447"/>
      <c r="H414" s="385"/>
      <c r="I414" s="385"/>
      <c r="J414" s="385"/>
      <c r="K414" s="385"/>
      <c r="L414" s="385"/>
      <c r="M414" s="385"/>
      <c r="N414" s="3"/>
      <c r="O414" s="3"/>
      <c r="P414" s="504"/>
      <c r="Q414" s="504"/>
      <c r="R414" s="385"/>
      <c r="S414" s="385"/>
      <c r="T414" s="504"/>
      <c r="U414" s="504"/>
      <c r="V414" s="504"/>
      <c r="W414" s="504"/>
      <c r="X414" s="504"/>
      <c r="Y414" s="385"/>
      <c r="Z414" s="385"/>
      <c r="AA414" s="385"/>
      <c r="AB414" s="504"/>
      <c r="AC414" s="504"/>
      <c r="AF414" s="763"/>
      <c r="AI414" s="763"/>
      <c r="AK414" s="763"/>
      <c r="AM414" s="776"/>
    </row>
    <row r="415" spans="1:39">
      <c r="A415" s="447"/>
      <c r="B415" s="447"/>
      <c r="C415" s="447"/>
      <c r="D415" s="447"/>
      <c r="E415" s="385"/>
      <c r="F415" s="447"/>
      <c r="G415" s="1313" t="str">
        <f>G8</f>
        <v>Current Approved Revenue</v>
      </c>
      <c r="H415" s="1313"/>
      <c r="I415" s="1313"/>
      <c r="J415" s="1313"/>
      <c r="K415" s="447"/>
      <c r="L415" s="1313" t="str">
        <f>L8</f>
        <v>Adjustments to 2023 Base Rates</v>
      </c>
      <c r="M415" s="1313"/>
      <c r="N415" s="1313"/>
      <c r="O415" s="1313"/>
      <c r="P415" s="1313"/>
      <c r="Q415" s="256"/>
      <c r="R415" s="447"/>
      <c r="S415" s="1313" t="str">
        <f>S8</f>
        <v>Adjustments to 2024 Base Rates</v>
      </c>
      <c r="T415" s="1313"/>
      <c r="U415" s="1313"/>
      <c r="V415" s="1313"/>
      <c r="W415" s="1313"/>
      <c r="X415" s="1313"/>
      <c r="Y415" s="447"/>
      <c r="Z415" s="1313" t="str">
        <f>Z8</f>
        <v>2024 Proposed Revenue</v>
      </c>
      <c r="AA415" s="1313"/>
      <c r="AB415" s="1313"/>
      <c r="AC415" s="1313"/>
      <c r="AD415" s="4"/>
      <c r="AF415" s="763"/>
      <c r="AI415" s="763"/>
      <c r="AK415" s="763"/>
      <c r="AM415" s="776"/>
    </row>
    <row r="416" spans="1:39" ht="38.25">
      <c r="A416" s="254" t="s">
        <v>1</v>
      </c>
      <c r="B416" s="254"/>
      <c r="C416" s="254"/>
      <c r="D416" s="254"/>
      <c r="E416" s="4" t="s">
        <v>670</v>
      </c>
      <c r="F416" s="254"/>
      <c r="G416" s="13" t="s">
        <v>684</v>
      </c>
      <c r="H416" s="254"/>
      <c r="I416" s="13" t="s">
        <v>196</v>
      </c>
      <c r="J416" s="13" t="s">
        <v>503</v>
      </c>
      <c r="K416" s="254"/>
      <c r="L416" s="13" t="s">
        <v>505</v>
      </c>
      <c r="M416" s="13" t="s">
        <v>685</v>
      </c>
      <c r="N416" s="254" t="s">
        <v>686</v>
      </c>
      <c r="O416" s="254" t="s">
        <v>508</v>
      </c>
      <c r="P416" s="254" t="s">
        <v>687</v>
      </c>
      <c r="Q416" s="254" t="s">
        <v>688</v>
      </c>
      <c r="R416" s="254"/>
      <c r="S416" s="254" t="s">
        <v>689</v>
      </c>
      <c r="T416" s="13" t="s">
        <v>505</v>
      </c>
      <c r="U416" s="13" t="s">
        <v>685</v>
      </c>
      <c r="V416" s="254" t="s">
        <v>686</v>
      </c>
      <c r="W416" s="254" t="s">
        <v>508</v>
      </c>
      <c r="X416" s="254" t="s">
        <v>687</v>
      </c>
      <c r="Y416" s="254"/>
      <c r="Z416" s="13" t="s">
        <v>690</v>
      </c>
      <c r="AA416" s="13" t="s">
        <v>691</v>
      </c>
      <c r="AB416" s="13" t="s">
        <v>692</v>
      </c>
      <c r="AC416" s="254" t="s">
        <v>693</v>
      </c>
      <c r="AD416" s="254"/>
      <c r="AF416" s="763"/>
      <c r="AI416" s="763"/>
      <c r="AK416" s="763"/>
      <c r="AM416" s="776"/>
    </row>
    <row r="417" spans="1:39" ht="14.25">
      <c r="A417" s="255" t="s">
        <v>2</v>
      </c>
      <c r="B417" s="256"/>
      <c r="C417" s="449" t="s">
        <v>3</v>
      </c>
      <c r="D417" s="256"/>
      <c r="E417" s="255" t="s">
        <v>4</v>
      </c>
      <c r="F417" s="256"/>
      <c r="G417" s="255" t="s">
        <v>694</v>
      </c>
      <c r="H417" s="256"/>
      <c r="I417" s="255" t="s">
        <v>77</v>
      </c>
      <c r="J417" s="255" t="s">
        <v>20</v>
      </c>
      <c r="K417" s="256"/>
      <c r="L417" s="255" t="s">
        <v>20</v>
      </c>
      <c r="M417" s="255" t="s">
        <v>20</v>
      </c>
      <c r="N417" s="255" t="s">
        <v>20</v>
      </c>
      <c r="O417" s="255" t="s">
        <v>20</v>
      </c>
      <c r="P417" s="255" t="s">
        <v>20</v>
      </c>
      <c r="Q417" s="255" t="s">
        <v>20</v>
      </c>
      <c r="R417" s="256"/>
      <c r="S417" s="255" t="s">
        <v>20</v>
      </c>
      <c r="T417" s="255" t="s">
        <v>20</v>
      </c>
      <c r="U417" s="255" t="s">
        <v>20</v>
      </c>
      <c r="V417" s="255" t="s">
        <v>20</v>
      </c>
      <c r="W417" s="255" t="s">
        <v>20</v>
      </c>
      <c r="X417" s="255" t="s">
        <v>20</v>
      </c>
      <c r="Y417" s="256"/>
      <c r="Z417" s="255" t="s">
        <v>20</v>
      </c>
      <c r="AA417" s="255" t="s">
        <v>77</v>
      </c>
      <c r="AB417" s="255" t="s">
        <v>20</v>
      </c>
      <c r="AC417" s="255" t="s">
        <v>76</v>
      </c>
      <c r="AD417" s="4"/>
      <c r="AF417" s="763"/>
      <c r="AI417" s="763"/>
      <c r="AK417" s="763"/>
      <c r="AM417" s="776"/>
    </row>
    <row r="418" spans="1:39">
      <c r="A418" s="4"/>
      <c r="B418" s="256"/>
      <c r="C418" s="256"/>
      <c r="D418" s="256"/>
      <c r="E418" s="4"/>
      <c r="F418" s="256"/>
      <c r="G418" s="4" t="s">
        <v>8</v>
      </c>
      <c r="H418" s="4"/>
      <c r="I418" s="4" t="s">
        <v>9</v>
      </c>
      <c r="J418" s="4" t="s">
        <v>370</v>
      </c>
      <c r="K418" s="4"/>
      <c r="L418" s="132" t="s">
        <v>79</v>
      </c>
      <c r="M418" s="132" t="s">
        <v>115</v>
      </c>
      <c r="N418" s="132" t="s">
        <v>81</v>
      </c>
      <c r="O418" s="132" t="s">
        <v>82</v>
      </c>
      <c r="P418" s="4" t="s">
        <v>118</v>
      </c>
      <c r="Q418" s="4" t="s">
        <v>695</v>
      </c>
      <c r="R418" s="4"/>
      <c r="S418" s="4" t="s">
        <v>696</v>
      </c>
      <c r="T418" s="4" t="s">
        <v>517</v>
      </c>
      <c r="U418" s="4" t="s">
        <v>518</v>
      </c>
      <c r="V418" s="4" t="s">
        <v>519</v>
      </c>
      <c r="W418" s="4" t="s">
        <v>697</v>
      </c>
      <c r="X418" s="4" t="s">
        <v>698</v>
      </c>
      <c r="Y418" s="4"/>
      <c r="Z418" s="4" t="s">
        <v>725</v>
      </c>
      <c r="AA418" s="4" t="s">
        <v>700</v>
      </c>
      <c r="AB418" s="4" t="s">
        <v>701</v>
      </c>
      <c r="AC418" s="4" t="s">
        <v>702</v>
      </c>
      <c r="AD418" s="4"/>
      <c r="AF418" s="763"/>
      <c r="AI418" s="763"/>
      <c r="AK418" s="763"/>
      <c r="AM418" s="776"/>
    </row>
    <row r="419" spans="1:39" ht="14.25" customHeight="1">
      <c r="A419" s="4"/>
      <c r="B419" s="256"/>
      <c r="C419" s="7"/>
      <c r="D419" s="256"/>
      <c r="E419" s="36"/>
      <c r="F419" s="256"/>
      <c r="G419" s="35"/>
      <c r="H419" s="256"/>
      <c r="I419" s="792"/>
      <c r="J419" s="256"/>
      <c r="K419" s="256"/>
      <c r="L419" s="504"/>
      <c r="M419" s="504"/>
      <c r="N419" s="504"/>
      <c r="O419" s="504"/>
      <c r="P419" s="504"/>
      <c r="Q419" s="504"/>
      <c r="R419" s="256"/>
      <c r="S419" s="256"/>
      <c r="T419" s="504"/>
      <c r="U419" s="504"/>
      <c r="V419" s="504"/>
      <c r="W419" s="504"/>
      <c r="X419" s="504"/>
      <c r="Y419" s="256"/>
      <c r="Z419" s="256"/>
      <c r="AA419" s="256"/>
      <c r="AB419" s="504"/>
      <c r="AC419" s="504"/>
      <c r="AI419" s="763"/>
    </row>
    <row r="420" spans="1:39">
      <c r="A420" s="4"/>
      <c r="B420" s="256"/>
      <c r="C420" s="6" t="s">
        <v>164</v>
      </c>
      <c r="D420" s="256"/>
      <c r="E420" s="36"/>
      <c r="F420" s="256"/>
      <c r="G420" s="35"/>
      <c r="H420" s="256"/>
      <c r="I420" s="256"/>
      <c r="J420" s="256"/>
      <c r="K420" s="256"/>
      <c r="L420" s="504"/>
      <c r="M420" s="504"/>
      <c r="N420" s="504"/>
      <c r="O420" s="504"/>
      <c r="P420" s="504"/>
      <c r="Q420" s="504"/>
      <c r="R420" s="256"/>
      <c r="S420" s="256"/>
      <c r="T420" s="504"/>
      <c r="U420" s="504"/>
      <c r="V420" s="504"/>
      <c r="W420" s="504"/>
      <c r="X420" s="504"/>
      <c r="Y420" s="256"/>
      <c r="Z420" s="256"/>
      <c r="AA420" s="256"/>
      <c r="AB420" s="504"/>
      <c r="AC420" s="504"/>
    </row>
    <row r="421" spans="1:39">
      <c r="A421" s="4">
        <v>194</v>
      </c>
      <c r="B421" s="256"/>
      <c r="C421" s="9" t="s">
        <v>200</v>
      </c>
      <c r="D421" s="256"/>
      <c r="E421" s="36" t="s">
        <v>704</v>
      </c>
      <c r="F421" s="256"/>
      <c r="G421" s="35">
        <v>144.00000000000003</v>
      </c>
      <c r="H421" s="256"/>
      <c r="I421" s="778">
        <v>1620.86</v>
      </c>
      <c r="J421" s="750">
        <f>G421*I421/1000</f>
        <v>233.40384000000003</v>
      </c>
      <c r="K421" s="256"/>
      <c r="L421" s="35">
        <v>0</v>
      </c>
      <c r="M421" s="35">
        <v>0</v>
      </c>
      <c r="N421" s="35">
        <v>0</v>
      </c>
      <c r="O421" s="35">
        <v>0</v>
      </c>
      <c r="P421" s="35">
        <v>0</v>
      </c>
      <c r="Q421" s="762">
        <f>J421-L421-M421-N421-O421-P421</f>
        <v>233.40384000000003</v>
      </c>
      <c r="R421" s="771"/>
      <c r="S421" s="35">
        <v>6.2937757328906798</v>
      </c>
      <c r="T421" s="35">
        <v>0</v>
      </c>
      <c r="U421" s="35">
        <v>0</v>
      </c>
      <c r="V421" s="35">
        <v>0</v>
      </c>
      <c r="W421" s="35">
        <v>0</v>
      </c>
      <c r="X421" s="35">
        <v>0</v>
      </c>
      <c r="Y421" s="750"/>
      <c r="Z421" s="750">
        <f>Q421+S421+T421+U421+V421+W421+X421</f>
        <v>239.69761573289071</v>
      </c>
      <c r="AA421" s="811">
        <f>Z421/G421*1000</f>
        <v>1664.5667759228518</v>
      </c>
      <c r="AB421" s="753">
        <f>Z421-J421</f>
        <v>6.2937757328906798</v>
      </c>
      <c r="AC421" s="770">
        <f>AA421/I421-1</f>
        <v>2.696517646363783E-2</v>
      </c>
      <c r="AD421" s="769"/>
      <c r="AF421" s="763"/>
      <c r="AI421" s="763"/>
      <c r="AK421" s="763"/>
      <c r="AM421" s="776"/>
    </row>
    <row r="422" spans="1:39">
      <c r="A422" s="4">
        <v>195</v>
      </c>
      <c r="B422" s="256"/>
      <c r="C422" s="9" t="s">
        <v>221</v>
      </c>
      <c r="D422" s="256"/>
      <c r="E422" s="513" t="s">
        <v>675</v>
      </c>
      <c r="F422" s="256"/>
      <c r="G422" s="35">
        <v>42050.04</v>
      </c>
      <c r="H422" s="256"/>
      <c r="I422" s="861">
        <v>19.945999999999998</v>
      </c>
      <c r="J422" s="750">
        <f>G422*I422/100</f>
        <v>8387.3009783999987</v>
      </c>
      <c r="K422" s="256"/>
      <c r="L422" s="762">
        <v>909.03776471999993</v>
      </c>
      <c r="M422" s="35">
        <v>0</v>
      </c>
      <c r="N422" s="35">
        <v>0</v>
      </c>
      <c r="O422" s="35">
        <v>0</v>
      </c>
      <c r="P422" s="35">
        <v>0</v>
      </c>
      <c r="Q422" s="762">
        <f>J422-L422-M422-N422-O422-P422</f>
        <v>7478.2632136799984</v>
      </c>
      <c r="R422" s="771"/>
      <c r="S422" s="35">
        <v>201.65268719841242</v>
      </c>
      <c r="T422" s="35">
        <v>679.09289964212871</v>
      </c>
      <c r="U422" s="35">
        <v>0</v>
      </c>
      <c r="V422" s="35">
        <v>0</v>
      </c>
      <c r="W422" s="35">
        <v>0</v>
      </c>
      <c r="X422" s="35">
        <v>0</v>
      </c>
      <c r="Y422" s="750"/>
      <c r="Z422" s="750">
        <f>Q422+S422+T422+U422+V422+W422+X422</f>
        <v>8359.0088005205398</v>
      </c>
      <c r="AA422" s="848">
        <f>Z422/G422*100</f>
        <v>19.878717833610953</v>
      </c>
      <c r="AB422" s="847">
        <f>Z422-J422</f>
        <v>-28.292177879458904</v>
      </c>
      <c r="AC422" s="770">
        <f>AA422/I422-1</f>
        <v>-3.3732160026594959E-3</v>
      </c>
      <c r="AD422" s="769"/>
      <c r="AF422" s="763"/>
      <c r="AI422" s="763"/>
      <c r="AK422" s="763"/>
      <c r="AM422" s="776"/>
    </row>
    <row r="423" spans="1:39">
      <c r="A423" s="4">
        <v>196</v>
      </c>
      <c r="B423" s="256"/>
      <c r="C423" s="9" t="s">
        <v>202</v>
      </c>
      <c r="D423" s="256"/>
      <c r="E423" s="513" t="s">
        <v>674</v>
      </c>
      <c r="F423" s="256"/>
      <c r="G423" s="35">
        <v>1076377.9679700001</v>
      </c>
      <c r="H423" s="256"/>
      <c r="I423" s="861">
        <v>0.28710000000000002</v>
      </c>
      <c r="J423" s="750">
        <f>G423*I423/100</f>
        <v>3090.2811460418707</v>
      </c>
      <c r="K423" s="256"/>
      <c r="L423" s="762">
        <v>307.84409883942004</v>
      </c>
      <c r="M423" s="762">
        <v>13.760700020675317</v>
      </c>
      <c r="N423" s="762">
        <v>22.603937327369998</v>
      </c>
      <c r="O423" s="35">
        <v>0</v>
      </c>
      <c r="P423" s="35">
        <v>0</v>
      </c>
      <c r="Q423" s="762">
        <f>J423-L423-M423-N423-O423-P423</f>
        <v>2746.0724098544051</v>
      </c>
      <c r="R423" s="771"/>
      <c r="S423" s="35">
        <v>74.048327113651339</v>
      </c>
      <c r="T423" s="35">
        <v>220.60521502648581</v>
      </c>
      <c r="U423" s="35">
        <v>13.37923487947986</v>
      </c>
      <c r="V423" s="35">
        <v>21.188333331886991</v>
      </c>
      <c r="W423" s="35">
        <v>0</v>
      </c>
      <c r="X423" s="35">
        <v>0</v>
      </c>
      <c r="Y423" s="750"/>
      <c r="Z423" s="750">
        <f>Q423+S423+T423+U423+V423+W423+X423</f>
        <v>3075.2935202059093</v>
      </c>
      <c r="AA423" s="848">
        <f>Z423/G423*100</f>
        <v>0.28570758708539651</v>
      </c>
      <c r="AB423" s="847">
        <f>Z423-J423</f>
        <v>-14.987625835961353</v>
      </c>
      <c r="AC423" s="770">
        <f>AA423/I423-1</f>
        <v>-4.8499230742024002E-3</v>
      </c>
      <c r="AD423" s="769"/>
      <c r="AF423" s="763"/>
      <c r="AI423" s="763"/>
      <c r="AK423" s="763"/>
      <c r="AM423" s="776"/>
    </row>
    <row r="424" spans="1:39">
      <c r="A424" s="4">
        <v>197</v>
      </c>
      <c r="B424" s="256"/>
      <c r="C424" s="9" t="s">
        <v>782</v>
      </c>
      <c r="D424" s="256"/>
      <c r="E424" s="513" t="s">
        <v>674</v>
      </c>
      <c r="F424" s="256"/>
      <c r="G424" s="35">
        <v>28099.753000000001</v>
      </c>
      <c r="H424" s="256"/>
      <c r="I424" s="861">
        <v>0.28710000000000002</v>
      </c>
      <c r="J424" s="750">
        <f>G424*I424/100</f>
        <v>80.674390863000013</v>
      </c>
      <c r="K424" s="256"/>
      <c r="L424" s="762">
        <v>8.036529358000001</v>
      </c>
      <c r="M424" s="35">
        <v>0</v>
      </c>
      <c r="N424" s="762">
        <v>0.590094813</v>
      </c>
      <c r="O424" s="35">
        <v>0</v>
      </c>
      <c r="P424" s="35">
        <v>0</v>
      </c>
      <c r="Q424" s="762">
        <f>J424-L424-M424-N424-O424-P424</f>
        <v>72.047766692000025</v>
      </c>
      <c r="R424" s="771"/>
      <c r="S424" s="35">
        <v>1.942780742660787</v>
      </c>
      <c r="T424" s="35">
        <v>5.7590848542237278</v>
      </c>
      <c r="U424" s="35">
        <v>0</v>
      </c>
      <c r="V424" s="35">
        <v>0.55313927897517656</v>
      </c>
      <c r="W424" s="35">
        <v>0</v>
      </c>
      <c r="X424" s="35">
        <v>0</v>
      </c>
      <c r="Y424" s="750"/>
      <c r="Z424" s="750">
        <f>Q424+S424+T424+U424+V424+W424+X424</f>
        <v>80.302771567859722</v>
      </c>
      <c r="AA424" s="848">
        <f>Z424/G424*100</f>
        <v>0.2857774997803707</v>
      </c>
      <c r="AB424" s="753">
        <f>Z424-J424</f>
        <v>-0.37161929514029168</v>
      </c>
      <c r="AC424" s="770">
        <f>AA424/I424-1</f>
        <v>-4.606409681746193E-3</v>
      </c>
      <c r="AD424" s="769"/>
      <c r="AF424" s="763"/>
      <c r="AI424" s="763"/>
      <c r="AK424" s="763"/>
      <c r="AM424" s="776"/>
    </row>
    <row r="425" spans="1:39">
      <c r="A425" s="4">
        <v>198</v>
      </c>
      <c r="B425" s="256"/>
      <c r="C425" s="9" t="s">
        <v>770</v>
      </c>
      <c r="D425" s="256"/>
      <c r="E425" s="36" t="s">
        <v>704</v>
      </c>
      <c r="F425" s="256"/>
      <c r="G425" s="35">
        <v>143.99999999999989</v>
      </c>
      <c r="H425" s="256"/>
      <c r="I425" s="778">
        <v>248.07</v>
      </c>
      <c r="J425" s="750">
        <f>G425*I425/1000</f>
        <v>35.72207999999997</v>
      </c>
      <c r="K425" s="256"/>
      <c r="L425" s="35">
        <v>0</v>
      </c>
      <c r="M425" s="35">
        <v>0</v>
      </c>
      <c r="N425" s="35">
        <v>0</v>
      </c>
      <c r="O425" s="35">
        <v>0</v>
      </c>
      <c r="P425" s="35">
        <v>0</v>
      </c>
      <c r="Q425" s="762">
        <f>J425-L425-M425-N425-O425-P425</f>
        <v>35.72207999999997</v>
      </c>
      <c r="R425" s="771"/>
      <c r="S425" s="35">
        <v>0.96325219084818769</v>
      </c>
      <c r="T425" s="35">
        <v>0</v>
      </c>
      <c r="U425" s="35">
        <v>0</v>
      </c>
      <c r="V425" s="35">
        <v>0</v>
      </c>
      <c r="W425" s="35">
        <v>0</v>
      </c>
      <c r="X425" s="35">
        <v>0</v>
      </c>
      <c r="Y425" s="750"/>
      <c r="Z425" s="750">
        <f>Q425+S425+T425+U425+V425+W425+X425</f>
        <v>36.685332190848158</v>
      </c>
      <c r="AA425" s="811">
        <f>Z425/G425*1000</f>
        <v>254.75925132533462</v>
      </c>
      <c r="AB425" s="753">
        <f>Z425-J425</f>
        <v>0.96325219084818769</v>
      </c>
      <c r="AC425" s="770"/>
      <c r="AD425" s="769"/>
      <c r="AF425" s="763"/>
      <c r="AI425" s="763"/>
      <c r="AK425" s="763"/>
      <c r="AM425" s="776"/>
    </row>
    <row r="426" spans="1:39">
      <c r="A426" s="4"/>
      <c r="B426" s="256"/>
      <c r="C426" s="7"/>
      <c r="D426" s="256"/>
      <c r="E426" s="36"/>
      <c r="F426" s="256"/>
      <c r="G426" s="453"/>
      <c r="H426" s="256"/>
      <c r="I426" s="256"/>
      <c r="J426" s="750"/>
      <c r="K426" s="256"/>
      <c r="L426" s="762"/>
      <c r="M426" s="762"/>
      <c r="N426" s="762"/>
      <c r="O426" s="762"/>
      <c r="P426" s="762"/>
      <c r="Q426" s="762"/>
      <c r="R426" s="771"/>
      <c r="S426" s="771"/>
      <c r="T426" s="762"/>
      <c r="U426" s="762"/>
      <c r="V426" s="762"/>
      <c r="W426" s="762"/>
      <c r="X426" s="762"/>
      <c r="Y426" s="750"/>
      <c r="Z426" s="750"/>
      <c r="AA426" s="848"/>
      <c r="AB426" s="753"/>
      <c r="AC426" s="770"/>
      <c r="AD426" s="769"/>
      <c r="AM426" s="776"/>
    </row>
    <row r="427" spans="1:39">
      <c r="A427" s="4">
        <v>199</v>
      </c>
      <c r="B427" s="256"/>
      <c r="C427" s="9" t="s">
        <v>779</v>
      </c>
      <c r="D427" s="256"/>
      <c r="E427" s="36"/>
      <c r="F427" s="256"/>
      <c r="G427" s="420">
        <f>SUM(G421:G426)</f>
        <v>1146815.7609700002</v>
      </c>
      <c r="H427" s="256"/>
      <c r="I427" s="806">
        <f>J427/G427*100</f>
        <v>1.0313236735865077</v>
      </c>
      <c r="J427" s="808">
        <f>SUM(J421:J426)</f>
        <v>11827.382435304869</v>
      </c>
      <c r="K427" s="256"/>
      <c r="L427" s="805">
        <f t="shared" ref="L427:Q427" si="123">SUM(L421:L426)</f>
        <v>1224.9183929174201</v>
      </c>
      <c r="M427" s="805">
        <f t="shared" si="123"/>
        <v>13.760700020675317</v>
      </c>
      <c r="N427" s="805">
        <f t="shared" si="123"/>
        <v>23.194032140369998</v>
      </c>
      <c r="O427" s="805">
        <f t="shared" si="123"/>
        <v>0</v>
      </c>
      <c r="P427" s="805">
        <f t="shared" si="123"/>
        <v>0</v>
      </c>
      <c r="Q427" s="805">
        <f t="shared" si="123"/>
        <v>10565.509310226402</v>
      </c>
      <c r="R427" s="771"/>
      <c r="S427" s="807">
        <f t="shared" ref="S427:X427" si="124">SUM(S421:S426)</f>
        <v>284.90082297846345</v>
      </c>
      <c r="T427" s="807">
        <f t="shared" si="124"/>
        <v>905.45719952283821</v>
      </c>
      <c r="U427" s="807">
        <f t="shared" si="124"/>
        <v>13.37923487947986</v>
      </c>
      <c r="V427" s="807">
        <f t="shared" si="124"/>
        <v>21.741472610862168</v>
      </c>
      <c r="W427" s="807">
        <f t="shared" si="124"/>
        <v>0</v>
      </c>
      <c r="X427" s="807">
        <f t="shared" si="124"/>
        <v>0</v>
      </c>
      <c r="Y427" s="750"/>
      <c r="Z427" s="808">
        <f>SUM(Z421:Z426)</f>
        <v>11790.988040218046</v>
      </c>
      <c r="AA427" s="850">
        <f>Z427/G427*100</f>
        <v>1.0281501564161437</v>
      </c>
      <c r="AB427" s="851">
        <f>SUM(AB421:AB426)</f>
        <v>-36.394395086821682</v>
      </c>
      <c r="AC427" s="804">
        <f>AA427/I427-1</f>
        <v>-3.0771301499633585E-3</v>
      </c>
      <c r="AD427" s="769"/>
      <c r="AM427" s="776"/>
    </row>
    <row r="428" spans="1:39">
      <c r="A428" s="4"/>
      <c r="B428" s="256"/>
      <c r="C428" s="7"/>
      <c r="D428" s="256"/>
      <c r="E428" s="36"/>
      <c r="F428" s="256"/>
      <c r="G428" s="453"/>
      <c r="H428" s="256"/>
      <c r="I428" s="256"/>
      <c r="J428" s="750"/>
      <c r="K428" s="256"/>
      <c r="L428" s="753"/>
      <c r="M428" s="753"/>
      <c r="N428" s="753"/>
      <c r="O428" s="753"/>
      <c r="P428" s="753"/>
      <c r="Q428" s="753"/>
      <c r="R428" s="750"/>
      <c r="S428" s="750"/>
      <c r="T428" s="753"/>
      <c r="U428" s="753"/>
      <c r="V428" s="753"/>
      <c r="W428" s="753"/>
      <c r="X428" s="753"/>
      <c r="Y428" s="750"/>
      <c r="Z428" s="750"/>
      <c r="AA428" s="750"/>
      <c r="AB428" s="753"/>
      <c r="AC428" s="753"/>
      <c r="AD428" s="728"/>
      <c r="AM428" s="776"/>
    </row>
    <row r="429" spans="1:39">
      <c r="A429" s="4"/>
      <c r="C429" s="9" t="s">
        <v>275</v>
      </c>
      <c r="G429" s="135"/>
      <c r="I429" s="256"/>
      <c r="L429" s="753"/>
      <c r="M429" s="753"/>
      <c r="N429" s="753"/>
      <c r="O429" s="753"/>
      <c r="P429" s="753"/>
      <c r="Q429" s="753"/>
      <c r="R429" s="752"/>
      <c r="S429" s="752"/>
      <c r="T429" s="753"/>
      <c r="U429" s="753"/>
      <c r="V429" s="753"/>
      <c r="W429" s="753"/>
      <c r="X429" s="753"/>
      <c r="Y429" s="752"/>
      <c r="Z429" s="752"/>
      <c r="AB429" s="753"/>
      <c r="AC429" s="753"/>
      <c r="AD429" s="728"/>
      <c r="AM429" s="776"/>
    </row>
    <row r="430" spans="1:39">
      <c r="A430" s="4">
        <v>200</v>
      </c>
      <c r="B430" s="256"/>
      <c r="C430" s="519" t="s">
        <v>783</v>
      </c>
      <c r="D430" s="256"/>
      <c r="E430" s="513" t="s">
        <v>675</v>
      </c>
      <c r="F430" s="256"/>
      <c r="G430" s="136">
        <v>0</v>
      </c>
      <c r="H430" s="771"/>
      <c r="I430" s="861">
        <v>75.2744</v>
      </c>
      <c r="J430" s="771">
        <f>G430*I430/100</f>
        <v>0</v>
      </c>
      <c r="K430" s="771"/>
      <c r="L430" s="35">
        <v>0</v>
      </c>
      <c r="M430" s="35">
        <v>0</v>
      </c>
      <c r="N430" s="35">
        <v>0</v>
      </c>
      <c r="O430" s="35">
        <v>0</v>
      </c>
      <c r="P430" s="35">
        <v>0</v>
      </c>
      <c r="Q430" s="762">
        <f>J430-L430-M430-N430-O430-P430</f>
        <v>0</v>
      </c>
      <c r="R430" s="771"/>
      <c r="S430" s="35">
        <v>0</v>
      </c>
      <c r="T430" s="35">
        <v>0</v>
      </c>
      <c r="U430" s="35">
        <v>0</v>
      </c>
      <c r="V430" s="35">
        <v>0</v>
      </c>
      <c r="W430" s="35">
        <v>0</v>
      </c>
      <c r="X430" s="35">
        <v>0</v>
      </c>
      <c r="Y430" s="771"/>
      <c r="Z430" s="771">
        <f>Q430+S430+T430+U430+V430+W430+X430</f>
        <v>0</v>
      </c>
      <c r="AA430" s="861">
        <v>75.544413098000987</v>
      </c>
      <c r="AB430" s="762">
        <f>Z430-J430</f>
        <v>0</v>
      </c>
      <c r="AC430" s="762"/>
      <c r="AD430" s="782"/>
      <c r="AM430" s="776"/>
    </row>
    <row r="431" spans="1:39">
      <c r="A431" s="4">
        <v>201</v>
      </c>
      <c r="B431" s="256"/>
      <c r="C431" s="519" t="s">
        <v>784</v>
      </c>
      <c r="D431" s="256"/>
      <c r="E431" s="513" t="s">
        <v>675</v>
      </c>
      <c r="F431" s="256"/>
      <c r="G431" s="35">
        <v>0</v>
      </c>
      <c r="H431" s="771"/>
      <c r="I431" s="861">
        <v>114.0459</v>
      </c>
      <c r="J431" s="771">
        <f>G431*I431/100</f>
        <v>0</v>
      </c>
      <c r="K431" s="771"/>
      <c r="L431" s="35">
        <v>0</v>
      </c>
      <c r="M431" s="35">
        <v>0</v>
      </c>
      <c r="N431" s="35">
        <v>0</v>
      </c>
      <c r="O431" s="35">
        <v>0</v>
      </c>
      <c r="P431" s="35">
        <v>0</v>
      </c>
      <c r="Q431" s="762"/>
      <c r="R431" s="771"/>
      <c r="S431" s="35">
        <v>0</v>
      </c>
      <c r="T431" s="35">
        <v>0</v>
      </c>
      <c r="U431" s="35">
        <v>0</v>
      </c>
      <c r="V431" s="35">
        <v>0</v>
      </c>
      <c r="W431" s="35">
        <v>0</v>
      </c>
      <c r="X431" s="35">
        <v>0</v>
      </c>
      <c r="Y431" s="771"/>
      <c r="Z431" s="771">
        <f>Q431+S431+T431+U431+V431+W431+X431</f>
        <v>0</v>
      </c>
      <c r="AA431" s="861">
        <v>114.27500153227037</v>
      </c>
      <c r="AB431" s="762">
        <f>Z431-J431</f>
        <v>0</v>
      </c>
      <c r="AC431" s="762"/>
      <c r="AD431" s="782"/>
      <c r="AM431" s="776"/>
    </row>
    <row r="432" spans="1:39">
      <c r="A432" s="4"/>
      <c r="B432" s="256"/>
      <c r="C432" s="9" t="s">
        <v>771</v>
      </c>
      <c r="D432" s="256"/>
      <c r="E432" s="36"/>
      <c r="F432" s="256"/>
      <c r="G432" s="35"/>
      <c r="H432" s="771"/>
      <c r="I432" s="818"/>
      <c r="J432" s="771"/>
      <c r="K432" s="771"/>
      <c r="L432" s="762"/>
      <c r="M432" s="762"/>
      <c r="N432" s="762"/>
      <c r="O432" s="762"/>
      <c r="P432" s="762"/>
      <c r="Q432" s="762"/>
      <c r="R432" s="771"/>
      <c r="S432" s="771"/>
      <c r="T432" s="762"/>
      <c r="U432" s="762"/>
      <c r="V432" s="762"/>
      <c r="W432" s="762"/>
      <c r="X432" s="762"/>
      <c r="Y432" s="771"/>
      <c r="Z432" s="771"/>
      <c r="AA432" s="861"/>
      <c r="AB432" s="762"/>
      <c r="AC432" s="762"/>
      <c r="AD432" s="782"/>
      <c r="AM432" s="776"/>
    </row>
    <row r="433" spans="1:39">
      <c r="A433" s="4">
        <v>202</v>
      </c>
      <c r="B433" s="256"/>
      <c r="C433" s="519" t="s">
        <v>783</v>
      </c>
      <c r="D433" s="256"/>
      <c r="E433" s="513" t="s">
        <v>674</v>
      </c>
      <c r="F433" s="256"/>
      <c r="G433" s="453">
        <v>0</v>
      </c>
      <c r="H433" s="771"/>
      <c r="I433" s="861">
        <v>4.2342000000000004</v>
      </c>
      <c r="J433" s="771">
        <f>G433*I433/100</f>
        <v>0</v>
      </c>
      <c r="K433" s="771"/>
      <c r="L433" s="35">
        <v>0</v>
      </c>
      <c r="M433" s="35">
        <v>0</v>
      </c>
      <c r="N433" s="35">
        <v>0</v>
      </c>
      <c r="O433" s="35">
        <v>0</v>
      </c>
      <c r="P433" s="35">
        <v>0</v>
      </c>
      <c r="Q433" s="762">
        <f>J433-L433-M433-N433-O433-P433</f>
        <v>0</v>
      </c>
      <c r="R433" s="771"/>
      <c r="S433" s="35">
        <v>0</v>
      </c>
      <c r="T433" s="35">
        <v>0</v>
      </c>
      <c r="U433" s="35">
        <v>0</v>
      </c>
      <c r="V433" s="35">
        <v>0</v>
      </c>
      <c r="W433" s="35">
        <v>0</v>
      </c>
      <c r="X433" s="35">
        <v>0</v>
      </c>
      <c r="Y433" s="771"/>
      <c r="Z433" s="771">
        <f>Q433+S433+T433+U433+V433+W433+X433</f>
        <v>0</v>
      </c>
      <c r="AA433" s="861">
        <v>4.2431874933153306</v>
      </c>
      <c r="AB433" s="762">
        <f>Z433-J433</f>
        <v>0</v>
      </c>
      <c r="AC433" s="762"/>
      <c r="AD433" s="782"/>
      <c r="AM433" s="776"/>
    </row>
    <row r="434" spans="1:39">
      <c r="A434" s="4">
        <v>203</v>
      </c>
      <c r="C434" s="519" t="s">
        <v>784</v>
      </c>
      <c r="E434" s="513" t="s">
        <v>674</v>
      </c>
      <c r="G434" s="35">
        <v>0</v>
      </c>
      <c r="H434" s="68"/>
      <c r="I434" s="861">
        <v>6.54</v>
      </c>
      <c r="J434" s="771">
        <f>G434*I434/100</f>
        <v>0</v>
      </c>
      <c r="K434" s="68"/>
      <c r="L434" s="35">
        <v>0</v>
      </c>
      <c r="M434" s="35">
        <v>0</v>
      </c>
      <c r="N434" s="35">
        <v>0</v>
      </c>
      <c r="O434" s="35">
        <v>0</v>
      </c>
      <c r="P434" s="35">
        <v>0</v>
      </c>
      <c r="Q434" s="762">
        <f>J434-L434-M434-N434-O434-P434</f>
        <v>0</v>
      </c>
      <c r="R434" s="68"/>
      <c r="S434" s="35">
        <v>0</v>
      </c>
      <c r="T434" s="35">
        <v>0</v>
      </c>
      <c r="U434" s="35">
        <v>0</v>
      </c>
      <c r="V434" s="35">
        <v>0</v>
      </c>
      <c r="W434" s="35">
        <v>0</v>
      </c>
      <c r="X434" s="35">
        <v>0</v>
      </c>
      <c r="Y434" s="771"/>
      <c r="Z434" s="771">
        <f>Q434+S434+T434+U434+V434+W434+X434</f>
        <v>0</v>
      </c>
      <c r="AA434" s="861">
        <v>6.5473210454098778</v>
      </c>
      <c r="AB434" s="762">
        <f>Z434-J434</f>
        <v>0</v>
      </c>
      <c r="AC434" s="762"/>
      <c r="AD434" s="782"/>
      <c r="AM434" s="776"/>
    </row>
    <row r="435" spans="1:39">
      <c r="A435" s="4"/>
      <c r="B435" s="256"/>
      <c r="C435" s="9" t="s">
        <v>772</v>
      </c>
      <c r="D435" s="256"/>
      <c r="E435" s="742"/>
      <c r="F435" s="256"/>
      <c r="G435" s="35"/>
      <c r="H435" s="771"/>
      <c r="I435" s="744"/>
      <c r="J435" s="771"/>
      <c r="K435" s="771"/>
      <c r="L435" s="762"/>
      <c r="M435" s="762"/>
      <c r="N435" s="762"/>
      <c r="O435" s="762"/>
      <c r="P435" s="762"/>
      <c r="Q435" s="762"/>
      <c r="R435" s="771"/>
      <c r="S435" s="771"/>
      <c r="T435" s="762"/>
      <c r="U435" s="762"/>
      <c r="V435" s="762"/>
      <c r="W435" s="762"/>
      <c r="X435" s="762"/>
      <c r="Y435" s="771"/>
      <c r="Z435" s="771"/>
      <c r="AB435" s="762"/>
      <c r="AC435" s="762"/>
      <c r="AD435" s="782"/>
      <c r="AM435" s="776"/>
    </row>
    <row r="436" spans="1:39">
      <c r="A436" s="4">
        <v>204</v>
      </c>
      <c r="B436" s="256"/>
      <c r="C436" s="519" t="s">
        <v>783</v>
      </c>
      <c r="D436" s="256"/>
      <c r="E436" s="513" t="s">
        <v>674</v>
      </c>
      <c r="F436" s="256"/>
      <c r="G436" s="35">
        <v>0</v>
      </c>
      <c r="H436" s="771"/>
      <c r="I436" s="453">
        <v>0</v>
      </c>
      <c r="J436" s="771">
        <f>G436*I436/100</f>
        <v>0</v>
      </c>
      <c r="K436" s="771"/>
      <c r="L436" s="35">
        <v>0</v>
      </c>
      <c r="M436" s="35">
        <v>0</v>
      </c>
      <c r="N436" s="35">
        <v>0</v>
      </c>
      <c r="O436" s="35">
        <v>0</v>
      </c>
      <c r="P436" s="35">
        <v>0</v>
      </c>
      <c r="Q436" s="762">
        <f>J436-L436-M436-N436-O436-P436</f>
        <v>0</v>
      </c>
      <c r="R436" s="771"/>
      <c r="S436" s="35">
        <v>0</v>
      </c>
      <c r="T436" s="35">
        <v>0</v>
      </c>
      <c r="U436" s="35">
        <v>0</v>
      </c>
      <c r="V436" s="35">
        <v>0</v>
      </c>
      <c r="W436" s="35">
        <v>0</v>
      </c>
      <c r="X436" s="35">
        <v>0</v>
      </c>
      <c r="Y436" s="771"/>
      <c r="Z436" s="771">
        <f>Q436+S436+T436+U436+V436+W436+X436</f>
        <v>0</v>
      </c>
      <c r="AA436" s="823" t="str">
        <f>IFERROR(Z436/G436*1000,"-")</f>
        <v>-</v>
      </c>
      <c r="AB436" s="762">
        <f>Z436-J436</f>
        <v>0</v>
      </c>
      <c r="AC436" s="762"/>
      <c r="AD436" s="782"/>
      <c r="AM436" s="776"/>
    </row>
    <row r="437" spans="1:39">
      <c r="A437" s="4">
        <v>205</v>
      </c>
      <c r="B437" s="256"/>
      <c r="C437" s="519" t="s">
        <v>784</v>
      </c>
      <c r="D437" s="256"/>
      <c r="E437" s="513" t="s">
        <v>674</v>
      </c>
      <c r="F437" s="256"/>
      <c r="G437" s="35">
        <v>0</v>
      </c>
      <c r="H437" s="771"/>
      <c r="I437" s="453">
        <v>0</v>
      </c>
      <c r="J437" s="771">
        <f>G437*I437/100</f>
        <v>0</v>
      </c>
      <c r="K437" s="771"/>
      <c r="L437" s="35">
        <v>0</v>
      </c>
      <c r="M437" s="35">
        <v>0</v>
      </c>
      <c r="N437" s="35">
        <v>0</v>
      </c>
      <c r="O437" s="35">
        <v>0</v>
      </c>
      <c r="P437" s="35">
        <v>0</v>
      </c>
      <c r="Q437" s="762">
        <f>J437-L437-M437-N437-O437-P437</f>
        <v>0</v>
      </c>
      <c r="R437" s="771"/>
      <c r="S437" s="35">
        <v>0</v>
      </c>
      <c r="T437" s="35">
        <v>0</v>
      </c>
      <c r="U437" s="35">
        <v>0</v>
      </c>
      <c r="V437" s="35">
        <v>0</v>
      </c>
      <c r="W437" s="35">
        <v>0</v>
      </c>
      <c r="X437" s="35">
        <v>0</v>
      </c>
      <c r="Y437" s="771"/>
      <c r="Z437" s="771">
        <f>Q437+S437+T437+U437+V437+W437+X437</f>
        <v>0</v>
      </c>
      <c r="AA437" s="823" t="str">
        <f>IFERROR(Z437/G437*1000,"-")</f>
        <v>-</v>
      </c>
      <c r="AB437" s="762">
        <f>Z437-J437</f>
        <v>0</v>
      </c>
      <c r="AC437" s="762"/>
      <c r="AD437" s="782"/>
      <c r="AM437" s="776"/>
    </row>
    <row r="438" spans="1:39">
      <c r="A438" s="4">
        <v>206</v>
      </c>
      <c r="B438" s="256"/>
      <c r="C438" s="9" t="s">
        <v>773</v>
      </c>
      <c r="D438" s="256"/>
      <c r="E438" s="742"/>
      <c r="F438" s="256"/>
      <c r="G438" s="420">
        <f>SUM(G433:G437)</f>
        <v>0</v>
      </c>
      <c r="H438" s="420"/>
      <c r="I438" s="137">
        <v>0</v>
      </c>
      <c r="J438" s="420">
        <f>SUM(J433:J437)</f>
        <v>0</v>
      </c>
      <c r="K438" s="771"/>
      <c r="L438" s="805">
        <f t="shared" ref="L438:Q438" si="125">SUM(L430:L437)</f>
        <v>0</v>
      </c>
      <c r="M438" s="805">
        <f t="shared" si="125"/>
        <v>0</v>
      </c>
      <c r="N438" s="805">
        <f t="shared" si="125"/>
        <v>0</v>
      </c>
      <c r="O438" s="805">
        <f t="shared" si="125"/>
        <v>0</v>
      </c>
      <c r="P438" s="805">
        <f t="shared" si="125"/>
        <v>0</v>
      </c>
      <c r="Q438" s="805">
        <f t="shared" si="125"/>
        <v>0</v>
      </c>
      <c r="R438" s="762"/>
      <c r="S438" s="805">
        <f t="shared" ref="S438:X438" si="126">SUM(S430:S437)</f>
        <v>0</v>
      </c>
      <c r="T438" s="805">
        <f t="shared" si="126"/>
        <v>0</v>
      </c>
      <c r="U438" s="805">
        <f t="shared" si="126"/>
        <v>0</v>
      </c>
      <c r="V438" s="805">
        <f t="shared" si="126"/>
        <v>0</v>
      </c>
      <c r="W438" s="805">
        <f t="shared" si="126"/>
        <v>0</v>
      </c>
      <c r="X438" s="805">
        <f t="shared" si="126"/>
        <v>0</v>
      </c>
      <c r="Y438" s="762"/>
      <c r="Z438" s="805">
        <f>SUM(Z430:Z437)</f>
        <v>0</v>
      </c>
      <c r="AA438" s="805">
        <v>0</v>
      </c>
      <c r="AB438" s="805">
        <f>SUM(AB430:AB437)</f>
        <v>0</v>
      </c>
      <c r="AC438" s="805"/>
      <c r="AD438" s="782"/>
      <c r="AF438" s="24"/>
      <c r="AI438" s="24"/>
      <c r="AK438" s="24"/>
      <c r="AM438" s="24"/>
    </row>
    <row r="439" spans="1:39">
      <c r="A439" s="4"/>
      <c r="B439" s="256"/>
      <c r="C439" s="519"/>
      <c r="D439" s="256"/>
      <c r="E439" s="742"/>
      <c r="F439" s="256"/>
      <c r="G439" s="35"/>
      <c r="H439" s="256"/>
      <c r="I439" s="818"/>
      <c r="J439" s="256"/>
      <c r="K439" s="256"/>
      <c r="L439" s="504"/>
      <c r="M439" s="504"/>
      <c r="N439" s="504"/>
      <c r="O439" s="504"/>
      <c r="P439" s="504"/>
      <c r="Q439" s="504"/>
      <c r="R439" s="256"/>
      <c r="S439" s="256"/>
      <c r="T439" s="504"/>
      <c r="U439" s="504"/>
      <c r="V439" s="504"/>
      <c r="W439" s="504"/>
      <c r="X439" s="504"/>
      <c r="Y439" s="256"/>
      <c r="Z439" s="256"/>
      <c r="AA439" s="256"/>
      <c r="AB439" s="504"/>
      <c r="AC439" s="504"/>
      <c r="AM439" s="776"/>
    </row>
    <row r="440" spans="1:39">
      <c r="A440" s="4"/>
      <c r="B440" s="256"/>
      <c r="C440" s="9" t="s">
        <v>282</v>
      </c>
      <c r="D440" s="256"/>
      <c r="E440" s="36"/>
      <c r="F440" s="256"/>
      <c r="G440" s="453"/>
      <c r="H440" s="256"/>
      <c r="I440" s="818"/>
      <c r="J440" s="256"/>
      <c r="K440" s="256"/>
      <c r="L440" s="504"/>
      <c r="M440" s="504"/>
      <c r="N440" s="504"/>
      <c r="O440" s="504"/>
      <c r="P440" s="504"/>
      <c r="Q440" s="504"/>
      <c r="R440" s="256"/>
      <c r="S440" s="256"/>
      <c r="T440" s="504"/>
      <c r="U440" s="504"/>
      <c r="V440" s="504"/>
      <c r="W440" s="504"/>
      <c r="X440" s="504"/>
      <c r="Y440" s="256"/>
      <c r="Z440" s="256"/>
      <c r="AA440" s="256"/>
      <c r="AB440" s="504"/>
      <c r="AC440" s="504"/>
      <c r="AM440" s="776"/>
    </row>
    <row r="441" spans="1:39">
      <c r="A441" s="4">
        <v>207</v>
      </c>
      <c r="C441" s="519" t="s">
        <v>785</v>
      </c>
      <c r="E441" s="513" t="s">
        <v>775</v>
      </c>
      <c r="G441" s="136">
        <v>0</v>
      </c>
      <c r="H441" s="68"/>
      <c r="I441" s="784">
        <v>18.835000000000001</v>
      </c>
      <c r="J441" s="68">
        <f>G441*I441/1000</f>
        <v>0</v>
      </c>
      <c r="K441" s="68"/>
      <c r="L441" s="35">
        <v>0</v>
      </c>
      <c r="M441" s="35">
        <v>0</v>
      </c>
      <c r="N441" s="35">
        <v>0</v>
      </c>
      <c r="O441" s="35">
        <v>0</v>
      </c>
      <c r="P441" s="35">
        <v>0</v>
      </c>
      <c r="Q441" s="762">
        <f>J441-L441-M441-N441-O441-P441</f>
        <v>0</v>
      </c>
      <c r="R441" s="68"/>
      <c r="S441" s="35">
        <v>0</v>
      </c>
      <c r="T441" s="35">
        <v>0</v>
      </c>
      <c r="U441" s="35">
        <v>0</v>
      </c>
      <c r="V441" s="35">
        <v>0</v>
      </c>
      <c r="W441" s="35">
        <v>0</v>
      </c>
      <c r="X441" s="35">
        <v>0</v>
      </c>
      <c r="Y441" s="35"/>
      <c r="Z441" s="68">
        <f>Q441+S441+T441+U441+V441+W441+X441</f>
        <v>0</v>
      </c>
      <c r="AA441" s="784">
        <v>19.047647381592249</v>
      </c>
      <c r="AB441" s="762">
        <f>Z441-J441</f>
        <v>0</v>
      </c>
      <c r="AC441" s="762"/>
      <c r="AD441" s="782"/>
      <c r="AM441" s="776"/>
    </row>
    <row r="442" spans="1:39">
      <c r="A442" s="4">
        <v>208</v>
      </c>
      <c r="B442" s="256"/>
      <c r="C442" s="519" t="s">
        <v>786</v>
      </c>
      <c r="D442" s="256"/>
      <c r="E442" s="513" t="s">
        <v>777</v>
      </c>
      <c r="F442" s="256"/>
      <c r="G442" s="136">
        <v>0</v>
      </c>
      <c r="H442" s="771"/>
      <c r="I442" s="784">
        <v>0.24</v>
      </c>
      <c r="J442" s="68">
        <f>G442*I442/1000</f>
        <v>0</v>
      </c>
      <c r="K442" s="771"/>
      <c r="L442" s="35">
        <v>0</v>
      </c>
      <c r="M442" s="35">
        <v>0</v>
      </c>
      <c r="N442" s="35">
        <v>0</v>
      </c>
      <c r="O442" s="35">
        <v>0</v>
      </c>
      <c r="P442" s="35">
        <v>0</v>
      </c>
      <c r="Q442" s="762">
        <f>J442-L442-M442-N442-O442-P442</f>
        <v>0</v>
      </c>
      <c r="R442" s="771"/>
      <c r="S442" s="35">
        <v>0</v>
      </c>
      <c r="T442" s="35">
        <v>0</v>
      </c>
      <c r="U442" s="35">
        <v>0</v>
      </c>
      <c r="V442" s="35">
        <v>0</v>
      </c>
      <c r="W442" s="35">
        <v>0</v>
      </c>
      <c r="X442" s="35">
        <v>0</v>
      </c>
      <c r="Y442" s="771"/>
      <c r="Z442" s="68">
        <f>Q442+S442+T442+U442+V442+W442+X442</f>
        <v>0</v>
      </c>
      <c r="AA442" s="784">
        <v>0.24561759595368146</v>
      </c>
      <c r="AB442" s="762">
        <f>Z442-J442</f>
        <v>0</v>
      </c>
      <c r="AC442" s="762"/>
      <c r="AD442" s="782"/>
      <c r="AM442" s="776"/>
    </row>
    <row r="443" spans="1:39">
      <c r="A443" s="4">
        <v>209</v>
      </c>
      <c r="B443" s="256"/>
      <c r="C443" s="9" t="s">
        <v>282</v>
      </c>
      <c r="D443" s="256"/>
      <c r="E443" s="36"/>
      <c r="F443" s="256"/>
      <c r="G443" s="420">
        <f>SUM(G441:G442)</f>
        <v>0</v>
      </c>
      <c r="H443" s="807"/>
      <c r="I443" s="807">
        <v>0</v>
      </c>
      <c r="J443" s="807">
        <f>SUM(J441:J442)</f>
        <v>0</v>
      </c>
      <c r="K443" s="771"/>
      <c r="L443" s="805">
        <f t="shared" ref="L443:Q443" si="127">SUM(L441:L442)</f>
        <v>0</v>
      </c>
      <c r="M443" s="805">
        <f t="shared" si="127"/>
        <v>0</v>
      </c>
      <c r="N443" s="805">
        <f t="shared" si="127"/>
        <v>0</v>
      </c>
      <c r="O443" s="805">
        <f t="shared" si="127"/>
        <v>0</v>
      </c>
      <c r="P443" s="805">
        <f t="shared" si="127"/>
        <v>0</v>
      </c>
      <c r="Q443" s="805">
        <f t="shared" si="127"/>
        <v>0</v>
      </c>
      <c r="R443" s="762"/>
      <c r="S443" s="805">
        <f t="shared" ref="S443:X443" si="128">SUM(S441:S442)</f>
        <v>0</v>
      </c>
      <c r="T443" s="805">
        <f t="shared" si="128"/>
        <v>0</v>
      </c>
      <c r="U443" s="805">
        <f t="shared" si="128"/>
        <v>0</v>
      </c>
      <c r="V443" s="805">
        <f t="shared" si="128"/>
        <v>0</v>
      </c>
      <c r="W443" s="805">
        <f t="shared" si="128"/>
        <v>0</v>
      </c>
      <c r="X443" s="805">
        <f t="shared" si="128"/>
        <v>0</v>
      </c>
      <c r="Y443" s="762"/>
      <c r="Z443" s="805">
        <f>SUM(Z441:Z442)</f>
        <v>0</v>
      </c>
      <c r="AA443" s="805">
        <v>0</v>
      </c>
      <c r="AB443" s="805">
        <f>SUM(AB441:AB442)</f>
        <v>0</v>
      </c>
      <c r="AC443" s="805"/>
      <c r="AD443" s="782"/>
      <c r="AF443" s="24"/>
      <c r="AI443" s="24"/>
      <c r="AK443" s="24"/>
      <c r="AM443" s="24"/>
    </row>
    <row r="444" spans="1:39">
      <c r="A444" s="4"/>
      <c r="B444" s="256"/>
      <c r="C444" s="7"/>
      <c r="D444" s="256"/>
      <c r="E444" s="36"/>
      <c r="F444" s="256"/>
      <c r="G444" s="453"/>
      <c r="H444" s="771"/>
      <c r="I444" s="771"/>
      <c r="J444" s="771"/>
      <c r="K444" s="771"/>
      <c r="L444" s="762"/>
      <c r="M444" s="762"/>
      <c r="N444" s="762"/>
      <c r="O444" s="762"/>
      <c r="P444" s="762"/>
      <c r="Q444" s="762"/>
      <c r="R444" s="771"/>
      <c r="S444" s="771"/>
      <c r="T444" s="762"/>
      <c r="U444" s="762"/>
      <c r="V444" s="762"/>
      <c r="W444" s="762"/>
      <c r="X444" s="762"/>
      <c r="Y444" s="771"/>
      <c r="Z444" s="771"/>
      <c r="AA444" s="771"/>
      <c r="AB444" s="762"/>
      <c r="AC444" s="762"/>
      <c r="AD444" s="782"/>
      <c r="AM444" s="776"/>
    </row>
    <row r="445" spans="1:39" ht="13.5" thickBot="1">
      <c r="A445" s="4">
        <v>210</v>
      </c>
      <c r="B445" s="256"/>
      <c r="C445" s="9" t="s">
        <v>223</v>
      </c>
      <c r="D445" s="256"/>
      <c r="E445" s="860"/>
      <c r="F445" s="256"/>
      <c r="G445" s="458">
        <f>G423</f>
        <v>1076377.9679700001</v>
      </c>
      <c r="H445" s="771"/>
      <c r="I445" s="859">
        <f>J445/G445*100</f>
        <v>1.0988131295190642</v>
      </c>
      <c r="J445" s="781">
        <f>J427+J438+J443</f>
        <v>11827.382435304869</v>
      </c>
      <c r="K445" s="771"/>
      <c r="L445" s="781">
        <f t="shared" ref="L445:Q445" si="129">L427+L438+L443</f>
        <v>1224.9183929174201</v>
      </c>
      <c r="M445" s="781">
        <f t="shared" si="129"/>
        <v>13.760700020675317</v>
      </c>
      <c r="N445" s="781">
        <f t="shared" si="129"/>
        <v>23.194032140369998</v>
      </c>
      <c r="O445" s="781">
        <f t="shared" si="129"/>
        <v>0</v>
      </c>
      <c r="P445" s="781">
        <f t="shared" si="129"/>
        <v>0</v>
      </c>
      <c r="Q445" s="781">
        <f t="shared" si="129"/>
        <v>10565.509310226402</v>
      </c>
      <c r="R445" s="771"/>
      <c r="S445" s="781">
        <f t="shared" ref="S445:X445" si="130">S427+S438+S443</f>
        <v>284.90082297846345</v>
      </c>
      <c r="T445" s="781">
        <f t="shared" si="130"/>
        <v>905.45719952283821</v>
      </c>
      <c r="U445" s="781">
        <f t="shared" si="130"/>
        <v>13.37923487947986</v>
      </c>
      <c r="V445" s="781">
        <f t="shared" si="130"/>
        <v>21.741472610862168</v>
      </c>
      <c r="W445" s="781">
        <f t="shared" si="130"/>
        <v>0</v>
      </c>
      <c r="X445" s="781">
        <f t="shared" si="130"/>
        <v>0</v>
      </c>
      <c r="Y445" s="750"/>
      <c r="Z445" s="756">
        <f>Z427+Z438+Z443</f>
        <v>11790.988040218046</v>
      </c>
      <c r="AA445" s="845">
        <f>Z445/G445*100</f>
        <v>1.0954319385090456</v>
      </c>
      <c r="AB445" s="844">
        <f>AB427+AB438+AB443</f>
        <v>-36.394395086821682</v>
      </c>
      <c r="AC445" s="780">
        <f>AA445/I445-1</f>
        <v>-3.0771301499632475E-3</v>
      </c>
      <c r="AD445" s="779"/>
      <c r="AF445" s="763"/>
      <c r="AH445" s="763"/>
      <c r="AI445" s="763"/>
      <c r="AK445" s="763"/>
      <c r="AM445" s="776"/>
    </row>
    <row r="446" spans="1:39" ht="13.5" thickTop="1">
      <c r="A446" s="4"/>
      <c r="L446" s="504"/>
      <c r="M446" s="504"/>
      <c r="N446" s="504"/>
      <c r="O446" s="504"/>
      <c r="P446" s="504"/>
      <c r="Q446" s="504"/>
      <c r="T446" s="504"/>
      <c r="U446" s="504"/>
      <c r="V446" s="504"/>
      <c r="W446" s="504"/>
      <c r="X446" s="504"/>
      <c r="AB446" s="753"/>
      <c r="AC446" s="504"/>
      <c r="AF446" s="763"/>
      <c r="AH446" s="763"/>
      <c r="AI446" s="763"/>
      <c r="AK446" s="763"/>
    </row>
    <row r="447" spans="1:39">
      <c r="A447" s="4"/>
      <c r="B447" s="734"/>
      <c r="C447" s="802" t="s">
        <v>177</v>
      </c>
      <c r="D447" s="734"/>
      <c r="E447" s="734"/>
      <c r="F447" s="734"/>
      <c r="G447" s="734"/>
      <c r="H447" s="734"/>
      <c r="I447" s="734"/>
      <c r="J447" s="734"/>
      <c r="K447" s="734"/>
      <c r="L447" s="504"/>
      <c r="M447" s="504"/>
      <c r="N447" s="504"/>
      <c r="O447" s="504"/>
      <c r="P447" s="504"/>
      <c r="Q447" s="504"/>
      <c r="R447" s="734"/>
      <c r="S447" s="734"/>
      <c r="T447" s="504"/>
      <c r="U447" s="504"/>
      <c r="V447" s="504"/>
      <c r="W447" s="504"/>
      <c r="X447" s="504"/>
      <c r="Y447" s="734"/>
      <c r="Z447" s="734"/>
      <c r="AA447" s="734"/>
      <c r="AB447" s="504"/>
      <c r="AC447" s="504"/>
    </row>
    <row r="448" spans="1:39">
      <c r="A448" s="4"/>
      <c r="B448" s="385"/>
      <c r="C448" s="6" t="s">
        <v>178</v>
      </c>
      <c r="D448" s="385"/>
      <c r="E448" s="447"/>
      <c r="F448" s="385"/>
      <c r="G448" s="828"/>
      <c r="H448" s="385"/>
      <c r="I448" s="385"/>
      <c r="J448" s="385"/>
      <c r="K448" s="385"/>
      <c r="L448" s="504"/>
      <c r="M448" s="504"/>
      <c r="N448" s="504"/>
      <c r="O448" s="504"/>
      <c r="P448" s="504"/>
      <c r="Q448" s="504"/>
      <c r="R448" s="385"/>
      <c r="S448" s="385"/>
      <c r="T448" s="504"/>
      <c r="U448" s="504"/>
      <c r="V448" s="504"/>
      <c r="W448" s="504"/>
      <c r="X448" s="504"/>
      <c r="Y448" s="385"/>
      <c r="Z448" s="385"/>
      <c r="AA448" s="385"/>
      <c r="AB448" s="504"/>
      <c r="AC448" s="504"/>
    </row>
    <row r="449" spans="1:39">
      <c r="A449" s="4">
        <v>211</v>
      </c>
      <c r="B449" s="447"/>
      <c r="C449" s="7" t="s">
        <v>703</v>
      </c>
      <c r="D449" s="447"/>
      <c r="E449" s="385" t="s">
        <v>704</v>
      </c>
      <c r="F449" s="447"/>
      <c r="G449" s="828">
        <v>14450119.000000004</v>
      </c>
      <c r="H449" s="856"/>
      <c r="I449" s="778">
        <v>22.98</v>
      </c>
      <c r="J449" s="818">
        <f>G449*I449/1000</f>
        <v>332063.73462000006</v>
      </c>
      <c r="K449" s="856"/>
      <c r="L449" s="35">
        <v>0</v>
      </c>
      <c r="M449" s="35">
        <v>0</v>
      </c>
      <c r="N449" s="35">
        <v>0</v>
      </c>
      <c r="O449" s="35">
        <v>0</v>
      </c>
      <c r="P449" s="35">
        <v>0</v>
      </c>
      <c r="Q449" s="762">
        <f>J449-L449-M449-N449-O449-P449</f>
        <v>332063.73462000006</v>
      </c>
      <c r="R449" s="787"/>
      <c r="S449" s="35">
        <v>8954.1572012028773</v>
      </c>
      <c r="T449" s="35">
        <v>32546.953093803524</v>
      </c>
      <c r="U449" s="35">
        <v>0</v>
      </c>
      <c r="V449" s="35">
        <v>0</v>
      </c>
      <c r="W449" s="35">
        <v>0</v>
      </c>
      <c r="X449" s="35">
        <v>0</v>
      </c>
      <c r="Y449" s="856"/>
      <c r="Z449" s="818">
        <f>Q449+S449+T449+U449+V449+W449+X449</f>
        <v>373564.84491500648</v>
      </c>
      <c r="AA449" s="858">
        <f>Z449/G449*1000</f>
        <v>25.852025503389029</v>
      </c>
      <c r="AB449" s="753">
        <f>Z449-J449</f>
        <v>41501.110295006423</v>
      </c>
      <c r="AC449" s="770">
        <f>AA449/I449-1</f>
        <v>0.12497935175757302</v>
      </c>
      <c r="AD449" s="769"/>
      <c r="AF449" s="763"/>
      <c r="AI449" s="763"/>
      <c r="AK449" s="763"/>
      <c r="AM449" s="776"/>
    </row>
    <row r="450" spans="1:39">
      <c r="A450" s="4"/>
      <c r="B450" s="254"/>
      <c r="C450" s="512" t="s">
        <v>705</v>
      </c>
      <c r="D450" s="254"/>
      <c r="E450" s="4"/>
      <c r="F450" s="254"/>
      <c r="G450" s="828"/>
      <c r="H450" s="854"/>
      <c r="I450" s="855"/>
      <c r="J450" s="854"/>
      <c r="K450" s="854"/>
      <c r="L450" s="762"/>
      <c r="M450" s="762"/>
      <c r="N450" s="762"/>
      <c r="O450" s="762"/>
      <c r="P450" s="762"/>
      <c r="Q450" s="762"/>
      <c r="R450" s="786"/>
      <c r="S450" s="813"/>
      <c r="T450" s="762"/>
      <c r="U450" s="762"/>
      <c r="V450" s="762"/>
      <c r="W450" s="762"/>
      <c r="X450" s="762"/>
      <c r="Y450" s="854"/>
      <c r="Z450" s="818"/>
      <c r="AA450" s="853"/>
      <c r="AB450" s="753"/>
      <c r="AC450" s="770"/>
      <c r="AD450" s="769"/>
      <c r="AF450" s="763"/>
      <c r="AI450" s="763"/>
      <c r="AK450" s="763"/>
      <c r="AM450" s="776"/>
    </row>
    <row r="451" spans="1:39">
      <c r="A451" s="4">
        <v>212</v>
      </c>
      <c r="B451" s="256"/>
      <c r="C451" s="519" t="s">
        <v>787</v>
      </c>
      <c r="D451" s="256"/>
      <c r="E451" s="513" t="s">
        <v>674</v>
      </c>
      <c r="F451" s="256"/>
      <c r="G451" s="828">
        <v>1046589.5733471487</v>
      </c>
      <c r="H451" s="750"/>
      <c r="I451" s="772">
        <v>6.5343999999999998</v>
      </c>
      <c r="J451" s="750">
        <f>G451*I451/100</f>
        <v>68388.349080796077</v>
      </c>
      <c r="K451" s="750"/>
      <c r="L451" s="35">
        <v>10200.061981841312</v>
      </c>
      <c r="M451" s="35">
        <v>2516.2061097543501</v>
      </c>
      <c r="N451" s="35">
        <v>537.13752971477163</v>
      </c>
      <c r="O451" s="35">
        <v>451.94876588582991</v>
      </c>
      <c r="P451" s="35">
        <v>380.18471025926925</v>
      </c>
      <c r="Q451" s="762">
        <f>J451-L451-M451-N451-O451-P451</f>
        <v>54302.809983340543</v>
      </c>
      <c r="R451" s="771"/>
      <c r="S451" s="35">
        <v>1461.8385337919462</v>
      </c>
      <c r="T451" s="35">
        <v>2187.6249311468928</v>
      </c>
      <c r="U451" s="35">
        <v>2446.4217884023064</v>
      </c>
      <c r="V451" s="35">
        <v>503.49852151121399</v>
      </c>
      <c r="W451" s="35">
        <v>555.17562938307719</v>
      </c>
      <c r="X451" s="35">
        <v>380.61321004098534</v>
      </c>
      <c r="Y451" s="750"/>
      <c r="Z451" s="818">
        <f>Q451+S451+T451+U451+V451+W451+X451</f>
        <v>61837.982597616974</v>
      </c>
      <c r="AA451" s="848">
        <f>Z451/G451*100</f>
        <v>5.9085227076981033</v>
      </c>
      <c r="AB451" s="847">
        <f>Z451-J451</f>
        <v>-6550.3664831791029</v>
      </c>
      <c r="AC451" s="770"/>
      <c r="AD451" s="769"/>
      <c r="AF451" s="763"/>
      <c r="AI451" s="763"/>
      <c r="AK451" s="763"/>
      <c r="AM451" s="776"/>
    </row>
    <row r="452" spans="1:39">
      <c r="A452" s="4">
        <v>213</v>
      </c>
      <c r="B452" s="256"/>
      <c r="C452" s="519" t="s">
        <v>788</v>
      </c>
      <c r="D452" s="256"/>
      <c r="E452" s="513" t="s">
        <v>674</v>
      </c>
      <c r="F452" s="256"/>
      <c r="G452" s="828">
        <v>935574.92126953974</v>
      </c>
      <c r="H452" s="750"/>
      <c r="I452" s="772">
        <v>6.2202999999999999</v>
      </c>
      <c r="J452" s="750">
        <f>G452*I452/100</f>
        <v>58195.566827729177</v>
      </c>
      <c r="K452" s="750"/>
      <c r="L452" s="35">
        <v>8656.8747465070519</v>
      </c>
      <c r="M452" s="35">
        <v>2249.3051650635143</v>
      </c>
      <c r="N452" s="35">
        <v>480.16186561713903</v>
      </c>
      <c r="O452" s="35">
        <v>404.00930969455555</v>
      </c>
      <c r="P452" s="35">
        <v>339.85746602762833</v>
      </c>
      <c r="Q452" s="762">
        <f>J452-L452-M452-N452-O452-P452</f>
        <v>46065.358274819278</v>
      </c>
      <c r="R452" s="771"/>
      <c r="S452" s="35">
        <v>1239.9736827799134</v>
      </c>
      <c r="T452" s="35">
        <v>1955.577501292534</v>
      </c>
      <c r="U452" s="35">
        <v>2186.9230597784554</v>
      </c>
      <c r="V452" s="35">
        <v>450.09104009670381</v>
      </c>
      <c r="W452" s="35">
        <v>496.28661414014903</v>
      </c>
      <c r="X452" s="35">
        <v>340.24051365179002</v>
      </c>
      <c r="Y452" s="750"/>
      <c r="Z452" s="818">
        <f>Q452+S452+T452+U452+V452+W452+X452</f>
        <v>52734.450686558826</v>
      </c>
      <c r="AA452" s="848">
        <f>Z452/G452*100</f>
        <v>5.6365823289705306</v>
      </c>
      <c r="AB452" s="847">
        <f>Z452-J452</f>
        <v>-5461.1161411703506</v>
      </c>
      <c r="AC452" s="770"/>
      <c r="AD452" s="769"/>
      <c r="AF452" s="763"/>
      <c r="AI452" s="763"/>
      <c r="AK452" s="763"/>
      <c r="AM452" s="776"/>
    </row>
    <row r="453" spans="1:39">
      <c r="A453" s="4">
        <v>214</v>
      </c>
      <c r="B453" s="256"/>
      <c r="C453" s="519" t="s">
        <v>789</v>
      </c>
      <c r="D453" s="256"/>
      <c r="E453" s="513" t="s">
        <v>674</v>
      </c>
      <c r="F453" s="256"/>
      <c r="G453" s="828">
        <v>1256700.005050699</v>
      </c>
      <c r="H453" s="750"/>
      <c r="I453" s="772">
        <v>5.4088000000000003</v>
      </c>
      <c r="J453" s="750">
        <f>G453*I453/100</f>
        <v>67972.389873182212</v>
      </c>
      <c r="K453" s="750"/>
      <c r="L453" s="35">
        <v>10027.209340299527</v>
      </c>
      <c r="M453" s="35">
        <v>3021.3526977189108</v>
      </c>
      <c r="N453" s="35">
        <v>644.97177642106351</v>
      </c>
      <c r="O453" s="35">
        <v>542.68075168659141</v>
      </c>
      <c r="P453" s="35">
        <v>456.50954248953281</v>
      </c>
      <c r="Q453" s="762">
        <f>J453-L453-M453-N453-O453-P453</f>
        <v>53279.665764566591</v>
      </c>
      <c r="R453" s="771"/>
      <c r="S453" s="35">
        <v>1433.7581529633826</v>
      </c>
      <c r="T453" s="35">
        <v>2626.8064693488427</v>
      </c>
      <c r="U453" s="35">
        <v>2937.5586687806117</v>
      </c>
      <c r="V453" s="35">
        <v>604.57949385311053</v>
      </c>
      <c r="W453" s="35">
        <v>666.63115515132131</v>
      </c>
      <c r="X453" s="35">
        <v>457.02406670376195</v>
      </c>
      <c r="Y453" s="750"/>
      <c r="Z453" s="818">
        <f>Q453+S453+T453+U453+V453+W453+X453</f>
        <v>62006.023771367625</v>
      </c>
      <c r="AA453" s="848">
        <f>Z453/G453*100</f>
        <v>4.9340354517517584</v>
      </c>
      <c r="AB453" s="847">
        <f>Z453-J453</f>
        <v>-5966.3661018145867</v>
      </c>
      <c r="AC453" s="770"/>
      <c r="AD453" s="769"/>
      <c r="AF453" s="763"/>
      <c r="AI453" s="763"/>
      <c r="AK453" s="763"/>
      <c r="AM453" s="776"/>
    </row>
    <row r="454" spans="1:39">
      <c r="A454" s="4">
        <v>215</v>
      </c>
      <c r="B454" s="256"/>
      <c r="C454" s="512" t="s">
        <v>705</v>
      </c>
      <c r="D454" s="256"/>
      <c r="E454" s="134"/>
      <c r="F454" s="256"/>
      <c r="G454" s="852">
        <f>SUM(G451:G453)</f>
        <v>3238864.4996673875</v>
      </c>
      <c r="H454" s="750"/>
      <c r="I454" s="806">
        <f>J454/G454*100</f>
        <v>6.0069294594351588</v>
      </c>
      <c r="J454" s="808">
        <f>SUM(J451:J453)</f>
        <v>194556.30578170746</v>
      </c>
      <c r="K454" s="750"/>
      <c r="L454" s="805">
        <f t="shared" ref="L454:Q454" si="131">SUM(L451:L453)</f>
        <v>28884.146068647893</v>
      </c>
      <c r="M454" s="805">
        <f t="shared" si="131"/>
        <v>7786.8639725367757</v>
      </c>
      <c r="N454" s="805">
        <f t="shared" si="131"/>
        <v>1662.2711717529742</v>
      </c>
      <c r="O454" s="805">
        <f t="shared" si="131"/>
        <v>1398.6388272669769</v>
      </c>
      <c r="P454" s="805">
        <f t="shared" si="131"/>
        <v>1176.5517187764303</v>
      </c>
      <c r="Q454" s="805">
        <f t="shared" si="131"/>
        <v>153647.83402272643</v>
      </c>
      <c r="R454" s="762"/>
      <c r="S454" s="807">
        <f t="shared" ref="S454:X454" si="132">SUM(S451:S453)</f>
        <v>4135.5703695352422</v>
      </c>
      <c r="T454" s="807">
        <f t="shared" si="132"/>
        <v>6770.0089017882692</v>
      </c>
      <c r="U454" s="807">
        <f t="shared" si="132"/>
        <v>7570.9035169613735</v>
      </c>
      <c r="V454" s="807">
        <f t="shared" si="132"/>
        <v>1558.1690554610284</v>
      </c>
      <c r="W454" s="807">
        <f t="shared" si="132"/>
        <v>1718.0933986745476</v>
      </c>
      <c r="X454" s="807">
        <f t="shared" si="132"/>
        <v>1177.8777903965374</v>
      </c>
      <c r="Y454" s="750"/>
      <c r="Z454" s="808">
        <f>SUM(Z451:Z453)</f>
        <v>176578.45705554343</v>
      </c>
      <c r="AA454" s="850">
        <f>Z454/G454*100</f>
        <v>5.4518630548970792</v>
      </c>
      <c r="AB454" s="851">
        <f>SUM(AB451:AB453)</f>
        <v>-17977.84872616404</v>
      </c>
      <c r="AC454" s="816">
        <f>AA454/I454-1</f>
        <v>-9.240434872532588E-2</v>
      </c>
      <c r="AD454" s="785"/>
      <c r="AF454" s="763"/>
      <c r="AI454" s="763"/>
      <c r="AK454" s="763"/>
      <c r="AM454" s="776"/>
    </row>
    <row r="455" spans="1:39">
      <c r="A455" s="4"/>
      <c r="B455" s="256"/>
      <c r="C455" s="7"/>
      <c r="D455" s="256"/>
      <c r="E455" s="36"/>
      <c r="F455" s="256"/>
      <c r="G455" s="828"/>
      <c r="H455" s="750"/>
      <c r="I455" s="792"/>
      <c r="J455" s="750"/>
      <c r="K455" s="750"/>
      <c r="L455" s="762"/>
      <c r="M455" s="762"/>
      <c r="N455" s="762"/>
      <c r="O455" s="762"/>
      <c r="P455" s="762"/>
      <c r="Q455" s="762"/>
      <c r="R455" s="771"/>
      <c r="S455" s="771"/>
      <c r="T455" s="762"/>
      <c r="U455" s="762"/>
      <c r="V455" s="762"/>
      <c r="W455" s="762"/>
      <c r="X455" s="762"/>
      <c r="Y455" s="750"/>
      <c r="Z455" s="750"/>
      <c r="AA455" s="750"/>
      <c r="AB455" s="753"/>
      <c r="AC455" s="753"/>
      <c r="AD455" s="728"/>
      <c r="AF455" s="763"/>
      <c r="AI455" s="763"/>
      <c r="AK455" s="763"/>
      <c r="AM455" s="776"/>
    </row>
    <row r="456" spans="1:39">
      <c r="A456" s="4">
        <v>216</v>
      </c>
      <c r="B456" s="256"/>
      <c r="C456" s="7" t="s">
        <v>710</v>
      </c>
      <c r="D456" s="256"/>
      <c r="E456" s="36"/>
      <c r="F456" s="256"/>
      <c r="G456" s="830">
        <f>G454</f>
        <v>3238864.4996673875</v>
      </c>
      <c r="H456" s="750"/>
      <c r="I456" s="806">
        <f>J456/G456*100</f>
        <v>16.259403270985505</v>
      </c>
      <c r="J456" s="808">
        <f>J449+J454</f>
        <v>526620.04040170752</v>
      </c>
      <c r="K456" s="750"/>
      <c r="L456" s="807">
        <f t="shared" ref="L456:Q456" si="133">L449+L454</f>
        <v>28884.146068647893</v>
      </c>
      <c r="M456" s="807">
        <f t="shared" si="133"/>
        <v>7786.8639725367757</v>
      </c>
      <c r="N456" s="807">
        <f t="shared" si="133"/>
        <v>1662.2711717529742</v>
      </c>
      <c r="O456" s="807">
        <f t="shared" si="133"/>
        <v>1398.6388272669769</v>
      </c>
      <c r="P456" s="807">
        <f t="shared" si="133"/>
        <v>1176.5517187764303</v>
      </c>
      <c r="Q456" s="807">
        <f t="shared" si="133"/>
        <v>485711.56864272652</v>
      </c>
      <c r="R456" s="771"/>
      <c r="S456" s="807">
        <f t="shared" ref="S456:X456" si="134">S449+S454</f>
        <v>13089.72757073812</v>
      </c>
      <c r="T456" s="807">
        <f t="shared" si="134"/>
        <v>39316.961995591795</v>
      </c>
      <c r="U456" s="807">
        <f t="shared" si="134"/>
        <v>7570.9035169613735</v>
      </c>
      <c r="V456" s="807">
        <f t="shared" si="134"/>
        <v>1558.1690554610284</v>
      </c>
      <c r="W456" s="807">
        <f t="shared" si="134"/>
        <v>1718.0933986745476</v>
      </c>
      <c r="X456" s="807">
        <f t="shared" si="134"/>
        <v>1177.8777903965374</v>
      </c>
      <c r="Y456" s="750"/>
      <c r="Z456" s="808">
        <f>Z449+Z454</f>
        <v>550143.30197054986</v>
      </c>
      <c r="AA456" s="850">
        <f>Z456/G456*100</f>
        <v>16.98568439732648</v>
      </c>
      <c r="AB456" s="808">
        <f>AB449+AB454</f>
        <v>23523.261568842383</v>
      </c>
      <c r="AC456" s="841">
        <f>AA456/I456-1</f>
        <v>4.4668375231027513E-2</v>
      </c>
      <c r="AD456" s="779"/>
      <c r="AF456" s="763"/>
      <c r="AI456" s="763"/>
      <c r="AK456" s="763"/>
      <c r="AM456" s="776"/>
    </row>
    <row r="457" spans="1:39">
      <c r="A457" s="4"/>
      <c r="B457" s="256"/>
      <c r="C457" s="519"/>
      <c r="D457" s="256"/>
      <c r="E457" s="513"/>
      <c r="F457" s="256"/>
      <c r="G457" s="828"/>
      <c r="H457" s="750"/>
      <c r="I457" s="792"/>
      <c r="J457" s="750"/>
      <c r="K457" s="750"/>
      <c r="L457" s="762"/>
      <c r="M457" s="762"/>
      <c r="N457" s="762"/>
      <c r="O457" s="762"/>
      <c r="P457" s="762"/>
      <c r="Q457" s="762"/>
      <c r="R457" s="771"/>
      <c r="S457" s="771"/>
      <c r="T457" s="762"/>
      <c r="U457" s="762"/>
      <c r="V457" s="762"/>
      <c r="W457" s="762"/>
      <c r="X457" s="762"/>
      <c r="Y457" s="750"/>
      <c r="Z457" s="750"/>
      <c r="AA457" s="750"/>
      <c r="AB457" s="753"/>
      <c r="AC457" s="753"/>
      <c r="AD457" s="728"/>
      <c r="AF457" s="763"/>
      <c r="AI457" s="763"/>
      <c r="AK457" s="763"/>
      <c r="AM457" s="776"/>
    </row>
    <row r="458" spans="1:39">
      <c r="A458" s="4">
        <v>217</v>
      </c>
      <c r="B458" s="256"/>
      <c r="C458" s="512" t="s">
        <v>790</v>
      </c>
      <c r="D458" s="256"/>
      <c r="E458" s="513" t="s">
        <v>674</v>
      </c>
      <c r="F458" s="256"/>
      <c r="G458" s="828">
        <v>3238864.4996673875</v>
      </c>
      <c r="H458" s="750"/>
      <c r="I458" s="772">
        <v>0.90249999999999997</v>
      </c>
      <c r="J458" s="750">
        <f>G458*I458/100</f>
        <v>29230.752109498171</v>
      </c>
      <c r="K458" s="750"/>
      <c r="L458" s="35">
        <v>0</v>
      </c>
      <c r="M458" s="35">
        <v>0</v>
      </c>
      <c r="N458" s="35">
        <v>0</v>
      </c>
      <c r="O458" s="35">
        <v>634.41530160156981</v>
      </c>
      <c r="P458" s="35">
        <v>1006.5128752333441</v>
      </c>
      <c r="Q458" s="762">
        <f>J458-L458-M458-N458-O458-P458</f>
        <v>27589.823932663257</v>
      </c>
      <c r="R458" s="771"/>
      <c r="S458" s="35">
        <v>743.93275654037279</v>
      </c>
      <c r="T458" s="35">
        <v>0</v>
      </c>
      <c r="U458" s="35">
        <v>0</v>
      </c>
      <c r="V458" s="35">
        <v>0</v>
      </c>
      <c r="W458" s="35">
        <v>779.31823459361112</v>
      </c>
      <c r="X458" s="35">
        <v>1007.6472989376477</v>
      </c>
      <c r="Y458" s="750"/>
      <c r="Z458" s="750">
        <f>Q458+S458+T458+U458+V458+W458+X458</f>
        <v>30120.72222273489</v>
      </c>
      <c r="AA458" s="848">
        <f>Z458/G458*100</f>
        <v>0.92997784334071742</v>
      </c>
      <c r="AB458" s="753">
        <f>Z458-J458</f>
        <v>889.97011323671904</v>
      </c>
      <c r="AC458" s="770">
        <f>AA458/I458-1</f>
        <v>3.0446363812429267E-2</v>
      </c>
      <c r="AD458" s="769"/>
      <c r="AF458" s="763"/>
      <c r="AI458" s="763"/>
      <c r="AK458" s="763"/>
      <c r="AM458" s="776"/>
    </row>
    <row r="459" spans="1:39">
      <c r="A459" s="4"/>
      <c r="B459" s="256"/>
      <c r="C459" s="7"/>
      <c r="D459" s="256"/>
      <c r="E459" s="36"/>
      <c r="F459" s="256"/>
      <c r="G459" s="818"/>
      <c r="H459" s="750"/>
      <c r="I459" s="792"/>
      <c r="J459" s="750"/>
      <c r="K459" s="750"/>
      <c r="L459" s="762"/>
      <c r="M459" s="762"/>
      <c r="N459" s="762"/>
      <c r="O459" s="762"/>
      <c r="P459" s="762"/>
      <c r="Q459" s="762"/>
      <c r="R459" s="771"/>
      <c r="S459" s="771"/>
      <c r="T459" s="762"/>
      <c r="U459" s="762"/>
      <c r="V459" s="762"/>
      <c r="W459" s="762"/>
      <c r="X459" s="762"/>
      <c r="Y459" s="750"/>
      <c r="Z459" s="750"/>
      <c r="AA459" s="848"/>
      <c r="AB459" s="753"/>
      <c r="AC459" s="770"/>
      <c r="AD459" s="769"/>
      <c r="AF459" s="763"/>
      <c r="AI459" s="763"/>
      <c r="AK459" s="763"/>
      <c r="AM459" s="776"/>
    </row>
    <row r="460" spans="1:39">
      <c r="A460" s="4">
        <v>218</v>
      </c>
      <c r="B460" s="256"/>
      <c r="C460" s="7" t="s">
        <v>715</v>
      </c>
      <c r="D460" s="256"/>
      <c r="E460" s="513" t="s">
        <v>674</v>
      </c>
      <c r="F460" s="256"/>
      <c r="G460" s="828">
        <v>3057016.7994900364</v>
      </c>
      <c r="H460" s="750"/>
      <c r="I460" s="772">
        <v>20.538400000000003</v>
      </c>
      <c r="J460" s="750">
        <f>G460*I460/100</f>
        <v>627862.33834646177</v>
      </c>
      <c r="K460" s="750"/>
      <c r="L460" s="35">
        <v>0</v>
      </c>
      <c r="M460" s="35">
        <v>0</v>
      </c>
      <c r="N460" s="35">
        <v>0</v>
      </c>
      <c r="O460" s="35">
        <v>0</v>
      </c>
      <c r="P460" s="35">
        <v>0</v>
      </c>
      <c r="Q460" s="762">
        <f>J460-L460-M460-N460-O460-P460</f>
        <v>627862.33834646177</v>
      </c>
      <c r="R460" s="771"/>
      <c r="S460" s="35">
        <v>-60.917985115959709</v>
      </c>
      <c r="T460" s="35">
        <v>0</v>
      </c>
      <c r="U460" s="35">
        <v>0</v>
      </c>
      <c r="V460" s="35">
        <v>0</v>
      </c>
      <c r="W460" s="35">
        <v>0</v>
      </c>
      <c r="X460" s="35">
        <v>0</v>
      </c>
      <c r="Y460" s="750"/>
      <c r="Z460" s="750">
        <f>Q460+S460+T460+U460+V460+W460+X460</f>
        <v>627801.42036134575</v>
      </c>
      <c r="AA460" s="848">
        <f>Z460/G460*100</f>
        <v>20.536407273459339</v>
      </c>
      <c r="AB460" s="847">
        <f>Z460-J460</f>
        <v>-60.917985116015188</v>
      </c>
      <c r="AC460" s="770">
        <f>AA460/I460-1</f>
        <v>-9.7024429393854916E-5</v>
      </c>
      <c r="AD460" s="857"/>
      <c r="AF460" s="763"/>
      <c r="AI460" s="763"/>
      <c r="AK460" s="763"/>
      <c r="AM460" s="776"/>
    </row>
    <row r="461" spans="1:39">
      <c r="A461" s="4"/>
      <c r="B461" s="256"/>
      <c r="C461" s="7"/>
      <c r="D461" s="256"/>
      <c r="E461" s="36"/>
      <c r="F461" s="256"/>
      <c r="G461" s="828"/>
      <c r="H461" s="750"/>
      <c r="I461" s="750"/>
      <c r="J461" s="750"/>
      <c r="K461" s="750"/>
      <c r="L461" s="762"/>
      <c r="M461" s="762"/>
      <c r="N461" s="762"/>
      <c r="O461" s="762"/>
      <c r="P461" s="762"/>
      <c r="Q461" s="762"/>
      <c r="R461" s="771"/>
      <c r="S461" s="771"/>
      <c r="T461" s="762"/>
      <c r="U461" s="762"/>
      <c r="V461" s="762"/>
      <c r="W461" s="35"/>
      <c r="X461" s="762"/>
      <c r="Y461" s="750"/>
      <c r="Z461" s="750"/>
      <c r="AA461" s="750"/>
      <c r="AB461" s="753"/>
      <c r="AC461" s="753"/>
      <c r="AD461" s="857"/>
      <c r="AF461" s="763"/>
      <c r="AI461" s="763"/>
      <c r="AK461" s="763"/>
      <c r="AM461" s="776"/>
    </row>
    <row r="462" spans="1:39" ht="13.5" thickBot="1">
      <c r="A462" s="4">
        <v>219</v>
      </c>
      <c r="B462" s="256"/>
      <c r="C462" s="7" t="s">
        <v>791</v>
      </c>
      <c r="D462" s="256"/>
      <c r="E462" s="36"/>
      <c r="F462" s="256"/>
      <c r="G462" s="846">
        <f>G454</f>
        <v>3238864.4996673875</v>
      </c>
      <c r="H462" s="750"/>
      <c r="I462" s="845">
        <f>J462/G462*100</f>
        <v>36.547164321916767</v>
      </c>
      <c r="J462" s="756">
        <f>J456+J458+J460</f>
        <v>1183713.1308576674</v>
      </c>
      <c r="K462" s="750"/>
      <c r="L462" s="781">
        <f t="shared" ref="L462:Q462" si="135">L456+L458+L460</f>
        <v>28884.146068647893</v>
      </c>
      <c r="M462" s="781">
        <f t="shared" si="135"/>
        <v>7786.8639725367757</v>
      </c>
      <c r="N462" s="781">
        <f t="shared" si="135"/>
        <v>1662.2711717529742</v>
      </c>
      <c r="O462" s="781">
        <f t="shared" si="135"/>
        <v>2033.0541288685467</v>
      </c>
      <c r="P462" s="781">
        <f t="shared" si="135"/>
        <v>2183.0645940097743</v>
      </c>
      <c r="Q462" s="781">
        <f t="shared" si="135"/>
        <v>1141163.7309218515</v>
      </c>
      <c r="R462" s="771"/>
      <c r="S462" s="781">
        <f t="shared" ref="S462:X462" si="136">S456+S458+S460</f>
        <v>13772.742342162532</v>
      </c>
      <c r="T462" s="781">
        <f t="shared" si="136"/>
        <v>39316.961995591795</v>
      </c>
      <c r="U462" s="781">
        <f t="shared" si="136"/>
        <v>7570.9035169613735</v>
      </c>
      <c r="V462" s="781">
        <f t="shared" si="136"/>
        <v>1558.1690554610284</v>
      </c>
      <c r="W462" s="781">
        <f t="shared" si="136"/>
        <v>2497.4116332681588</v>
      </c>
      <c r="X462" s="781">
        <f t="shared" si="136"/>
        <v>2185.5250893341854</v>
      </c>
      <c r="Y462" s="750"/>
      <c r="Z462" s="756">
        <f>Z456+Z458+Z460</f>
        <v>1208065.4445546307</v>
      </c>
      <c r="AA462" s="845">
        <f>Z462/G462*100</f>
        <v>37.299042447706348</v>
      </c>
      <c r="AB462" s="756">
        <f>AB456+AB458+AB460</f>
        <v>24352.313696963087</v>
      </c>
      <c r="AC462" s="780">
        <f>AA462/I462-1</f>
        <v>2.0572817063639892E-2</v>
      </c>
      <c r="AD462" s="779"/>
      <c r="AF462" s="763"/>
      <c r="AI462" s="763"/>
      <c r="AK462" s="763"/>
      <c r="AM462" s="776"/>
    </row>
    <row r="463" spans="1:39" ht="13.5" thickTop="1">
      <c r="L463" s="2"/>
      <c r="M463" s="2"/>
      <c r="N463" s="2"/>
      <c r="O463" s="2"/>
      <c r="P463" s="504"/>
      <c r="Q463" s="504"/>
      <c r="T463" s="504"/>
      <c r="U463" s="504"/>
      <c r="V463" s="504"/>
      <c r="W463" s="504"/>
      <c r="X463" s="504"/>
      <c r="AB463" s="753"/>
      <c r="AC463" s="504"/>
      <c r="AF463" s="763"/>
      <c r="AI463" s="763"/>
      <c r="AK463" s="763"/>
      <c r="AM463" s="776"/>
    </row>
    <row r="464" spans="1:39">
      <c r="L464" s="2"/>
      <c r="M464" s="2"/>
      <c r="N464" s="2"/>
      <c r="O464" s="2"/>
      <c r="P464" s="504"/>
      <c r="Q464" s="504"/>
      <c r="T464" s="504"/>
      <c r="U464" s="504"/>
      <c r="V464" s="504"/>
      <c r="W464" s="504"/>
      <c r="X464" s="504"/>
      <c r="AB464" s="753"/>
      <c r="AC464" s="504"/>
      <c r="AF464" s="763"/>
      <c r="AI464" s="763"/>
      <c r="AK464" s="763"/>
      <c r="AM464" s="776"/>
    </row>
    <row r="465" spans="1:39">
      <c r="L465" s="2"/>
      <c r="M465" s="2"/>
      <c r="N465" s="2"/>
      <c r="O465" s="2"/>
      <c r="P465" s="504"/>
      <c r="Q465" s="504"/>
      <c r="T465" s="504"/>
      <c r="U465" s="504"/>
      <c r="V465" s="504"/>
      <c r="W465" s="504"/>
      <c r="X465" s="504"/>
      <c r="AB465" s="504"/>
      <c r="AC465" s="504"/>
      <c r="AF465" s="763"/>
      <c r="AI465" s="763"/>
      <c r="AK465" s="763"/>
      <c r="AM465" s="776"/>
    </row>
    <row r="466" spans="1:39">
      <c r="L466" s="2"/>
      <c r="M466" s="2"/>
      <c r="N466" s="2"/>
      <c r="O466" s="2"/>
      <c r="P466" s="504"/>
      <c r="Q466" s="504"/>
      <c r="T466" s="504"/>
      <c r="U466" s="504"/>
      <c r="V466" s="504"/>
      <c r="W466" s="504"/>
      <c r="X466" s="504"/>
      <c r="AB466" s="504"/>
      <c r="AC466" s="504"/>
      <c r="AF466" s="763"/>
      <c r="AI466" s="763"/>
      <c r="AK466" s="763"/>
      <c r="AM466" s="776"/>
    </row>
    <row r="467" spans="1:39">
      <c r="L467" s="2"/>
      <c r="M467" s="2"/>
      <c r="N467" s="2"/>
      <c r="O467" s="2"/>
      <c r="P467" s="504"/>
      <c r="Q467" s="504"/>
      <c r="T467" s="504"/>
      <c r="U467" s="504"/>
      <c r="V467" s="504"/>
      <c r="W467" s="504"/>
      <c r="X467" s="504"/>
      <c r="AB467" s="504"/>
      <c r="AC467" s="504"/>
      <c r="AF467" s="763"/>
      <c r="AI467" s="763"/>
      <c r="AK467" s="763"/>
      <c r="AM467" s="776"/>
    </row>
    <row r="468" spans="1:39">
      <c r="A468" s="1324" t="s">
        <v>724</v>
      </c>
      <c r="B468" s="1324"/>
      <c r="C468" s="1324"/>
      <c r="D468" s="1324"/>
      <c r="E468" s="1324"/>
      <c r="F468" s="1324"/>
      <c r="G468" s="1324"/>
      <c r="H468" s="1324"/>
      <c r="I468" s="1324"/>
      <c r="J468" s="1324"/>
      <c r="K468" s="1324"/>
      <c r="L468" s="1324"/>
      <c r="M468" s="1324"/>
      <c r="N468" s="1324"/>
      <c r="O468" s="1324"/>
      <c r="P468" s="1324"/>
      <c r="Q468" s="1324"/>
      <c r="R468" s="1324"/>
      <c r="S468" s="1324"/>
      <c r="T468" s="1324"/>
      <c r="U468" s="1324"/>
      <c r="V468" s="1324"/>
      <c r="W468" s="1324"/>
      <c r="X468" s="1324"/>
      <c r="Y468" s="1324"/>
      <c r="Z468" s="1324"/>
      <c r="AA468" s="1324"/>
      <c r="AB468" s="1324"/>
      <c r="AC468" s="1324"/>
      <c r="AD468" s="665"/>
      <c r="AF468" s="763"/>
      <c r="AI468" s="763"/>
      <c r="AK468" s="763"/>
      <c r="AM468" s="776"/>
    </row>
    <row r="469" spans="1:39">
      <c r="A469" s="385"/>
      <c r="B469" s="385"/>
      <c r="C469" s="385"/>
      <c r="D469" s="385"/>
      <c r="E469" s="447"/>
      <c r="F469" s="385"/>
      <c r="G469" s="447"/>
      <c r="H469" s="385"/>
      <c r="I469" s="385"/>
      <c r="J469" s="385"/>
      <c r="K469" s="385"/>
      <c r="L469" s="385"/>
      <c r="M469" s="385"/>
      <c r="N469" s="3"/>
      <c r="O469" s="3"/>
      <c r="P469" s="504"/>
      <c r="Q469" s="504"/>
      <c r="R469" s="385"/>
      <c r="S469" s="385"/>
      <c r="T469" s="504"/>
      <c r="U469" s="504"/>
      <c r="V469" s="504"/>
      <c r="W469" s="504"/>
      <c r="X469" s="504"/>
      <c r="Y469" s="385"/>
      <c r="Z469" s="385"/>
      <c r="AA469" s="385"/>
      <c r="AB469" s="504"/>
      <c r="AC469" s="504"/>
      <c r="AF469" s="763"/>
      <c r="AI469" s="763"/>
      <c r="AK469" s="763"/>
      <c r="AM469" s="776"/>
    </row>
    <row r="470" spans="1:39">
      <c r="A470" s="447"/>
      <c r="B470" s="447"/>
      <c r="C470" s="447"/>
      <c r="D470" s="447"/>
      <c r="E470" s="385"/>
      <c r="F470" s="447"/>
      <c r="G470" s="1313" t="str">
        <f>G8</f>
        <v>Current Approved Revenue</v>
      </c>
      <c r="H470" s="1313"/>
      <c r="I470" s="1313"/>
      <c r="J470" s="1313"/>
      <c r="K470" s="447"/>
      <c r="L470" s="1313" t="str">
        <f>L8</f>
        <v>Adjustments to 2023 Base Rates</v>
      </c>
      <c r="M470" s="1313"/>
      <c r="N470" s="1313"/>
      <c r="O470" s="1313"/>
      <c r="P470" s="1313"/>
      <c r="Q470" s="256"/>
      <c r="R470" s="447"/>
      <c r="S470" s="1313" t="str">
        <f>S8</f>
        <v>Adjustments to 2024 Base Rates</v>
      </c>
      <c r="T470" s="1313"/>
      <c r="U470" s="1313"/>
      <c r="V470" s="1313"/>
      <c r="W470" s="1313"/>
      <c r="X470" s="1313"/>
      <c r="Y470" s="447"/>
      <c r="Z470" s="1313" t="str">
        <f>Z8</f>
        <v>2024 Proposed Revenue</v>
      </c>
      <c r="AA470" s="1313"/>
      <c r="AB470" s="1313"/>
      <c r="AC470" s="1313"/>
      <c r="AD470" s="4"/>
      <c r="AF470" s="763"/>
      <c r="AI470" s="763"/>
      <c r="AK470" s="763"/>
      <c r="AM470" s="776"/>
    </row>
    <row r="471" spans="1:39" ht="38.25">
      <c r="A471" s="254" t="s">
        <v>1</v>
      </c>
      <c r="B471" s="254"/>
      <c r="C471" s="254"/>
      <c r="D471" s="254"/>
      <c r="E471" s="4" t="s">
        <v>670</v>
      </c>
      <c r="F471" s="254"/>
      <c r="G471" s="13" t="s">
        <v>684</v>
      </c>
      <c r="H471" s="254"/>
      <c r="I471" s="13" t="s">
        <v>196</v>
      </c>
      <c r="J471" s="13" t="s">
        <v>503</v>
      </c>
      <c r="K471" s="254"/>
      <c r="L471" s="13" t="s">
        <v>505</v>
      </c>
      <c r="M471" s="13" t="s">
        <v>685</v>
      </c>
      <c r="N471" s="254" t="s">
        <v>686</v>
      </c>
      <c r="O471" s="254" t="s">
        <v>508</v>
      </c>
      <c r="P471" s="254" t="s">
        <v>687</v>
      </c>
      <c r="Q471" s="254" t="s">
        <v>688</v>
      </c>
      <c r="R471" s="254"/>
      <c r="S471" s="254" t="s">
        <v>689</v>
      </c>
      <c r="T471" s="13" t="s">
        <v>505</v>
      </c>
      <c r="U471" s="13" t="s">
        <v>685</v>
      </c>
      <c r="V471" s="254" t="s">
        <v>686</v>
      </c>
      <c r="W471" s="254" t="s">
        <v>508</v>
      </c>
      <c r="X471" s="254" t="s">
        <v>687</v>
      </c>
      <c r="Y471" s="254"/>
      <c r="Z471" s="13" t="s">
        <v>690</v>
      </c>
      <c r="AA471" s="13" t="s">
        <v>691</v>
      </c>
      <c r="AB471" s="13" t="s">
        <v>692</v>
      </c>
      <c r="AC471" s="254" t="s">
        <v>693</v>
      </c>
      <c r="AD471" s="254"/>
      <c r="AF471" s="763"/>
      <c r="AI471" s="763"/>
      <c r="AK471" s="763"/>
      <c r="AM471" s="776"/>
    </row>
    <row r="472" spans="1:39" ht="14.25">
      <c r="A472" s="255" t="s">
        <v>2</v>
      </c>
      <c r="B472" s="256"/>
      <c r="C472" s="449" t="s">
        <v>3</v>
      </c>
      <c r="D472" s="256"/>
      <c r="E472" s="255" t="s">
        <v>4</v>
      </c>
      <c r="F472" s="256"/>
      <c r="G472" s="255" t="s">
        <v>694</v>
      </c>
      <c r="H472" s="256"/>
      <c r="I472" s="255" t="s">
        <v>77</v>
      </c>
      <c r="J472" s="255" t="s">
        <v>20</v>
      </c>
      <c r="K472" s="256"/>
      <c r="L472" s="255" t="s">
        <v>20</v>
      </c>
      <c r="M472" s="255" t="s">
        <v>20</v>
      </c>
      <c r="N472" s="255" t="s">
        <v>20</v>
      </c>
      <c r="O472" s="255" t="s">
        <v>20</v>
      </c>
      <c r="P472" s="255" t="s">
        <v>20</v>
      </c>
      <c r="Q472" s="255" t="s">
        <v>20</v>
      </c>
      <c r="R472" s="256"/>
      <c r="S472" s="255" t="s">
        <v>20</v>
      </c>
      <c r="T472" s="255" t="s">
        <v>20</v>
      </c>
      <c r="U472" s="255" t="s">
        <v>20</v>
      </c>
      <c r="V472" s="255" t="s">
        <v>20</v>
      </c>
      <c r="W472" s="255" t="s">
        <v>20</v>
      </c>
      <c r="X472" s="255" t="s">
        <v>20</v>
      </c>
      <c r="Y472" s="256"/>
      <c r="Z472" s="255" t="s">
        <v>20</v>
      </c>
      <c r="AA472" s="255" t="s">
        <v>77</v>
      </c>
      <c r="AB472" s="255" t="s">
        <v>20</v>
      </c>
      <c r="AC472" s="255" t="s">
        <v>76</v>
      </c>
      <c r="AD472" s="4"/>
      <c r="AF472" s="763"/>
      <c r="AI472" s="763"/>
      <c r="AK472" s="763"/>
      <c r="AM472" s="776"/>
    </row>
    <row r="473" spans="1:39">
      <c r="A473" s="4"/>
      <c r="B473" s="256"/>
      <c r="C473" s="256"/>
      <c r="D473" s="256"/>
      <c r="E473" s="4"/>
      <c r="F473" s="256"/>
      <c r="G473" s="4" t="s">
        <v>8</v>
      </c>
      <c r="H473" s="4"/>
      <c r="I473" s="4" t="s">
        <v>9</v>
      </c>
      <c r="J473" s="4" t="s">
        <v>370</v>
      </c>
      <c r="K473" s="4"/>
      <c r="L473" s="132" t="s">
        <v>79</v>
      </c>
      <c r="M473" s="132" t="s">
        <v>115</v>
      </c>
      <c r="N473" s="132" t="s">
        <v>81</v>
      </c>
      <c r="O473" s="132" t="s">
        <v>82</v>
      </c>
      <c r="P473" s="4" t="s">
        <v>118</v>
      </c>
      <c r="Q473" s="4" t="s">
        <v>695</v>
      </c>
      <c r="R473" s="4"/>
      <c r="S473" s="4" t="s">
        <v>696</v>
      </c>
      <c r="T473" s="4" t="s">
        <v>517</v>
      </c>
      <c r="U473" s="4" t="s">
        <v>518</v>
      </c>
      <c r="V473" s="4" t="s">
        <v>519</v>
      </c>
      <c r="W473" s="4" t="s">
        <v>697</v>
      </c>
      <c r="X473" s="4" t="s">
        <v>698</v>
      </c>
      <c r="Y473" s="4"/>
      <c r="Z473" s="4" t="s">
        <v>725</v>
      </c>
      <c r="AA473" s="4" t="s">
        <v>700</v>
      </c>
      <c r="AB473" s="4" t="s">
        <v>701</v>
      </c>
      <c r="AC473" s="4" t="s">
        <v>702</v>
      </c>
      <c r="AD473" s="4"/>
      <c r="AF473" s="763"/>
      <c r="AI473" s="763"/>
      <c r="AK473" s="763"/>
      <c r="AM473" s="776"/>
    </row>
    <row r="474" spans="1:39">
      <c r="A474" s="4"/>
      <c r="B474" s="256"/>
      <c r="C474" s="7"/>
      <c r="D474" s="256"/>
      <c r="E474" s="36"/>
      <c r="F474" s="256"/>
      <c r="G474" s="828"/>
      <c r="H474" s="750"/>
      <c r="I474" s="848"/>
      <c r="J474" s="750"/>
      <c r="K474" s="750"/>
      <c r="L474" s="771"/>
      <c r="M474" s="771"/>
      <c r="N474" s="771"/>
      <c r="O474" s="771"/>
      <c r="P474" s="771"/>
      <c r="Q474" s="771"/>
      <c r="R474" s="771"/>
      <c r="S474" s="771"/>
      <c r="T474" s="771"/>
      <c r="U474" s="771"/>
      <c r="V474" s="771"/>
      <c r="W474" s="771"/>
      <c r="X474" s="771"/>
      <c r="Y474" s="750"/>
      <c r="Z474" s="750"/>
      <c r="AA474" s="848"/>
      <c r="AB474" s="750"/>
      <c r="AC474" s="779"/>
      <c r="AD474" s="779"/>
      <c r="AF474" s="763"/>
      <c r="AI474" s="763"/>
      <c r="AK474" s="763"/>
      <c r="AM474" s="776"/>
    </row>
    <row r="475" spans="1:39">
      <c r="A475" s="4"/>
      <c r="B475" s="256"/>
      <c r="C475" s="6" t="s">
        <v>179</v>
      </c>
      <c r="D475" s="256"/>
      <c r="E475" s="36"/>
      <c r="F475" s="256"/>
      <c r="G475" s="453"/>
      <c r="H475" s="256"/>
      <c r="I475" s="256"/>
      <c r="J475" s="256"/>
      <c r="K475" s="256"/>
      <c r="L475" s="762"/>
      <c r="M475" s="762"/>
      <c r="N475" s="762"/>
      <c r="O475" s="762"/>
      <c r="P475" s="762"/>
      <c r="Q475" s="762"/>
      <c r="R475" s="771"/>
      <c r="S475" s="771"/>
      <c r="T475" s="762"/>
      <c r="U475" s="762"/>
      <c r="V475" s="762"/>
      <c r="W475" s="762"/>
      <c r="X475" s="762"/>
      <c r="Y475" s="256"/>
      <c r="Z475" s="256"/>
      <c r="AA475" s="256"/>
      <c r="AB475" s="504"/>
      <c r="AC475" s="504"/>
    </row>
    <row r="476" spans="1:39">
      <c r="A476" s="4">
        <v>220</v>
      </c>
      <c r="B476" s="256"/>
      <c r="C476" s="7" t="s">
        <v>703</v>
      </c>
      <c r="D476" s="256"/>
      <c r="E476" s="385" t="s">
        <v>704</v>
      </c>
      <c r="F476" s="256"/>
      <c r="G476" s="828">
        <v>96924.000000000073</v>
      </c>
      <c r="H476" s="856"/>
      <c r="I476" s="778">
        <v>76.58</v>
      </c>
      <c r="J476" s="818">
        <f>G476*I476/1000</f>
        <v>7422.4399200000053</v>
      </c>
      <c r="K476" s="856"/>
      <c r="L476" s="35">
        <v>0</v>
      </c>
      <c r="M476" s="35">
        <v>0</v>
      </c>
      <c r="N476" s="35">
        <v>0</v>
      </c>
      <c r="O476" s="35">
        <v>0</v>
      </c>
      <c r="P476" s="35">
        <v>0</v>
      </c>
      <c r="Q476" s="762">
        <f>J476-L476-M476-N476-O476-P476</f>
        <v>7422.4399200000053</v>
      </c>
      <c r="R476" s="787"/>
      <c r="S476" s="35">
        <v>200.14740223354966</v>
      </c>
      <c r="T476" s="35">
        <v>0</v>
      </c>
      <c r="U476" s="35">
        <v>0</v>
      </c>
      <c r="V476" s="35">
        <v>0</v>
      </c>
      <c r="W476" s="35">
        <v>0</v>
      </c>
      <c r="X476" s="35">
        <v>0</v>
      </c>
      <c r="Y476" s="856"/>
      <c r="Z476" s="818">
        <f>Q476+S476+T476+U476+V476+W476+X476</f>
        <v>7622.5873222335549</v>
      </c>
      <c r="AA476" s="778">
        <f>Z476/G476*1000</f>
        <v>78.64499321358538</v>
      </c>
      <c r="AB476" s="753">
        <f>Z476-J476</f>
        <v>200.14740223354966</v>
      </c>
      <c r="AC476" s="770">
        <f>AA476/I476-1</f>
        <v>2.696517646363783E-2</v>
      </c>
      <c r="AD476" s="769"/>
      <c r="AF476" s="763"/>
      <c r="AI476" s="763"/>
      <c r="AK476" s="763"/>
      <c r="AM476" s="776"/>
    </row>
    <row r="477" spans="1:39">
      <c r="A477" s="4"/>
      <c r="B477" s="256"/>
      <c r="C477" s="512" t="s">
        <v>705</v>
      </c>
      <c r="D477" s="256"/>
      <c r="E477" s="36"/>
      <c r="F477" s="256"/>
      <c r="G477" s="828"/>
      <c r="H477" s="854"/>
      <c r="I477" s="855"/>
      <c r="J477" s="854"/>
      <c r="K477" s="854"/>
      <c r="L477" s="762"/>
      <c r="M477" s="762"/>
      <c r="N477" s="762"/>
      <c r="O477" s="762"/>
      <c r="P477" s="762"/>
      <c r="Q477" s="762"/>
      <c r="R477" s="786"/>
      <c r="S477" s="813"/>
      <c r="T477" s="762"/>
      <c r="U477" s="762"/>
      <c r="V477" s="762"/>
      <c r="W477" s="762"/>
      <c r="X477" s="762"/>
      <c r="Y477" s="854"/>
      <c r="Z477" s="818"/>
      <c r="AA477" s="853"/>
      <c r="AB477" s="753"/>
      <c r="AC477" s="770"/>
      <c r="AD477" s="769"/>
      <c r="AF477" s="763"/>
      <c r="AI477" s="763"/>
      <c r="AK477" s="763"/>
      <c r="AM477" s="776"/>
    </row>
    <row r="478" spans="1:39">
      <c r="A478" s="4">
        <v>221</v>
      </c>
      <c r="B478" s="256"/>
      <c r="C478" s="519" t="s">
        <v>792</v>
      </c>
      <c r="D478" s="256"/>
      <c r="E478" s="513" t="s">
        <v>674</v>
      </c>
      <c r="F478" s="256"/>
      <c r="G478" s="828">
        <v>89658.492055731243</v>
      </c>
      <c r="H478" s="750"/>
      <c r="I478" s="772">
        <v>6.2404000000000002</v>
      </c>
      <c r="J478" s="750">
        <f>G478*I478/100</f>
        <v>5595.0485382458519</v>
      </c>
      <c r="K478" s="750"/>
      <c r="L478" s="35">
        <v>875.694491908327</v>
      </c>
      <c r="M478" s="35">
        <v>177.24151179358938</v>
      </c>
      <c r="N478" s="35">
        <v>11.959678475053126</v>
      </c>
      <c r="O478" s="35">
        <v>35.629899893952611</v>
      </c>
      <c r="P478" s="35">
        <v>33.427483437050917</v>
      </c>
      <c r="Q478" s="762">
        <f>J478-L478-M478-N478-O478-P478</f>
        <v>4461.0954727378785</v>
      </c>
      <c r="R478" s="771"/>
      <c r="S478" s="35">
        <v>120.09989146488806</v>
      </c>
      <c r="T478" s="35">
        <v>511.15731549004573</v>
      </c>
      <c r="U478" s="35">
        <v>172.28932370878272</v>
      </c>
      <c r="V478" s="35">
        <v>11.21068645703521</v>
      </c>
      <c r="W478" s="35">
        <v>43.767908204617527</v>
      </c>
      <c r="X478" s="35">
        <v>33.465158990458427</v>
      </c>
      <c r="Y478" s="750"/>
      <c r="Z478" s="818">
        <f>Q478+S478+T478+U478+V478+W478+X478</f>
        <v>5353.0857570537073</v>
      </c>
      <c r="AA478" s="848">
        <f>Z478/G478*100</f>
        <v>5.9705284288366762</v>
      </c>
      <c r="AB478" s="847">
        <f>Z478-J478</f>
        <v>-241.96278119214458</v>
      </c>
      <c r="AC478" s="770"/>
      <c r="AD478" s="769"/>
      <c r="AF478" s="763"/>
      <c r="AI478" s="763"/>
      <c r="AK478" s="763"/>
      <c r="AM478" s="776"/>
    </row>
    <row r="479" spans="1:39">
      <c r="A479" s="4">
        <v>222</v>
      </c>
      <c r="B479" s="256"/>
      <c r="C479" s="519" t="s">
        <v>793</v>
      </c>
      <c r="D479" s="256"/>
      <c r="E479" s="513" t="s">
        <v>674</v>
      </c>
      <c r="F479" s="256"/>
      <c r="G479" s="828">
        <v>391300.86243960465</v>
      </c>
      <c r="H479" s="750"/>
      <c r="I479" s="772">
        <v>6.1308000000000007</v>
      </c>
      <c r="J479" s="750">
        <f>G479*I479/100</f>
        <v>23989.873274447284</v>
      </c>
      <c r="K479" s="750"/>
      <c r="L479" s="35">
        <v>3751.4013682084897</v>
      </c>
      <c r="M479" s="35">
        <v>773.54364137443145</v>
      </c>
      <c r="N479" s="35">
        <v>52.196199093775803</v>
      </c>
      <c r="O479" s="35">
        <v>155.50128311854894</v>
      </c>
      <c r="P479" s="35">
        <v>145.88917121172457</v>
      </c>
      <c r="Q479" s="762">
        <f>J479-L479-M479-N479-O479-P479</f>
        <v>19111.341611440315</v>
      </c>
      <c r="R479" s="771"/>
      <c r="S479" s="35">
        <v>514.49255265695683</v>
      </c>
      <c r="T479" s="35">
        <v>2191.0600209773543</v>
      </c>
      <c r="U479" s="35">
        <v>751.93056910300106</v>
      </c>
      <c r="V479" s="35">
        <v>48.927337261607001</v>
      </c>
      <c r="W479" s="35">
        <v>191.01838359046451</v>
      </c>
      <c r="X479" s="35">
        <v>146.05360043870829</v>
      </c>
      <c r="Y479" s="750"/>
      <c r="Z479" s="818">
        <f>Q479+S479+T479+U479+V479+W479+X479</f>
        <v>22954.824075468408</v>
      </c>
      <c r="AA479" s="848">
        <f>Z479/G479*100</f>
        <v>5.8662850708670167</v>
      </c>
      <c r="AB479" s="847">
        <f>Z479-J479</f>
        <v>-1035.0491989788752</v>
      </c>
      <c r="AC479" s="770"/>
      <c r="AD479" s="769"/>
      <c r="AF479" s="763"/>
      <c r="AI479" s="763"/>
      <c r="AK479" s="763"/>
      <c r="AM479" s="776"/>
    </row>
    <row r="480" spans="1:39">
      <c r="A480" s="4">
        <v>223</v>
      </c>
      <c r="B480" s="256"/>
      <c r="C480" s="519" t="s">
        <v>794</v>
      </c>
      <c r="D480" s="256"/>
      <c r="E480" s="513" t="s">
        <v>674</v>
      </c>
      <c r="F480" s="256"/>
      <c r="G480" s="828">
        <v>373385.94021697668</v>
      </c>
      <c r="H480" s="750"/>
      <c r="I480" s="772">
        <v>5.7571000000000003</v>
      </c>
      <c r="J480" s="750">
        <f>G480*I480/100</f>
        <v>21496.201964231568</v>
      </c>
      <c r="K480" s="750"/>
      <c r="L480" s="35">
        <v>3357.4863744310546</v>
      </c>
      <c r="M480" s="35">
        <v>738.12850304677124</v>
      </c>
      <c r="N480" s="35">
        <v>49.806501199291546</v>
      </c>
      <c r="O480" s="35">
        <v>148.38196992506568</v>
      </c>
      <c r="P480" s="35">
        <v>139.20992921085855</v>
      </c>
      <c r="Q480" s="762">
        <f>J480-L480-M480-N480-O480-P480</f>
        <v>17063.188686418529</v>
      </c>
      <c r="R480" s="771"/>
      <c r="S480" s="35">
        <v>459.3025782824916</v>
      </c>
      <c r="T480" s="35">
        <v>1961.2274763357125</v>
      </c>
      <c r="U480" s="35">
        <v>717.50494177800169</v>
      </c>
      <c r="V480" s="35">
        <v>46.687297625258736</v>
      </c>
      <c r="W480" s="35">
        <v>182.27299145465375</v>
      </c>
      <c r="X480" s="35">
        <v>139.36683037671258</v>
      </c>
      <c r="Y480" s="750"/>
      <c r="Z480" s="818">
        <f>Q480+S480+T480+U480+V480+W480+X480</f>
        <v>20569.550802271362</v>
      </c>
      <c r="AA480" s="848">
        <f>Z480/G480*100</f>
        <v>5.5089248380156688</v>
      </c>
      <c r="AB480" s="847">
        <f>Z480-J480</f>
        <v>-926.65116196020608</v>
      </c>
      <c r="AC480" s="770"/>
      <c r="AD480" s="769"/>
      <c r="AF480" s="763"/>
      <c r="AI480" s="763"/>
      <c r="AK480" s="763"/>
      <c r="AM480" s="776"/>
    </row>
    <row r="481" spans="1:39">
      <c r="A481" s="4">
        <v>224</v>
      </c>
      <c r="B481" s="256"/>
      <c r="C481" s="519" t="s">
        <v>795</v>
      </c>
      <c r="D481" s="256"/>
      <c r="E481" s="513" t="s">
        <v>674</v>
      </c>
      <c r="F481" s="256"/>
      <c r="G481" s="828">
        <v>488968.96402614162</v>
      </c>
      <c r="H481" s="750"/>
      <c r="I481" s="772">
        <v>5.3672000000000004</v>
      </c>
      <c r="J481" s="750">
        <f>G481*I481/100</f>
        <v>26243.942237211075</v>
      </c>
      <c r="K481" s="750"/>
      <c r="L481" s="35">
        <v>4083.3798185823084</v>
      </c>
      <c r="M481" s="35">
        <v>966.61896064756138</v>
      </c>
      <c r="N481" s="35">
        <v>65.22429119594652</v>
      </c>
      <c r="O481" s="35">
        <v>194.31416745969554</v>
      </c>
      <c r="P481" s="35">
        <v>182.3028870043434</v>
      </c>
      <c r="Q481" s="762">
        <f>J481-L481-M481-N481-O481-P481</f>
        <v>20752.102112321223</v>
      </c>
      <c r="R481" s="771"/>
      <c r="S481" s="35">
        <v>558.52425305502038</v>
      </c>
      <c r="T481" s="35">
        <v>2391.3676282228366</v>
      </c>
      <c r="U481" s="35">
        <v>939.61129832835377</v>
      </c>
      <c r="V481" s="35">
        <v>61.139526409958151</v>
      </c>
      <c r="W481" s="35">
        <v>238.69628232315412</v>
      </c>
      <c r="X481" s="35">
        <v>182.50835751691162</v>
      </c>
      <c r="Y481" s="750"/>
      <c r="Z481" s="818">
        <f>Q481+S481+T481+U481+V481+W481+X481</f>
        <v>25123.94945817746</v>
      </c>
      <c r="AA481" s="848">
        <f>Z481/G481*100</f>
        <v>5.1381480843504548</v>
      </c>
      <c r="AB481" s="847">
        <f>Z481-J481</f>
        <v>-1119.9927790336151</v>
      </c>
      <c r="AC481" s="770"/>
      <c r="AD481" s="769"/>
      <c r="AF481" s="763"/>
      <c r="AI481" s="763"/>
      <c r="AK481" s="763"/>
      <c r="AM481" s="776"/>
    </row>
    <row r="482" spans="1:39">
      <c r="A482" s="4">
        <v>225</v>
      </c>
      <c r="C482" s="512" t="s">
        <v>705</v>
      </c>
      <c r="G482" s="852">
        <f>SUM(G478:G481)</f>
        <v>1343314.2587384542</v>
      </c>
      <c r="H482" s="750"/>
      <c r="I482" s="806">
        <f>J482/G482*100</f>
        <v>5.7562901243044955</v>
      </c>
      <c r="J482" s="808">
        <f>SUM(J478:J481)</f>
        <v>77325.06601413578</v>
      </c>
      <c r="K482" s="750"/>
      <c r="L482" s="805">
        <f t="shared" ref="L482:Q482" si="137">SUM(L478:L481)</f>
        <v>12067.962053130181</v>
      </c>
      <c r="M482" s="805">
        <f t="shared" si="137"/>
        <v>2655.5326168623533</v>
      </c>
      <c r="N482" s="805">
        <f t="shared" si="137"/>
        <v>179.18666996406699</v>
      </c>
      <c r="O482" s="805">
        <f t="shared" si="137"/>
        <v>533.82732039726272</v>
      </c>
      <c r="P482" s="805">
        <f t="shared" si="137"/>
        <v>500.82947086397741</v>
      </c>
      <c r="Q482" s="805">
        <f t="shared" si="137"/>
        <v>61387.727882917941</v>
      </c>
      <c r="R482" s="762"/>
      <c r="S482" s="805">
        <f t="shared" ref="S482:X482" si="138">SUM(S478:S481)</f>
        <v>1652.4192754593569</v>
      </c>
      <c r="T482" s="805">
        <f t="shared" si="138"/>
        <v>7054.8124410259497</v>
      </c>
      <c r="U482" s="805">
        <f t="shared" si="138"/>
        <v>2581.3361329181394</v>
      </c>
      <c r="V482" s="805">
        <f t="shared" si="138"/>
        <v>167.96484775385909</v>
      </c>
      <c r="W482" s="805">
        <f t="shared" si="138"/>
        <v>655.75556557288996</v>
      </c>
      <c r="X482" s="805">
        <f t="shared" si="138"/>
        <v>501.39394732279095</v>
      </c>
      <c r="Y482" s="762"/>
      <c r="Z482" s="808">
        <f>SUM(Z478:Z481)</f>
        <v>74001.410092970938</v>
      </c>
      <c r="AA482" s="850">
        <f>Z482/G482*100</f>
        <v>5.5088680561217167</v>
      </c>
      <c r="AB482" s="851">
        <f>SUM(AB478:AB481)</f>
        <v>-3323.6559211648409</v>
      </c>
      <c r="AC482" s="816">
        <f>AA482/I482-1</f>
        <v>-4.2982904412357748E-2</v>
      </c>
      <c r="AD482" s="785"/>
      <c r="AF482" s="763"/>
      <c r="AI482" s="763"/>
      <c r="AK482" s="763"/>
      <c r="AM482" s="776"/>
    </row>
    <row r="483" spans="1:39">
      <c r="A483" s="4"/>
      <c r="B483" s="256"/>
      <c r="C483" s="7"/>
      <c r="D483" s="256"/>
      <c r="E483" s="36"/>
      <c r="F483" s="256"/>
      <c r="G483" s="828"/>
      <c r="H483" s="750"/>
      <c r="I483" s="792"/>
      <c r="J483" s="750"/>
      <c r="K483" s="750"/>
      <c r="L483" s="762"/>
      <c r="M483" s="762"/>
      <c r="N483" s="762"/>
      <c r="O483" s="762"/>
      <c r="P483" s="762"/>
      <c r="Q483" s="762"/>
      <c r="R483" s="771"/>
      <c r="S483" s="771"/>
      <c r="T483" s="762"/>
      <c r="U483" s="762"/>
      <c r="V483" s="762"/>
      <c r="W483" s="762"/>
      <c r="X483" s="762"/>
      <c r="Y483" s="750"/>
      <c r="Z483" s="750"/>
      <c r="AA483" s="750"/>
      <c r="AB483" s="753"/>
      <c r="AC483" s="753"/>
      <c r="AD483" s="728"/>
      <c r="AF483" s="763"/>
      <c r="AI483" s="763"/>
      <c r="AK483" s="763"/>
      <c r="AM483" s="776"/>
    </row>
    <row r="484" spans="1:39">
      <c r="A484" s="4">
        <v>226</v>
      </c>
      <c r="B484" s="256"/>
      <c r="C484" s="7" t="s">
        <v>710</v>
      </c>
      <c r="D484" s="256"/>
      <c r="E484" s="513"/>
      <c r="F484" s="256"/>
      <c r="G484" s="830">
        <f>G482</f>
        <v>1343314.2587384542</v>
      </c>
      <c r="H484" s="750"/>
      <c r="I484" s="806">
        <f>J484/G484*100</f>
        <v>6.3088369220263214</v>
      </c>
      <c r="J484" s="808">
        <f>J476+J482</f>
        <v>84747.505934135785</v>
      </c>
      <c r="K484" s="750"/>
      <c r="L484" s="807">
        <f t="shared" ref="L484:Q484" si="139">L476+L482</f>
        <v>12067.962053130181</v>
      </c>
      <c r="M484" s="807">
        <f t="shared" si="139"/>
        <v>2655.5326168623533</v>
      </c>
      <c r="N484" s="807">
        <f t="shared" si="139"/>
        <v>179.18666996406699</v>
      </c>
      <c r="O484" s="807">
        <f t="shared" si="139"/>
        <v>533.82732039726272</v>
      </c>
      <c r="P484" s="807">
        <f t="shared" si="139"/>
        <v>500.82947086397741</v>
      </c>
      <c r="Q484" s="807">
        <f t="shared" si="139"/>
        <v>68810.167802917946</v>
      </c>
      <c r="R484" s="771"/>
      <c r="S484" s="807">
        <f t="shared" ref="S484:X484" si="140">S476+S482</f>
        <v>1852.5666776929065</v>
      </c>
      <c r="T484" s="807">
        <f t="shared" si="140"/>
        <v>7054.8124410259497</v>
      </c>
      <c r="U484" s="807">
        <f t="shared" si="140"/>
        <v>2581.3361329181394</v>
      </c>
      <c r="V484" s="807">
        <f t="shared" si="140"/>
        <v>167.96484775385909</v>
      </c>
      <c r="W484" s="807">
        <f t="shared" si="140"/>
        <v>655.75556557288996</v>
      </c>
      <c r="X484" s="807">
        <f t="shared" si="140"/>
        <v>501.39394732279095</v>
      </c>
      <c r="Y484" s="750"/>
      <c r="Z484" s="808">
        <f>Z476+Z482</f>
        <v>81623.997415204489</v>
      </c>
      <c r="AA484" s="850">
        <f>Z484/G484*100</f>
        <v>6.0763143757485292</v>
      </c>
      <c r="AB484" s="849">
        <f>AB476+AB482</f>
        <v>-3123.5085189312913</v>
      </c>
      <c r="AC484" s="816">
        <f>AA484/I484-1</f>
        <v>-3.6856642381415172E-2</v>
      </c>
      <c r="AD484" s="785"/>
      <c r="AF484" s="763"/>
      <c r="AI484" s="763"/>
      <c r="AK484" s="763"/>
      <c r="AM484" s="776"/>
    </row>
    <row r="485" spans="1:39">
      <c r="A485" s="4"/>
      <c r="B485" s="256"/>
      <c r="C485" s="519"/>
      <c r="D485" s="256"/>
      <c r="E485" s="513"/>
      <c r="F485" s="256"/>
      <c r="G485" s="35"/>
      <c r="H485" s="256"/>
      <c r="I485" s="256"/>
      <c r="J485" s="256"/>
      <c r="K485" s="256"/>
      <c r="L485" s="762"/>
      <c r="M485" s="762"/>
      <c r="N485" s="762"/>
      <c r="O485" s="762"/>
      <c r="P485" s="762"/>
      <c r="Q485" s="762"/>
      <c r="R485" s="771"/>
      <c r="S485" s="771"/>
      <c r="T485" s="762"/>
      <c r="U485" s="762"/>
      <c r="V485" s="762"/>
      <c r="W485" s="762"/>
      <c r="X485" s="762"/>
      <c r="Y485" s="256"/>
      <c r="Z485" s="256"/>
      <c r="AA485" s="256"/>
      <c r="AB485" s="504"/>
      <c r="AC485" s="504"/>
      <c r="AF485" s="763"/>
      <c r="AI485" s="763"/>
      <c r="AK485" s="763"/>
      <c r="AM485" s="776"/>
    </row>
    <row r="486" spans="1:39">
      <c r="A486" s="4">
        <v>227</v>
      </c>
      <c r="B486" s="256"/>
      <c r="C486" s="512" t="s">
        <v>790</v>
      </c>
      <c r="D486" s="256"/>
      <c r="E486" s="513" t="s">
        <v>674</v>
      </c>
      <c r="F486" s="256"/>
      <c r="G486" s="828">
        <v>1343314.2587384542</v>
      </c>
      <c r="H486" s="750"/>
      <c r="I486" s="772">
        <v>0.85109999999999997</v>
      </c>
      <c r="J486" s="750">
        <f>G486*I486/100</f>
        <v>11432.947656122984</v>
      </c>
      <c r="K486" s="750"/>
      <c r="L486" s="35">
        <v>0</v>
      </c>
      <c r="M486" s="35">
        <v>0</v>
      </c>
      <c r="N486" s="35">
        <v>0</v>
      </c>
      <c r="O486" s="35">
        <v>242.14129757484648</v>
      </c>
      <c r="P486" s="35">
        <v>384.16213010551439</v>
      </c>
      <c r="Q486" s="762">
        <f>J486-L486-M486-N486-O486-P486</f>
        <v>10806.644228442623</v>
      </c>
      <c r="R486" s="771"/>
      <c r="S486" s="35">
        <v>291.41167003551163</v>
      </c>
      <c r="T486" s="35">
        <v>0</v>
      </c>
      <c r="U486" s="35">
        <v>0</v>
      </c>
      <c r="V486" s="35">
        <v>0</v>
      </c>
      <c r="W486" s="35">
        <v>297.44731577541239</v>
      </c>
      <c r="X486" s="35">
        <v>384.59511277012899</v>
      </c>
      <c r="Y486" s="750"/>
      <c r="Z486" s="750">
        <f>Q486+S486+T486+U486+V486+W486+X486</f>
        <v>11780.098327023676</v>
      </c>
      <c r="AA486" s="848">
        <f>Z486/G486*100</f>
        <v>0.87694284865901073</v>
      </c>
      <c r="AB486" s="753">
        <f>Z486-J486</f>
        <v>347.15067090069169</v>
      </c>
      <c r="AC486" s="770">
        <f>AA486/I486-1</f>
        <v>3.0364056701927877E-2</v>
      </c>
      <c r="AD486" s="769"/>
      <c r="AF486" s="763"/>
      <c r="AI486" s="763"/>
      <c r="AK486" s="763"/>
      <c r="AM486" s="776"/>
    </row>
    <row r="487" spans="1:39">
      <c r="A487" s="4"/>
      <c r="B487" s="256"/>
      <c r="C487" s="7"/>
      <c r="D487" s="256"/>
      <c r="E487" s="36"/>
      <c r="F487" s="256"/>
      <c r="G487" s="818"/>
      <c r="H487" s="750"/>
      <c r="I487" s="792"/>
      <c r="J487" s="750"/>
      <c r="K487" s="750"/>
      <c r="L487" s="762"/>
      <c r="M487" s="762"/>
      <c r="N487" s="762"/>
      <c r="O487" s="762"/>
      <c r="P487" s="762"/>
      <c r="Q487" s="762"/>
      <c r="R487" s="771"/>
      <c r="S487" s="771"/>
      <c r="T487" s="762"/>
      <c r="U487" s="762"/>
      <c r="V487" s="762"/>
      <c r="W487" s="762"/>
      <c r="X487" s="762"/>
      <c r="Y487" s="750"/>
      <c r="Z487" s="750"/>
      <c r="AA487" s="848"/>
      <c r="AB487" s="753"/>
      <c r="AC487" s="770"/>
      <c r="AD487" s="769"/>
      <c r="AF487" s="763"/>
      <c r="AI487" s="763"/>
      <c r="AK487" s="763"/>
      <c r="AM487" s="776"/>
    </row>
    <row r="488" spans="1:39">
      <c r="A488" s="4">
        <v>228</v>
      </c>
      <c r="B488" s="256"/>
      <c r="C488" s="7" t="s">
        <v>715</v>
      </c>
      <c r="D488" s="256"/>
      <c r="E488" s="513" t="s">
        <v>674</v>
      </c>
      <c r="F488" s="256"/>
      <c r="G488" s="828">
        <v>712317.1393682817</v>
      </c>
      <c r="H488" s="750"/>
      <c r="I488" s="772">
        <v>20.538400000000003</v>
      </c>
      <c r="J488" s="750">
        <f>G488*I488/100</f>
        <v>146298.5433520152</v>
      </c>
      <c r="K488" s="750"/>
      <c r="L488" s="35">
        <v>0</v>
      </c>
      <c r="M488" s="35">
        <v>0</v>
      </c>
      <c r="N488" s="35">
        <v>0</v>
      </c>
      <c r="O488" s="35">
        <v>0</v>
      </c>
      <c r="P488" s="35">
        <v>0</v>
      </c>
      <c r="Q488" s="762">
        <f>J488-L488-M488-N488-O488-P488</f>
        <v>146298.5433520152</v>
      </c>
      <c r="R488" s="771"/>
      <c r="S488" s="35">
        <v>-14.194532689882067</v>
      </c>
      <c r="T488" s="35">
        <v>0</v>
      </c>
      <c r="U488" s="35">
        <v>0</v>
      </c>
      <c r="V488" s="35">
        <v>0</v>
      </c>
      <c r="W488" s="35">
        <v>0</v>
      </c>
      <c r="X488" s="35">
        <v>0</v>
      </c>
      <c r="Y488" s="750"/>
      <c r="Z488" s="750">
        <f>Q488+S488+T488+U488+V488+W488+X488</f>
        <v>146284.34881932533</v>
      </c>
      <c r="AA488" s="848">
        <f>Z488/G488*100</f>
        <v>20.536407273459343</v>
      </c>
      <c r="AB488" s="847">
        <f>Z488-J488</f>
        <v>-14.194532689871266</v>
      </c>
      <c r="AC488" s="770">
        <f>AA488/I488-1</f>
        <v>-9.7024429393743894E-5</v>
      </c>
      <c r="AD488" s="769"/>
      <c r="AF488" s="763"/>
      <c r="AI488" s="763"/>
      <c r="AK488" s="763"/>
      <c r="AM488" s="776"/>
    </row>
    <row r="489" spans="1:39">
      <c r="A489" s="4"/>
      <c r="B489" s="256"/>
      <c r="C489" s="7"/>
      <c r="D489" s="256"/>
      <c r="E489" s="36"/>
      <c r="F489" s="256"/>
      <c r="G489" s="828"/>
      <c r="H489" s="750"/>
      <c r="I489" s="750"/>
      <c r="J489" s="750"/>
      <c r="K489" s="750"/>
      <c r="L489" s="762"/>
      <c r="M489" s="762"/>
      <c r="N489" s="762"/>
      <c r="O489" s="762"/>
      <c r="P489" s="762"/>
      <c r="Q489" s="762"/>
      <c r="R489" s="771"/>
      <c r="S489" s="771"/>
      <c r="T489" s="762"/>
      <c r="U489" s="762"/>
      <c r="V489" s="762"/>
      <c r="W489" s="35"/>
      <c r="X489" s="762"/>
      <c r="Y489" s="750"/>
      <c r="Z489" s="750"/>
      <c r="AA489" s="750"/>
      <c r="AB489" s="753"/>
      <c r="AC489" s="753"/>
      <c r="AD489" s="728"/>
      <c r="AF489" s="763"/>
      <c r="AI489" s="763"/>
      <c r="AK489" s="763"/>
      <c r="AM489" s="776"/>
    </row>
    <row r="490" spans="1:39" ht="13.5" thickBot="1">
      <c r="A490" s="4">
        <v>229</v>
      </c>
      <c r="B490" s="256"/>
      <c r="C490" s="7" t="s">
        <v>796</v>
      </c>
      <c r="D490" s="256"/>
      <c r="E490" s="36"/>
      <c r="F490" s="256"/>
      <c r="G490" s="846">
        <f>G482</f>
        <v>1343314.2587384542</v>
      </c>
      <c r="H490" s="750"/>
      <c r="I490" s="845">
        <f>J490/G490*100</f>
        <v>18.050801989550315</v>
      </c>
      <c r="J490" s="756">
        <f>J484+J486+J488</f>
        <v>242478.99694227398</v>
      </c>
      <c r="K490" s="750"/>
      <c r="L490" s="781">
        <f t="shared" ref="L490:Q490" si="141">L484+L486+L488</f>
        <v>12067.962053130181</v>
      </c>
      <c r="M490" s="781">
        <f t="shared" si="141"/>
        <v>2655.5326168623533</v>
      </c>
      <c r="N490" s="781">
        <f t="shared" si="141"/>
        <v>179.18666996406699</v>
      </c>
      <c r="O490" s="781">
        <f t="shared" si="141"/>
        <v>775.9686179721092</v>
      </c>
      <c r="P490" s="781">
        <f t="shared" si="141"/>
        <v>884.99160096949186</v>
      </c>
      <c r="Q490" s="781">
        <f t="shared" si="141"/>
        <v>225915.35538337578</v>
      </c>
      <c r="R490" s="771"/>
      <c r="S490" s="781">
        <f t="shared" ref="S490:X490" si="142">S484+S486+S488</f>
        <v>2129.783815038536</v>
      </c>
      <c r="T490" s="781">
        <f t="shared" si="142"/>
        <v>7054.8124410259497</v>
      </c>
      <c r="U490" s="781">
        <f t="shared" si="142"/>
        <v>2581.3361329181394</v>
      </c>
      <c r="V490" s="781">
        <f t="shared" si="142"/>
        <v>167.96484775385909</v>
      </c>
      <c r="W490" s="781">
        <f t="shared" si="142"/>
        <v>953.2028813483023</v>
      </c>
      <c r="X490" s="781">
        <f t="shared" si="142"/>
        <v>885.98906009292</v>
      </c>
      <c r="Y490" s="750"/>
      <c r="Z490" s="756">
        <f>Z484+Z486+Z488</f>
        <v>239688.44456155348</v>
      </c>
      <c r="AA490" s="845">
        <f>Z490/G490*100</f>
        <v>17.843065611962754</v>
      </c>
      <c r="AB490" s="844">
        <f>AB484+AB486+AB488</f>
        <v>-2790.5523807204709</v>
      </c>
      <c r="AC490" s="815">
        <f>AA490/I490-1</f>
        <v>-1.1508429249172503E-2</v>
      </c>
      <c r="AD490" s="785"/>
      <c r="AF490" s="763"/>
      <c r="AI490" s="763"/>
      <c r="AK490" s="763"/>
      <c r="AM490" s="776"/>
    </row>
    <row r="491" spans="1:39" ht="13.5" thickTop="1">
      <c r="A491" s="4"/>
      <c r="B491" s="256"/>
      <c r="C491" s="7"/>
      <c r="D491" s="256"/>
      <c r="E491" s="36"/>
      <c r="F491" s="256"/>
      <c r="G491" s="135"/>
      <c r="H491" s="256"/>
      <c r="I491" s="256"/>
      <c r="J491" s="256"/>
      <c r="K491" s="256"/>
      <c r="L491" s="762"/>
      <c r="M491" s="762"/>
      <c r="N491" s="762"/>
      <c r="O491" s="762"/>
      <c r="P491" s="762"/>
      <c r="Q491" s="762"/>
      <c r="R491" s="771"/>
      <c r="S491" s="771"/>
      <c r="T491" s="762"/>
      <c r="U491" s="762"/>
      <c r="V491" s="762"/>
      <c r="W491" s="762"/>
      <c r="X491" s="762"/>
      <c r="Y491" s="256"/>
      <c r="Z491" s="256"/>
      <c r="AA491" s="256"/>
      <c r="AB491" s="753"/>
      <c r="AC491" s="504"/>
    </row>
    <row r="492" spans="1:39">
      <c r="A492" s="4"/>
      <c r="B492" s="256"/>
      <c r="C492" s="6" t="s">
        <v>180</v>
      </c>
      <c r="D492" s="256"/>
      <c r="E492" s="36"/>
      <c r="F492" s="256"/>
      <c r="G492" s="35"/>
      <c r="H492" s="256"/>
      <c r="I492" s="256"/>
      <c r="J492" s="256"/>
      <c r="K492" s="256"/>
      <c r="L492" s="762"/>
      <c r="M492" s="762"/>
      <c r="N492" s="762"/>
      <c r="O492" s="762"/>
      <c r="P492" s="762"/>
      <c r="Q492" s="762"/>
      <c r="R492" s="771"/>
      <c r="S492" s="771"/>
      <c r="T492" s="762"/>
      <c r="U492" s="762"/>
      <c r="V492" s="762"/>
      <c r="W492" s="762"/>
      <c r="X492" s="762"/>
      <c r="Y492" s="256"/>
      <c r="Z492" s="256"/>
      <c r="AA492" s="256"/>
      <c r="AB492" s="504"/>
      <c r="AC492" s="504"/>
    </row>
    <row r="493" spans="1:39">
      <c r="A493" s="4"/>
      <c r="B493" s="256"/>
      <c r="C493" s="512" t="s">
        <v>726</v>
      </c>
      <c r="D493" s="256"/>
      <c r="E493" s="36"/>
      <c r="F493" s="256"/>
      <c r="G493" s="35"/>
      <c r="H493" s="256"/>
      <c r="I493" s="256"/>
      <c r="J493" s="256"/>
      <c r="K493" s="256"/>
      <c r="L493" s="762"/>
      <c r="M493" s="762"/>
      <c r="N493" s="762"/>
      <c r="O493" s="762"/>
      <c r="P493" s="762"/>
      <c r="Q493" s="762"/>
      <c r="R493" s="771"/>
      <c r="S493" s="771"/>
      <c r="T493" s="762"/>
      <c r="U493" s="762"/>
      <c r="V493" s="762"/>
      <c r="W493" s="762"/>
      <c r="X493" s="762"/>
      <c r="Y493" s="256"/>
      <c r="Z493" s="256"/>
      <c r="AA493" s="256"/>
      <c r="AB493" s="504"/>
      <c r="AC493" s="504"/>
    </row>
    <row r="494" spans="1:39">
      <c r="A494" s="4">
        <v>230</v>
      </c>
      <c r="B494" s="256"/>
      <c r="C494" s="519" t="s">
        <v>797</v>
      </c>
      <c r="D494" s="256"/>
      <c r="E494" s="513" t="s">
        <v>675</v>
      </c>
      <c r="F494" s="256"/>
      <c r="G494" s="35">
        <v>20879.34</v>
      </c>
      <c r="H494" s="256"/>
      <c r="I494" s="772">
        <v>69.394599999999997</v>
      </c>
      <c r="J494" s="750">
        <f>G494*I494/100</f>
        <v>14489.134475639999</v>
      </c>
      <c r="K494" s="256"/>
      <c r="L494" s="35">
        <v>1995.4594031400002</v>
      </c>
      <c r="M494" s="35">
        <v>0</v>
      </c>
      <c r="N494" s="35">
        <v>0</v>
      </c>
      <c r="O494" s="35">
        <v>0</v>
      </c>
      <c r="P494" s="35">
        <v>0</v>
      </c>
      <c r="Q494" s="762">
        <f>J494-L494-M494-N494-O494-P494</f>
        <v>12493.675072499998</v>
      </c>
      <c r="R494" s="771"/>
      <c r="S494" s="35">
        <v>336.89415300931614</v>
      </c>
      <c r="T494" s="35">
        <v>2105.7548294816397</v>
      </c>
      <c r="U494" s="35">
        <v>0</v>
      </c>
      <c r="V494" s="35">
        <v>0</v>
      </c>
      <c r="W494" s="35">
        <v>0</v>
      </c>
      <c r="X494" s="35">
        <v>0</v>
      </c>
      <c r="Y494" s="750"/>
      <c r="Z494" s="750">
        <f>Q494+S494+T494+U494+V494+W494+X494</f>
        <v>14936.324054990953</v>
      </c>
      <c r="AA494" s="792">
        <f>Z494/G494*100</f>
        <v>71.536380244734517</v>
      </c>
      <c r="AB494" s="753">
        <f>Z494-J494</f>
        <v>447.18957935095386</v>
      </c>
      <c r="AC494" s="770"/>
      <c r="AD494" s="769"/>
      <c r="AF494" s="763"/>
      <c r="AI494" s="763"/>
      <c r="AK494" s="763"/>
      <c r="AM494" s="776"/>
    </row>
    <row r="495" spans="1:39">
      <c r="A495" s="4">
        <v>231</v>
      </c>
      <c r="B495" s="256"/>
      <c r="C495" s="519" t="s">
        <v>798</v>
      </c>
      <c r="D495" s="256"/>
      <c r="E495" s="513" t="s">
        <v>675</v>
      </c>
      <c r="F495" s="256"/>
      <c r="G495" s="35">
        <v>20175.232</v>
      </c>
      <c r="H495" s="256"/>
      <c r="I495" s="772">
        <v>33.057699999999997</v>
      </c>
      <c r="J495" s="750">
        <f>G495*I495/100</f>
        <v>6669.4676688639993</v>
      </c>
      <c r="K495" s="256"/>
      <c r="L495" s="35">
        <v>864.54904166400001</v>
      </c>
      <c r="M495" s="35">
        <v>0</v>
      </c>
      <c r="N495" s="35">
        <v>0</v>
      </c>
      <c r="O495" s="35">
        <v>0</v>
      </c>
      <c r="P495" s="35">
        <v>0</v>
      </c>
      <c r="Q495" s="762">
        <f>J495-L495-M495-N495-O495-P495</f>
        <v>5804.9186271999988</v>
      </c>
      <c r="R495" s="771"/>
      <c r="S495" s="35">
        <v>156.53065513950605</v>
      </c>
      <c r="T495" s="35">
        <v>969.29625281579604</v>
      </c>
      <c r="U495" s="35">
        <v>0</v>
      </c>
      <c r="V495" s="35">
        <v>0</v>
      </c>
      <c r="W495" s="35">
        <v>0</v>
      </c>
      <c r="X495" s="35">
        <v>0</v>
      </c>
      <c r="Y495" s="750"/>
      <c r="Z495" s="750">
        <f>Q495+S495+T495+U495+V495+W495+X495</f>
        <v>6930.7455351553008</v>
      </c>
      <c r="AA495" s="792">
        <f>Z495/G495*100</f>
        <v>34.352742685463546</v>
      </c>
      <c r="AB495" s="753">
        <f>Z495-J495</f>
        <v>261.27786629130151</v>
      </c>
      <c r="AC495" s="770"/>
      <c r="AD495" s="769"/>
      <c r="AF495" s="763"/>
      <c r="AI495" s="763"/>
      <c r="AK495" s="763"/>
      <c r="AM495" s="776"/>
    </row>
    <row r="496" spans="1:39">
      <c r="A496" s="4">
        <v>232</v>
      </c>
      <c r="C496" s="519" t="s">
        <v>799</v>
      </c>
      <c r="E496" s="513" t="s">
        <v>675</v>
      </c>
      <c r="G496" s="35">
        <v>5781.4719999999998</v>
      </c>
      <c r="I496" s="772">
        <v>28.335999999999999</v>
      </c>
      <c r="J496" s="750">
        <f>G496*I496/100</f>
        <v>1638.2379059199998</v>
      </c>
      <c r="L496" s="35">
        <v>208.138773472</v>
      </c>
      <c r="M496" s="35">
        <v>0</v>
      </c>
      <c r="N496" s="35">
        <v>0</v>
      </c>
      <c r="O496" s="35">
        <v>0</v>
      </c>
      <c r="P496" s="35">
        <v>0</v>
      </c>
      <c r="Q496" s="762">
        <f>J496-L496-M496-N496-O496-P496</f>
        <v>1430.0991324479999</v>
      </c>
      <c r="R496" s="68"/>
      <c r="S496" s="35">
        <v>38.562875466955575</v>
      </c>
      <c r="T496" s="35">
        <v>238.09064565111296</v>
      </c>
      <c r="U496" s="35">
        <v>0</v>
      </c>
      <c r="V496" s="35">
        <v>0</v>
      </c>
      <c r="W496" s="35">
        <v>0</v>
      </c>
      <c r="X496" s="35">
        <v>0</v>
      </c>
      <c r="Y496" s="752"/>
      <c r="Z496" s="750">
        <f>Q496+S496+T496+U496+V496+W496+X496</f>
        <v>1706.7526535660684</v>
      </c>
      <c r="AA496" s="792">
        <f>Z496/G496*100</f>
        <v>29.521074452424372</v>
      </c>
      <c r="AB496" s="753">
        <f>Z496-J496</f>
        <v>68.514747646068599</v>
      </c>
      <c r="AC496" s="770"/>
      <c r="AD496" s="769"/>
      <c r="AF496" s="763"/>
      <c r="AI496" s="763"/>
      <c r="AK496" s="763"/>
      <c r="AM496" s="776"/>
    </row>
    <row r="497" spans="1:39">
      <c r="A497" s="4">
        <v>233</v>
      </c>
      <c r="B497" s="256"/>
      <c r="C497" s="512" t="s">
        <v>726</v>
      </c>
      <c r="D497" s="256"/>
      <c r="E497" s="742"/>
      <c r="F497" s="256"/>
      <c r="G497" s="420">
        <f>SUM(G494:G496)</f>
        <v>46836.044000000002</v>
      </c>
      <c r="H497" s="256"/>
      <c r="I497" s="806">
        <f>J497/G497*100</f>
        <v>48.673709612246498</v>
      </c>
      <c r="J497" s="808">
        <f>SUM(J494:J496)</f>
        <v>22796.840050423998</v>
      </c>
      <c r="K497" s="256"/>
      <c r="L497" s="807">
        <f t="shared" ref="L497:Q497" si="143">SUM(L494:L496)</f>
        <v>3068.1472182760003</v>
      </c>
      <c r="M497" s="807">
        <f t="shared" si="143"/>
        <v>0</v>
      </c>
      <c r="N497" s="807">
        <f t="shared" si="143"/>
        <v>0</v>
      </c>
      <c r="O497" s="807">
        <f t="shared" si="143"/>
        <v>0</v>
      </c>
      <c r="P497" s="807">
        <f t="shared" si="143"/>
        <v>0</v>
      </c>
      <c r="Q497" s="807">
        <f t="shared" si="143"/>
        <v>19728.692832147994</v>
      </c>
      <c r="R497" s="771"/>
      <c r="S497" s="807">
        <f t="shared" ref="S497:X497" si="144">SUM(S494:S496)</f>
        <v>531.98768361577777</v>
      </c>
      <c r="T497" s="807">
        <f t="shared" si="144"/>
        <v>3313.1417279485486</v>
      </c>
      <c r="U497" s="807">
        <f t="shared" si="144"/>
        <v>0</v>
      </c>
      <c r="V497" s="807">
        <f t="shared" si="144"/>
        <v>0</v>
      </c>
      <c r="W497" s="807">
        <f t="shared" si="144"/>
        <v>0</v>
      </c>
      <c r="X497" s="807">
        <f t="shared" si="144"/>
        <v>0</v>
      </c>
      <c r="Y497" s="843"/>
      <c r="Z497" s="808">
        <f>SUM(Z494:Z496)</f>
        <v>23573.822243712322</v>
      </c>
      <c r="AA497" s="806">
        <f>Z497/G497*100</f>
        <v>50.332650306059847</v>
      </c>
      <c r="AB497" s="842">
        <f>SUM(AB494:AB496)</f>
        <v>776.98219328832397</v>
      </c>
      <c r="AC497" s="804">
        <f>AA497/I497-1</f>
        <v>3.4082890065892046E-2</v>
      </c>
      <c r="AD497" s="769"/>
      <c r="AF497" s="763"/>
      <c r="AI497" s="763"/>
      <c r="AK497" s="763"/>
      <c r="AM497" s="776"/>
    </row>
    <row r="498" spans="1:39">
      <c r="A498" s="4"/>
      <c r="B498" s="256"/>
      <c r="C498" s="7"/>
      <c r="D498" s="256"/>
      <c r="E498" s="36"/>
      <c r="F498" s="256"/>
      <c r="G498" s="135"/>
      <c r="H498" s="256"/>
      <c r="I498" s="792"/>
      <c r="J498" s="750"/>
      <c r="K498" s="256"/>
      <c r="L498" s="504"/>
      <c r="M498" s="504"/>
      <c r="N498" s="504"/>
      <c r="O498" s="504"/>
      <c r="P498" s="504"/>
      <c r="Q498" s="753"/>
      <c r="R498" s="256"/>
      <c r="S498" s="750"/>
      <c r="T498" s="753"/>
      <c r="U498" s="753"/>
      <c r="V498" s="753"/>
      <c r="W498" s="753"/>
      <c r="X498" s="753"/>
      <c r="Y498" s="750"/>
      <c r="Z498" s="750"/>
      <c r="AA498" s="792"/>
      <c r="AB498" s="753"/>
      <c r="AC498" s="770"/>
      <c r="AD498" s="769"/>
      <c r="AF498" s="763"/>
      <c r="AI498" s="763"/>
      <c r="AK498" s="763"/>
      <c r="AM498" s="776"/>
    </row>
    <row r="499" spans="1:39">
      <c r="A499" s="4"/>
      <c r="B499" s="256"/>
      <c r="C499" s="512" t="s">
        <v>705</v>
      </c>
      <c r="D499" s="256"/>
      <c r="E499" s="36"/>
      <c r="F499" s="256"/>
      <c r="G499" s="35"/>
      <c r="H499" s="256"/>
      <c r="I499" s="792"/>
      <c r="J499" s="750"/>
      <c r="K499" s="256"/>
      <c r="L499" s="753"/>
      <c r="M499" s="753"/>
      <c r="N499" s="753"/>
      <c r="O499" s="753"/>
      <c r="P499" s="753"/>
      <c r="Q499" s="753"/>
      <c r="R499" s="750"/>
      <c r="S499" s="750"/>
      <c r="T499" s="753"/>
      <c r="U499" s="753"/>
      <c r="V499" s="753"/>
      <c r="W499" s="753"/>
      <c r="X499" s="753"/>
      <c r="Y499" s="750"/>
      <c r="Z499" s="750"/>
      <c r="AA499" s="792"/>
      <c r="AB499" s="753"/>
      <c r="AC499" s="770"/>
      <c r="AD499" s="769"/>
      <c r="AF499" s="763"/>
      <c r="AI499" s="763"/>
      <c r="AK499" s="763"/>
      <c r="AM499" s="776"/>
    </row>
    <row r="500" spans="1:39">
      <c r="A500" s="4">
        <v>234</v>
      </c>
      <c r="B500" s="256"/>
      <c r="C500" s="519" t="s">
        <v>800</v>
      </c>
      <c r="D500" s="256"/>
      <c r="E500" s="513" t="s">
        <v>674</v>
      </c>
      <c r="F500" s="256"/>
      <c r="G500" s="35">
        <v>592384.97535999969</v>
      </c>
      <c r="H500" s="256"/>
      <c r="I500" s="772">
        <v>2.0339</v>
      </c>
      <c r="J500" s="750">
        <f>G500*I500/100</f>
        <v>12048.518013847035</v>
      </c>
      <c r="K500" s="256"/>
      <c r="L500" s="35">
        <v>1883.7842216447991</v>
      </c>
      <c r="M500" s="35">
        <v>353.88968430340589</v>
      </c>
      <c r="N500" s="35">
        <v>107.08991532537287</v>
      </c>
      <c r="O500" s="35">
        <v>512.53547882408759</v>
      </c>
      <c r="P500" s="35">
        <v>591.50700239859066</v>
      </c>
      <c r="Q500" s="762">
        <f>J500-L500-M500-N500-O500-P500</f>
        <v>8599.7117113507811</v>
      </c>
      <c r="R500" s="771"/>
      <c r="S500" s="35">
        <v>229.8082028926292</v>
      </c>
      <c r="T500" s="35">
        <v>2009.0744229661855</v>
      </c>
      <c r="U500" s="35">
        <v>344.07938554043716</v>
      </c>
      <c r="V500" s="35">
        <v>100.38325578128658</v>
      </c>
      <c r="W500" s="35">
        <v>629.60058421578094</v>
      </c>
      <c r="X500" s="35">
        <v>592.17367997549388</v>
      </c>
      <c r="Y500" s="771"/>
      <c r="Z500" s="771">
        <f>Q500+S500+T500+U500+V500+W500+X500</f>
        <v>12504.831242722594</v>
      </c>
      <c r="AA500" s="792">
        <f>Z500/G500*100</f>
        <v>2.1109298450932608</v>
      </c>
      <c r="AB500" s="753">
        <f>Z500-J500</f>
        <v>456.31322887555871</v>
      </c>
      <c r="AC500" s="770"/>
      <c r="AD500" s="769"/>
      <c r="AF500" s="763"/>
      <c r="AI500" s="763"/>
      <c r="AK500" s="763"/>
      <c r="AM500" s="776"/>
    </row>
    <row r="501" spans="1:39">
      <c r="A501" s="4">
        <v>235</v>
      </c>
      <c r="B501" s="256"/>
      <c r="C501" s="519" t="s">
        <v>801</v>
      </c>
      <c r="D501" s="256"/>
      <c r="E501" s="513" t="s">
        <v>674</v>
      </c>
      <c r="F501" s="256"/>
      <c r="G501" s="453">
        <v>0</v>
      </c>
      <c r="H501" s="256"/>
      <c r="I501" s="772">
        <v>0.87250000000000005</v>
      </c>
      <c r="J501" s="453">
        <f>G501*I501/100</f>
        <v>0</v>
      </c>
      <c r="K501" s="256"/>
      <c r="L501" s="762">
        <v>0</v>
      </c>
      <c r="M501" s="762">
        <v>0</v>
      </c>
      <c r="N501" s="762">
        <v>0</v>
      </c>
      <c r="O501" s="762">
        <v>0</v>
      </c>
      <c r="P501" s="762">
        <v>0</v>
      </c>
      <c r="Q501" s="762">
        <f>J501-L501-M501-N501-O501-P501</f>
        <v>0</v>
      </c>
      <c r="R501" s="771"/>
      <c r="S501" s="771">
        <v>0</v>
      </c>
      <c r="T501" s="762">
        <v>0</v>
      </c>
      <c r="U501" s="762">
        <v>0</v>
      </c>
      <c r="V501" s="762">
        <v>0</v>
      </c>
      <c r="W501" s="762">
        <v>0</v>
      </c>
      <c r="X501" s="762">
        <v>0</v>
      </c>
      <c r="Y501" s="771"/>
      <c r="Z501" s="771">
        <f>Q501+S501+T501+U501+V501+W501+X501</f>
        <v>0</v>
      </c>
      <c r="AA501" s="771" t="str">
        <f>IFERROR(Z501/G501*100,"-")</f>
        <v>-</v>
      </c>
      <c r="AB501" s="762">
        <f>Z501-J501</f>
        <v>0</v>
      </c>
      <c r="AC501" s="770"/>
      <c r="AD501" s="769"/>
      <c r="AF501" s="763"/>
      <c r="AI501" s="763"/>
      <c r="AK501" s="763"/>
      <c r="AM501" s="776"/>
    </row>
    <row r="502" spans="1:39">
      <c r="A502" s="4">
        <v>236</v>
      </c>
      <c r="B502" s="256"/>
      <c r="C502" s="512" t="s">
        <v>705</v>
      </c>
      <c r="D502" s="256"/>
      <c r="E502" s="742"/>
      <c r="F502" s="256"/>
      <c r="G502" s="420">
        <f>SUM(G500:G501)</f>
        <v>592384.97535999969</v>
      </c>
      <c r="H502" s="256"/>
      <c r="I502" s="806">
        <f>J502/G502*100</f>
        <v>2.0339000000000005</v>
      </c>
      <c r="J502" s="808">
        <f>SUM(J500:J501)</f>
        <v>12048.518013847035</v>
      </c>
      <c r="K502" s="256"/>
      <c r="L502" s="805">
        <f t="shared" ref="L502:Q502" si="145">SUM(L500:L501)</f>
        <v>1883.7842216447991</v>
      </c>
      <c r="M502" s="805">
        <f t="shared" si="145"/>
        <v>353.88968430340589</v>
      </c>
      <c r="N502" s="805">
        <f t="shared" si="145"/>
        <v>107.08991532537287</v>
      </c>
      <c r="O502" s="805">
        <f t="shared" si="145"/>
        <v>512.53547882408759</v>
      </c>
      <c r="P502" s="805">
        <f t="shared" si="145"/>
        <v>591.50700239859066</v>
      </c>
      <c r="Q502" s="805">
        <f t="shared" si="145"/>
        <v>8599.7117113507811</v>
      </c>
      <c r="R502" s="771"/>
      <c r="S502" s="807">
        <f t="shared" ref="S502:X502" si="146">SUM(S500:S501)</f>
        <v>229.8082028926292</v>
      </c>
      <c r="T502" s="807">
        <f t="shared" si="146"/>
        <v>2009.0744229661855</v>
      </c>
      <c r="U502" s="807">
        <f t="shared" si="146"/>
        <v>344.07938554043716</v>
      </c>
      <c r="V502" s="807">
        <f t="shared" si="146"/>
        <v>100.38325578128658</v>
      </c>
      <c r="W502" s="807">
        <f t="shared" si="146"/>
        <v>629.60058421578094</v>
      </c>
      <c r="X502" s="807">
        <f t="shared" si="146"/>
        <v>592.17367997549388</v>
      </c>
      <c r="Y502" s="771"/>
      <c r="Z502" s="807">
        <f>SUM(Z500:Z501)</f>
        <v>12504.831242722594</v>
      </c>
      <c r="AA502" s="806">
        <f>Z502/G502*100</f>
        <v>2.1109298450932608</v>
      </c>
      <c r="AB502" s="842">
        <f>SUM(AB500:AB501)</f>
        <v>456.31322887555871</v>
      </c>
      <c r="AC502" s="804">
        <f>AA502/I502-1</f>
        <v>3.7872975610039994E-2</v>
      </c>
      <c r="AD502" s="769"/>
      <c r="AF502" s="763"/>
      <c r="AI502" s="763"/>
      <c r="AK502" s="763"/>
      <c r="AM502" s="776"/>
    </row>
    <row r="503" spans="1:39">
      <c r="A503" s="4"/>
      <c r="B503" s="256"/>
      <c r="C503" s="7"/>
      <c r="D503" s="256"/>
      <c r="E503" s="36"/>
      <c r="F503" s="256"/>
      <c r="G503" s="135"/>
      <c r="H503" s="256"/>
      <c r="I503" s="792"/>
      <c r="J503" s="750"/>
      <c r="K503" s="256"/>
      <c r="L503" s="762"/>
      <c r="M503" s="762"/>
      <c r="N503" s="762"/>
      <c r="O503" s="762"/>
      <c r="P503" s="762"/>
      <c r="Q503" s="762"/>
      <c r="R503" s="771"/>
      <c r="S503" s="771"/>
      <c r="T503" s="762"/>
      <c r="U503" s="762"/>
      <c r="V503" s="762"/>
      <c r="W503" s="762"/>
      <c r="X503" s="762"/>
      <c r="Y503" s="771"/>
      <c r="Z503" s="771"/>
      <c r="AA503" s="771"/>
      <c r="AB503" s="762"/>
      <c r="AC503" s="770"/>
      <c r="AD503" s="769"/>
      <c r="AF503" s="763"/>
      <c r="AI503" s="763"/>
      <c r="AK503" s="763"/>
      <c r="AM503" s="776"/>
    </row>
    <row r="504" spans="1:39">
      <c r="A504" s="4">
        <v>237</v>
      </c>
      <c r="B504" s="256"/>
      <c r="C504" s="519" t="s">
        <v>802</v>
      </c>
      <c r="D504" s="256"/>
      <c r="E504" s="513" t="s">
        <v>674</v>
      </c>
      <c r="F504" s="256"/>
      <c r="G504" s="35">
        <v>57602.159589999996</v>
      </c>
      <c r="H504" s="256"/>
      <c r="I504" s="772">
        <v>2.2423999999999999</v>
      </c>
      <c r="J504" s="750">
        <f>G504*I504/100</f>
        <v>1291.6708266461599</v>
      </c>
      <c r="K504" s="256"/>
      <c r="L504" s="35">
        <v>183.17486749619999</v>
      </c>
      <c r="M504" s="35">
        <v>34.411423179852598</v>
      </c>
      <c r="N504" s="35">
        <v>10.413178337791187</v>
      </c>
      <c r="O504" s="35">
        <v>49.837777247507958</v>
      </c>
      <c r="P504" s="35">
        <v>57.51678750808982</v>
      </c>
      <c r="Q504" s="762">
        <f>J504-L504-M504-N504-O504-P504</f>
        <v>956.31679287671841</v>
      </c>
      <c r="R504" s="771"/>
      <c r="S504" s="35">
        <v>25.584555083581108</v>
      </c>
      <c r="T504" s="35">
        <v>195.35780000084677</v>
      </c>
      <c r="U504" s="35">
        <v>33.457492174720862</v>
      </c>
      <c r="V504" s="35">
        <v>9.7610381089822358</v>
      </c>
      <c r="W504" s="35">
        <v>61.22092024348715</v>
      </c>
      <c r="X504" s="35">
        <v>57.581613710267753</v>
      </c>
      <c r="Y504" s="771"/>
      <c r="Z504" s="771">
        <f>Q504+S504+T504+U504+V504+W504+X504</f>
        <v>1339.2802121986042</v>
      </c>
      <c r="AA504" s="792">
        <f>Z504/G504*100</f>
        <v>2.3250520843859293</v>
      </c>
      <c r="AB504" s="753">
        <f>Z504-J504</f>
        <v>47.609385552444337</v>
      </c>
      <c r="AC504" s="770"/>
      <c r="AD504" s="769"/>
      <c r="AF504" s="763"/>
      <c r="AI504" s="763"/>
      <c r="AK504" s="763"/>
      <c r="AM504" s="776"/>
    </row>
    <row r="505" spans="1:39">
      <c r="A505" s="4">
        <v>238</v>
      </c>
      <c r="B505" s="256"/>
      <c r="C505" s="519" t="s">
        <v>803</v>
      </c>
      <c r="D505" s="256"/>
      <c r="E505" s="513" t="s">
        <v>674</v>
      </c>
      <c r="F505" s="256"/>
      <c r="G505" s="35">
        <v>1276.4049299999999</v>
      </c>
      <c r="H505" s="256"/>
      <c r="I505" s="772">
        <v>7.4368999999999996</v>
      </c>
      <c r="J505" s="750">
        <f>G505*I505/100</f>
        <v>94.924958239169996</v>
      </c>
      <c r="K505" s="256"/>
      <c r="L505" s="35">
        <v>4.0589676774000001</v>
      </c>
      <c r="M505" s="35">
        <v>0</v>
      </c>
      <c r="N505" s="35">
        <v>0.65508486657600595</v>
      </c>
      <c r="O505" s="35">
        <v>0.80120681594156196</v>
      </c>
      <c r="P505" s="35">
        <v>0.86032447809677703</v>
      </c>
      <c r="Q505" s="762">
        <f>J505-L505-M505-N505-O505-P505</f>
        <v>88.54937440115566</v>
      </c>
      <c r="R505" s="771"/>
      <c r="S505" s="35">
        <v>2.3847535131376532</v>
      </c>
      <c r="T505" s="35">
        <v>4.328928998667684</v>
      </c>
      <c r="U505" s="35">
        <v>0</v>
      </c>
      <c r="V505" s="35">
        <v>0.6140592372321052</v>
      </c>
      <c r="W505" s="35">
        <v>0.98420558231756494</v>
      </c>
      <c r="X505" s="35">
        <v>0.86129413532159815</v>
      </c>
      <c r="Y505" s="771"/>
      <c r="Z505" s="771">
        <f>Q505+S505+T505+U505+V505+W505+X505</f>
        <v>97.722615867832275</v>
      </c>
      <c r="AA505" s="792">
        <f>Z505/G505*100</f>
        <v>7.6560826091319063</v>
      </c>
      <c r="AB505" s="753">
        <f>Z505-J505</f>
        <v>2.7976576286622787</v>
      </c>
      <c r="AC505" s="770"/>
      <c r="AD505" s="769"/>
      <c r="AF505" s="763"/>
      <c r="AI505" s="763"/>
      <c r="AK505" s="763"/>
      <c r="AM505" s="776"/>
    </row>
    <row r="506" spans="1:39">
      <c r="A506" s="4"/>
      <c r="B506" s="256"/>
      <c r="C506" s="7"/>
      <c r="D506" s="256"/>
      <c r="E506" s="36"/>
      <c r="F506" s="256"/>
      <c r="G506" s="453"/>
      <c r="H506" s="256"/>
      <c r="I506" s="792"/>
      <c r="J506" s="750"/>
      <c r="K506" s="256"/>
      <c r="L506" s="762"/>
      <c r="M506" s="762"/>
      <c r="N506" s="762"/>
      <c r="O506" s="762"/>
      <c r="P506" s="762"/>
      <c r="Q506" s="762"/>
      <c r="R506" s="771"/>
      <c r="S506" s="771"/>
      <c r="T506" s="762"/>
      <c r="U506" s="762"/>
      <c r="V506" s="762"/>
      <c r="W506" s="762"/>
      <c r="X506" s="762"/>
      <c r="Y506" s="771"/>
      <c r="Z506" s="771"/>
      <c r="AA506" s="771"/>
      <c r="AB506" s="762"/>
      <c r="AC506" s="770"/>
      <c r="AD506" s="769"/>
      <c r="AF506" s="763"/>
      <c r="AI506" s="763"/>
      <c r="AK506" s="763"/>
      <c r="AM506" s="776"/>
    </row>
    <row r="507" spans="1:39">
      <c r="A507" s="4">
        <v>239</v>
      </c>
      <c r="B507" s="256"/>
      <c r="C507" s="7" t="s">
        <v>804</v>
      </c>
      <c r="D507" s="256"/>
      <c r="E507" s="36"/>
      <c r="F507" s="256"/>
      <c r="G507" s="420">
        <f>G502</f>
        <v>592384.97535999969</v>
      </c>
      <c r="H507" s="256"/>
      <c r="I507" s="806">
        <f>J507/G507*100</f>
        <v>6.1162850774764754</v>
      </c>
      <c r="J507" s="808">
        <f>J497+J502+J504+J505</f>
        <v>36231.953849156358</v>
      </c>
      <c r="K507" s="750"/>
      <c r="L507" s="807">
        <f t="shared" ref="L507:Q507" si="147">L497+L502+L504+L505</f>
        <v>5139.1652750943995</v>
      </c>
      <c r="M507" s="807">
        <f t="shared" si="147"/>
        <v>388.30110748325848</v>
      </c>
      <c r="N507" s="807">
        <f t="shared" si="147"/>
        <v>118.15817852974007</v>
      </c>
      <c r="O507" s="807">
        <f t="shared" si="147"/>
        <v>563.17446288753706</v>
      </c>
      <c r="P507" s="807">
        <f t="shared" si="147"/>
        <v>649.88411438477726</v>
      </c>
      <c r="Q507" s="807">
        <f t="shared" si="147"/>
        <v>29373.270710776647</v>
      </c>
      <c r="R507" s="771"/>
      <c r="S507" s="807">
        <f t="shared" ref="S507:X507" si="148">S497+S502+S504+S505</f>
        <v>789.76519510512571</v>
      </c>
      <c r="T507" s="807">
        <f t="shared" si="148"/>
        <v>5521.9028799142479</v>
      </c>
      <c r="U507" s="807">
        <f t="shared" si="148"/>
        <v>377.53687771515803</v>
      </c>
      <c r="V507" s="807">
        <f t="shared" si="148"/>
        <v>110.75835312750092</v>
      </c>
      <c r="W507" s="807">
        <f t="shared" si="148"/>
        <v>691.80571004158571</v>
      </c>
      <c r="X507" s="807">
        <f t="shared" si="148"/>
        <v>650.61658782108327</v>
      </c>
      <c r="Y507" s="771"/>
      <c r="Z507" s="807">
        <f>Z497+Z502+Z504+Z505</f>
        <v>37515.65631450135</v>
      </c>
      <c r="AA507" s="806">
        <f>Z507/G507*100</f>
        <v>6.3329857904823834</v>
      </c>
      <c r="AB507" s="842">
        <f>AB497+AB502+AB504+AB505</f>
        <v>1283.7024653449894</v>
      </c>
      <c r="AC507" s="841">
        <f>AA507/I507-1</f>
        <v>3.5430119796724169E-2</v>
      </c>
      <c r="AD507" s="779"/>
      <c r="AF507" s="763"/>
      <c r="AI507" s="763"/>
      <c r="AK507" s="763"/>
      <c r="AM507" s="776"/>
    </row>
    <row r="508" spans="1:39">
      <c r="A508" s="4"/>
      <c r="B508" s="256"/>
      <c r="D508" s="256"/>
      <c r="E508" s="36"/>
      <c r="F508" s="256"/>
      <c r="G508" s="453"/>
      <c r="H508" s="256"/>
      <c r="I508" s="792"/>
      <c r="J508" s="750"/>
      <c r="K508" s="256"/>
      <c r="L508" s="762"/>
      <c r="M508" s="762"/>
      <c r="N508" s="762"/>
      <c r="O508" s="762"/>
      <c r="P508" s="762"/>
      <c r="Q508" s="762"/>
      <c r="R508" s="771"/>
      <c r="S508" s="771"/>
      <c r="T508" s="762"/>
      <c r="U508" s="762"/>
      <c r="V508" s="762"/>
      <c r="W508" s="762"/>
      <c r="X508" s="762"/>
      <c r="Y508" s="771"/>
      <c r="Z508" s="771"/>
      <c r="AA508" s="771"/>
      <c r="AB508" s="762"/>
      <c r="AC508" s="770"/>
      <c r="AD508" s="769"/>
      <c r="AF508" s="763"/>
      <c r="AI508" s="763"/>
      <c r="AK508" s="763"/>
      <c r="AM508" s="776"/>
    </row>
    <row r="509" spans="1:39">
      <c r="A509" s="4"/>
      <c r="B509" s="256"/>
      <c r="C509" s="7" t="s">
        <v>805</v>
      </c>
      <c r="D509" s="256"/>
      <c r="E509" s="742"/>
      <c r="F509" s="256"/>
      <c r="G509" s="453"/>
      <c r="H509" s="256"/>
      <c r="I509" s="792"/>
      <c r="J509" s="750"/>
      <c r="K509" s="256"/>
      <c r="L509" s="762"/>
      <c r="M509" s="762"/>
      <c r="N509" s="762"/>
      <c r="O509" s="762"/>
      <c r="P509" s="762"/>
      <c r="Q509" s="762"/>
      <c r="R509" s="771"/>
      <c r="S509" s="771"/>
      <c r="T509" s="762"/>
      <c r="U509" s="762"/>
      <c r="V509" s="762"/>
      <c r="W509" s="762"/>
      <c r="X509" s="762"/>
      <c r="Y509" s="771"/>
      <c r="Z509" s="771"/>
      <c r="AA509" s="771"/>
      <c r="AB509" s="762"/>
      <c r="AC509" s="770"/>
      <c r="AD509" s="769"/>
      <c r="AF509" s="763"/>
      <c r="AI509" s="763"/>
      <c r="AK509" s="763"/>
      <c r="AM509" s="776"/>
    </row>
    <row r="510" spans="1:39">
      <c r="A510" s="4">
        <v>240</v>
      </c>
      <c r="B510" s="256"/>
      <c r="C510" s="9" t="s">
        <v>806</v>
      </c>
      <c r="D510" s="256"/>
      <c r="E510" s="4" t="s">
        <v>704</v>
      </c>
      <c r="F510" s="256"/>
      <c r="G510" s="35">
        <v>36.000000000000014</v>
      </c>
      <c r="H510" s="256"/>
      <c r="I510" s="778">
        <v>755.88</v>
      </c>
      <c r="J510" s="750">
        <f>G510*I510/1000</f>
        <v>27.211680000000012</v>
      </c>
      <c r="K510" s="256"/>
      <c r="L510" s="35">
        <v>0</v>
      </c>
      <c r="M510" s="35">
        <v>0</v>
      </c>
      <c r="N510" s="35">
        <v>0</v>
      </c>
      <c r="O510" s="35">
        <v>0</v>
      </c>
      <c r="P510" s="35">
        <v>0</v>
      </c>
      <c r="Q510" s="762">
        <f>J510-L510-M510-N510-O510-P510</f>
        <v>27.211680000000012</v>
      </c>
      <c r="R510" s="771"/>
      <c r="S510" s="35">
        <v>0.73376775307204412</v>
      </c>
      <c r="T510" s="35">
        <v>0</v>
      </c>
      <c r="U510" s="35">
        <v>0</v>
      </c>
      <c r="V510" s="35">
        <v>0</v>
      </c>
      <c r="W510" s="35">
        <v>0</v>
      </c>
      <c r="X510" s="35">
        <v>0</v>
      </c>
      <c r="Y510" s="771"/>
      <c r="Z510" s="771">
        <f>Q510+S510+T510+U510+V510+W510+X510</f>
        <v>27.945447753072056</v>
      </c>
      <c r="AA510" s="778">
        <f>Z510/G510*1000</f>
        <v>776.26243758533451</v>
      </c>
      <c r="AB510" s="753">
        <f>Z510-J510</f>
        <v>0.73376775307204412</v>
      </c>
      <c r="AC510" s="770">
        <f>AA510/I510-1</f>
        <v>2.696517646363783E-2</v>
      </c>
      <c r="AD510" s="769"/>
      <c r="AF510" s="763"/>
      <c r="AI510" s="763"/>
      <c r="AK510" s="763"/>
      <c r="AM510" s="776"/>
    </row>
    <row r="511" spans="1:39">
      <c r="A511" s="4">
        <v>241</v>
      </c>
      <c r="B511" s="256"/>
      <c r="C511" s="519" t="s">
        <v>807</v>
      </c>
      <c r="D511" s="256"/>
      <c r="E511" s="513" t="s">
        <v>674</v>
      </c>
      <c r="F511" s="256"/>
      <c r="G511" s="35">
        <v>238.00964000000002</v>
      </c>
      <c r="H511" s="256"/>
      <c r="I511" s="772">
        <v>3.5886</v>
      </c>
      <c r="J511" s="750">
        <f>G511*I511/100</f>
        <v>8.5412139410400005</v>
      </c>
      <c r="K511" s="256"/>
      <c r="L511" s="35">
        <v>1.7641274516800001</v>
      </c>
      <c r="M511" s="35">
        <v>1.85773206127288</v>
      </c>
      <c r="N511" s="35">
        <v>2.9490087921875002E-2</v>
      </c>
      <c r="O511" s="35">
        <v>0.17679428565583963</v>
      </c>
      <c r="P511" s="35">
        <v>0.13488452849963448</v>
      </c>
      <c r="Q511" s="762">
        <f>J511-L511-M511-N511-O511-P511</f>
        <v>4.5781855260097704</v>
      </c>
      <c r="R511" s="771"/>
      <c r="S511" s="35">
        <v>0.12344788847479204</v>
      </c>
      <c r="T511" s="35">
        <v>1.2722303705276734</v>
      </c>
      <c r="U511" s="35">
        <v>1.8062332260397864</v>
      </c>
      <c r="V511" s="35">
        <v>2.7643228868748766E-2</v>
      </c>
      <c r="W511" s="35">
        <v>0.21717479108042784</v>
      </c>
      <c r="X511" s="35">
        <v>0.1350365545792197</v>
      </c>
      <c r="Y511" s="771"/>
      <c r="Z511" s="771">
        <f>Q511+S511+T511+U511+V511+W511+X511</f>
        <v>8.1599515855804192</v>
      </c>
      <c r="AA511" s="772">
        <v>3.271267647256467</v>
      </c>
      <c r="AB511" s="762">
        <f>Z511-J511</f>
        <v>-0.38126235545958131</v>
      </c>
      <c r="AC511" s="785">
        <f>AA511/I511-1</f>
        <v>-8.842789743731061E-2</v>
      </c>
      <c r="AD511" s="785"/>
      <c r="AF511" s="763"/>
      <c r="AI511" s="763"/>
      <c r="AK511" s="763"/>
      <c r="AM511" s="776"/>
    </row>
    <row r="512" spans="1:39">
      <c r="A512" s="4">
        <v>242</v>
      </c>
      <c r="B512" s="256"/>
      <c r="C512" s="9" t="s">
        <v>808</v>
      </c>
      <c r="D512" s="256"/>
      <c r="E512" s="513" t="s">
        <v>674</v>
      </c>
      <c r="F512" s="256"/>
      <c r="G512" s="35">
        <v>2278.64</v>
      </c>
      <c r="H512" s="256"/>
      <c r="I512" s="772">
        <v>3.7970999999999999</v>
      </c>
      <c r="J512" s="750">
        <f>G512*I512/100</f>
        <v>86.522239439999993</v>
      </c>
      <c r="K512" s="256"/>
      <c r="L512" s="35">
        <v>16.889279679999998</v>
      </c>
      <c r="M512" s="35">
        <v>17.785424926901428</v>
      </c>
      <c r="N512" s="35">
        <v>0</v>
      </c>
      <c r="O512" s="35">
        <v>0</v>
      </c>
      <c r="P512" s="35">
        <v>0</v>
      </c>
      <c r="Q512" s="762">
        <f>J512-L512-M512-N512-O512-P512</f>
        <v>51.847534833098564</v>
      </c>
      <c r="R512" s="771"/>
      <c r="S512" s="35">
        <v>1.3099673307934623</v>
      </c>
      <c r="T512" s="35">
        <v>12.179989900825769</v>
      </c>
      <c r="U512" s="35">
        <v>17.292388989720326</v>
      </c>
      <c r="V512" s="35">
        <v>0</v>
      </c>
      <c r="W512" s="35">
        <v>0</v>
      </c>
      <c r="X512" s="35">
        <v>0</v>
      </c>
      <c r="Y512" s="771"/>
      <c r="Z512" s="771">
        <f>Q512+S512+T512+U512+V512+W512+X512</f>
        <v>82.629881054438115</v>
      </c>
      <c r="AA512" s="792">
        <f>Z512/G512*100</f>
        <v>3.6262806346960517</v>
      </c>
      <c r="AB512" s="871">
        <f>Z512-J512</f>
        <v>-3.8923583855618773</v>
      </c>
      <c r="AC512" s="785">
        <f>AA512/I512-1</f>
        <v>-4.4986796582641597E-2</v>
      </c>
      <c r="AD512" s="785"/>
      <c r="AF512" s="763"/>
      <c r="AI512" s="763"/>
      <c r="AK512" s="763"/>
      <c r="AM512" s="776"/>
    </row>
    <row r="513" spans="1:39">
      <c r="A513" s="4"/>
      <c r="B513" s="256"/>
      <c r="C513" s="7"/>
      <c r="D513" s="256"/>
      <c r="E513" s="36"/>
      <c r="F513" s="256"/>
      <c r="G513" s="35"/>
      <c r="H513" s="256"/>
      <c r="I513" s="792"/>
      <c r="J513" s="750"/>
      <c r="K513" s="256"/>
      <c r="L513" s="762"/>
      <c r="M513" s="762"/>
      <c r="N513" s="762"/>
      <c r="O513" s="762"/>
      <c r="P513" s="762"/>
      <c r="Q513" s="762">
        <f>J513-L513-M513-N513-O513-P513</f>
        <v>0</v>
      </c>
      <c r="R513" s="771"/>
      <c r="S513" s="771"/>
      <c r="T513" s="762"/>
      <c r="U513" s="762"/>
      <c r="V513" s="762"/>
      <c r="W513" s="762"/>
      <c r="X513" s="762"/>
      <c r="Y513" s="771"/>
      <c r="Z513" s="771"/>
      <c r="AA513" s="771"/>
      <c r="AB513" s="762"/>
      <c r="AC513" s="770"/>
      <c r="AD513" s="769"/>
      <c r="AF513" s="763"/>
      <c r="AI513" s="763"/>
      <c r="AK513" s="763"/>
      <c r="AM513" s="776"/>
    </row>
    <row r="514" spans="1:39">
      <c r="A514" s="4">
        <v>243</v>
      </c>
      <c r="B514" s="256"/>
      <c r="C514" s="7" t="s">
        <v>809</v>
      </c>
      <c r="D514" s="256"/>
      <c r="E514" s="36"/>
      <c r="F514" s="256"/>
      <c r="G514" s="420">
        <f>G511</f>
        <v>238.00964000000002</v>
      </c>
      <c r="H514" s="256"/>
      <c r="I514" s="806">
        <f>J514/G514*100</f>
        <v>51.374025598727847</v>
      </c>
      <c r="J514" s="808">
        <f>J510+J511+J512</f>
        <v>122.27513338104001</v>
      </c>
      <c r="K514" s="256"/>
      <c r="L514" s="805">
        <f t="shared" ref="L514:Q514" si="149">SUM(L510:L513)</f>
        <v>18.653407131679998</v>
      </c>
      <c r="M514" s="805">
        <f t="shared" si="149"/>
        <v>19.643156988174308</v>
      </c>
      <c r="N514" s="805">
        <f t="shared" si="149"/>
        <v>2.9490087921875002E-2</v>
      </c>
      <c r="O514" s="805">
        <f t="shared" si="149"/>
        <v>0.17679428565583963</v>
      </c>
      <c r="P514" s="805">
        <f t="shared" si="149"/>
        <v>0.13488452849963448</v>
      </c>
      <c r="Q514" s="805">
        <f t="shared" si="149"/>
        <v>83.637400359108341</v>
      </c>
      <c r="R514" s="771"/>
      <c r="S514" s="807">
        <f t="shared" ref="S514:X514" si="150">SUM(S510:S513)</f>
        <v>2.1671829723402984</v>
      </c>
      <c r="T514" s="807">
        <f t="shared" si="150"/>
        <v>13.452220271353442</v>
      </c>
      <c r="U514" s="807">
        <f t="shared" si="150"/>
        <v>19.098622215760113</v>
      </c>
      <c r="V514" s="807">
        <f t="shared" si="150"/>
        <v>2.7643228868748766E-2</v>
      </c>
      <c r="W514" s="807">
        <f t="shared" si="150"/>
        <v>0.21717479108042784</v>
      </c>
      <c r="X514" s="807">
        <f t="shared" si="150"/>
        <v>0.1350365545792197</v>
      </c>
      <c r="Y514" s="771"/>
      <c r="Z514" s="807">
        <f>SUM(Z510:Z513)</f>
        <v>118.73528039309059</v>
      </c>
      <c r="AA514" s="806">
        <f>Z514/G514*100</f>
        <v>49.886752651317224</v>
      </c>
      <c r="AB514" s="805">
        <f>SUM(AB510:AB513)</f>
        <v>-3.5398529879494145</v>
      </c>
      <c r="AC514" s="816">
        <f>AA514/I514-1</f>
        <v>-2.8949900851208632E-2</v>
      </c>
      <c r="AD514" s="785"/>
      <c r="AF514" s="763"/>
      <c r="AI514" s="763"/>
      <c r="AK514" s="763"/>
      <c r="AM514" s="776"/>
    </row>
    <row r="515" spans="1:39">
      <c r="A515" s="4"/>
      <c r="B515" s="256"/>
      <c r="D515" s="256"/>
      <c r="E515" s="36"/>
      <c r="F515" s="256"/>
      <c r="G515" s="453"/>
      <c r="H515" s="256"/>
      <c r="I515" s="792"/>
      <c r="J515" s="750"/>
      <c r="K515" s="256"/>
      <c r="L515" s="762"/>
      <c r="M515" s="762"/>
      <c r="N515" s="762"/>
      <c r="O515" s="762"/>
      <c r="P515" s="762"/>
      <c r="Q515" s="762"/>
      <c r="R515" s="771"/>
      <c r="S515" s="771"/>
      <c r="T515" s="762"/>
      <c r="U515" s="762"/>
      <c r="V515" s="762"/>
      <c r="W515" s="762"/>
      <c r="X515" s="762"/>
      <c r="Y515" s="771"/>
      <c r="Z515" s="771"/>
      <c r="AA515" s="771"/>
      <c r="AB515" s="762"/>
      <c r="AC515" s="770"/>
      <c r="AD515" s="769"/>
      <c r="AI515" s="763"/>
      <c r="AK515" s="763"/>
      <c r="AM515" s="776"/>
    </row>
    <row r="516" spans="1:39">
      <c r="A516" s="4">
        <v>244</v>
      </c>
      <c r="B516" s="256"/>
      <c r="C516" s="7" t="s">
        <v>810</v>
      </c>
      <c r="D516" s="256"/>
      <c r="E516" s="513" t="s">
        <v>674</v>
      </c>
      <c r="F516" s="256"/>
      <c r="G516" s="35">
        <v>16020.952840000002</v>
      </c>
      <c r="H516" s="256"/>
      <c r="I516" s="772">
        <v>0.20849999999999999</v>
      </c>
      <c r="J516" s="750">
        <f>G516*I516/100</f>
        <v>33.403686671400003</v>
      </c>
      <c r="K516" s="256"/>
      <c r="L516" s="35">
        <v>0</v>
      </c>
      <c r="M516" s="35">
        <v>0</v>
      </c>
      <c r="N516" s="35">
        <v>0</v>
      </c>
      <c r="O516" s="35">
        <v>0</v>
      </c>
      <c r="P516" s="35">
        <v>0</v>
      </c>
      <c r="Q516" s="762">
        <f>J516-L516-M516-N516-O516-P516</f>
        <v>33.403686671400003</v>
      </c>
      <c r="R516" s="771"/>
      <c r="S516" s="35">
        <v>0.90073630563036744</v>
      </c>
      <c r="T516" s="35">
        <v>0</v>
      </c>
      <c r="U516" s="35">
        <v>0</v>
      </c>
      <c r="V516" s="35">
        <v>0</v>
      </c>
      <c r="W516" s="35">
        <v>0</v>
      </c>
      <c r="X516" s="35">
        <v>0</v>
      </c>
      <c r="Y516" s="771"/>
      <c r="Z516" s="771">
        <f>Q516+S516+T516+U516+V516+W516+X516</f>
        <v>34.30442297703037</v>
      </c>
      <c r="AA516" s="792">
        <f>Z516/G516*100</f>
        <v>0.21412223929266846</v>
      </c>
      <c r="AB516" s="753">
        <f>Z516-J516</f>
        <v>0.90073630563036744</v>
      </c>
      <c r="AC516" s="770">
        <f>AA516/I516-1</f>
        <v>2.696517646363783E-2</v>
      </c>
      <c r="AD516" s="769"/>
      <c r="AF516" s="763"/>
      <c r="AI516" s="763"/>
      <c r="AK516" s="763"/>
      <c r="AM516" s="776"/>
    </row>
    <row r="517" spans="1:39">
      <c r="A517" s="4">
        <v>245</v>
      </c>
      <c r="B517" s="256"/>
      <c r="C517" s="7" t="s">
        <v>715</v>
      </c>
      <c r="D517" s="256"/>
      <c r="E517" s="513" t="s">
        <v>674</v>
      </c>
      <c r="F517" s="256"/>
      <c r="G517" s="35">
        <v>59361.556339999981</v>
      </c>
      <c r="H517" s="256"/>
      <c r="I517" s="772">
        <v>20.538400000000003</v>
      </c>
      <c r="J517" s="750">
        <f>G517*I517/100</f>
        <v>12191.913887334556</v>
      </c>
      <c r="K517" s="256"/>
      <c r="L517" s="35">
        <v>0</v>
      </c>
      <c r="M517" s="35">
        <v>0</v>
      </c>
      <c r="N517" s="35">
        <v>0</v>
      </c>
      <c r="O517" s="35">
        <v>0</v>
      </c>
      <c r="P517" s="35">
        <v>0</v>
      </c>
      <c r="Q517" s="762">
        <f>J517-L517-M517-N517-O517-P517</f>
        <v>12191.913887334556</v>
      </c>
      <c r="R517" s="771"/>
      <c r="S517" s="35">
        <v>-1.1829134881377001</v>
      </c>
      <c r="T517" s="35">
        <v>0</v>
      </c>
      <c r="U517" s="35">
        <v>0</v>
      </c>
      <c r="V517" s="35">
        <v>0</v>
      </c>
      <c r="W517" s="35">
        <v>0</v>
      </c>
      <c r="X517" s="35">
        <v>0</v>
      </c>
      <c r="Y517" s="771"/>
      <c r="Z517" s="771">
        <f>Q517+S517+T517+U517+V517+W517+X517</f>
        <v>12190.730973846419</v>
      </c>
      <c r="AA517" s="792">
        <f>Z517/G517*100</f>
        <v>20.536407273459339</v>
      </c>
      <c r="AB517" s="871">
        <f>Z517-J517</f>
        <v>-1.1829134881372738</v>
      </c>
      <c r="AC517" s="770">
        <f>AA517/I517-1</f>
        <v>-9.7024429393854916E-5</v>
      </c>
      <c r="AD517" s="769"/>
      <c r="AF517" s="763"/>
      <c r="AI517" s="763"/>
      <c r="AK517" s="763"/>
      <c r="AM517" s="776"/>
    </row>
    <row r="518" spans="1:39">
      <c r="A518" s="4"/>
      <c r="B518" s="256"/>
      <c r="C518" s="7"/>
      <c r="D518" s="256"/>
      <c r="E518" s="742"/>
      <c r="F518" s="256"/>
      <c r="G518" s="453"/>
      <c r="H518" s="256"/>
      <c r="I518" s="772"/>
      <c r="J518" s="750"/>
      <c r="K518" s="256"/>
      <c r="L518" s="762"/>
      <c r="M518" s="762"/>
      <c r="N518" s="762"/>
      <c r="O518" s="762"/>
      <c r="P518" s="762"/>
      <c r="Q518" s="762"/>
      <c r="R518" s="771"/>
      <c r="S518" s="771"/>
      <c r="T518" s="762"/>
      <c r="U518" s="762"/>
      <c r="V518" s="762"/>
      <c r="W518" s="762"/>
      <c r="X518" s="762"/>
      <c r="Y518" s="771"/>
      <c r="Z518" s="771"/>
      <c r="AA518" s="792"/>
      <c r="AB518" s="762"/>
      <c r="AC518" s="840"/>
      <c r="AD518" s="769"/>
      <c r="AF518" s="763"/>
      <c r="AI518" s="763"/>
      <c r="AK518" s="763"/>
      <c r="AM518" s="776"/>
    </row>
    <row r="519" spans="1:39" ht="13.5" thickBot="1">
      <c r="A519" s="4">
        <v>246</v>
      </c>
      <c r="B519" s="256"/>
      <c r="C519" s="7" t="s">
        <v>811</v>
      </c>
      <c r="D519" s="256"/>
      <c r="E519" s="36"/>
      <c r="F519" s="256"/>
      <c r="G519" s="458">
        <f>G507+G514</f>
        <v>592622.98499999964</v>
      </c>
      <c r="H519" s="256"/>
      <c r="I519" s="803">
        <f>J519/G519*100</f>
        <v>8.1973780609510758</v>
      </c>
      <c r="J519" s="756">
        <f>J507+J514+J516+J517</f>
        <v>48579.546556543355</v>
      </c>
      <c r="K519" s="750"/>
      <c r="L519" s="781">
        <f t="shared" ref="L519:Q519" si="151">L507+L514+L516+L517</f>
        <v>5157.8186822260795</v>
      </c>
      <c r="M519" s="781">
        <f t="shared" si="151"/>
        <v>407.9442644714328</v>
      </c>
      <c r="N519" s="781">
        <f t="shared" si="151"/>
        <v>118.18766861766194</v>
      </c>
      <c r="O519" s="781">
        <f t="shared" si="151"/>
        <v>563.35125717319295</v>
      </c>
      <c r="P519" s="781">
        <f t="shared" si="151"/>
        <v>650.01899891327685</v>
      </c>
      <c r="Q519" s="781">
        <f t="shared" si="151"/>
        <v>41682.225685141711</v>
      </c>
      <c r="R519" s="771"/>
      <c r="S519" s="781">
        <f t="shared" ref="S519:X519" si="152">S507+S514+S516+S517</f>
        <v>791.65020089495863</v>
      </c>
      <c r="T519" s="781">
        <f t="shared" si="152"/>
        <v>5535.3551001856013</v>
      </c>
      <c r="U519" s="781">
        <f t="shared" si="152"/>
        <v>396.63549993091812</v>
      </c>
      <c r="V519" s="781">
        <f t="shared" si="152"/>
        <v>110.78599635636968</v>
      </c>
      <c r="W519" s="781">
        <f t="shared" si="152"/>
        <v>692.02288483266614</v>
      </c>
      <c r="X519" s="781">
        <f t="shared" si="152"/>
        <v>650.75162437566246</v>
      </c>
      <c r="Y519" s="771"/>
      <c r="Z519" s="781">
        <f>Z507+Z514+Z516+Z517</f>
        <v>49859.42699171789</v>
      </c>
      <c r="AA519" s="803">
        <f>Z519/G519*100</f>
        <v>8.4133468079571578</v>
      </c>
      <c r="AB519" s="839">
        <f>AB507+AB514+AB516+AB517</f>
        <v>1279.880435174533</v>
      </c>
      <c r="AC519" s="798">
        <f>AA519/I519-1</f>
        <v>2.6346076196591239E-2</v>
      </c>
      <c r="AD519" s="769"/>
      <c r="AF519" s="763"/>
      <c r="AI519" s="763"/>
      <c r="AK519" s="763"/>
      <c r="AM519" s="776"/>
    </row>
    <row r="520" spans="1:39" ht="13.5" thickTop="1">
      <c r="L520" s="2"/>
      <c r="M520" s="2"/>
      <c r="N520" s="2"/>
      <c r="O520" s="2"/>
      <c r="P520" s="504"/>
      <c r="Q520" s="504"/>
      <c r="T520" s="504"/>
      <c r="U520" s="504"/>
      <c r="V520" s="504"/>
      <c r="W520" s="504"/>
      <c r="X520" s="504"/>
      <c r="AB520" s="762"/>
      <c r="AC520" s="504"/>
      <c r="AF520" s="763"/>
      <c r="AI520" s="763"/>
      <c r="AK520" s="763"/>
      <c r="AM520" s="776"/>
    </row>
    <row r="521" spans="1:39">
      <c r="L521" s="2"/>
      <c r="M521" s="2"/>
      <c r="N521" s="2"/>
      <c r="O521" s="2"/>
      <c r="P521" s="504"/>
      <c r="Q521" s="504"/>
      <c r="T521" s="504"/>
      <c r="U521" s="504"/>
      <c r="V521" s="504"/>
      <c r="W521" s="504"/>
      <c r="X521" s="504"/>
      <c r="AB521" s="504"/>
      <c r="AC521" s="504"/>
      <c r="AF521" s="763"/>
      <c r="AI521" s="763"/>
      <c r="AK521" s="763"/>
      <c r="AM521" s="776"/>
    </row>
    <row r="522" spans="1:39">
      <c r="L522" s="2"/>
      <c r="M522" s="2"/>
      <c r="N522" s="2"/>
      <c r="O522" s="2"/>
      <c r="P522" s="504"/>
      <c r="Q522" s="504"/>
      <c r="T522" s="504"/>
      <c r="U522" s="504"/>
      <c r="V522" s="504"/>
      <c r="W522" s="504"/>
      <c r="X522" s="504"/>
      <c r="AB522" s="504"/>
      <c r="AC522" s="504"/>
      <c r="AF522" s="763"/>
      <c r="AI522" s="763"/>
      <c r="AK522" s="763"/>
      <c r="AM522" s="776"/>
    </row>
    <row r="523" spans="1:39">
      <c r="L523" s="2"/>
      <c r="M523" s="2"/>
      <c r="N523" s="2"/>
      <c r="O523" s="2"/>
      <c r="P523" s="504"/>
      <c r="Q523" s="504"/>
      <c r="T523" s="504"/>
      <c r="U523" s="504"/>
      <c r="V523" s="504"/>
      <c r="W523" s="504"/>
      <c r="X523" s="504"/>
      <c r="AB523" s="504"/>
      <c r="AC523" s="504"/>
      <c r="AF523" s="763"/>
      <c r="AI523" s="763"/>
      <c r="AK523" s="763"/>
      <c r="AM523" s="776"/>
    </row>
    <row r="524" spans="1:39">
      <c r="L524" s="2"/>
      <c r="M524" s="2"/>
      <c r="N524" s="2"/>
      <c r="O524" s="2"/>
      <c r="P524" s="504"/>
      <c r="Q524" s="504"/>
      <c r="T524" s="504"/>
      <c r="U524" s="504"/>
      <c r="V524" s="504"/>
      <c r="W524" s="504"/>
      <c r="X524" s="504"/>
      <c r="AB524" s="504"/>
      <c r="AC524" s="504"/>
      <c r="AF524" s="763"/>
      <c r="AI524" s="763"/>
      <c r="AK524" s="763"/>
      <c r="AM524" s="776"/>
    </row>
    <row r="525" spans="1:39">
      <c r="A525" s="1324" t="s">
        <v>724</v>
      </c>
      <c r="B525" s="1324"/>
      <c r="C525" s="1324"/>
      <c r="D525" s="1324"/>
      <c r="E525" s="1324"/>
      <c r="F525" s="1324"/>
      <c r="G525" s="1324"/>
      <c r="H525" s="1324"/>
      <c r="I525" s="1324"/>
      <c r="J525" s="1324"/>
      <c r="K525" s="1324"/>
      <c r="L525" s="1324"/>
      <c r="M525" s="1324"/>
      <c r="N525" s="1324"/>
      <c r="O525" s="1324"/>
      <c r="P525" s="1324"/>
      <c r="Q525" s="1324"/>
      <c r="R525" s="1324"/>
      <c r="S525" s="1324"/>
      <c r="T525" s="1324"/>
      <c r="U525" s="1324"/>
      <c r="V525" s="1324"/>
      <c r="W525" s="1324"/>
      <c r="X525" s="1324"/>
      <c r="Y525" s="1324"/>
      <c r="Z525" s="1324"/>
      <c r="AA525" s="1324"/>
      <c r="AB525" s="1324"/>
      <c r="AC525" s="1324"/>
      <c r="AD525" s="665"/>
      <c r="AF525" s="763"/>
      <c r="AI525" s="763"/>
      <c r="AK525" s="763"/>
      <c r="AM525" s="776"/>
    </row>
    <row r="526" spans="1:39">
      <c r="A526" s="385"/>
      <c r="B526" s="385"/>
      <c r="C526" s="385"/>
      <c r="D526" s="385"/>
      <c r="E526" s="447"/>
      <c r="F526" s="385"/>
      <c r="G526" s="447"/>
      <c r="H526" s="385"/>
      <c r="I526" s="385"/>
      <c r="J526" s="385"/>
      <c r="K526" s="385"/>
      <c r="L526" s="385"/>
      <c r="M526" s="385"/>
      <c r="N526" s="3"/>
      <c r="O526" s="3"/>
      <c r="P526" s="504"/>
      <c r="Q526" s="504"/>
      <c r="R526" s="385"/>
      <c r="S526" s="385"/>
      <c r="T526" s="504"/>
      <c r="U526" s="504"/>
      <c r="V526" s="504"/>
      <c r="W526" s="504"/>
      <c r="X526" s="504"/>
      <c r="Y526" s="385"/>
      <c r="Z526" s="385"/>
      <c r="AA526" s="385"/>
      <c r="AB526" s="504"/>
      <c r="AC526" s="504"/>
      <c r="AF526" s="763"/>
      <c r="AI526" s="763"/>
      <c r="AK526" s="763"/>
      <c r="AM526" s="776"/>
    </row>
    <row r="527" spans="1:39">
      <c r="A527" s="447"/>
      <c r="B527" s="447"/>
      <c r="C527" s="447"/>
      <c r="D527" s="447"/>
      <c r="E527" s="385"/>
      <c r="F527" s="447"/>
      <c r="G527" s="1313" t="str">
        <f>G8</f>
        <v>Current Approved Revenue</v>
      </c>
      <c r="H527" s="1313"/>
      <c r="I527" s="1313"/>
      <c r="J527" s="1313"/>
      <c r="K527" s="447"/>
      <c r="L527" s="1313" t="str">
        <f>L8</f>
        <v>Adjustments to 2023 Base Rates</v>
      </c>
      <c r="M527" s="1313"/>
      <c r="N527" s="1313"/>
      <c r="O527" s="1313"/>
      <c r="P527" s="1313"/>
      <c r="Q527" s="256"/>
      <c r="R527" s="447"/>
      <c r="S527" s="1313" t="str">
        <f>S8</f>
        <v>Adjustments to 2024 Base Rates</v>
      </c>
      <c r="T527" s="1313"/>
      <c r="U527" s="1313"/>
      <c r="V527" s="1313"/>
      <c r="W527" s="1313"/>
      <c r="X527" s="1313"/>
      <c r="Y527" s="447"/>
      <c r="Z527" s="1313" t="str">
        <f>Z8</f>
        <v>2024 Proposed Revenue</v>
      </c>
      <c r="AA527" s="1313"/>
      <c r="AB527" s="1313"/>
      <c r="AC527" s="1313"/>
      <c r="AD527" s="4"/>
      <c r="AF527" s="763"/>
      <c r="AI527" s="763"/>
      <c r="AK527" s="763"/>
      <c r="AM527" s="776"/>
    </row>
    <row r="528" spans="1:39" ht="38.25">
      <c r="A528" s="254" t="s">
        <v>1</v>
      </c>
      <c r="B528" s="254"/>
      <c r="C528" s="254"/>
      <c r="D528" s="254"/>
      <c r="E528" s="4" t="s">
        <v>670</v>
      </c>
      <c r="F528" s="254"/>
      <c r="G528" s="13" t="s">
        <v>684</v>
      </c>
      <c r="H528" s="254"/>
      <c r="I528" s="13" t="s">
        <v>196</v>
      </c>
      <c r="J528" s="13" t="s">
        <v>503</v>
      </c>
      <c r="K528" s="254"/>
      <c r="L528" s="13" t="s">
        <v>505</v>
      </c>
      <c r="M528" s="13" t="s">
        <v>685</v>
      </c>
      <c r="N528" s="254" t="s">
        <v>686</v>
      </c>
      <c r="O528" s="254" t="s">
        <v>508</v>
      </c>
      <c r="P528" s="254" t="s">
        <v>687</v>
      </c>
      <c r="Q528" s="254" t="s">
        <v>688</v>
      </c>
      <c r="R528" s="254"/>
      <c r="S528" s="254" t="s">
        <v>689</v>
      </c>
      <c r="T528" s="13" t="s">
        <v>505</v>
      </c>
      <c r="U528" s="13" t="s">
        <v>685</v>
      </c>
      <c r="V528" s="254" t="s">
        <v>686</v>
      </c>
      <c r="W528" s="254" t="s">
        <v>508</v>
      </c>
      <c r="X528" s="254" t="s">
        <v>687</v>
      </c>
      <c r="Y528" s="254"/>
      <c r="Z528" s="13" t="s">
        <v>690</v>
      </c>
      <c r="AA528" s="13" t="s">
        <v>691</v>
      </c>
      <c r="AB528" s="13" t="s">
        <v>692</v>
      </c>
      <c r="AC528" s="254" t="s">
        <v>693</v>
      </c>
      <c r="AD528" s="254"/>
      <c r="AF528" s="763"/>
      <c r="AI528" s="763"/>
      <c r="AK528" s="763"/>
      <c r="AM528" s="776"/>
    </row>
    <row r="529" spans="1:39" ht="14.25">
      <c r="A529" s="255" t="s">
        <v>2</v>
      </c>
      <c r="B529" s="256"/>
      <c r="C529" s="449" t="s">
        <v>3</v>
      </c>
      <c r="D529" s="256"/>
      <c r="E529" s="255" t="s">
        <v>4</v>
      </c>
      <c r="F529" s="256"/>
      <c r="G529" s="255" t="s">
        <v>694</v>
      </c>
      <c r="H529" s="256"/>
      <c r="I529" s="255" t="s">
        <v>77</v>
      </c>
      <c r="J529" s="255" t="s">
        <v>20</v>
      </c>
      <c r="K529" s="256"/>
      <c r="L529" s="255" t="s">
        <v>20</v>
      </c>
      <c r="M529" s="255" t="s">
        <v>20</v>
      </c>
      <c r="N529" s="255" t="s">
        <v>20</v>
      </c>
      <c r="O529" s="255" t="s">
        <v>20</v>
      </c>
      <c r="P529" s="255" t="s">
        <v>20</v>
      </c>
      <c r="Q529" s="255" t="s">
        <v>20</v>
      </c>
      <c r="R529" s="256"/>
      <c r="S529" s="255" t="s">
        <v>20</v>
      </c>
      <c r="T529" s="255" t="s">
        <v>20</v>
      </c>
      <c r="U529" s="255" t="s">
        <v>20</v>
      </c>
      <c r="V529" s="255" t="s">
        <v>20</v>
      </c>
      <c r="W529" s="255" t="s">
        <v>20</v>
      </c>
      <c r="X529" s="255" t="s">
        <v>20</v>
      </c>
      <c r="Y529" s="256"/>
      <c r="Z529" s="255" t="s">
        <v>20</v>
      </c>
      <c r="AA529" s="255" t="s">
        <v>77</v>
      </c>
      <c r="AB529" s="255" t="s">
        <v>20</v>
      </c>
      <c r="AC529" s="255" t="s">
        <v>76</v>
      </c>
      <c r="AD529" s="4"/>
      <c r="AF529" s="763"/>
      <c r="AI529" s="763"/>
      <c r="AK529" s="763"/>
      <c r="AM529" s="776"/>
    </row>
    <row r="530" spans="1:39">
      <c r="A530" s="4"/>
      <c r="B530" s="256"/>
      <c r="C530" s="256"/>
      <c r="D530" s="256"/>
      <c r="E530" s="4"/>
      <c r="F530" s="256"/>
      <c r="G530" s="4" t="s">
        <v>8</v>
      </c>
      <c r="H530" s="4"/>
      <c r="I530" s="4" t="s">
        <v>9</v>
      </c>
      <c r="J530" s="4" t="s">
        <v>370</v>
      </c>
      <c r="K530" s="4"/>
      <c r="L530" s="132" t="s">
        <v>79</v>
      </c>
      <c r="M530" s="132" t="s">
        <v>115</v>
      </c>
      <c r="N530" s="132" t="s">
        <v>81</v>
      </c>
      <c r="O530" s="132" t="s">
        <v>82</v>
      </c>
      <c r="P530" s="4" t="s">
        <v>118</v>
      </c>
      <c r="Q530" s="4" t="s">
        <v>695</v>
      </c>
      <c r="R530" s="4"/>
      <c r="S530" s="4" t="s">
        <v>696</v>
      </c>
      <c r="T530" s="4" t="s">
        <v>517</v>
      </c>
      <c r="U530" s="4" t="s">
        <v>518</v>
      </c>
      <c r="V530" s="4" t="s">
        <v>519</v>
      </c>
      <c r="W530" s="4" t="s">
        <v>697</v>
      </c>
      <c r="X530" s="4" t="s">
        <v>698</v>
      </c>
      <c r="Y530" s="4"/>
      <c r="Z530" s="4" t="s">
        <v>725</v>
      </c>
      <c r="AA530" s="4" t="s">
        <v>700</v>
      </c>
      <c r="AB530" s="4" t="s">
        <v>701</v>
      </c>
      <c r="AC530" s="4" t="s">
        <v>702</v>
      </c>
      <c r="AD530" s="4"/>
      <c r="AF530" s="763"/>
      <c r="AI530" s="763"/>
      <c r="AK530" s="763"/>
      <c r="AM530" s="776"/>
    </row>
    <row r="531" spans="1:39">
      <c r="E531" s="1"/>
      <c r="J531" s="752"/>
      <c r="L531" s="762"/>
      <c r="M531" s="762"/>
      <c r="N531" s="762"/>
      <c r="O531" s="762"/>
      <c r="P531" s="762"/>
      <c r="Q531" s="762"/>
      <c r="R531" s="68"/>
      <c r="S531" s="68"/>
      <c r="T531" s="762"/>
      <c r="U531" s="762"/>
      <c r="V531" s="762"/>
      <c r="W531" s="762"/>
      <c r="X531" s="762"/>
      <c r="Y531" s="68"/>
      <c r="Z531" s="68"/>
      <c r="AA531" s="68"/>
      <c r="AB531" s="762"/>
      <c r="AC531" s="770"/>
      <c r="AD531" s="769"/>
    </row>
    <row r="532" spans="1:39">
      <c r="A532" s="734"/>
      <c r="B532" s="734"/>
      <c r="C532" s="6" t="s">
        <v>181</v>
      </c>
      <c r="D532" s="734"/>
      <c r="E532" s="444"/>
      <c r="F532" s="734"/>
      <c r="G532" s="734"/>
      <c r="H532" s="734"/>
      <c r="I532" s="734"/>
      <c r="J532" s="838"/>
      <c r="K532" s="734"/>
      <c r="L532" s="762"/>
      <c r="M532" s="762"/>
      <c r="N532" s="762"/>
      <c r="O532" s="762"/>
      <c r="P532" s="762"/>
      <c r="Q532" s="762"/>
      <c r="R532" s="790"/>
      <c r="S532" s="790"/>
      <c r="T532" s="762"/>
      <c r="U532" s="762"/>
      <c r="V532" s="762"/>
      <c r="W532" s="762"/>
      <c r="X532" s="762"/>
      <c r="Y532" s="790"/>
      <c r="Z532" s="790"/>
      <c r="AA532" s="790"/>
      <c r="AB532" s="762"/>
      <c r="AC532" s="834"/>
      <c r="AD532" s="833"/>
    </row>
    <row r="533" spans="1:39">
      <c r="A533" s="256">
        <v>247</v>
      </c>
      <c r="B533" s="256"/>
      <c r="C533" s="7" t="s">
        <v>703</v>
      </c>
      <c r="D533" s="385"/>
      <c r="E533" s="4" t="s">
        <v>704</v>
      </c>
      <c r="F533" s="385"/>
      <c r="G533" s="35">
        <v>456.0000000000021</v>
      </c>
      <c r="H533" s="385"/>
      <c r="I533" s="778">
        <v>755.88</v>
      </c>
      <c r="J533" s="818">
        <f>G533*I533/1000</f>
        <v>344.68128000000161</v>
      </c>
      <c r="K533" s="385"/>
      <c r="L533" s="35">
        <v>0</v>
      </c>
      <c r="M533" s="825">
        <v>0</v>
      </c>
      <c r="N533" s="825">
        <v>0</v>
      </c>
      <c r="O533" s="825">
        <v>0</v>
      </c>
      <c r="P533" s="825">
        <v>0</v>
      </c>
      <c r="Q533" s="762">
        <f>J533-L533-M533-N533-O533-P533</f>
        <v>344.68128000000161</v>
      </c>
      <c r="R533" s="789"/>
      <c r="S533" s="35">
        <v>9.2943915389125777</v>
      </c>
      <c r="T533" s="35">
        <v>0</v>
      </c>
      <c r="U533" s="825">
        <v>0</v>
      </c>
      <c r="V533" s="825">
        <v>0</v>
      </c>
      <c r="W533" s="825">
        <v>0</v>
      </c>
      <c r="X533" s="825">
        <v>0</v>
      </c>
      <c r="Y533" s="789"/>
      <c r="Z533" s="453">
        <f>Q533+S533+T533+U533+V533+W533+X533</f>
        <v>353.97567153891418</v>
      </c>
      <c r="AA533" s="778">
        <f>Z533/G533*1000</f>
        <v>776.26243758533451</v>
      </c>
      <c r="AB533" s="762">
        <f>Z533-J533</f>
        <v>9.2943915389125777</v>
      </c>
      <c r="AC533" s="834">
        <f>AA533/I533-1</f>
        <v>2.696517646363783E-2</v>
      </c>
      <c r="AD533" s="833"/>
      <c r="AF533" s="763"/>
      <c r="AI533" s="763"/>
      <c r="AK533" s="763"/>
      <c r="AM533" s="776"/>
    </row>
    <row r="534" spans="1:39">
      <c r="A534" s="256">
        <v>248</v>
      </c>
      <c r="B534" s="256"/>
      <c r="C534" s="512" t="s">
        <v>812</v>
      </c>
      <c r="D534" s="447"/>
      <c r="E534" s="513" t="s">
        <v>674</v>
      </c>
      <c r="F534" s="447"/>
      <c r="G534" s="35">
        <v>55087.023449999993</v>
      </c>
      <c r="H534" s="447"/>
      <c r="I534" s="772">
        <v>3.4476824540554114</v>
      </c>
      <c r="J534" s="818">
        <f>G534*I534/100</f>
        <v>1899.2256419470398</v>
      </c>
      <c r="K534" s="447"/>
      <c r="L534" s="35">
        <v>408.30501781139998</v>
      </c>
      <c r="M534" s="35">
        <v>429.96968367817351</v>
      </c>
      <c r="N534" s="35">
        <v>6.8254427211220925</v>
      </c>
      <c r="O534" s="35">
        <v>40.918808833748216</v>
      </c>
      <c r="P534" s="35">
        <v>31.218849726009235</v>
      </c>
      <c r="Q534" s="762">
        <f>J534-L534-M534-N534-O534-P534</f>
        <v>981.98783917658693</v>
      </c>
      <c r="R534" s="787"/>
      <c r="S534" s="35">
        <v>26.478620832759702</v>
      </c>
      <c r="T534" s="35">
        <v>294.45607436345904</v>
      </c>
      <c r="U534" s="35">
        <v>418.05034484747262</v>
      </c>
      <c r="V534" s="35">
        <v>6.3979895811215028</v>
      </c>
      <c r="W534" s="35">
        <v>50.264824605408322</v>
      </c>
      <c r="X534" s="35">
        <v>31.254035965571312</v>
      </c>
      <c r="Y534" s="787"/>
      <c r="Z534" s="453">
        <f>Q534+S534+T534+U534+V534+W534+X534</f>
        <v>1808.8897293723796</v>
      </c>
      <c r="AA534" s="772">
        <v>3.271267647256467</v>
      </c>
      <c r="AB534" s="762">
        <f>Z534-J534</f>
        <v>-90.335912574660142</v>
      </c>
      <c r="AC534" s="785">
        <f>AA534/I534-1</f>
        <v>-5.1169099576277022E-2</v>
      </c>
      <c r="AD534" s="785"/>
      <c r="AF534" s="763"/>
      <c r="AI534" s="763"/>
      <c r="AK534" s="763"/>
      <c r="AM534" s="776"/>
    </row>
    <row r="535" spans="1:39">
      <c r="A535" s="256">
        <v>249</v>
      </c>
      <c r="B535" s="837"/>
      <c r="C535" s="512" t="s">
        <v>813</v>
      </c>
      <c r="D535" s="254"/>
      <c r="E535" s="513" t="s">
        <v>674</v>
      </c>
      <c r="F535" s="254"/>
      <c r="G535" s="35">
        <v>4252.9598999999998</v>
      </c>
      <c r="H535" s="254"/>
      <c r="I535" s="772">
        <v>3.7970999999999999</v>
      </c>
      <c r="J535" s="818">
        <f>G535*I535/100</f>
        <v>161.4891403629</v>
      </c>
      <c r="K535" s="254"/>
      <c r="L535" s="35">
        <v>31.522938778799997</v>
      </c>
      <c r="M535" s="35">
        <v>33.195546035605531</v>
      </c>
      <c r="N535" s="35">
        <v>0.52695412412374854</v>
      </c>
      <c r="O535" s="35">
        <v>3.1591115697810852</v>
      </c>
      <c r="P535" s="35">
        <v>2.410232168912791</v>
      </c>
      <c r="Q535" s="762">
        <f>J535-L535-M535-N535-O535-P535</f>
        <v>90.674357685676867</v>
      </c>
      <c r="R535" s="786"/>
      <c r="S535" s="35">
        <v>2.4449840818096078</v>
      </c>
      <c r="T535" s="35">
        <v>22.733300842000922</v>
      </c>
      <c r="U535" s="35">
        <v>32.275320782783609</v>
      </c>
      <c r="V535" s="35">
        <v>0.49395286630117513</v>
      </c>
      <c r="W535" s="35">
        <v>3.8806649922076151</v>
      </c>
      <c r="X535" s="35">
        <v>2.4129487009836361</v>
      </c>
      <c r="Y535" s="786"/>
      <c r="Z535" s="453">
        <f>Q535+S535+T535+U535+V535+W535+X535</f>
        <v>154.91552995176343</v>
      </c>
      <c r="AA535" s="792">
        <f>Z535/G535*100</f>
        <v>3.6425344605709413</v>
      </c>
      <c r="AB535" s="762">
        <f>Z535-J535</f>
        <v>-6.5736104111365705</v>
      </c>
      <c r="AC535" s="785">
        <f>AA535/I535-1</f>
        <v>-4.0706207218418999E-2</v>
      </c>
      <c r="AD535" s="785"/>
      <c r="AF535" s="763"/>
      <c r="AI535" s="763"/>
      <c r="AK535" s="763"/>
      <c r="AM535" s="776"/>
    </row>
    <row r="536" spans="1:39">
      <c r="A536" s="256">
        <v>250</v>
      </c>
      <c r="B536" s="256"/>
      <c r="C536" s="512" t="s">
        <v>814</v>
      </c>
      <c r="D536" s="256"/>
      <c r="E536" s="513" t="s">
        <v>674</v>
      </c>
      <c r="F536" s="256"/>
      <c r="G536" s="35">
        <v>12766.517779999998</v>
      </c>
      <c r="H536" s="256"/>
      <c r="I536" s="836">
        <v>-5.2999999999999999E-2</v>
      </c>
      <c r="J536" s="739">
        <f>G536*I536/100</f>
        <v>-6.7662544233999986</v>
      </c>
      <c r="K536" s="256"/>
      <c r="L536" s="825">
        <v>0</v>
      </c>
      <c r="M536" s="825">
        <v>0</v>
      </c>
      <c r="N536" s="825">
        <v>0</v>
      </c>
      <c r="O536" s="825">
        <v>0</v>
      </c>
      <c r="P536" s="825">
        <v>0</v>
      </c>
      <c r="Q536" s="762">
        <f>J536-L536-M536-N536-O536-P536</f>
        <v>-6.7662544233999986</v>
      </c>
      <c r="R536" s="771"/>
      <c r="S536" s="35">
        <v>-0.18245324452485079</v>
      </c>
      <c r="T536" s="35">
        <v>0</v>
      </c>
      <c r="U536" s="825">
        <v>0</v>
      </c>
      <c r="V536" s="825">
        <v>0</v>
      </c>
      <c r="W536" s="825">
        <v>0</v>
      </c>
      <c r="X536" s="825">
        <v>0</v>
      </c>
      <c r="Y536" s="771"/>
      <c r="Z536" s="453">
        <f>Q536+S536+T536+U536+V536+W536+X536</f>
        <v>-6.9487076679248494</v>
      </c>
      <c r="AA536" s="836">
        <f>I536</f>
        <v>-5.2999999999999999E-2</v>
      </c>
      <c r="AB536" s="762">
        <f>Z536-J536</f>
        <v>-0.18245324452485079</v>
      </c>
      <c r="AC536" s="834">
        <f>AA536/I536-1</f>
        <v>0</v>
      </c>
      <c r="AD536" s="833"/>
      <c r="AF536" s="763"/>
      <c r="AI536" s="763"/>
      <c r="AK536" s="763"/>
      <c r="AM536" s="776"/>
    </row>
    <row r="537" spans="1:39">
      <c r="A537" s="256">
        <v>251</v>
      </c>
      <c r="B537" s="256"/>
      <c r="C537" s="512" t="s">
        <v>815</v>
      </c>
      <c r="D537" s="256"/>
      <c r="E537" s="513" t="s">
        <v>674</v>
      </c>
      <c r="F537" s="256"/>
      <c r="G537" s="35">
        <v>12450.358</v>
      </c>
      <c r="H537" s="256"/>
      <c r="I537" s="835">
        <v>-2.1199999999999999E-3</v>
      </c>
      <c r="J537" s="739">
        <f>G537*I537/100</f>
        <v>-0.26394758960000003</v>
      </c>
      <c r="K537" s="256"/>
      <c r="L537" s="825">
        <v>0</v>
      </c>
      <c r="M537" s="825">
        <v>0</v>
      </c>
      <c r="N537" s="825">
        <v>0</v>
      </c>
      <c r="O537" s="825">
        <v>0</v>
      </c>
      <c r="P537" s="825">
        <v>0</v>
      </c>
      <c r="Q537" s="762">
        <f>J537-L537-M537-N537-O537-P537</f>
        <v>-0.26394758960000003</v>
      </c>
      <c r="R537" s="771"/>
      <c r="S537" s="35">
        <v>-7.117393330715871E-3</v>
      </c>
      <c r="T537" s="825">
        <v>0</v>
      </c>
      <c r="U537" s="825">
        <v>0</v>
      </c>
      <c r="V537" s="825">
        <v>0</v>
      </c>
      <c r="W537" s="825">
        <v>0</v>
      </c>
      <c r="X537" s="825">
        <v>0</v>
      </c>
      <c r="Y537" s="771"/>
      <c r="Z537" s="453">
        <f>Q537+S537+T537+U537+V537+W537+X537</f>
        <v>-0.2710649829307159</v>
      </c>
      <c r="AA537" s="835">
        <f>I537</f>
        <v>-2.1199999999999999E-3</v>
      </c>
      <c r="AB537" s="762">
        <f>Z537-J537</f>
        <v>-7.117393330715871E-3</v>
      </c>
      <c r="AC537" s="834">
        <f>AA537/I537-1</f>
        <v>0</v>
      </c>
      <c r="AD537" s="833"/>
      <c r="AF537" s="763"/>
      <c r="AI537" s="763"/>
      <c r="AK537" s="763"/>
      <c r="AM537" s="776"/>
    </row>
    <row r="538" spans="1:39">
      <c r="A538" s="256"/>
      <c r="B538" s="256"/>
      <c r="C538" s="7"/>
      <c r="D538" s="256"/>
      <c r="E538" s="742"/>
      <c r="F538" s="256"/>
      <c r="G538" s="35"/>
      <c r="H538" s="256"/>
      <c r="I538" s="256"/>
      <c r="J538" s="750"/>
      <c r="K538" s="256"/>
      <c r="L538" s="762"/>
      <c r="M538" s="762"/>
      <c r="N538" s="762"/>
      <c r="O538" s="762"/>
      <c r="P538" s="762"/>
      <c r="Q538" s="762"/>
      <c r="R538" s="771"/>
      <c r="S538" s="35"/>
      <c r="T538" s="762"/>
      <c r="U538" s="762"/>
      <c r="V538" s="762"/>
      <c r="W538" s="762"/>
      <c r="X538" s="762"/>
      <c r="Y538" s="771"/>
      <c r="Z538" s="453"/>
      <c r="AA538" s="787"/>
      <c r="AB538" s="762"/>
      <c r="AC538" s="834"/>
      <c r="AD538" s="833"/>
      <c r="AF538" s="763"/>
      <c r="AI538" s="763"/>
      <c r="AK538" s="763"/>
      <c r="AM538" s="776"/>
    </row>
    <row r="539" spans="1:39">
      <c r="A539" s="256">
        <v>252</v>
      </c>
      <c r="B539" s="256"/>
      <c r="C539" s="7" t="s">
        <v>809</v>
      </c>
      <c r="D539" s="256"/>
      <c r="E539" s="134"/>
      <c r="F539" s="256"/>
      <c r="G539" s="137">
        <f>G534</f>
        <v>55087.023449999993</v>
      </c>
      <c r="H539" s="256"/>
      <c r="I539" s="806">
        <f>J539/G539*100</f>
        <v>4.3537764614815861</v>
      </c>
      <c r="J539" s="808">
        <f>SUM(J533:J538)</f>
        <v>2398.3658602969413</v>
      </c>
      <c r="K539" s="750"/>
      <c r="L539" s="807">
        <f t="shared" ref="L539:Q539" si="153">SUM(L533:L538)</f>
        <v>439.82795659019996</v>
      </c>
      <c r="M539" s="807">
        <f t="shared" si="153"/>
        <v>463.16522971377901</v>
      </c>
      <c r="N539" s="807">
        <f t="shared" si="153"/>
        <v>7.352396845245841</v>
      </c>
      <c r="O539" s="807">
        <f t="shared" si="153"/>
        <v>44.077920403529298</v>
      </c>
      <c r="P539" s="807">
        <f t="shared" si="153"/>
        <v>33.629081894922024</v>
      </c>
      <c r="Q539" s="807">
        <f t="shared" si="153"/>
        <v>1410.3132748492653</v>
      </c>
      <c r="R539" s="771"/>
      <c r="S539" s="807">
        <f t="shared" ref="S539:X539" si="154">SUM(S533:S538)</f>
        <v>38.028425815626321</v>
      </c>
      <c r="T539" s="807">
        <f t="shared" si="154"/>
        <v>317.18937520545995</v>
      </c>
      <c r="U539" s="807">
        <f t="shared" si="154"/>
        <v>450.32566563025625</v>
      </c>
      <c r="V539" s="807">
        <f t="shared" si="154"/>
        <v>6.8919424474226778</v>
      </c>
      <c r="W539" s="807">
        <f t="shared" si="154"/>
        <v>54.145489597615935</v>
      </c>
      <c r="X539" s="807">
        <f t="shared" si="154"/>
        <v>33.666984666554946</v>
      </c>
      <c r="Y539" s="771"/>
      <c r="Z539" s="807">
        <f>SUM(Z533:Z538)</f>
        <v>2310.5611582122019</v>
      </c>
      <c r="AA539" s="806">
        <f>Z539/G539*100</f>
        <v>4.1943837468535472</v>
      </c>
      <c r="AB539" s="805">
        <f>SUM(AB533:AB538)</f>
        <v>-87.804702084739702</v>
      </c>
      <c r="AC539" s="816">
        <f>AA539/I539-1</f>
        <v>-3.6610220124576154E-2</v>
      </c>
      <c r="AD539" s="769"/>
      <c r="AF539" s="763"/>
      <c r="AI539" s="763"/>
      <c r="AK539" s="763"/>
      <c r="AM539" s="776"/>
    </row>
    <row r="540" spans="1:39">
      <c r="A540" s="256"/>
      <c r="B540" s="256"/>
      <c r="D540" s="256"/>
      <c r="E540" s="36"/>
      <c r="F540" s="256"/>
      <c r="G540" s="35"/>
      <c r="H540" s="256"/>
      <c r="I540" s="256"/>
      <c r="J540" s="750"/>
      <c r="K540" s="256"/>
      <c r="L540" s="762"/>
      <c r="M540" s="762"/>
      <c r="N540" s="762"/>
      <c r="O540" s="762"/>
      <c r="P540" s="762"/>
      <c r="Q540" s="762"/>
      <c r="R540" s="771"/>
      <c r="S540" s="771"/>
      <c r="T540" s="762"/>
      <c r="U540" s="762"/>
      <c r="V540" s="762"/>
      <c r="W540" s="762"/>
      <c r="X540" s="762"/>
      <c r="Y540" s="771"/>
      <c r="Z540" s="771"/>
      <c r="AA540" s="771"/>
      <c r="AB540" s="762"/>
      <c r="AC540" s="770"/>
      <c r="AD540" s="769"/>
      <c r="AF540" s="763"/>
      <c r="AI540" s="763"/>
      <c r="AK540" s="763"/>
      <c r="AM540" s="776"/>
    </row>
    <row r="541" spans="1:39">
      <c r="A541" s="256"/>
      <c r="B541" s="256"/>
      <c r="C541" s="7" t="s">
        <v>816</v>
      </c>
      <c r="D541" s="256"/>
      <c r="E541" s="1"/>
      <c r="F541" s="256"/>
      <c r="G541" s="35"/>
      <c r="H541" s="256"/>
      <c r="I541" s="256"/>
      <c r="J541" s="750"/>
      <c r="K541" s="256"/>
      <c r="L541" s="762"/>
      <c r="M541" s="762"/>
      <c r="N541" s="762"/>
      <c r="O541" s="762"/>
      <c r="P541" s="762"/>
      <c r="Q541" s="762"/>
      <c r="R541" s="771"/>
      <c r="S541" s="771"/>
      <c r="T541" s="762"/>
      <c r="U541" s="762"/>
      <c r="V541" s="762"/>
      <c r="W541" s="762"/>
      <c r="X541" s="762"/>
      <c r="Y541" s="771"/>
      <c r="Z541" s="771"/>
      <c r="AA541" s="771"/>
      <c r="AB541" s="762"/>
      <c r="AC541" s="770"/>
      <c r="AD541" s="769"/>
      <c r="AF541" s="763"/>
      <c r="AI541" s="763"/>
      <c r="AK541" s="763"/>
      <c r="AM541" s="776"/>
    </row>
    <row r="542" spans="1:39">
      <c r="A542" s="256">
        <v>253</v>
      </c>
      <c r="B542" s="256"/>
      <c r="C542" s="519" t="s">
        <v>817</v>
      </c>
      <c r="D542" s="256"/>
      <c r="E542" s="513" t="s">
        <v>675</v>
      </c>
      <c r="F542" s="256"/>
      <c r="G542" s="35">
        <v>431.904</v>
      </c>
      <c r="H542" s="256"/>
      <c r="I542" s="772">
        <v>41.215699999999998</v>
      </c>
      <c r="J542" s="750">
        <f>G542*I542/100</f>
        <v>178.012256928</v>
      </c>
      <c r="K542" s="256"/>
      <c r="L542" s="35">
        <v>37.935855936000003</v>
      </c>
      <c r="M542" s="35">
        <v>0</v>
      </c>
      <c r="N542" s="35">
        <v>0</v>
      </c>
      <c r="O542" s="35">
        <v>0</v>
      </c>
      <c r="P542" s="35">
        <v>0</v>
      </c>
      <c r="Q542" s="762">
        <f>J542-L542-M542-N542-O542-P542</f>
        <v>140.076400992</v>
      </c>
      <c r="R542" s="771"/>
      <c r="S542" s="35">
        <v>3.7771848711405767</v>
      </c>
      <c r="T542" s="35">
        <v>41.140218199898953</v>
      </c>
      <c r="U542" s="35">
        <v>0</v>
      </c>
      <c r="V542" s="35">
        <v>0</v>
      </c>
      <c r="W542" s="35">
        <v>0</v>
      </c>
      <c r="X542" s="35">
        <v>0</v>
      </c>
      <c r="Y542" s="771"/>
      <c r="Z542" s="771">
        <f>Q542+S542+T542+U542+V542+W542+X542</f>
        <v>184.99380406303953</v>
      </c>
      <c r="AA542" s="792">
        <f>Z542/G542*100</f>
        <v>42.832158086759911</v>
      </c>
      <c r="AB542" s="762">
        <f>Z542-J542</f>
        <v>6.9815471350395342</v>
      </c>
      <c r="AC542" s="770">
        <f>AA542/I542-1</f>
        <v>3.9219474296443124E-2</v>
      </c>
      <c r="AD542" s="769"/>
      <c r="AF542" s="763"/>
      <c r="AI542" s="763"/>
      <c r="AK542" s="763"/>
      <c r="AM542" s="776"/>
    </row>
    <row r="543" spans="1:39">
      <c r="A543" s="256">
        <v>254</v>
      </c>
      <c r="B543" s="256"/>
      <c r="C543" s="519" t="s">
        <v>807</v>
      </c>
      <c r="D543" s="256"/>
      <c r="E543" s="513" t="s">
        <v>674</v>
      </c>
      <c r="F543" s="256"/>
      <c r="G543" s="35">
        <v>4405.8775999999998</v>
      </c>
      <c r="H543" s="256"/>
      <c r="I543" s="772">
        <v>3.5497469625757372</v>
      </c>
      <c r="J543" s="750">
        <f>G543*I543/100</f>
        <v>156.39750628080478</v>
      </c>
      <c r="K543" s="256"/>
      <c r="L543" s="35">
        <v>30.171449804799995</v>
      </c>
      <c r="M543" s="35">
        <v>34.389111615664007</v>
      </c>
      <c r="N543" s="35">
        <v>1.4610501951616022</v>
      </c>
      <c r="O543" s="35">
        <v>3.2812865272834841</v>
      </c>
      <c r="P543" s="35">
        <v>2.5109710457424308</v>
      </c>
      <c r="Q543" s="762">
        <f>J543-L543-M543-N543-O543-P543</f>
        <v>84.583637092153253</v>
      </c>
      <c r="R543" s="771"/>
      <c r="S543" s="35">
        <v>2.2709851174645763</v>
      </c>
      <c r="T543" s="35">
        <v>25.470527394387808</v>
      </c>
      <c r="U543" s="35">
        <v>33.435799117146807</v>
      </c>
      <c r="V543" s="35">
        <v>1.3695498311357461</v>
      </c>
      <c r="W543" s="35">
        <v>4.0307451872343671</v>
      </c>
      <c r="X543" s="35">
        <v>2.5138011189041376</v>
      </c>
      <c r="Y543" s="771"/>
      <c r="Z543" s="771">
        <f>Q543+S543+T543+U543+V543+W543+X543</f>
        <v>153.6750448584267</v>
      </c>
      <c r="AA543" s="792">
        <f>Z543/G543*100</f>
        <v>3.4879553816571462</v>
      </c>
      <c r="AB543" s="762">
        <f>Z543-J543</f>
        <v>-2.7224614223780748</v>
      </c>
      <c r="AC543" s="785">
        <f>AA543/I543-1</f>
        <v>-1.7407319893515516E-2</v>
      </c>
      <c r="AD543" s="769"/>
      <c r="AF543" s="763"/>
      <c r="AI543" s="763"/>
      <c r="AK543" s="763"/>
      <c r="AM543" s="776"/>
    </row>
    <row r="544" spans="1:39">
      <c r="A544" s="256">
        <v>255</v>
      </c>
      <c r="B544" s="256"/>
      <c r="C544" s="9" t="s">
        <v>802</v>
      </c>
      <c r="D544" s="256"/>
      <c r="E544" s="513" t="s">
        <v>674</v>
      </c>
      <c r="F544" s="256"/>
      <c r="G544" s="35">
        <v>854.38999999999942</v>
      </c>
      <c r="H544" s="256"/>
      <c r="I544" s="772">
        <v>3.8996858330865312</v>
      </c>
      <c r="J544" s="750">
        <f>G544*I544/100</f>
        <v>33.318525789307991</v>
      </c>
      <c r="K544" s="256"/>
      <c r="L544" s="35">
        <v>5.8508627199999959</v>
      </c>
      <c r="M544" s="35">
        <v>6.6687538195130864</v>
      </c>
      <c r="N544" s="35">
        <v>0.28332758863844076</v>
      </c>
      <c r="O544" s="35">
        <v>0.63630873359843998</v>
      </c>
      <c r="P544" s="35">
        <v>0.48692876801023116</v>
      </c>
      <c r="Q544" s="762">
        <f>J544-L544-M544-N544-O544-P544</f>
        <v>19.3923441595478</v>
      </c>
      <c r="R544" s="771"/>
      <c r="S544" s="35">
        <v>0.52101221253355945</v>
      </c>
      <c r="T544" s="35">
        <v>4.9392574819806585</v>
      </c>
      <c r="U544" s="35">
        <v>6.483886980359836</v>
      </c>
      <c r="V544" s="35">
        <v>0.26558379202909987</v>
      </c>
      <c r="W544" s="35">
        <v>0.78164413385455112</v>
      </c>
      <c r="X544" s="35">
        <v>0.48747757722105228</v>
      </c>
      <c r="Y544" s="771"/>
      <c r="Z544" s="771">
        <f>Q544+S544+T544+U544+V544+W544+X544</f>
        <v>32.871206337526559</v>
      </c>
      <c r="AA544" s="792">
        <f>Z544/G544*100</f>
        <v>3.8473304155627503</v>
      </c>
      <c r="AB544" s="762">
        <f>Z544-J544</f>
        <v>-0.44731945178143206</v>
      </c>
      <c r="AC544" s="785">
        <f>AA544/I544-1</f>
        <v>-1.3425547535028559E-2</v>
      </c>
      <c r="AD544" s="769"/>
      <c r="AF544" s="763"/>
      <c r="AI544" s="763"/>
      <c r="AK544" s="763"/>
      <c r="AM544" s="776"/>
    </row>
    <row r="545" spans="1:39">
      <c r="A545" s="256"/>
      <c r="B545" s="256"/>
      <c r="C545" s="7"/>
      <c r="D545" s="256"/>
      <c r="E545" s="36"/>
      <c r="F545" s="256"/>
      <c r="G545" s="35"/>
      <c r="H545" s="256"/>
      <c r="I545" s="256"/>
      <c r="J545" s="750"/>
      <c r="K545" s="256"/>
      <c r="L545" s="762"/>
      <c r="M545" s="762"/>
      <c r="N545" s="762"/>
      <c r="O545" s="762"/>
      <c r="P545" s="762"/>
      <c r="Q545" s="762"/>
      <c r="R545" s="771"/>
      <c r="S545" s="771"/>
      <c r="T545" s="762"/>
      <c r="U545" s="762"/>
      <c r="V545" s="762"/>
      <c r="W545" s="762"/>
      <c r="X545" s="762"/>
      <c r="Y545" s="771"/>
      <c r="Z545" s="771"/>
      <c r="AA545" s="771"/>
      <c r="AB545" s="762"/>
      <c r="AC545" s="770"/>
      <c r="AD545" s="769"/>
      <c r="AF545" s="763"/>
      <c r="AI545" s="763"/>
      <c r="AK545" s="763"/>
      <c r="AM545" s="776"/>
    </row>
    <row r="546" spans="1:39">
      <c r="A546" s="256">
        <v>256</v>
      </c>
      <c r="B546" s="256"/>
      <c r="C546" s="7" t="s">
        <v>804</v>
      </c>
      <c r="D546" s="256"/>
      <c r="E546" s="36"/>
      <c r="F546" s="256"/>
      <c r="G546" s="137">
        <f>G543</f>
        <v>4405.8775999999998</v>
      </c>
      <c r="H546" s="256"/>
      <c r="I546" s="806">
        <f>J546/G546*100</f>
        <v>8.3463119583284104</v>
      </c>
      <c r="J546" s="808">
        <f>SUM(J542:J545)</f>
        <v>367.72828899811276</v>
      </c>
      <c r="K546" s="256"/>
      <c r="L546" s="805">
        <f t="shared" ref="L546:Q546" si="155">SUM(L542:L545)</f>
        <v>73.958168460799996</v>
      </c>
      <c r="M546" s="805">
        <f t="shared" si="155"/>
        <v>41.057865435177092</v>
      </c>
      <c r="N546" s="805">
        <f t="shared" si="155"/>
        <v>1.7443777838000429</v>
      </c>
      <c r="O546" s="805">
        <f t="shared" si="155"/>
        <v>3.917595260881924</v>
      </c>
      <c r="P546" s="805">
        <f t="shared" si="155"/>
        <v>2.997899813752662</v>
      </c>
      <c r="Q546" s="805">
        <f t="shared" si="155"/>
        <v>244.05238224370106</v>
      </c>
      <c r="R546" s="771"/>
      <c r="S546" s="807">
        <f t="shared" ref="S546:X546" si="156">SUM(S542:S545)</f>
        <v>6.5691822011387124</v>
      </c>
      <c r="T546" s="807">
        <f t="shared" si="156"/>
        <v>71.550003076267416</v>
      </c>
      <c r="U546" s="807">
        <f t="shared" si="156"/>
        <v>39.919686097506641</v>
      </c>
      <c r="V546" s="807">
        <f t="shared" si="156"/>
        <v>1.6351336231648461</v>
      </c>
      <c r="W546" s="807">
        <f t="shared" si="156"/>
        <v>4.8123893210889186</v>
      </c>
      <c r="X546" s="807">
        <f t="shared" si="156"/>
        <v>3.00127869612519</v>
      </c>
      <c r="Y546" s="771"/>
      <c r="Z546" s="807">
        <f>SUM(Z542:Z545)</f>
        <v>371.54005525899277</v>
      </c>
      <c r="AA546" s="806">
        <f>Z546/G546*100</f>
        <v>8.4328274407576096</v>
      </c>
      <c r="AB546" s="805">
        <f>SUM(AB542:AB545)</f>
        <v>3.8117662608800273</v>
      </c>
      <c r="AC546" s="804">
        <f>AA546/I546-1</f>
        <v>1.0365713965779788E-2</v>
      </c>
      <c r="AD546" s="769"/>
      <c r="AF546" s="763"/>
      <c r="AI546" s="763"/>
      <c r="AK546" s="763"/>
      <c r="AM546" s="776"/>
    </row>
    <row r="547" spans="1:39">
      <c r="A547" s="256"/>
      <c r="E547" s="1"/>
      <c r="G547" s="135"/>
      <c r="J547" s="752"/>
      <c r="L547" s="762"/>
      <c r="M547" s="762"/>
      <c r="N547" s="762"/>
      <c r="O547" s="762"/>
      <c r="P547" s="762"/>
      <c r="Q547" s="762"/>
      <c r="R547" s="68"/>
      <c r="S547" s="68"/>
      <c r="T547" s="762"/>
      <c r="U547" s="762"/>
      <c r="V547" s="762"/>
      <c r="W547" s="762"/>
      <c r="X547" s="762"/>
      <c r="Y547" s="68"/>
      <c r="Z547" s="68"/>
      <c r="AA547" s="68"/>
      <c r="AB547" s="762"/>
      <c r="AC547" s="504"/>
      <c r="AF547" s="763"/>
      <c r="AI547" s="763"/>
      <c r="AK547" s="763"/>
      <c r="AM547" s="776"/>
    </row>
    <row r="548" spans="1:39">
      <c r="A548" s="256">
        <v>257</v>
      </c>
      <c r="B548" s="256"/>
      <c r="C548" s="7" t="s">
        <v>810</v>
      </c>
      <c r="D548" s="256"/>
      <c r="E548" s="513" t="s">
        <v>674</v>
      </c>
      <c r="F548" s="256"/>
      <c r="G548" s="35">
        <v>1599.69</v>
      </c>
      <c r="H548" s="256"/>
      <c r="I548" s="772">
        <v>0.20849999999999999</v>
      </c>
      <c r="J548" s="750">
        <f>G548*I548/100</f>
        <v>3.3353536500000001</v>
      </c>
      <c r="K548" s="256"/>
      <c r="L548" s="825">
        <v>0</v>
      </c>
      <c r="M548" s="825">
        <v>0</v>
      </c>
      <c r="N548" s="825">
        <v>0</v>
      </c>
      <c r="O548" s="825">
        <v>0</v>
      </c>
      <c r="P548" s="825">
        <v>0</v>
      </c>
      <c r="Q548" s="762">
        <f>J548-L548-M548-N548-O548-P548</f>
        <v>3.3353536500000001</v>
      </c>
      <c r="R548" s="771"/>
      <c r="S548" s="35">
        <v>8.9938399740888464E-2</v>
      </c>
      <c r="T548" s="35">
        <v>0</v>
      </c>
      <c r="U548" s="35">
        <v>0</v>
      </c>
      <c r="V548" s="35">
        <v>0</v>
      </c>
      <c r="W548" s="35">
        <v>0</v>
      </c>
      <c r="X548" s="35">
        <v>0</v>
      </c>
      <c r="Y548" s="771"/>
      <c r="Z548" s="771">
        <f>Q548+S548+T548+U548+V548+W548+X548</f>
        <v>3.4252920497408885</v>
      </c>
      <c r="AA548" s="792">
        <f>Z548/G548*100</f>
        <v>0.21412223929266846</v>
      </c>
      <c r="AB548" s="762">
        <f>Z548-J548</f>
        <v>8.9938399740888464E-2</v>
      </c>
      <c r="AC548" s="770">
        <f>AA548/I548-1</f>
        <v>2.696517646363783E-2</v>
      </c>
      <c r="AD548" s="769"/>
      <c r="AF548" s="763"/>
      <c r="AI548" s="763"/>
      <c r="AK548" s="763"/>
      <c r="AM548" s="776"/>
    </row>
    <row r="549" spans="1:39">
      <c r="A549" s="256">
        <v>258</v>
      </c>
      <c r="B549" s="256"/>
      <c r="C549" s="7" t="s">
        <v>715</v>
      </c>
      <c r="D549" s="256"/>
      <c r="E549" s="513" t="s">
        <v>674</v>
      </c>
      <c r="F549" s="256"/>
      <c r="G549" s="35">
        <v>2163.9659000000001</v>
      </c>
      <c r="H549" s="256"/>
      <c r="I549" s="772">
        <v>20.538400000000003</v>
      </c>
      <c r="J549" s="750">
        <f>G549*I549/100</f>
        <v>444.44397240560005</v>
      </c>
      <c r="K549" s="256"/>
      <c r="L549" s="825">
        <v>0</v>
      </c>
      <c r="M549" s="825">
        <v>0</v>
      </c>
      <c r="N549" s="825">
        <v>0</v>
      </c>
      <c r="O549" s="825">
        <v>0</v>
      </c>
      <c r="P549" s="825">
        <v>0</v>
      </c>
      <c r="Q549" s="762">
        <f>J549-L549-M549-N549-O549-P549</f>
        <v>444.44397240560005</v>
      </c>
      <c r="R549" s="771"/>
      <c r="S549" s="35">
        <v>-4.3121922820193337E-2</v>
      </c>
      <c r="T549" s="35">
        <v>0</v>
      </c>
      <c r="U549" s="35">
        <v>0</v>
      </c>
      <c r="V549" s="35">
        <v>0</v>
      </c>
      <c r="W549" s="35">
        <v>0</v>
      </c>
      <c r="X549" s="35">
        <v>0</v>
      </c>
      <c r="Y549" s="771"/>
      <c r="Z549" s="771">
        <f>Q549+S549+T549+U549+V549+W549+X549</f>
        <v>444.40085048277984</v>
      </c>
      <c r="AA549" s="792">
        <f>Z549/G549*100</f>
        <v>20.536407273459336</v>
      </c>
      <c r="AB549" s="762">
        <f>Z549-J549</f>
        <v>-4.3121922820205327E-2</v>
      </c>
      <c r="AC549" s="770">
        <f>AA549/I549-1</f>
        <v>-9.7024429394076961E-5</v>
      </c>
      <c r="AD549" s="769"/>
      <c r="AF549" s="763"/>
      <c r="AI549" s="763"/>
      <c r="AK549" s="763"/>
      <c r="AM549" s="776"/>
    </row>
    <row r="550" spans="1:39">
      <c r="A550" s="256"/>
      <c r="B550" s="256"/>
      <c r="C550" s="7"/>
      <c r="D550" s="256"/>
      <c r="E550" s="36"/>
      <c r="F550" s="256"/>
      <c r="G550" s="35"/>
      <c r="H550" s="256"/>
      <c r="I550" s="256"/>
      <c r="J550" s="750"/>
      <c r="K550" s="256"/>
      <c r="L550" s="762"/>
      <c r="M550" s="762"/>
      <c r="N550" s="762"/>
      <c r="O550" s="762"/>
      <c r="P550" s="762"/>
      <c r="Q550" s="762"/>
      <c r="R550" s="771"/>
      <c r="S550" s="771"/>
      <c r="T550" s="762"/>
      <c r="U550" s="762"/>
      <c r="V550" s="762"/>
      <c r="W550" s="762"/>
      <c r="X550" s="762"/>
      <c r="Y550" s="771"/>
      <c r="Z550" s="771"/>
      <c r="AA550" s="771"/>
      <c r="AB550" s="762"/>
      <c r="AC550" s="770"/>
      <c r="AD550" s="769"/>
      <c r="AF550" s="763"/>
      <c r="AI550" s="763"/>
      <c r="AK550" s="763"/>
      <c r="AM550" s="776"/>
    </row>
    <row r="551" spans="1:39" ht="13.5" thickBot="1">
      <c r="A551" s="256">
        <v>259</v>
      </c>
      <c r="B551" s="256"/>
      <c r="C551" s="7" t="s">
        <v>818</v>
      </c>
      <c r="D551" s="256"/>
      <c r="E551" s="36"/>
      <c r="F551" s="256"/>
      <c r="G551" s="832">
        <f>G539+G546</f>
        <v>59492.901049999993</v>
      </c>
      <c r="H551" s="256"/>
      <c r="I551" s="831">
        <f>J551/G551*100</f>
        <v>5.4021125523019933</v>
      </c>
      <c r="J551" s="756">
        <f>J539+J546+J548+J549</f>
        <v>3213.8734753506542</v>
      </c>
      <c r="K551" s="750"/>
      <c r="L551" s="781">
        <f t="shared" ref="L551:Q551" si="157">L539+L546+L548+L549</f>
        <v>513.786125051</v>
      </c>
      <c r="M551" s="781">
        <f t="shared" si="157"/>
        <v>504.22309514895608</v>
      </c>
      <c r="N551" s="781">
        <f t="shared" si="157"/>
        <v>9.0967746290458837</v>
      </c>
      <c r="O551" s="781">
        <f t="shared" si="157"/>
        <v>47.995515664411222</v>
      </c>
      <c r="P551" s="781">
        <f t="shared" si="157"/>
        <v>36.626981708674684</v>
      </c>
      <c r="Q551" s="781">
        <f t="shared" si="157"/>
        <v>2102.1449831485661</v>
      </c>
      <c r="R551" s="771"/>
      <c r="S551" s="781">
        <f t="shared" ref="S551:X551" si="158">S539+S546+S548+S549</f>
        <v>44.644424493685733</v>
      </c>
      <c r="T551" s="781">
        <f t="shared" si="158"/>
        <v>388.73937828172734</v>
      </c>
      <c r="U551" s="781">
        <f t="shared" si="158"/>
        <v>490.24535172776291</v>
      </c>
      <c r="V551" s="781">
        <f t="shared" si="158"/>
        <v>8.5270760705875244</v>
      </c>
      <c r="W551" s="781">
        <f t="shared" si="158"/>
        <v>58.95787891870485</v>
      </c>
      <c r="X551" s="781">
        <f t="shared" si="158"/>
        <v>36.668263362680136</v>
      </c>
      <c r="Y551" s="771"/>
      <c r="Z551" s="781">
        <f>Z539+Z546+Z548+Z549</f>
        <v>3129.9273560037154</v>
      </c>
      <c r="AA551" s="803">
        <f>Z551/G551*100</f>
        <v>5.2610098024522465</v>
      </c>
      <c r="AB551" s="799">
        <f>AB539+AB546+AB548+AB549</f>
        <v>-83.946119346939</v>
      </c>
      <c r="AC551" s="815">
        <f>AA551/I551-1</f>
        <v>-2.6119920398477992E-2</v>
      </c>
      <c r="AD551" s="769"/>
      <c r="AF551" s="763"/>
      <c r="AI551" s="763"/>
      <c r="AK551" s="763"/>
      <c r="AM551" s="776"/>
    </row>
    <row r="552" spans="1:39" ht="13.5" thickTop="1">
      <c r="A552" s="256"/>
      <c r="B552" s="256"/>
      <c r="C552" s="7"/>
      <c r="D552" s="256"/>
      <c r="E552" s="36"/>
      <c r="F552" s="256"/>
      <c r="G552" s="35"/>
      <c r="H552" s="256"/>
      <c r="I552" s="256"/>
      <c r="J552" s="750"/>
      <c r="K552" s="256"/>
      <c r="L552" s="762"/>
      <c r="M552" s="762"/>
      <c r="N552" s="762"/>
      <c r="O552" s="762"/>
      <c r="P552" s="762"/>
      <c r="Q552" s="762"/>
      <c r="R552" s="771"/>
      <c r="S552" s="771"/>
      <c r="T552" s="762"/>
      <c r="U552" s="762"/>
      <c r="V552" s="762"/>
      <c r="W552" s="762"/>
      <c r="X552" s="762"/>
      <c r="Y552" s="771"/>
      <c r="Z552" s="771"/>
      <c r="AA552" s="771"/>
      <c r="AB552" s="762"/>
      <c r="AC552" s="504"/>
    </row>
    <row r="553" spans="1:39">
      <c r="A553" s="256"/>
      <c r="B553" s="256"/>
      <c r="C553" s="6" t="s">
        <v>182</v>
      </c>
      <c r="D553" s="256"/>
      <c r="E553" s="36"/>
      <c r="F553" s="256"/>
      <c r="G553" s="35"/>
      <c r="H553" s="256"/>
      <c r="I553" s="256"/>
      <c r="J553" s="750"/>
      <c r="K553" s="256"/>
      <c r="L553" s="762"/>
      <c r="M553" s="762"/>
      <c r="N553" s="762"/>
      <c r="O553" s="762"/>
      <c r="P553" s="762"/>
      <c r="Q553" s="762"/>
      <c r="R553" s="771"/>
      <c r="S553" s="771"/>
      <c r="T553" s="762"/>
      <c r="U553" s="762"/>
      <c r="V553" s="762"/>
      <c r="W553" s="762"/>
      <c r="X553" s="762"/>
      <c r="Y553" s="771"/>
      <c r="Z553" s="771"/>
      <c r="AA553" s="771"/>
      <c r="AB553" s="762"/>
      <c r="AC553" s="504"/>
    </row>
    <row r="554" spans="1:39">
      <c r="A554" s="256"/>
      <c r="B554" s="256"/>
      <c r="C554" s="7" t="s">
        <v>816</v>
      </c>
      <c r="D554" s="256"/>
      <c r="E554" s="36"/>
      <c r="F554" s="256"/>
      <c r="G554" s="35"/>
      <c r="H554" s="256"/>
      <c r="I554" s="256"/>
      <c r="J554" s="750"/>
      <c r="K554" s="256"/>
      <c r="L554" s="762"/>
      <c r="M554" s="762"/>
      <c r="N554" s="762"/>
      <c r="O554" s="762"/>
      <c r="P554" s="762"/>
      <c r="Q554" s="762"/>
      <c r="R554" s="771"/>
      <c r="S554" s="35"/>
      <c r="T554" s="35"/>
      <c r="U554" s="35"/>
      <c r="V554" s="762"/>
      <c r="W554" s="762"/>
      <c r="X554" s="762"/>
      <c r="Y554" s="771"/>
      <c r="Z554" s="771"/>
      <c r="AA554" s="771"/>
      <c r="AB554" s="762"/>
      <c r="AC554" s="504"/>
    </row>
    <row r="555" spans="1:39">
      <c r="A555" s="256">
        <v>260</v>
      </c>
      <c r="B555" s="256"/>
      <c r="C555" s="519" t="s">
        <v>817</v>
      </c>
      <c r="D555" s="256"/>
      <c r="E555" s="513" t="s">
        <v>675</v>
      </c>
      <c r="F555" s="256"/>
      <c r="G555" s="35">
        <v>71858.168000000005</v>
      </c>
      <c r="H555" s="256"/>
      <c r="I555" s="772">
        <v>34.034500000000001</v>
      </c>
      <c r="J555" s="750">
        <f>G555*I555/100</f>
        <v>24456.568187960005</v>
      </c>
      <c r="K555" s="256"/>
      <c r="L555" s="35">
        <v>2026.6159121040002</v>
      </c>
      <c r="M555" s="35">
        <v>0</v>
      </c>
      <c r="N555" s="825">
        <v>0</v>
      </c>
      <c r="O555" s="825">
        <v>0</v>
      </c>
      <c r="P555" s="825">
        <v>0</v>
      </c>
      <c r="Q555" s="762">
        <f>J555-L555-M555-N555-O555-P555</f>
        <v>22429.952275856005</v>
      </c>
      <c r="R555" s="771"/>
      <c r="S555" s="35">
        <v>604.82762118943356</v>
      </c>
      <c r="T555" s="35">
        <v>3676.9747646837468</v>
      </c>
      <c r="U555" s="35">
        <v>0</v>
      </c>
      <c r="V555" s="825">
        <v>0</v>
      </c>
      <c r="W555" s="825">
        <v>0</v>
      </c>
      <c r="X555" s="825">
        <v>0</v>
      </c>
      <c r="Y555" s="771"/>
      <c r="Z555" s="771">
        <f>Q555+S555+T555+U555+V555+W555+X555</f>
        <v>26711.754661729185</v>
      </c>
      <c r="AA555" s="792">
        <f>Z555/G555*100</f>
        <v>37.172885706923644</v>
      </c>
      <c r="AB555" s="762">
        <f>Z555-J555</f>
        <v>2255.1864737691794</v>
      </c>
      <c r="AC555" s="770">
        <f>AA555/I555-1</f>
        <v>9.2211894017060425E-2</v>
      </c>
      <c r="AD555" s="769"/>
      <c r="AF555" s="763"/>
      <c r="AI555" s="763"/>
      <c r="AK555" s="763"/>
      <c r="AM555" s="776"/>
    </row>
    <row r="556" spans="1:39">
      <c r="A556" s="256">
        <v>261</v>
      </c>
      <c r="C556" s="519" t="s">
        <v>807</v>
      </c>
      <c r="E556" s="513" t="s">
        <v>674</v>
      </c>
      <c r="G556" s="35">
        <v>713737.64702999999</v>
      </c>
      <c r="I556" s="772">
        <v>0.45379999999999998</v>
      </c>
      <c r="J556" s="750">
        <f>G556*I556/100</f>
        <v>3238.9414422221398</v>
      </c>
      <c r="L556" s="35">
        <v>258.37302822486004</v>
      </c>
      <c r="M556" s="35">
        <v>124.56063975383093</v>
      </c>
      <c r="N556" s="35">
        <v>93.792407213470639</v>
      </c>
      <c r="O556" s="35">
        <v>584.79105061009568</v>
      </c>
      <c r="P556" s="35">
        <v>849.57803103823073</v>
      </c>
      <c r="Q556" s="762">
        <f>J556-L556-M556-N556-O556-P556</f>
        <v>1327.8462853816523</v>
      </c>
      <c r="R556" s="68"/>
      <c r="S556" s="35">
        <v>34.921616892815564</v>
      </c>
      <c r="T556" s="35">
        <v>212.30165349313589</v>
      </c>
      <c r="U556" s="35">
        <v>121.10765102798851</v>
      </c>
      <c r="V556" s="35">
        <v>87.918523187231116</v>
      </c>
      <c r="W556" s="35">
        <v>718.35961083709674</v>
      </c>
      <c r="X556" s="35">
        <v>850.53557612362465</v>
      </c>
      <c r="Y556" s="68"/>
      <c r="Z556" s="771">
        <f>Q556+S556+T556+U556+V556+W556+X556</f>
        <v>3352.990916943545</v>
      </c>
      <c r="AA556" s="792">
        <f>Z556/G556*100</f>
        <v>0.46977918719798328</v>
      </c>
      <c r="AB556" s="762">
        <f>Z556-J556</f>
        <v>114.0494747214052</v>
      </c>
      <c r="AC556" s="770">
        <f>AA556/I556-1</f>
        <v>3.5211959449059638E-2</v>
      </c>
      <c r="AD556" s="769"/>
      <c r="AF556" s="763"/>
      <c r="AI556" s="763"/>
      <c r="AK556" s="763"/>
      <c r="AM556" s="776"/>
    </row>
    <row r="557" spans="1:39">
      <c r="A557" s="256">
        <v>262</v>
      </c>
      <c r="B557" s="256"/>
      <c r="C557" s="9" t="s">
        <v>819</v>
      </c>
      <c r="D557" s="256"/>
      <c r="E557" s="513" t="s">
        <v>674</v>
      </c>
      <c r="F557" s="256"/>
      <c r="G557" s="35">
        <v>22348.747200000002</v>
      </c>
      <c r="H557" s="256"/>
      <c r="I557" s="772">
        <v>0.45379999999999998</v>
      </c>
      <c r="J557" s="750">
        <f>G557*I557/100</f>
        <v>101.41861479360001</v>
      </c>
      <c r="K557" s="256"/>
      <c r="L557" s="35">
        <v>8.0902464864000017</v>
      </c>
      <c r="M557" s="35">
        <v>3.9002766079559619</v>
      </c>
      <c r="N557" s="35">
        <v>2.9368533477472658</v>
      </c>
      <c r="O557" s="35">
        <v>18.31113632479877</v>
      </c>
      <c r="P557" s="35">
        <v>26.602218225920634</v>
      </c>
      <c r="Q557" s="762">
        <f>J557-L557-M557-N557-O557-P557</f>
        <v>41.577883800777386</v>
      </c>
      <c r="R557" s="771"/>
      <c r="S557" s="35">
        <v>1.0934751599560499</v>
      </c>
      <c r="T557" s="35">
        <v>6.64764707845187</v>
      </c>
      <c r="U557" s="35">
        <v>3.7921556864389006</v>
      </c>
      <c r="V557" s="35">
        <v>2.7529286945770126</v>
      </c>
      <c r="W557" s="35">
        <v>22.4934713869925</v>
      </c>
      <c r="X557" s="35">
        <v>26.632201137898331</v>
      </c>
      <c r="Y557" s="771"/>
      <c r="Z557" s="771">
        <f>Q557+S557+T557+U557+V557+W557+X557</f>
        <v>104.98976294509205</v>
      </c>
      <c r="AA557" s="792">
        <f>Z557/G557*100</f>
        <v>0.46977918719798328</v>
      </c>
      <c r="AB557" s="762">
        <f>Z557-J557</f>
        <v>3.5711481514920393</v>
      </c>
      <c r="AC557" s="770">
        <f>AA557/I557-1</f>
        <v>3.5211959449059638E-2</v>
      </c>
      <c r="AD557" s="769"/>
      <c r="AF557" s="763"/>
      <c r="AI557" s="763"/>
      <c r="AK557" s="763"/>
      <c r="AM557" s="776"/>
    </row>
    <row r="558" spans="1:39">
      <c r="A558" s="256"/>
      <c r="B558" s="256"/>
      <c r="C558" s="7"/>
      <c r="D558" s="256"/>
      <c r="E558" s="36"/>
      <c r="F558" s="256"/>
      <c r="G558" s="135"/>
      <c r="H558" s="256"/>
      <c r="I558" s="772"/>
      <c r="J558" s="256"/>
      <c r="K558" s="256"/>
      <c r="L558" s="762"/>
      <c r="M558" s="762"/>
      <c r="N558" s="762"/>
      <c r="O558" s="762"/>
      <c r="P558" s="762"/>
      <c r="Q558" s="762"/>
      <c r="R558" s="771"/>
      <c r="S558" s="771"/>
      <c r="T558" s="762"/>
      <c r="U558" s="762"/>
      <c r="V558" s="762"/>
      <c r="W558" s="762"/>
      <c r="X558" s="762"/>
      <c r="Y558" s="771"/>
      <c r="Z558" s="771"/>
      <c r="AA558" s="771"/>
      <c r="AB558" s="762"/>
      <c r="AC558" s="770"/>
      <c r="AD558" s="769"/>
      <c r="AF558" s="763"/>
      <c r="AI558" s="763"/>
      <c r="AK558" s="763"/>
      <c r="AM558" s="776"/>
    </row>
    <row r="559" spans="1:39">
      <c r="A559" s="256">
        <v>263</v>
      </c>
      <c r="B559" s="256"/>
      <c r="C559" s="7" t="s">
        <v>804</v>
      </c>
      <c r="D559" s="256"/>
      <c r="E559" s="36"/>
      <c r="F559" s="256"/>
      <c r="G559" s="420">
        <f>G556</f>
        <v>713737.64702999999</v>
      </c>
      <c r="H559" s="256"/>
      <c r="I559" s="806">
        <f>J559/G559*100</f>
        <v>3.8945582260714602</v>
      </c>
      <c r="J559" s="808">
        <f>SUM(J555:J558)</f>
        <v>27796.928244975748</v>
      </c>
      <c r="K559" s="256"/>
      <c r="L559" s="805">
        <f t="shared" ref="L559:Q559" si="159">SUM(L555:L558)</f>
        <v>2293.0791868152601</v>
      </c>
      <c r="M559" s="805">
        <f t="shared" si="159"/>
        <v>128.4609163617869</v>
      </c>
      <c r="N559" s="805">
        <f t="shared" si="159"/>
        <v>96.729260561217899</v>
      </c>
      <c r="O559" s="805">
        <f t="shared" si="159"/>
        <v>603.10218693489446</v>
      </c>
      <c r="P559" s="805">
        <f t="shared" si="159"/>
        <v>876.18024926415137</v>
      </c>
      <c r="Q559" s="805">
        <f t="shared" si="159"/>
        <v>23799.376445038437</v>
      </c>
      <c r="R559" s="762"/>
      <c r="S559" s="807">
        <f t="shared" ref="S559:X559" si="160">SUM(S555:S558)</f>
        <v>640.84271324220515</v>
      </c>
      <c r="T559" s="807">
        <f t="shared" si="160"/>
        <v>3895.9240652553344</v>
      </c>
      <c r="U559" s="807">
        <f t="shared" si="160"/>
        <v>124.89980671442741</v>
      </c>
      <c r="V559" s="807">
        <f t="shared" si="160"/>
        <v>90.671451881808125</v>
      </c>
      <c r="W559" s="807">
        <f t="shared" si="160"/>
        <v>740.85308222408923</v>
      </c>
      <c r="X559" s="807">
        <f t="shared" si="160"/>
        <v>877.16777726152293</v>
      </c>
      <c r="Y559" s="771"/>
      <c r="Z559" s="807">
        <f>SUM(Z555:Z558)</f>
        <v>30169.735341617823</v>
      </c>
      <c r="AA559" s="806">
        <f>Z559/G559*100</f>
        <v>4.2270063050702049</v>
      </c>
      <c r="AB559" s="805">
        <f>SUM(AB555:AB558)</f>
        <v>2372.8070966420769</v>
      </c>
      <c r="AC559" s="804">
        <f>AA559/I559-1</f>
        <v>8.5362205339036157E-2</v>
      </c>
      <c r="AD559" s="769"/>
      <c r="AF559" s="763"/>
      <c r="AI559" s="763"/>
      <c r="AK559" s="763"/>
      <c r="AM559" s="776"/>
    </row>
    <row r="560" spans="1:39">
      <c r="A560" s="256"/>
      <c r="B560" s="256"/>
      <c r="D560" s="256"/>
      <c r="E560" s="36"/>
      <c r="F560" s="256"/>
      <c r="G560" s="35"/>
      <c r="H560" s="256"/>
      <c r="I560" s="256"/>
      <c r="J560" s="256"/>
      <c r="K560" s="256"/>
      <c r="L560" s="762"/>
      <c r="M560" s="762"/>
      <c r="N560" s="762"/>
      <c r="O560" s="762"/>
      <c r="P560" s="762"/>
      <c r="Q560" s="762"/>
      <c r="R560" s="771"/>
      <c r="S560" s="771"/>
      <c r="T560" s="762"/>
      <c r="U560" s="762"/>
      <c r="V560" s="762"/>
      <c r="W560" s="762"/>
      <c r="X560" s="762"/>
      <c r="Y560" s="771"/>
      <c r="Z560" s="771"/>
      <c r="AA560" s="771"/>
      <c r="AB560" s="762"/>
      <c r="AC560" s="504"/>
      <c r="AF560" s="763"/>
      <c r="AI560" s="763"/>
      <c r="AK560" s="763"/>
      <c r="AM560" s="776"/>
    </row>
    <row r="561" spans="1:39">
      <c r="A561" s="256"/>
      <c r="B561" s="256"/>
      <c r="C561" s="7" t="s">
        <v>805</v>
      </c>
      <c r="D561" s="256"/>
      <c r="E561" s="36"/>
      <c r="F561" s="256"/>
      <c r="G561" s="453"/>
      <c r="H561" s="256"/>
      <c r="I561" s="256"/>
      <c r="J561" s="750"/>
      <c r="K561" s="256"/>
      <c r="L561" s="762"/>
      <c r="M561" s="762"/>
      <c r="N561" s="762"/>
      <c r="O561" s="762"/>
      <c r="P561" s="762"/>
      <c r="Q561" s="762"/>
      <c r="R561" s="771"/>
      <c r="S561" s="771"/>
      <c r="T561" s="762"/>
      <c r="U561" s="762"/>
      <c r="V561" s="762"/>
      <c r="W561" s="762"/>
      <c r="X561" s="762"/>
      <c r="Y561" s="771"/>
      <c r="Z561" s="771"/>
      <c r="AA561" s="771"/>
      <c r="AB561" s="762"/>
      <c r="AC561" s="504"/>
      <c r="AF561" s="763"/>
      <c r="AI561" s="763"/>
      <c r="AK561" s="763"/>
      <c r="AM561" s="776"/>
    </row>
    <row r="562" spans="1:39">
      <c r="A562" s="256">
        <v>264</v>
      </c>
      <c r="B562" s="256"/>
      <c r="C562" s="9" t="s">
        <v>820</v>
      </c>
      <c r="D562" s="256"/>
      <c r="E562" s="513" t="s">
        <v>674</v>
      </c>
      <c r="F562" s="256"/>
      <c r="G562" s="35">
        <v>75999.023490000007</v>
      </c>
      <c r="H562" s="256"/>
      <c r="I562" s="772">
        <v>2.4513716001416475</v>
      </c>
      <c r="J562" s="750">
        <f>G562*I562/100</f>
        <v>1863.0184782188398</v>
      </c>
      <c r="K562" s="256"/>
      <c r="L562" s="35">
        <v>64.675168989990013</v>
      </c>
      <c r="M562" s="35">
        <v>13.263258602054556</v>
      </c>
      <c r="N562" s="35">
        <v>9.9870469053464248</v>
      </c>
      <c r="O562" s="35">
        <v>62.268746754492533</v>
      </c>
      <c r="P562" s="35">
        <v>90.463353034744088</v>
      </c>
      <c r="Q562" s="762">
        <f>J562-L562-M562-N562-O562-P562</f>
        <v>1622.3609039322123</v>
      </c>
      <c r="R562" s="771"/>
      <c r="S562" s="35">
        <v>43.653120244065803</v>
      </c>
      <c r="T562" s="35">
        <v>266.37489455742417</v>
      </c>
      <c r="U562" s="35">
        <v>12.895583207071539</v>
      </c>
      <c r="V562" s="35">
        <v>9.3615937686857631</v>
      </c>
      <c r="W562" s="35">
        <v>76.491171742802919</v>
      </c>
      <c r="X562" s="35">
        <v>90.565312755855061</v>
      </c>
      <c r="Y562" s="771"/>
      <c r="Z562" s="771">
        <f>Q562+S562+T562+U562+V562+W562+X562</f>
        <v>2121.7025802081171</v>
      </c>
      <c r="AA562" s="792">
        <f>Z562/G562*100</f>
        <v>2.7917497920052772</v>
      </c>
      <c r="AB562" s="762">
        <f>Z562-J562</f>
        <v>258.68410198927722</v>
      </c>
      <c r="AC562" s="770">
        <f>AA562/I562-1</f>
        <v>0.13885213969353383</v>
      </c>
      <c r="AD562" s="769"/>
      <c r="AF562" s="763"/>
      <c r="AI562" s="763"/>
      <c r="AK562" s="763"/>
      <c r="AM562" s="776"/>
    </row>
    <row r="563" spans="1:39">
      <c r="A563" s="256">
        <v>265</v>
      </c>
      <c r="B563" s="256"/>
      <c r="C563" s="9" t="s">
        <v>821</v>
      </c>
      <c r="D563" s="256"/>
      <c r="E563" s="513" t="s">
        <v>674</v>
      </c>
      <c r="F563" s="256"/>
      <c r="G563" s="35">
        <v>7467.4059999999999</v>
      </c>
      <c r="H563" s="256"/>
      <c r="I563" s="772">
        <v>2.5402936060527579</v>
      </c>
      <c r="J563" s="750">
        <f>G563*I563/100</f>
        <v>189.69403715600001</v>
      </c>
      <c r="K563" s="256"/>
      <c r="L563" s="35">
        <v>6.3547625059999993</v>
      </c>
      <c r="M563" s="35">
        <v>1.3032027559875927</v>
      </c>
      <c r="N563" s="35">
        <v>0</v>
      </c>
      <c r="O563" s="35">
        <v>0</v>
      </c>
      <c r="P563" s="35">
        <v>0</v>
      </c>
      <c r="Q563" s="762">
        <f>J563-L563-M563-N563-O563-P563</f>
        <v>182.03607189401242</v>
      </c>
      <c r="R563" s="771"/>
      <c r="S563" s="35">
        <v>4.4682606552018171</v>
      </c>
      <c r="T563" s="35">
        <v>26.173092686239681</v>
      </c>
      <c r="U563" s="35">
        <v>1.2670762200866437</v>
      </c>
      <c r="V563" s="35">
        <v>0</v>
      </c>
      <c r="W563" s="35">
        <v>0</v>
      </c>
      <c r="X563" s="35">
        <v>0</v>
      </c>
      <c r="Y563" s="771"/>
      <c r="Z563" s="771">
        <f>Q563+S563+T563+U563+V563+W563+X563</f>
        <v>213.94450145554055</v>
      </c>
      <c r="AA563" s="792">
        <f>Z563/G563*100</f>
        <v>2.8650444539313993</v>
      </c>
      <c r="AB563" s="762">
        <f>Z563-J563</f>
        <v>24.250464299540539</v>
      </c>
      <c r="AC563" s="770">
        <f>AA563/I563-1</f>
        <v>0.1278398871314943</v>
      </c>
      <c r="AD563" s="769"/>
      <c r="AF563" s="763"/>
      <c r="AI563" s="763"/>
      <c r="AK563" s="763"/>
      <c r="AM563" s="776"/>
    </row>
    <row r="564" spans="1:39">
      <c r="A564" s="256"/>
      <c r="B564" s="256"/>
      <c r="C564" s="7"/>
      <c r="D564" s="256"/>
      <c r="E564" s="36"/>
      <c r="F564" s="256"/>
      <c r="G564" s="453"/>
      <c r="H564" s="256"/>
      <c r="I564" s="256"/>
      <c r="J564" s="750"/>
      <c r="K564" s="256"/>
      <c r="L564" s="762"/>
      <c r="M564" s="762"/>
      <c r="N564" s="762"/>
      <c r="O564" s="762"/>
      <c r="P564" s="762"/>
      <c r="Q564" s="762"/>
      <c r="R564" s="771"/>
      <c r="S564" s="771"/>
      <c r="T564" s="762"/>
      <c r="U564" s="762"/>
      <c r="V564" s="762"/>
      <c r="W564" s="762"/>
      <c r="X564" s="762"/>
      <c r="Y564" s="771"/>
      <c r="Z564" s="771"/>
      <c r="AA564" s="771"/>
      <c r="AB564" s="762"/>
      <c r="AC564" s="770"/>
      <c r="AD564" s="769"/>
      <c r="AF564" s="763"/>
      <c r="AI564" s="763"/>
      <c r="AK564" s="763"/>
      <c r="AM564" s="776"/>
    </row>
    <row r="565" spans="1:39">
      <c r="A565" s="256">
        <v>266</v>
      </c>
      <c r="B565" s="256"/>
      <c r="C565" s="7" t="s">
        <v>809</v>
      </c>
      <c r="D565" s="256"/>
      <c r="E565" s="742"/>
      <c r="F565" s="256"/>
      <c r="G565" s="137">
        <f>G562</f>
        <v>75999.023490000007</v>
      </c>
      <c r="H565" s="256"/>
      <c r="I565" s="806">
        <f>J565/G565*100</f>
        <v>2.7009722245246173</v>
      </c>
      <c r="J565" s="808">
        <f>SUM(J562:J564)</f>
        <v>2052.7125153748398</v>
      </c>
      <c r="K565" s="256"/>
      <c r="L565" s="805">
        <f t="shared" ref="L565:Q565" si="161">SUM(L562:L564)</f>
        <v>71.029931495990013</v>
      </c>
      <c r="M565" s="805">
        <f t="shared" si="161"/>
        <v>14.566461358042149</v>
      </c>
      <c r="N565" s="805">
        <f t="shared" si="161"/>
        <v>9.9870469053464248</v>
      </c>
      <c r="O565" s="805">
        <f t="shared" si="161"/>
        <v>62.268746754492533</v>
      </c>
      <c r="P565" s="805">
        <f t="shared" si="161"/>
        <v>90.463353034744088</v>
      </c>
      <c r="Q565" s="805">
        <f t="shared" si="161"/>
        <v>1804.3969758262247</v>
      </c>
      <c r="R565" s="771"/>
      <c r="S565" s="807">
        <f t="shared" ref="S565:X565" si="162">SUM(S562:S564)</f>
        <v>48.121380899267621</v>
      </c>
      <c r="T565" s="807">
        <f t="shared" si="162"/>
        <v>292.54798724366384</v>
      </c>
      <c r="U565" s="807">
        <f t="shared" si="162"/>
        <v>14.162659427158182</v>
      </c>
      <c r="V565" s="807">
        <f t="shared" si="162"/>
        <v>9.3615937686857631</v>
      </c>
      <c r="W565" s="807">
        <f t="shared" si="162"/>
        <v>76.491171742802919</v>
      </c>
      <c r="X565" s="807">
        <f t="shared" si="162"/>
        <v>90.565312755855061</v>
      </c>
      <c r="Y565" s="771"/>
      <c r="Z565" s="807">
        <f>SUM(Z562:Z564)</f>
        <v>2335.6470816636574</v>
      </c>
      <c r="AA565" s="806">
        <f>Z565/G565*100</f>
        <v>3.0732593320373165</v>
      </c>
      <c r="AB565" s="805">
        <f>SUM(AB562:AB564)</f>
        <v>282.93456628881779</v>
      </c>
      <c r="AC565" s="804">
        <f>AA565/I565-1</f>
        <v>0.1378344820181272</v>
      </c>
      <c r="AD565" s="769"/>
      <c r="AF565" s="763"/>
      <c r="AI565" s="763"/>
      <c r="AK565" s="763"/>
      <c r="AM565" s="776"/>
    </row>
    <row r="566" spans="1:39">
      <c r="A566" s="256"/>
      <c r="B566" s="256"/>
      <c r="D566" s="256"/>
      <c r="E566" s="134"/>
      <c r="F566" s="256"/>
      <c r="G566" s="749"/>
      <c r="H566" s="256"/>
      <c r="I566" s="256"/>
      <c r="J566" s="750"/>
      <c r="K566" s="256"/>
      <c r="L566" s="762"/>
      <c r="M566" s="762"/>
      <c r="N566" s="762"/>
      <c r="O566" s="762"/>
      <c r="P566" s="762"/>
      <c r="Q566" s="762"/>
      <c r="R566" s="771"/>
      <c r="S566" s="771"/>
      <c r="T566" s="762"/>
      <c r="U566" s="762"/>
      <c r="V566" s="762"/>
      <c r="W566" s="762"/>
      <c r="X566" s="762"/>
      <c r="Y566" s="771"/>
      <c r="Z566" s="771"/>
      <c r="AA566" s="771"/>
      <c r="AB566" s="762"/>
      <c r="AC566" s="770"/>
      <c r="AD566" s="769"/>
      <c r="AF566" s="763"/>
      <c r="AI566" s="763"/>
      <c r="AK566" s="763"/>
      <c r="AM566" s="776"/>
    </row>
    <row r="567" spans="1:39">
      <c r="A567" s="256">
        <v>267</v>
      </c>
      <c r="B567" s="256"/>
      <c r="C567" s="7" t="s">
        <v>715</v>
      </c>
      <c r="D567" s="256"/>
      <c r="E567" s="513" t="s">
        <v>674</v>
      </c>
      <c r="F567" s="256"/>
      <c r="G567" s="35">
        <v>35618.685999999994</v>
      </c>
      <c r="H567" s="256"/>
      <c r="I567" s="772">
        <v>20.538400000000003</v>
      </c>
      <c r="J567" s="750">
        <f>G567*I567/100</f>
        <v>7315.5082054240002</v>
      </c>
      <c r="K567" s="256"/>
      <c r="L567" s="825">
        <v>0</v>
      </c>
      <c r="M567" s="825">
        <v>0</v>
      </c>
      <c r="N567" s="825">
        <v>0</v>
      </c>
      <c r="O567" s="825">
        <v>0</v>
      </c>
      <c r="P567" s="825">
        <v>0</v>
      </c>
      <c r="Q567" s="762">
        <f>J567-L567-M567-N567-O567-P567</f>
        <v>7315.5082054240002</v>
      </c>
      <c r="R567" s="771"/>
      <c r="S567" s="771">
        <v>-0.70978300935735916</v>
      </c>
      <c r="T567" s="825">
        <v>0</v>
      </c>
      <c r="U567" s="825">
        <v>0</v>
      </c>
      <c r="V567" s="825">
        <v>0</v>
      </c>
      <c r="W567" s="825">
        <v>0</v>
      </c>
      <c r="X567" s="825">
        <v>0</v>
      </c>
      <c r="Y567" s="771"/>
      <c r="Z567" s="771">
        <f>Q567+S567+T567+U567+V567+W567+X567</f>
        <v>7314.798422414643</v>
      </c>
      <c r="AA567" s="792">
        <f>Z567/G567*100</f>
        <v>20.536407273459343</v>
      </c>
      <c r="AB567" s="762">
        <f>Z567-J567</f>
        <v>-0.70978300935712468</v>
      </c>
      <c r="AC567" s="770">
        <f>AA567/I567-1</f>
        <v>-9.7024429393743894E-5</v>
      </c>
      <c r="AD567" s="769"/>
      <c r="AF567" s="763"/>
      <c r="AI567" s="763"/>
      <c r="AK567" s="763"/>
      <c r="AM567" s="776"/>
    </row>
    <row r="568" spans="1:39">
      <c r="A568" s="256"/>
      <c r="B568" s="256"/>
      <c r="C568" s="7"/>
      <c r="D568" s="256"/>
      <c r="E568" s="36"/>
      <c r="F568" s="256"/>
      <c r="G568" s="453"/>
      <c r="H568" s="256"/>
      <c r="I568" s="256"/>
      <c r="J568" s="750"/>
      <c r="K568" s="256"/>
      <c r="L568" s="762"/>
      <c r="M568" s="762"/>
      <c r="N568" s="762"/>
      <c r="O568" s="762"/>
      <c r="P568" s="762"/>
      <c r="Q568" s="762"/>
      <c r="R568" s="771"/>
      <c r="S568" s="771"/>
      <c r="T568" s="762"/>
      <c r="U568" s="762"/>
      <c r="V568" s="762"/>
      <c r="W568" s="762"/>
      <c r="X568" s="762"/>
      <c r="Y568" s="771"/>
      <c r="Z568" s="771"/>
      <c r="AA568" s="792"/>
      <c r="AB568" s="762"/>
      <c r="AC568" s="504"/>
      <c r="AF568" s="763"/>
      <c r="AI568" s="763"/>
      <c r="AK568" s="763"/>
      <c r="AM568" s="776"/>
    </row>
    <row r="569" spans="1:39" ht="13.5" thickBot="1">
      <c r="A569" s="256">
        <v>268</v>
      </c>
      <c r="B569" s="256"/>
      <c r="C569" s="7" t="s">
        <v>822</v>
      </c>
      <c r="D569" s="256"/>
      <c r="E569" s="36"/>
      <c r="F569" s="256"/>
      <c r="G569" s="458">
        <f>G559+G565</f>
        <v>789736.67052000004</v>
      </c>
      <c r="H569" s="256"/>
      <c r="I569" s="803">
        <f>J569/G569*100</f>
        <v>4.7060178858483663</v>
      </c>
      <c r="J569" s="756">
        <f>J559+J565+J567</f>
        <v>37165.148965774584</v>
      </c>
      <c r="K569" s="750"/>
      <c r="L569" s="781">
        <f t="shared" ref="L569:Q569" si="163">L559+L565+L567</f>
        <v>2364.1091183112503</v>
      </c>
      <c r="M569" s="781">
        <f t="shared" si="163"/>
        <v>143.02737771982905</v>
      </c>
      <c r="N569" s="781">
        <f t="shared" si="163"/>
        <v>106.71630746656433</v>
      </c>
      <c r="O569" s="781">
        <f t="shared" si="163"/>
        <v>665.37093368938702</v>
      </c>
      <c r="P569" s="781">
        <f t="shared" si="163"/>
        <v>966.64360229889542</v>
      </c>
      <c r="Q569" s="781">
        <f t="shared" si="163"/>
        <v>32919.281626288663</v>
      </c>
      <c r="R569" s="771"/>
      <c r="S569" s="781">
        <f t="shared" ref="S569:X569" si="164">S559+S565+S567</f>
        <v>688.25431113211539</v>
      </c>
      <c r="T569" s="781">
        <f t="shared" si="164"/>
        <v>4188.472052498998</v>
      </c>
      <c r="U569" s="781">
        <f t="shared" si="164"/>
        <v>139.06246614158559</v>
      </c>
      <c r="V569" s="781">
        <f t="shared" si="164"/>
        <v>100.03304565049389</v>
      </c>
      <c r="W569" s="781">
        <f t="shared" si="164"/>
        <v>817.34425396689221</v>
      </c>
      <c r="X569" s="781">
        <f t="shared" si="164"/>
        <v>967.733090017378</v>
      </c>
      <c r="Y569" s="771"/>
      <c r="Z569" s="781">
        <f>Z559+Z565+Z567</f>
        <v>39820.180845696123</v>
      </c>
      <c r="AA569" s="803">
        <f>Z569/G569*100</f>
        <v>5.0422099330244636</v>
      </c>
      <c r="AB569" s="799">
        <f>AB559+AB565+AB567</f>
        <v>2655.0318799215374</v>
      </c>
      <c r="AC569" s="798">
        <f>AA569/I569-1</f>
        <v>7.1438752535784467E-2</v>
      </c>
      <c r="AD569" s="769"/>
      <c r="AF569" s="763"/>
      <c r="AI569" s="763"/>
      <c r="AK569" s="763"/>
      <c r="AM569" s="776"/>
    </row>
    <row r="570" spans="1:39" ht="13.5" thickTop="1">
      <c r="L570" s="2"/>
      <c r="M570" s="2"/>
      <c r="N570" s="2"/>
      <c r="O570" s="2"/>
      <c r="P570" s="504"/>
      <c r="Q570" s="504"/>
      <c r="T570" s="504"/>
      <c r="U570" s="504"/>
      <c r="V570" s="504"/>
      <c r="W570" s="504"/>
      <c r="X570" s="504"/>
      <c r="AB570" s="762"/>
      <c r="AC570" s="504"/>
      <c r="AF570" s="763"/>
      <c r="AI570" s="763"/>
      <c r="AK570" s="763"/>
      <c r="AM570" s="776"/>
    </row>
    <row r="571" spans="1:39">
      <c r="L571" s="2"/>
      <c r="M571" s="2"/>
      <c r="N571" s="2"/>
      <c r="O571" s="2"/>
      <c r="P571" s="504"/>
      <c r="Q571" s="504"/>
      <c r="T571" s="504"/>
      <c r="U571" s="504"/>
      <c r="V571" s="504"/>
      <c r="W571" s="504"/>
      <c r="X571" s="504"/>
      <c r="AB571" s="504"/>
      <c r="AC571" s="504"/>
      <c r="AF571" s="763"/>
      <c r="AI571" s="763"/>
      <c r="AK571" s="763"/>
      <c r="AM571" s="776"/>
    </row>
    <row r="572" spans="1:39">
      <c r="L572" s="2"/>
      <c r="M572" s="2"/>
      <c r="N572" s="2"/>
      <c r="O572" s="2"/>
      <c r="P572" s="504"/>
      <c r="Q572" s="504"/>
      <c r="T572" s="504"/>
      <c r="U572" s="504"/>
      <c r="V572" s="504"/>
      <c r="W572" s="504"/>
      <c r="X572" s="504"/>
      <c r="AB572" s="504"/>
      <c r="AC572" s="504"/>
      <c r="AF572" s="763"/>
      <c r="AI572" s="763"/>
      <c r="AK572" s="763"/>
      <c r="AM572" s="776"/>
    </row>
    <row r="573" spans="1:39">
      <c r="L573" s="2"/>
      <c r="M573" s="2"/>
      <c r="N573" s="2"/>
      <c r="O573" s="2"/>
      <c r="P573" s="504"/>
      <c r="Q573" s="504"/>
      <c r="T573" s="504"/>
      <c r="U573" s="504"/>
      <c r="V573" s="504"/>
      <c r="W573" s="504"/>
      <c r="X573" s="504"/>
      <c r="AB573" s="504"/>
      <c r="AC573" s="504"/>
      <c r="AF573" s="763"/>
      <c r="AI573" s="763"/>
      <c r="AK573" s="763"/>
      <c r="AM573" s="776"/>
    </row>
    <row r="574" spans="1:39">
      <c r="L574" s="2"/>
      <c r="M574" s="2"/>
      <c r="N574" s="2"/>
      <c r="O574" s="2"/>
      <c r="P574" s="504"/>
      <c r="Q574" s="504"/>
      <c r="T574" s="504"/>
      <c r="U574" s="504"/>
      <c r="V574" s="504"/>
      <c r="W574" s="504"/>
      <c r="X574" s="504"/>
      <c r="AB574" s="504"/>
      <c r="AC574" s="504"/>
      <c r="AF574" s="763"/>
      <c r="AI574" s="763"/>
      <c r="AK574" s="763"/>
      <c r="AM574" s="776"/>
    </row>
    <row r="575" spans="1:39">
      <c r="A575" s="1324" t="s">
        <v>724</v>
      </c>
      <c r="B575" s="1324"/>
      <c r="C575" s="1324"/>
      <c r="D575" s="1324"/>
      <c r="E575" s="1324"/>
      <c r="F575" s="1324"/>
      <c r="G575" s="1324"/>
      <c r="H575" s="1324"/>
      <c r="I575" s="1324"/>
      <c r="J575" s="1324"/>
      <c r="K575" s="1324"/>
      <c r="L575" s="1324"/>
      <c r="M575" s="1324"/>
      <c r="N575" s="1324"/>
      <c r="O575" s="1324"/>
      <c r="P575" s="1324"/>
      <c r="Q575" s="1324"/>
      <c r="R575" s="1324"/>
      <c r="S575" s="1324"/>
      <c r="T575" s="1324"/>
      <c r="U575" s="1324"/>
      <c r="V575" s="1324"/>
      <c r="W575" s="1324"/>
      <c r="X575" s="1324"/>
      <c r="Y575" s="1324"/>
      <c r="Z575" s="1324"/>
      <c r="AA575" s="1324"/>
      <c r="AB575" s="1324"/>
      <c r="AC575" s="1324"/>
      <c r="AD575" s="665"/>
      <c r="AF575" s="763"/>
      <c r="AI575" s="763"/>
      <c r="AK575" s="763"/>
      <c r="AM575" s="776"/>
    </row>
    <row r="576" spans="1:39">
      <c r="A576" s="385"/>
      <c r="B576" s="385"/>
      <c r="C576" s="385"/>
      <c r="D576" s="385"/>
      <c r="E576" s="447"/>
      <c r="F576" s="385"/>
      <c r="G576" s="447"/>
      <c r="H576" s="385"/>
      <c r="I576" s="385"/>
      <c r="J576" s="385"/>
      <c r="K576" s="385"/>
      <c r="L576" s="385"/>
      <c r="M576" s="385"/>
      <c r="N576" s="3"/>
      <c r="O576" s="3"/>
      <c r="P576" s="504"/>
      <c r="Q576" s="504"/>
      <c r="R576" s="385"/>
      <c r="S576" s="385"/>
      <c r="T576" s="504"/>
      <c r="U576" s="504"/>
      <c r="V576" s="504"/>
      <c r="W576" s="504"/>
      <c r="X576" s="504"/>
      <c r="Y576" s="385"/>
      <c r="Z576" s="385"/>
      <c r="AA576" s="385"/>
      <c r="AB576" s="504"/>
      <c r="AC576" s="504"/>
      <c r="AF576" s="763"/>
      <c r="AI576" s="763"/>
      <c r="AK576" s="763"/>
      <c r="AM576" s="776"/>
    </row>
    <row r="577" spans="1:39">
      <c r="A577" s="447"/>
      <c r="B577" s="447"/>
      <c r="C577" s="447"/>
      <c r="D577" s="447"/>
      <c r="E577" s="385"/>
      <c r="F577" s="447"/>
      <c r="G577" s="1313" t="str">
        <f>G8</f>
        <v>Current Approved Revenue</v>
      </c>
      <c r="H577" s="1313"/>
      <c r="I577" s="1313"/>
      <c r="J577" s="1313"/>
      <c r="K577" s="447"/>
      <c r="L577" s="1313" t="str">
        <f>L8</f>
        <v>Adjustments to 2023 Base Rates</v>
      </c>
      <c r="M577" s="1313"/>
      <c r="N577" s="1313"/>
      <c r="O577" s="1313"/>
      <c r="P577" s="1313"/>
      <c r="Q577" s="256"/>
      <c r="R577" s="447"/>
      <c r="S577" s="1313" t="str">
        <f>S8</f>
        <v>Adjustments to 2024 Base Rates</v>
      </c>
      <c r="T577" s="1313"/>
      <c r="U577" s="1313"/>
      <c r="V577" s="1313"/>
      <c r="W577" s="1313"/>
      <c r="X577" s="1313"/>
      <c r="Y577" s="447"/>
      <c r="Z577" s="1313" t="str">
        <f>Z8</f>
        <v>2024 Proposed Revenue</v>
      </c>
      <c r="AA577" s="1313"/>
      <c r="AB577" s="1313"/>
      <c r="AC577" s="1313"/>
      <c r="AD577" s="4"/>
      <c r="AF577" s="763"/>
      <c r="AI577" s="763"/>
      <c r="AK577" s="763"/>
      <c r="AM577" s="776"/>
    </row>
    <row r="578" spans="1:39" ht="38.25">
      <c r="A578" s="254" t="s">
        <v>1</v>
      </c>
      <c r="B578" s="254"/>
      <c r="C578" s="254"/>
      <c r="D578" s="254"/>
      <c r="E578" s="4" t="s">
        <v>670</v>
      </c>
      <c r="F578" s="254"/>
      <c r="G578" s="13" t="s">
        <v>684</v>
      </c>
      <c r="H578" s="254"/>
      <c r="I578" s="13" t="s">
        <v>196</v>
      </c>
      <c r="J578" s="13" t="s">
        <v>503</v>
      </c>
      <c r="K578" s="254"/>
      <c r="L578" s="13" t="s">
        <v>505</v>
      </c>
      <c r="M578" s="13" t="s">
        <v>685</v>
      </c>
      <c r="N578" s="254" t="s">
        <v>686</v>
      </c>
      <c r="O578" s="254" t="s">
        <v>508</v>
      </c>
      <c r="P578" s="254" t="s">
        <v>687</v>
      </c>
      <c r="Q578" s="254" t="s">
        <v>688</v>
      </c>
      <c r="R578" s="254"/>
      <c r="S578" s="254" t="s">
        <v>689</v>
      </c>
      <c r="T578" s="13" t="s">
        <v>505</v>
      </c>
      <c r="U578" s="13" t="s">
        <v>685</v>
      </c>
      <c r="V578" s="254" t="s">
        <v>686</v>
      </c>
      <c r="W578" s="254" t="s">
        <v>508</v>
      </c>
      <c r="X578" s="254" t="s">
        <v>687</v>
      </c>
      <c r="Y578" s="254"/>
      <c r="Z578" s="13" t="s">
        <v>690</v>
      </c>
      <c r="AA578" s="13" t="s">
        <v>691</v>
      </c>
      <c r="AB578" s="13" t="s">
        <v>692</v>
      </c>
      <c r="AC578" s="254" t="s">
        <v>693</v>
      </c>
      <c r="AD578" s="254"/>
      <c r="AF578" s="763"/>
      <c r="AI578" s="763"/>
      <c r="AK578" s="763"/>
      <c r="AM578" s="776"/>
    </row>
    <row r="579" spans="1:39" ht="14.25">
      <c r="A579" s="255" t="s">
        <v>2</v>
      </c>
      <c r="B579" s="256"/>
      <c r="C579" s="449" t="s">
        <v>3</v>
      </c>
      <c r="D579" s="256"/>
      <c r="E579" s="255" t="s">
        <v>4</v>
      </c>
      <c r="F579" s="256"/>
      <c r="G579" s="255" t="s">
        <v>694</v>
      </c>
      <c r="H579" s="256"/>
      <c r="I579" s="255" t="s">
        <v>77</v>
      </c>
      <c r="J579" s="255" t="s">
        <v>20</v>
      </c>
      <c r="K579" s="256"/>
      <c r="L579" s="255" t="s">
        <v>20</v>
      </c>
      <c r="M579" s="255" t="s">
        <v>20</v>
      </c>
      <c r="N579" s="255" t="s">
        <v>20</v>
      </c>
      <c r="O579" s="255" t="s">
        <v>20</v>
      </c>
      <c r="P579" s="255" t="s">
        <v>20</v>
      </c>
      <c r="Q579" s="255" t="s">
        <v>20</v>
      </c>
      <c r="R579" s="256"/>
      <c r="S579" s="255" t="s">
        <v>20</v>
      </c>
      <c r="T579" s="255" t="s">
        <v>20</v>
      </c>
      <c r="U579" s="255" t="s">
        <v>20</v>
      </c>
      <c r="V579" s="255" t="s">
        <v>20</v>
      </c>
      <c r="W579" s="255" t="s">
        <v>20</v>
      </c>
      <c r="X579" s="255" t="s">
        <v>20</v>
      </c>
      <c r="Y579" s="256"/>
      <c r="Z579" s="255" t="s">
        <v>20</v>
      </c>
      <c r="AA579" s="255" t="s">
        <v>77</v>
      </c>
      <c r="AB579" s="255" t="s">
        <v>20</v>
      </c>
      <c r="AC579" s="255" t="s">
        <v>76</v>
      </c>
      <c r="AD579" s="4"/>
      <c r="AF579" s="763"/>
      <c r="AI579" s="763"/>
      <c r="AK579" s="763"/>
      <c r="AM579" s="776"/>
    </row>
    <row r="580" spans="1:39">
      <c r="A580" s="4"/>
      <c r="B580" s="256"/>
      <c r="C580" s="256"/>
      <c r="D580" s="256"/>
      <c r="E580" s="4"/>
      <c r="F580" s="256"/>
      <c r="G580" s="4" t="s">
        <v>8</v>
      </c>
      <c r="H580" s="4"/>
      <c r="I580" s="4" t="s">
        <v>9</v>
      </c>
      <c r="J580" s="4" t="s">
        <v>370</v>
      </c>
      <c r="K580" s="4"/>
      <c r="L580" s="132" t="s">
        <v>79</v>
      </c>
      <c r="M580" s="132" t="s">
        <v>115</v>
      </c>
      <c r="N580" s="132" t="s">
        <v>81</v>
      </c>
      <c r="O580" s="132" t="s">
        <v>82</v>
      </c>
      <c r="P580" s="4" t="s">
        <v>118</v>
      </c>
      <c r="Q580" s="4" t="s">
        <v>695</v>
      </c>
      <c r="R580" s="4"/>
      <c r="S580" s="4" t="s">
        <v>696</v>
      </c>
      <c r="T580" s="4" t="s">
        <v>517</v>
      </c>
      <c r="U580" s="4" t="s">
        <v>518</v>
      </c>
      <c r="V580" s="4" t="s">
        <v>519</v>
      </c>
      <c r="W580" s="4" t="s">
        <v>697</v>
      </c>
      <c r="X580" s="4" t="s">
        <v>698</v>
      </c>
      <c r="Y580" s="4"/>
      <c r="Z580" s="4" t="s">
        <v>725</v>
      </c>
      <c r="AA580" s="4" t="s">
        <v>700</v>
      </c>
      <c r="AB580" s="4" t="s">
        <v>701</v>
      </c>
      <c r="AC580" s="4" t="s">
        <v>702</v>
      </c>
      <c r="AD580" s="4"/>
      <c r="AF580" s="763"/>
      <c r="AI580" s="763"/>
      <c r="AK580" s="763"/>
      <c r="AM580" s="776"/>
    </row>
    <row r="581" spans="1:39">
      <c r="E581" s="36"/>
      <c r="G581" s="35"/>
      <c r="J581" s="752"/>
      <c r="L581" s="762"/>
      <c r="M581" s="762"/>
      <c r="N581" s="762"/>
      <c r="O581" s="762"/>
      <c r="P581" s="762"/>
      <c r="Q581" s="762"/>
      <c r="R581" s="68"/>
      <c r="S581" s="68"/>
      <c r="T581" s="762"/>
      <c r="U581" s="762"/>
      <c r="V581" s="762"/>
      <c r="W581" s="762"/>
      <c r="X581" s="762"/>
      <c r="Y581" s="68"/>
      <c r="Z581" s="68"/>
      <c r="AA581" s="68"/>
      <c r="AB581" s="762"/>
      <c r="AC581" s="504"/>
      <c r="AF581" s="763"/>
      <c r="AM581" s="776"/>
    </row>
    <row r="582" spans="1:39">
      <c r="A582" s="4"/>
      <c r="B582" s="256"/>
      <c r="C582" s="6" t="s">
        <v>183</v>
      </c>
      <c r="D582" s="256"/>
      <c r="E582" s="742"/>
      <c r="F582" s="256"/>
      <c r="G582" s="35"/>
      <c r="H582" s="256"/>
      <c r="I582" s="256"/>
      <c r="J582" s="750"/>
      <c r="K582" s="256"/>
      <c r="L582" s="762"/>
      <c r="M582" s="762"/>
      <c r="N582" s="762"/>
      <c r="O582" s="762"/>
      <c r="P582" s="762"/>
      <c r="Q582" s="762"/>
      <c r="R582" s="771"/>
      <c r="S582" s="771"/>
      <c r="T582" s="762"/>
      <c r="U582" s="762"/>
      <c r="V582" s="762"/>
      <c r="W582" s="762"/>
      <c r="X582" s="762"/>
      <c r="Y582" s="771"/>
      <c r="Z582" s="771"/>
      <c r="AA582" s="771"/>
      <c r="AB582" s="762"/>
      <c r="AC582" s="504"/>
    </row>
    <row r="583" spans="1:39">
      <c r="A583" s="256">
        <v>269</v>
      </c>
      <c r="B583" s="256"/>
      <c r="C583" s="512" t="s">
        <v>726</v>
      </c>
      <c r="D583" s="256"/>
      <c r="E583" s="513" t="s">
        <v>675</v>
      </c>
      <c r="F583" s="256"/>
      <c r="G583" s="35">
        <v>6040.4639999999999</v>
      </c>
      <c r="H583" s="750"/>
      <c r="I583" s="772">
        <v>27.228400000000001</v>
      </c>
      <c r="J583" s="750">
        <f>G583*I583/100</f>
        <v>1644.7216997759999</v>
      </c>
      <c r="K583" s="750"/>
      <c r="L583" s="35">
        <v>16.88309688</v>
      </c>
      <c r="M583" s="825">
        <v>0</v>
      </c>
      <c r="N583" s="825">
        <v>0</v>
      </c>
      <c r="O583" s="825">
        <v>0</v>
      </c>
      <c r="P583" s="825">
        <v>0</v>
      </c>
      <c r="Q583" s="762">
        <f>J583-L583-M583-N583-O583-P583</f>
        <v>1627.8386028959999</v>
      </c>
      <c r="R583" s="771"/>
      <c r="S583" s="35">
        <v>43.894955181412342</v>
      </c>
      <c r="T583" s="35">
        <v>17.720613264513492</v>
      </c>
      <c r="U583" s="35">
        <v>0</v>
      </c>
      <c r="V583" s="35">
        <v>0</v>
      </c>
      <c r="W583" s="35">
        <v>0</v>
      </c>
      <c r="X583" s="35">
        <v>0</v>
      </c>
      <c r="Y583" s="771"/>
      <c r="Z583" s="771">
        <f>Q583+S583+T583+U583+V583+W583+X583</f>
        <v>1689.4541713419258</v>
      </c>
      <c r="AA583" s="792">
        <f>Z583/G583*100</f>
        <v>27.968946944173922</v>
      </c>
      <c r="AB583" s="762">
        <f>Z583-J583</f>
        <v>44.732471565925835</v>
      </c>
      <c r="AC583" s="770">
        <f>AA583/I583-1</f>
        <v>2.7197593107708196E-2</v>
      </c>
      <c r="AD583" s="769"/>
      <c r="AF583" s="763"/>
      <c r="AI583" s="763"/>
      <c r="AK583" s="763"/>
      <c r="AM583" s="776"/>
    </row>
    <row r="584" spans="1:39">
      <c r="A584" s="256">
        <v>270</v>
      </c>
      <c r="B584" s="256"/>
      <c r="C584" s="512" t="s">
        <v>705</v>
      </c>
      <c r="D584" s="256"/>
      <c r="E584" s="513" t="s">
        <v>674</v>
      </c>
      <c r="F584" s="256"/>
      <c r="G584" s="35">
        <v>90073.425800000012</v>
      </c>
      <c r="H584" s="750"/>
      <c r="I584" s="772">
        <v>0.30399999999999999</v>
      </c>
      <c r="J584" s="750">
        <f>G584*I584/100</f>
        <v>273.82321443200004</v>
      </c>
      <c r="K584" s="750"/>
      <c r="L584" s="825">
        <v>0</v>
      </c>
      <c r="M584" s="35">
        <v>65.613483750987882</v>
      </c>
      <c r="N584" s="35">
        <v>2.8522366222343125</v>
      </c>
      <c r="O584" s="35">
        <v>53.547075007156863</v>
      </c>
      <c r="P584" s="35">
        <v>75.954499308342562</v>
      </c>
      <c r="Q584" s="762">
        <f>J584-L584-M584-N584-O584-P584</f>
        <v>75.855919743278449</v>
      </c>
      <c r="R584" s="771"/>
      <c r="S584" s="35">
        <v>2.044008771829354</v>
      </c>
      <c r="T584" s="35">
        <v>0</v>
      </c>
      <c r="U584" s="35">
        <v>63.794589595473241</v>
      </c>
      <c r="V584" s="35">
        <v>2.6736112128633147</v>
      </c>
      <c r="W584" s="35">
        <v>65.777436100425092</v>
      </c>
      <c r="X584" s="35">
        <v>76.040106344858529</v>
      </c>
      <c r="Y584" s="771"/>
      <c r="Z584" s="771">
        <f>Q584+S584+T584+U584+V584+W584+X584</f>
        <v>286.18567176872796</v>
      </c>
      <c r="AA584" s="792">
        <f>Z584/G584*100</f>
        <v>0.31772486638198666</v>
      </c>
      <c r="AB584" s="762">
        <f>Z584-J584</f>
        <v>12.362457336727914</v>
      </c>
      <c r="AC584" s="770">
        <f>AA584/I584-1</f>
        <v>4.5147586782850802E-2</v>
      </c>
      <c r="AD584" s="769"/>
      <c r="AF584" s="763"/>
      <c r="AI584" s="763"/>
      <c r="AK584" s="763"/>
      <c r="AM584" s="776"/>
    </row>
    <row r="585" spans="1:39">
      <c r="A585" s="256"/>
      <c r="C585" s="7"/>
      <c r="G585" s="744"/>
      <c r="H585" s="752"/>
      <c r="I585" s="772"/>
      <c r="J585" s="750"/>
      <c r="K585" s="752"/>
      <c r="L585" s="762"/>
      <c r="M585" s="762"/>
      <c r="N585" s="762"/>
      <c r="O585" s="762"/>
      <c r="P585" s="762"/>
      <c r="Q585" s="762"/>
      <c r="R585" s="68"/>
      <c r="S585" s="136"/>
      <c r="T585" s="827"/>
      <c r="U585" s="827"/>
      <c r="V585" s="827"/>
      <c r="W585" s="827"/>
      <c r="X585" s="827"/>
      <c r="Y585" s="68"/>
      <c r="Z585" s="68"/>
      <c r="AA585" s="821"/>
      <c r="AB585" s="762"/>
      <c r="AC585" s="770"/>
      <c r="AD585" s="769"/>
      <c r="AF585" s="763"/>
      <c r="AI585" s="763"/>
      <c r="AK585" s="763"/>
      <c r="AM585" s="776"/>
    </row>
    <row r="586" spans="1:39">
      <c r="A586" s="256">
        <v>271</v>
      </c>
      <c r="B586" s="256"/>
      <c r="C586" s="7" t="s">
        <v>710</v>
      </c>
      <c r="D586" s="256"/>
      <c r="E586" s="36"/>
      <c r="F586" s="256"/>
      <c r="G586" s="830">
        <f>G584</f>
        <v>90073.425800000012</v>
      </c>
      <c r="H586" s="750"/>
      <c r="I586" s="829">
        <f>J586/G586*100</f>
        <v>2.1299788446683015</v>
      </c>
      <c r="J586" s="808">
        <f>SUM(J583:J585)</f>
        <v>1918.5449142079999</v>
      </c>
      <c r="K586" s="750"/>
      <c r="L586" s="805">
        <f t="shared" ref="L586:Q586" si="165">SUM(L583:L585)</f>
        <v>16.88309688</v>
      </c>
      <c r="M586" s="805">
        <f t="shared" si="165"/>
        <v>65.613483750987882</v>
      </c>
      <c r="N586" s="805">
        <f t="shared" si="165"/>
        <v>2.8522366222343125</v>
      </c>
      <c r="O586" s="805">
        <f t="shared" si="165"/>
        <v>53.547075007156863</v>
      </c>
      <c r="P586" s="805">
        <f t="shared" si="165"/>
        <v>75.954499308342562</v>
      </c>
      <c r="Q586" s="805">
        <f t="shared" si="165"/>
        <v>1703.6945226392784</v>
      </c>
      <c r="R586" s="771"/>
      <c r="S586" s="137">
        <f t="shared" ref="S586:X586" si="166">SUM(S583:S585)</f>
        <v>45.938963953241696</v>
      </c>
      <c r="T586" s="137">
        <f t="shared" si="166"/>
        <v>17.720613264513492</v>
      </c>
      <c r="U586" s="137">
        <f t="shared" si="166"/>
        <v>63.794589595473241</v>
      </c>
      <c r="V586" s="137">
        <f t="shared" si="166"/>
        <v>2.6736112128633147</v>
      </c>
      <c r="W586" s="137">
        <f t="shared" si="166"/>
        <v>65.777436100425092</v>
      </c>
      <c r="X586" s="137">
        <f t="shared" si="166"/>
        <v>76.040106344858529</v>
      </c>
      <c r="Y586" s="771"/>
      <c r="Z586" s="807">
        <f>SUM(Z583:Z585)</f>
        <v>1975.6398431106536</v>
      </c>
      <c r="AA586" s="806">
        <f>Z586/G586*100</f>
        <v>2.1933659406908594</v>
      </c>
      <c r="AB586" s="805">
        <f>SUM(AB583:AB585)</f>
        <v>57.094928902653749</v>
      </c>
      <c r="AC586" s="804">
        <f>AA586/I586-1</f>
        <v>2.9759495584299689E-2</v>
      </c>
      <c r="AD586" s="769"/>
      <c r="AF586" s="763"/>
      <c r="AI586" s="763"/>
      <c r="AK586" s="763"/>
      <c r="AM586" s="776"/>
    </row>
    <row r="587" spans="1:39">
      <c r="A587" s="256"/>
      <c r="B587" s="256"/>
      <c r="D587" s="256"/>
      <c r="E587" s="36"/>
      <c r="F587" s="256"/>
      <c r="G587" s="828"/>
      <c r="H587" s="750"/>
      <c r="I587" s="823"/>
      <c r="J587" s="750"/>
      <c r="K587" s="750"/>
      <c r="L587" s="762"/>
      <c r="M587" s="762"/>
      <c r="N587" s="762"/>
      <c r="O587" s="762"/>
      <c r="P587" s="762"/>
      <c r="Q587" s="762"/>
      <c r="R587" s="771"/>
      <c r="S587" s="453"/>
      <c r="T587" s="827"/>
      <c r="U587" s="827"/>
      <c r="V587" s="827"/>
      <c r="W587" s="827"/>
      <c r="X587" s="827"/>
      <c r="Y587" s="771"/>
      <c r="Z587" s="771"/>
      <c r="AA587" s="821"/>
      <c r="AB587" s="762"/>
      <c r="AC587" s="770"/>
      <c r="AD587" s="769"/>
      <c r="AF587" s="763"/>
      <c r="AI587" s="763"/>
      <c r="AK587" s="763"/>
      <c r="AM587" s="776"/>
    </row>
    <row r="588" spans="1:39">
      <c r="A588" s="256">
        <v>272</v>
      </c>
      <c r="B588" s="734"/>
      <c r="C588" s="7" t="s">
        <v>715</v>
      </c>
      <c r="D588" s="734"/>
      <c r="E588" s="513" t="s">
        <v>674</v>
      </c>
      <c r="F588" s="734"/>
      <c r="G588" s="35">
        <v>15795.321699999999</v>
      </c>
      <c r="H588" s="826"/>
      <c r="I588" s="772">
        <v>20.538400000000003</v>
      </c>
      <c r="J588" s="750">
        <f>G588*I588/100</f>
        <v>3244.1063520328003</v>
      </c>
      <c r="K588" s="826"/>
      <c r="L588" s="825">
        <v>0</v>
      </c>
      <c r="M588" s="825">
        <v>0</v>
      </c>
      <c r="N588" s="825">
        <v>0</v>
      </c>
      <c r="O588" s="825">
        <v>0</v>
      </c>
      <c r="P588" s="825">
        <v>0</v>
      </c>
      <c r="Q588" s="762">
        <f>J588-L588-M588-N588-O588-P588</f>
        <v>3244.1063520328003</v>
      </c>
      <c r="R588" s="824"/>
      <c r="S588" s="136">
        <v>-0.314757567698976</v>
      </c>
      <c r="T588" s="35">
        <v>0</v>
      </c>
      <c r="U588" s="35">
        <v>0</v>
      </c>
      <c r="V588" s="35">
        <v>0</v>
      </c>
      <c r="W588" s="35">
        <v>0</v>
      </c>
      <c r="X588" s="35">
        <v>0</v>
      </c>
      <c r="Y588" s="824"/>
      <c r="Z588" s="136">
        <f>Q588+S588+T588+U588+V588+W588+X588</f>
        <v>3243.7915944651013</v>
      </c>
      <c r="AA588" s="792">
        <f>Z588/G588*100</f>
        <v>20.536407273459339</v>
      </c>
      <c r="AB588" s="762">
        <f>Z588-J588</f>
        <v>-0.31475756769896179</v>
      </c>
      <c r="AC588" s="770">
        <f>AA588/I588-1</f>
        <v>-9.7024429393854916E-5</v>
      </c>
      <c r="AD588" s="769"/>
      <c r="AF588" s="763"/>
      <c r="AI588" s="763"/>
      <c r="AK588" s="763"/>
      <c r="AM588" s="776"/>
    </row>
    <row r="589" spans="1:39">
      <c r="A589" s="256"/>
      <c r="B589" s="385"/>
      <c r="C589" s="7"/>
      <c r="D589" s="385"/>
      <c r="E589" s="447"/>
      <c r="F589" s="385"/>
      <c r="G589" s="35"/>
      <c r="H589" s="822"/>
      <c r="I589" s="823"/>
      <c r="J589" s="822"/>
      <c r="K589" s="822"/>
      <c r="L589" s="762"/>
      <c r="M589" s="762"/>
      <c r="N589" s="762"/>
      <c r="O589" s="762"/>
      <c r="P589" s="762"/>
      <c r="Q589" s="762"/>
      <c r="R589" s="789"/>
      <c r="S589" s="789"/>
      <c r="T589" s="762"/>
      <c r="U589" s="762"/>
      <c r="V589" s="762"/>
      <c r="W589" s="762"/>
      <c r="X589" s="762"/>
      <c r="Y589" s="789"/>
      <c r="Z589" s="789"/>
      <c r="AA589" s="821"/>
      <c r="AB589" s="762"/>
      <c r="AC589" s="770"/>
      <c r="AD589" s="769"/>
      <c r="AF589" s="763"/>
      <c r="AI589" s="763"/>
      <c r="AK589" s="763"/>
      <c r="AM589" s="776"/>
    </row>
    <row r="590" spans="1:39" ht="13.5" thickBot="1">
      <c r="A590" s="256">
        <v>273</v>
      </c>
      <c r="B590" s="447"/>
      <c r="C590" s="7" t="s">
        <v>823</v>
      </c>
      <c r="D590" s="447"/>
      <c r="E590" s="385"/>
      <c r="F590" s="447"/>
      <c r="G590" s="819">
        <f>G586</f>
        <v>90073.425800000012</v>
      </c>
      <c r="H590" s="818"/>
      <c r="I590" s="820">
        <f>J590/G590*100</f>
        <v>5.7316031009012649</v>
      </c>
      <c r="J590" s="819">
        <f>J586+J588</f>
        <v>5162.6512662408004</v>
      </c>
      <c r="K590" s="818"/>
      <c r="L590" s="458">
        <f t="shared" ref="L590:Q590" si="167">L586+L588</f>
        <v>16.88309688</v>
      </c>
      <c r="M590" s="458">
        <f t="shared" si="167"/>
        <v>65.613483750987882</v>
      </c>
      <c r="N590" s="458">
        <f t="shared" si="167"/>
        <v>2.8522366222343125</v>
      </c>
      <c r="O590" s="458">
        <f t="shared" si="167"/>
        <v>53.547075007156863</v>
      </c>
      <c r="P590" s="458">
        <f t="shared" si="167"/>
        <v>75.954499308342562</v>
      </c>
      <c r="Q590" s="458">
        <f t="shared" si="167"/>
        <v>4947.8008746720789</v>
      </c>
      <c r="R590" s="453"/>
      <c r="S590" s="458">
        <f t="shared" ref="S590:X590" si="168">S586+S588</f>
        <v>45.62420638554272</v>
      </c>
      <c r="T590" s="458">
        <f t="shared" si="168"/>
        <v>17.720613264513492</v>
      </c>
      <c r="U590" s="458">
        <f t="shared" si="168"/>
        <v>63.794589595473241</v>
      </c>
      <c r="V590" s="458">
        <f t="shared" si="168"/>
        <v>2.6736112128633147</v>
      </c>
      <c r="W590" s="458">
        <f t="shared" si="168"/>
        <v>65.777436100425092</v>
      </c>
      <c r="X590" s="458">
        <f t="shared" si="168"/>
        <v>76.040106344858529</v>
      </c>
      <c r="Y590" s="453"/>
      <c r="Z590" s="458">
        <f>Z586+Z588</f>
        <v>5219.4314375757549</v>
      </c>
      <c r="AA590" s="803">
        <f>Z590/G590*100</f>
        <v>5.7946407513854705</v>
      </c>
      <c r="AB590" s="799">
        <f>AB586+AB588</f>
        <v>56.780171334954787</v>
      </c>
      <c r="AC590" s="798">
        <f>AA590/I590-1</f>
        <v>1.0998258144269135E-2</v>
      </c>
      <c r="AD590" s="769"/>
      <c r="AF590" s="763"/>
      <c r="AI590" s="763"/>
      <c r="AK590" s="763"/>
      <c r="AM590" s="776"/>
    </row>
    <row r="591" spans="1:39" ht="13.5" thickTop="1">
      <c r="A591" s="256"/>
      <c r="B591" s="254"/>
      <c r="C591" s="254"/>
      <c r="D591" s="254"/>
      <c r="E591" s="4"/>
      <c r="F591" s="254"/>
      <c r="G591" s="13"/>
      <c r="H591" s="254"/>
      <c r="I591" s="817"/>
      <c r="J591" s="254"/>
      <c r="K591" s="254"/>
      <c r="L591" s="762"/>
      <c r="M591" s="762"/>
      <c r="N591" s="762"/>
      <c r="O591" s="762"/>
      <c r="P591" s="762"/>
      <c r="Q591" s="762"/>
      <c r="R591" s="786"/>
      <c r="S591" s="786"/>
      <c r="T591" s="762"/>
      <c r="U591" s="762"/>
      <c r="V591" s="762"/>
      <c r="W591" s="762"/>
      <c r="X591" s="762"/>
      <c r="Y591" s="786"/>
      <c r="Z591" s="786"/>
      <c r="AA591" s="786"/>
      <c r="AB591" s="762"/>
      <c r="AC591" s="770"/>
      <c r="AD591" s="769"/>
      <c r="AK591" s="763"/>
    </row>
    <row r="592" spans="1:39">
      <c r="A592" s="256"/>
      <c r="B592" s="256"/>
      <c r="C592" s="6" t="s">
        <v>184</v>
      </c>
      <c r="D592" s="256"/>
      <c r="E592" s="4"/>
      <c r="F592" s="256"/>
      <c r="G592" s="4"/>
      <c r="H592" s="256"/>
      <c r="I592" s="256"/>
      <c r="J592" s="256"/>
      <c r="K592" s="256"/>
      <c r="L592" s="762"/>
      <c r="M592" s="762"/>
      <c r="N592" s="762"/>
      <c r="O592" s="762"/>
      <c r="P592" s="762"/>
      <c r="Q592" s="762"/>
      <c r="R592" s="771"/>
      <c r="S592" s="771"/>
      <c r="T592" s="762"/>
      <c r="U592" s="762"/>
      <c r="V592" s="762"/>
      <c r="W592" s="762"/>
      <c r="X592" s="762"/>
      <c r="Y592" s="771"/>
      <c r="Z592" s="771"/>
      <c r="AA592" s="771"/>
      <c r="AB592" s="762"/>
      <c r="AC592" s="504"/>
    </row>
    <row r="593" spans="1:39">
      <c r="A593" s="256">
        <v>274</v>
      </c>
      <c r="B593" s="256"/>
      <c r="C593" s="7" t="s">
        <v>703</v>
      </c>
      <c r="D593" s="256"/>
      <c r="E593" s="4" t="s">
        <v>824</v>
      </c>
      <c r="F593" s="256"/>
      <c r="G593" s="35">
        <v>564.00000000000091</v>
      </c>
      <c r="H593" s="256"/>
      <c r="I593" s="778">
        <v>2155.61</v>
      </c>
      <c r="J593" s="750">
        <f>G593*I593/1000</f>
        <v>1215.7640400000021</v>
      </c>
      <c r="K593" s="750"/>
      <c r="L593" s="35">
        <v>0</v>
      </c>
      <c r="M593" s="35">
        <v>0</v>
      </c>
      <c r="N593" s="35">
        <v>0</v>
      </c>
      <c r="O593" s="35">
        <v>0</v>
      </c>
      <c r="P593" s="35">
        <v>0</v>
      </c>
      <c r="Q593" s="762">
        <f>J593-L593-M593-N593-O593-P593</f>
        <v>1215.7640400000021</v>
      </c>
      <c r="R593" s="771"/>
      <c r="S593" s="35">
        <v>32.783291876745352</v>
      </c>
      <c r="T593" s="35">
        <v>0</v>
      </c>
      <c r="U593" s="35">
        <v>0</v>
      </c>
      <c r="V593" s="35">
        <v>0</v>
      </c>
      <c r="W593" s="35">
        <v>0</v>
      </c>
      <c r="X593" s="35">
        <v>0</v>
      </c>
      <c r="Y593" s="771"/>
      <c r="Z593" s="771">
        <f>Q593+S593+T593+U593+V593+W593+X593</f>
        <v>1248.5473318767474</v>
      </c>
      <c r="AA593" s="811">
        <f>Z593/G593*1000</f>
        <v>2213.7364040367825</v>
      </c>
      <c r="AB593" s="762">
        <f>Z593-J593</f>
        <v>32.783291876745352</v>
      </c>
      <c r="AC593" s="770">
        <f>AA593/I593-1</f>
        <v>2.696517646363783E-2</v>
      </c>
      <c r="AD593" s="769"/>
      <c r="AF593" s="763"/>
      <c r="AI593" s="763"/>
      <c r="AK593" s="763"/>
      <c r="AM593" s="776"/>
    </row>
    <row r="594" spans="1:39" ht="14.25">
      <c r="A594" s="256"/>
      <c r="B594" s="256"/>
      <c r="C594" s="7" t="s">
        <v>825</v>
      </c>
      <c r="D594" s="256"/>
      <c r="E594" s="4"/>
      <c r="F594" s="256"/>
      <c r="G594" s="35"/>
      <c r="H594" s="256"/>
      <c r="I594" s="778"/>
      <c r="J594" s="750"/>
      <c r="K594" s="750"/>
      <c r="L594" s="35"/>
      <c r="M594" s="35"/>
      <c r="N594" s="35"/>
      <c r="O594" s="35"/>
      <c r="P594" s="35"/>
      <c r="Q594" s="762"/>
      <c r="R594" s="771"/>
      <c r="S594" s="35"/>
      <c r="T594" s="35"/>
      <c r="U594" s="35"/>
      <c r="V594" s="35"/>
      <c r="W594" s="35"/>
      <c r="X594" s="35"/>
      <c r="Y594" s="771"/>
      <c r="Z594" s="771"/>
      <c r="AA594" s="811"/>
      <c r="AB594" s="762"/>
      <c r="AC594" s="770"/>
      <c r="AD594" s="769"/>
      <c r="AF594" s="763"/>
      <c r="AI594" s="763"/>
      <c r="AK594" s="763"/>
      <c r="AM594" s="776"/>
    </row>
    <row r="595" spans="1:39">
      <c r="A595" s="256"/>
      <c r="B595" s="256"/>
      <c r="C595" s="519" t="s">
        <v>826</v>
      </c>
      <c r="D595" s="256"/>
      <c r="F595" s="256"/>
      <c r="G595" s="749"/>
      <c r="H595" s="256"/>
      <c r="I595" s="256"/>
      <c r="J595" s="750"/>
      <c r="K595" s="750"/>
      <c r="L595" s="35"/>
      <c r="M595" s="35"/>
      <c r="N595" s="35"/>
      <c r="O595" s="35"/>
      <c r="P595" s="35"/>
      <c r="Q595" s="762"/>
      <c r="R595" s="771"/>
      <c r="S595" s="35"/>
      <c r="T595" s="762"/>
      <c r="U595" s="762"/>
      <c r="V595" s="762"/>
      <c r="W595" s="762"/>
      <c r="X595" s="762"/>
      <c r="Y595" s="771"/>
      <c r="Z595" s="771"/>
      <c r="AA595" s="771"/>
      <c r="AB595" s="762"/>
      <c r="AC595" s="770"/>
      <c r="AD595" s="769"/>
      <c r="AF595" s="763"/>
      <c r="AI595" s="763"/>
      <c r="AK595" s="763"/>
      <c r="AM595" s="776"/>
    </row>
    <row r="596" spans="1:39">
      <c r="A596" s="256">
        <v>275</v>
      </c>
      <c r="B596" s="256"/>
      <c r="C596" s="731" t="s">
        <v>827</v>
      </c>
      <c r="D596" s="256"/>
      <c r="E596" s="513" t="s">
        <v>828</v>
      </c>
      <c r="F596" s="256"/>
      <c r="G596" s="35">
        <v>14363.064</v>
      </c>
      <c r="H596" s="256"/>
      <c r="I596" s="772">
        <v>44.595399999999998</v>
      </c>
      <c r="J596" s="750">
        <f>G596*I596/100</f>
        <v>6405.2658430560004</v>
      </c>
      <c r="K596" s="750"/>
      <c r="L596" s="35">
        <v>964.0632187440001</v>
      </c>
      <c r="M596" s="35">
        <v>0</v>
      </c>
      <c r="N596" s="35">
        <v>0</v>
      </c>
      <c r="O596" s="35">
        <v>0</v>
      </c>
      <c r="P596" s="35">
        <v>0</v>
      </c>
      <c r="Q596" s="762">
        <f>J596-L596-M596-N596-O596-P596</f>
        <v>5441.2026243119999</v>
      </c>
      <c r="R596" s="771"/>
      <c r="S596" s="35">
        <v>146.72298893898278</v>
      </c>
      <c r="T596" s="35">
        <v>555.59751780191789</v>
      </c>
      <c r="U596" s="35">
        <v>0</v>
      </c>
      <c r="V596" s="35">
        <v>0</v>
      </c>
      <c r="W596" s="35">
        <v>0</v>
      </c>
      <c r="X596" s="35">
        <v>0</v>
      </c>
      <c r="Y596" s="771"/>
      <c r="Z596" s="771">
        <f>Q596+S596+T596+U596+V596+W596+X596</f>
        <v>6143.5231310529007</v>
      </c>
      <c r="AA596" s="792">
        <f>Z596/G596*100</f>
        <v>42.773067996166418</v>
      </c>
      <c r="AB596" s="762">
        <f>Z596-J596</f>
        <v>-261.74271200309977</v>
      </c>
      <c r="AC596" s="785">
        <f>AA596/I596-1</f>
        <v>-4.0863676608654309E-2</v>
      </c>
      <c r="AD596" s="785"/>
      <c r="AF596" s="763"/>
      <c r="AI596" s="763"/>
      <c r="AK596" s="763"/>
      <c r="AM596" s="776"/>
    </row>
    <row r="597" spans="1:39">
      <c r="A597" s="256">
        <v>276</v>
      </c>
      <c r="B597" s="256"/>
      <c r="C597" s="731" t="s">
        <v>829</v>
      </c>
      <c r="D597" s="256"/>
      <c r="E597" s="513" t="s">
        <v>828</v>
      </c>
      <c r="F597" s="256"/>
      <c r="G597" s="35">
        <v>12176.784</v>
      </c>
      <c r="H597" s="256"/>
      <c r="I597" s="772">
        <v>31.676299999999998</v>
      </c>
      <c r="J597" s="750">
        <f>G597*I597/100</f>
        <v>3857.1546301919998</v>
      </c>
      <c r="K597" s="750"/>
      <c r="L597" s="35">
        <v>564.67400443199995</v>
      </c>
      <c r="M597" s="35">
        <v>0</v>
      </c>
      <c r="N597" s="35">
        <v>0</v>
      </c>
      <c r="O597" s="35">
        <v>0</v>
      </c>
      <c r="P597" s="35">
        <v>0</v>
      </c>
      <c r="Q597" s="762">
        <f>J597-L597-M597-N597-O597-P597</f>
        <v>3292.4806257599998</v>
      </c>
      <c r="R597" s="771"/>
      <c r="S597" s="35">
        <v>88.78232107672693</v>
      </c>
      <c r="T597" s="35">
        <v>336.19296861132091</v>
      </c>
      <c r="U597" s="35">
        <v>0</v>
      </c>
      <c r="V597" s="35">
        <v>0</v>
      </c>
      <c r="W597" s="35">
        <v>0</v>
      </c>
      <c r="X597" s="35">
        <v>0</v>
      </c>
      <c r="Y597" s="771"/>
      <c r="Z597" s="771">
        <f>Q597+S597+T597+U597+V597+W597+X597</f>
        <v>3717.4559154480476</v>
      </c>
      <c r="AA597" s="792">
        <f>Z597/G597*100</f>
        <v>30.529045398588394</v>
      </c>
      <c r="AB597" s="762">
        <f>Z597-J597</f>
        <v>-139.69871474395222</v>
      </c>
      <c r="AC597" s="785">
        <f>AA597/I597-1</f>
        <v>-3.6218074756572016E-2</v>
      </c>
      <c r="AD597" s="785"/>
      <c r="AF597" s="763"/>
      <c r="AI597" s="763"/>
      <c r="AK597" s="763"/>
      <c r="AM597" s="776"/>
    </row>
    <row r="598" spans="1:39">
      <c r="A598" s="256"/>
      <c r="B598" s="256"/>
      <c r="C598" s="519" t="s">
        <v>830</v>
      </c>
      <c r="D598" s="256"/>
      <c r="E598" s="36"/>
      <c r="F598" s="256"/>
      <c r="G598" s="35"/>
      <c r="H598" s="256"/>
      <c r="I598" s="256"/>
      <c r="J598" s="750"/>
      <c r="K598" s="750"/>
      <c r="L598" s="35"/>
      <c r="M598" s="35"/>
      <c r="N598" s="35"/>
      <c r="O598" s="35"/>
      <c r="P598" s="35"/>
      <c r="Q598" s="762"/>
      <c r="R598" s="771"/>
      <c r="S598" s="35"/>
      <c r="T598" s="762"/>
      <c r="U598" s="35"/>
      <c r="V598" s="35"/>
      <c r="W598" s="35"/>
      <c r="X598" s="35"/>
      <c r="Y598" s="771"/>
      <c r="Z598" s="771"/>
      <c r="AA598" s="792"/>
      <c r="AB598" s="762"/>
      <c r="AC598" s="770"/>
      <c r="AD598" s="769"/>
      <c r="AF598" s="763"/>
      <c r="AI598" s="763"/>
      <c r="AK598" s="763"/>
      <c r="AM598" s="776"/>
    </row>
    <row r="599" spans="1:39">
      <c r="A599" s="256">
        <v>277</v>
      </c>
      <c r="B599" s="256"/>
      <c r="C599" s="814" t="s">
        <v>831</v>
      </c>
      <c r="D599" s="256"/>
      <c r="E599" s="36" t="s">
        <v>674</v>
      </c>
      <c r="F599" s="256"/>
      <c r="G599" s="35">
        <v>393753.99073000008</v>
      </c>
      <c r="H599" s="256"/>
      <c r="I599" s="772">
        <v>0.14000000000000001</v>
      </c>
      <c r="J599" s="750">
        <f>G599*I599/100</f>
        <v>551.25558702200021</v>
      </c>
      <c r="K599" s="750"/>
      <c r="L599" s="35">
        <v>0</v>
      </c>
      <c r="M599" s="35">
        <v>0</v>
      </c>
      <c r="N599" s="35">
        <v>28.564106178708613</v>
      </c>
      <c r="O599" s="35">
        <v>0</v>
      </c>
      <c r="P599" s="35">
        <v>0</v>
      </c>
      <c r="Q599" s="762">
        <f>J599-L599-M599-N599-O599-P599</f>
        <v>522.69148084329163</v>
      </c>
      <c r="R599" s="771"/>
      <c r="S599" s="35">
        <v>12.826116178701625</v>
      </c>
      <c r="T599" s="35">
        <v>0</v>
      </c>
      <c r="U599" s="35">
        <v>0</v>
      </c>
      <c r="V599" s="35">
        <v>0</v>
      </c>
      <c r="W599" s="35">
        <v>0</v>
      </c>
      <c r="X599" s="35">
        <v>0</v>
      </c>
      <c r="Y599" s="771"/>
      <c r="Z599" s="771">
        <f>Q599+S599+T599+U599+V599+W599+X599</f>
        <v>535.5175970219932</v>
      </c>
      <c r="AA599" s="792">
        <f>Z599/G599*100</f>
        <v>0.13600309066815311</v>
      </c>
      <c r="AB599" s="762">
        <f>Z599-J599</f>
        <v>-15.737990000007017</v>
      </c>
      <c r="AC599" s="785">
        <f>AA599/I599-1</f>
        <v>-2.8549352370335068E-2</v>
      </c>
      <c r="AD599" s="769"/>
      <c r="AF599" s="763"/>
      <c r="AI599" s="763"/>
      <c r="AK599" s="763"/>
      <c r="AM599" s="776"/>
    </row>
    <row r="600" spans="1:39">
      <c r="A600" s="256">
        <v>278</v>
      </c>
      <c r="B600" s="256"/>
      <c r="C600" s="814" t="s">
        <v>832</v>
      </c>
      <c r="D600" s="256"/>
      <c r="E600" s="36" t="s">
        <v>674</v>
      </c>
      <c r="F600" s="256"/>
      <c r="G600" s="35">
        <v>37535.500949999994</v>
      </c>
      <c r="H600" s="256"/>
      <c r="I600" s="772">
        <v>2.1870000000000003</v>
      </c>
      <c r="J600" s="750">
        <f>G600*I600/100</f>
        <v>820.90140577650004</v>
      </c>
      <c r="K600" s="750"/>
      <c r="L600" s="35">
        <v>104.98679615714998</v>
      </c>
      <c r="M600" s="35">
        <v>0</v>
      </c>
      <c r="N600" s="35">
        <v>2.7229388396015293</v>
      </c>
      <c r="O600" s="35">
        <v>0</v>
      </c>
      <c r="P600" s="35">
        <v>0</v>
      </c>
      <c r="Q600" s="762">
        <f>J600-L600-M600-N600-O600-P600</f>
        <v>713.19167077974851</v>
      </c>
      <c r="R600" s="771"/>
      <c r="S600" s="35">
        <v>19.110430711182744</v>
      </c>
      <c r="T600" s="35">
        <v>72.688240983639275</v>
      </c>
      <c r="U600" s="35">
        <v>0</v>
      </c>
      <c r="V600" s="35">
        <v>0</v>
      </c>
      <c r="W600" s="35">
        <v>0</v>
      </c>
      <c r="X600" s="35">
        <v>0</v>
      </c>
      <c r="Y600" s="35"/>
      <c r="Z600" s="771">
        <f>Q600+S600+T600+U600+V600+W600+X600</f>
        <v>804.99034247457053</v>
      </c>
      <c r="AA600" s="792">
        <f>Z600/G600*100</f>
        <v>2.1446106275413133</v>
      </c>
      <c r="AB600" s="762">
        <f>Z600-J600</f>
        <v>-15.911063301929516</v>
      </c>
      <c r="AC600" s="785">
        <f>AA600/I600-1</f>
        <v>-1.9382429107767218E-2</v>
      </c>
      <c r="AD600" s="785"/>
      <c r="AF600" s="763"/>
      <c r="AI600" s="763"/>
      <c r="AK600" s="763"/>
      <c r="AM600" s="776"/>
    </row>
    <row r="601" spans="1:39">
      <c r="A601" s="256"/>
      <c r="B601" s="256"/>
      <c r="C601" s="7"/>
      <c r="D601" s="256"/>
      <c r="E601" s="36"/>
      <c r="F601" s="256"/>
      <c r="G601" s="35"/>
      <c r="H601" s="256"/>
      <c r="I601" s="256"/>
      <c r="J601" s="750"/>
      <c r="K601" s="750"/>
      <c r="L601" s="35"/>
      <c r="M601" s="35"/>
      <c r="N601" s="35"/>
      <c r="O601" s="35"/>
      <c r="P601" s="35"/>
      <c r="Q601" s="762"/>
      <c r="R601" s="771"/>
      <c r="S601" s="35"/>
      <c r="T601" s="35"/>
      <c r="U601" s="35"/>
      <c r="V601" s="35"/>
      <c r="W601" s="35"/>
      <c r="X601" s="35"/>
      <c r="Y601" s="771"/>
      <c r="Z601" s="771"/>
      <c r="AA601" s="792"/>
      <c r="AB601" s="762"/>
      <c r="AC601" s="770"/>
      <c r="AD601" s="769"/>
      <c r="AF601" s="763"/>
      <c r="AI601" s="763"/>
      <c r="AK601" s="763"/>
      <c r="AM601" s="776"/>
    </row>
    <row r="602" spans="1:39">
      <c r="A602" s="256">
        <v>279</v>
      </c>
      <c r="B602" s="256"/>
      <c r="C602" s="9" t="s">
        <v>833</v>
      </c>
      <c r="D602" s="256"/>
      <c r="E602" s="36" t="s">
        <v>674</v>
      </c>
      <c r="F602" s="256"/>
      <c r="G602" s="35">
        <v>1410.373</v>
      </c>
      <c r="H602" s="256"/>
      <c r="I602" s="772">
        <v>0.14000000000000001</v>
      </c>
      <c r="J602" s="750">
        <f>G602*I602/100</f>
        <v>1.9745222000000004</v>
      </c>
      <c r="K602" s="750"/>
      <c r="L602" s="35">
        <v>0</v>
      </c>
      <c r="M602" s="35">
        <v>0</v>
      </c>
      <c r="N602" s="35">
        <v>0.10231272589490586</v>
      </c>
      <c r="O602" s="35">
        <v>0</v>
      </c>
      <c r="P602" s="35">
        <v>0</v>
      </c>
      <c r="Q602" s="762">
        <f>J602-L602-M602-N602-O602-P602</f>
        <v>1.8722094741050945</v>
      </c>
      <c r="R602" s="771"/>
      <c r="S602" s="35">
        <v>4.5941395844056654E-2</v>
      </c>
      <c r="T602" s="35">
        <v>0</v>
      </c>
      <c r="U602" s="35">
        <v>0</v>
      </c>
      <c r="V602" s="35">
        <v>0</v>
      </c>
      <c r="W602" s="35">
        <v>0</v>
      </c>
      <c r="X602" s="35">
        <v>0</v>
      </c>
      <c r="Y602" s="771"/>
      <c r="Z602" s="771">
        <f>Q602+S602+T602+U602+V602+W602+X602</f>
        <v>1.9181508699491512</v>
      </c>
      <c r="AA602" s="792">
        <f>Z602/G602*100</f>
        <v>0.13600309066815311</v>
      </c>
      <c r="AB602" s="762">
        <f>Z602-J602</f>
        <v>-5.6371330050849267E-2</v>
      </c>
      <c r="AC602" s="785">
        <f>AA602/I602-1</f>
        <v>-2.8549352370335068E-2</v>
      </c>
      <c r="AD602" s="769"/>
      <c r="AF602" s="763"/>
      <c r="AI602" s="763"/>
      <c r="AK602" s="763"/>
      <c r="AM602" s="776"/>
    </row>
    <row r="603" spans="1:39">
      <c r="A603" s="256">
        <v>280</v>
      </c>
      <c r="B603" s="256"/>
      <c r="C603" s="9" t="s">
        <v>834</v>
      </c>
      <c r="D603" s="256"/>
      <c r="E603" s="36" t="s">
        <v>674</v>
      </c>
      <c r="F603" s="256"/>
      <c r="G603" s="35">
        <v>350</v>
      </c>
      <c r="H603" s="256"/>
      <c r="I603" s="772">
        <v>3.0979999999999999</v>
      </c>
      <c r="J603" s="750">
        <f>G603*I603/100</f>
        <v>10.843</v>
      </c>
      <c r="K603" s="750"/>
      <c r="L603" s="35">
        <v>0.97894999999999999</v>
      </c>
      <c r="M603" s="35">
        <v>0</v>
      </c>
      <c r="N603" s="35">
        <v>0</v>
      </c>
      <c r="O603" s="35">
        <v>0</v>
      </c>
      <c r="P603" s="35">
        <v>0</v>
      </c>
      <c r="Q603" s="762">
        <f>J603-L603-M603-N603-O603-P603</f>
        <v>9.8640500000000007</v>
      </c>
      <c r="R603" s="771"/>
      <c r="S603" s="35">
        <v>0.2641737890377911</v>
      </c>
      <c r="T603" s="35">
        <v>0.67778193178140467</v>
      </c>
      <c r="U603" s="35">
        <v>0</v>
      </c>
      <c r="V603" s="35">
        <v>0</v>
      </c>
      <c r="W603" s="35">
        <v>0</v>
      </c>
      <c r="X603" s="35">
        <v>0</v>
      </c>
      <c r="Y603" s="35"/>
      <c r="Z603" s="771">
        <f>Q603+S603+T603+U603+V603+W603+X603</f>
        <v>10.806005720819197</v>
      </c>
      <c r="AA603" s="792">
        <f>Z603/G603*100</f>
        <v>3.0874302059483423</v>
      </c>
      <c r="AB603" s="762">
        <f>Z603-J603</f>
        <v>-3.6994279180802891E-2</v>
      </c>
      <c r="AC603" s="785">
        <f>AA603/I603-1</f>
        <v>-3.4118121535370305E-3</v>
      </c>
      <c r="AD603" s="785"/>
      <c r="AF603" s="763"/>
      <c r="AI603" s="763"/>
      <c r="AK603" s="763"/>
      <c r="AM603" s="776"/>
    </row>
    <row r="604" spans="1:39">
      <c r="A604" s="256"/>
      <c r="B604" s="256"/>
      <c r="C604" s="7"/>
      <c r="D604" s="256"/>
      <c r="E604" s="36"/>
      <c r="F604" s="256"/>
      <c r="G604" s="453"/>
      <c r="H604" s="256"/>
      <c r="I604" s="256"/>
      <c r="J604" s="750"/>
      <c r="K604" s="750"/>
      <c r="L604" s="35"/>
      <c r="M604" s="35"/>
      <c r="N604" s="35"/>
      <c r="O604" s="35"/>
      <c r="P604" s="35"/>
      <c r="Q604" s="762"/>
      <c r="R604" s="771"/>
      <c r="S604" s="35"/>
      <c r="T604" s="762"/>
      <c r="U604" s="35"/>
      <c r="V604" s="35"/>
      <c r="W604" s="35"/>
      <c r="X604" s="35"/>
      <c r="Y604" s="771"/>
      <c r="Z604" s="771"/>
      <c r="AA604" s="792"/>
      <c r="AB604" s="762"/>
      <c r="AC604" s="770"/>
      <c r="AD604" s="769"/>
      <c r="AF604" s="763"/>
      <c r="AI604" s="763"/>
      <c r="AK604" s="763"/>
      <c r="AM604" s="776"/>
    </row>
    <row r="605" spans="1:39">
      <c r="A605" s="256">
        <v>281</v>
      </c>
      <c r="C605" s="9" t="s">
        <v>835</v>
      </c>
      <c r="E605" s="36" t="s">
        <v>777</v>
      </c>
      <c r="G605" s="35">
        <v>0</v>
      </c>
      <c r="I605" s="783">
        <v>3.5799999999999998E-3</v>
      </c>
      <c r="J605" s="752">
        <v>327.83781096999996</v>
      </c>
      <c r="K605" s="752"/>
      <c r="L605" s="35">
        <v>0</v>
      </c>
      <c r="M605" s="35">
        <v>0</v>
      </c>
      <c r="N605" s="35">
        <v>0</v>
      </c>
      <c r="O605" s="35">
        <v>126.74858452616807</v>
      </c>
      <c r="P605" s="35">
        <v>201.0892264438319</v>
      </c>
      <c r="Q605" s="762">
        <f>J605-L605-M605-N605-O605-P605</f>
        <v>0</v>
      </c>
      <c r="R605" s="68"/>
      <c r="S605" s="35">
        <v>0</v>
      </c>
      <c r="T605" s="35">
        <v>0</v>
      </c>
      <c r="U605" s="35">
        <v>0</v>
      </c>
      <c r="V605" s="35">
        <v>29.423554194372251</v>
      </c>
      <c r="W605" s="35">
        <v>154.67064676517469</v>
      </c>
      <c r="X605" s="35">
        <v>199.98692770115883</v>
      </c>
      <c r="Y605" s="68"/>
      <c r="Z605" s="771">
        <f>Q605+S605+T605+U605+V605+W605+X605</f>
        <v>384.08112866070576</v>
      </c>
      <c r="AA605" s="783">
        <v>4.1941789342021703E-3</v>
      </c>
      <c r="AB605" s="762">
        <f>Z605-J605</f>
        <v>56.243317690705794</v>
      </c>
      <c r="AC605" s="785">
        <f>AA605/I605-1</f>
        <v>0.17155836150898618</v>
      </c>
      <c r="AD605" s="785"/>
      <c r="AF605" s="763"/>
      <c r="AI605" s="763"/>
      <c r="AK605" s="763"/>
      <c r="AM605" s="809"/>
    </row>
    <row r="606" spans="1:39">
      <c r="A606" s="256"/>
      <c r="B606" s="256"/>
      <c r="C606" s="7"/>
      <c r="D606" s="256"/>
      <c r="E606" s="742"/>
      <c r="F606" s="256"/>
      <c r="G606" s="35"/>
      <c r="H606" s="256"/>
      <c r="I606" s="256"/>
      <c r="J606" s="750"/>
      <c r="K606" s="750"/>
      <c r="L606" s="762"/>
      <c r="M606" s="762"/>
      <c r="N606" s="762"/>
      <c r="O606" s="762"/>
      <c r="P606" s="762"/>
      <c r="Q606" s="762"/>
      <c r="R606" s="771"/>
      <c r="S606" s="771"/>
      <c r="T606" s="762"/>
      <c r="U606" s="762"/>
      <c r="V606" s="762"/>
      <c r="W606" s="762"/>
      <c r="X606" s="762"/>
      <c r="Y606" s="771"/>
      <c r="Z606" s="771"/>
      <c r="AA606" s="771"/>
      <c r="AB606" s="762"/>
      <c r="AC606" s="770"/>
      <c r="AD606" s="769"/>
      <c r="AF606" s="763"/>
      <c r="AI606" s="763"/>
      <c r="AK606" s="763"/>
      <c r="AM606" s="776"/>
    </row>
    <row r="607" spans="1:39">
      <c r="A607" s="256">
        <v>282</v>
      </c>
      <c r="B607" s="256"/>
      <c r="C607" s="7" t="s">
        <v>836</v>
      </c>
      <c r="D607" s="256"/>
      <c r="E607" s="742"/>
      <c r="F607" s="256"/>
      <c r="G607" s="420">
        <f>G599+G600</f>
        <v>431289.49168000009</v>
      </c>
      <c r="H607" s="256"/>
      <c r="I607" s="806">
        <f>J607/G607*100</f>
        <v>3.0585017937334085</v>
      </c>
      <c r="J607" s="808">
        <f>SUM(J593:J606)</f>
        <v>13190.996839216503</v>
      </c>
      <c r="K607" s="750"/>
      <c r="L607" s="807">
        <f t="shared" ref="L607:Q607" si="169">SUM(L593:L606)</f>
        <v>1634.7029693331499</v>
      </c>
      <c r="M607" s="807">
        <f t="shared" si="169"/>
        <v>0</v>
      </c>
      <c r="N607" s="807">
        <f t="shared" si="169"/>
        <v>31.389357744205046</v>
      </c>
      <c r="O607" s="807">
        <f t="shared" si="169"/>
        <v>126.74858452616807</v>
      </c>
      <c r="P607" s="807">
        <f t="shared" si="169"/>
        <v>201.0892264438319</v>
      </c>
      <c r="Q607" s="807">
        <f t="shared" si="169"/>
        <v>11197.066701169146</v>
      </c>
      <c r="R607" s="771"/>
      <c r="S607" s="807">
        <f t="shared" ref="S607:X607" si="170">SUM(S593:S606)</f>
        <v>300.53526396722128</v>
      </c>
      <c r="T607" s="807">
        <f t="shared" si="170"/>
        <v>965.15650932865947</v>
      </c>
      <c r="U607" s="807">
        <f t="shared" si="170"/>
        <v>0</v>
      </c>
      <c r="V607" s="807">
        <f t="shared" si="170"/>
        <v>29.423554194372251</v>
      </c>
      <c r="W607" s="807">
        <f t="shared" si="170"/>
        <v>154.67064676517469</v>
      </c>
      <c r="X607" s="807">
        <f t="shared" si="170"/>
        <v>199.98692770115883</v>
      </c>
      <c r="Y607" s="771"/>
      <c r="Z607" s="807">
        <f>SUM(Z593:Z606)</f>
        <v>12846.839603125733</v>
      </c>
      <c r="AA607" s="806">
        <f>Z607/G607*100</f>
        <v>2.9787045246763362</v>
      </c>
      <c r="AB607" s="805">
        <f>SUM(AB593:AB605)</f>
        <v>-344.15723609076906</v>
      </c>
      <c r="AC607" s="816">
        <f>AA607/I607-1</f>
        <v>-2.6090312982836816E-2</v>
      </c>
      <c r="AD607" s="785"/>
      <c r="AF607" s="763"/>
      <c r="AI607" s="763"/>
      <c r="AK607" s="763"/>
      <c r="AM607" s="776"/>
    </row>
    <row r="608" spans="1:39">
      <c r="A608" s="256"/>
      <c r="B608" s="256"/>
      <c r="D608" s="256"/>
      <c r="E608" s="742"/>
      <c r="F608" s="256"/>
      <c r="G608" s="35"/>
      <c r="H608" s="256"/>
      <c r="I608" s="256"/>
      <c r="J608" s="750"/>
      <c r="K608" s="750"/>
      <c r="L608" s="762"/>
      <c r="M608" s="762"/>
      <c r="N608" s="762"/>
      <c r="O608" s="762"/>
      <c r="P608" s="762"/>
      <c r="Q608" s="762"/>
      <c r="R608" s="771"/>
      <c r="S608" s="771"/>
      <c r="T608" s="762"/>
      <c r="U608" s="762"/>
      <c r="V608" s="762"/>
      <c r="W608" s="762"/>
      <c r="X608" s="762"/>
      <c r="Y608" s="771"/>
      <c r="Z608" s="771"/>
      <c r="AA608" s="771"/>
      <c r="AB608" s="762"/>
      <c r="AC608" s="504"/>
      <c r="AF608" s="763"/>
      <c r="AI608" s="763"/>
      <c r="AK608" s="763"/>
      <c r="AM608" s="776"/>
    </row>
    <row r="609" spans="1:39">
      <c r="A609" s="256"/>
      <c r="B609" s="256"/>
      <c r="C609" s="512" t="s">
        <v>837</v>
      </c>
      <c r="D609" s="256"/>
      <c r="E609" s="36"/>
      <c r="F609" s="256"/>
      <c r="G609" s="453"/>
      <c r="H609" s="256"/>
      <c r="I609" s="256"/>
      <c r="J609" s="750"/>
      <c r="K609" s="750"/>
      <c r="L609" s="762"/>
      <c r="M609" s="762"/>
      <c r="N609" s="762"/>
      <c r="O609" s="762"/>
      <c r="P609" s="762"/>
      <c r="Q609" s="762"/>
      <c r="R609" s="771"/>
      <c r="S609" s="771"/>
      <c r="T609" s="762"/>
      <c r="U609" s="762"/>
      <c r="V609" s="762"/>
      <c r="W609" s="762"/>
      <c r="X609" s="762"/>
      <c r="Y609" s="771"/>
      <c r="Z609" s="771"/>
      <c r="AA609" s="771"/>
      <c r="AB609" s="762"/>
      <c r="AC609" s="504"/>
      <c r="AF609" s="763"/>
      <c r="AI609" s="763"/>
      <c r="AK609" s="763"/>
      <c r="AM609" s="776"/>
    </row>
    <row r="610" spans="1:39">
      <c r="A610" s="256"/>
      <c r="C610" s="519" t="s">
        <v>838</v>
      </c>
      <c r="G610" s="135"/>
      <c r="J610" s="752"/>
      <c r="K610" s="752"/>
      <c r="L610" s="762"/>
      <c r="M610" s="762"/>
      <c r="N610" s="762"/>
      <c r="O610" s="762"/>
      <c r="P610" s="762"/>
      <c r="Q610" s="762"/>
      <c r="R610" s="68"/>
      <c r="S610" s="68"/>
      <c r="T610" s="762"/>
      <c r="U610" s="762"/>
      <c r="V610" s="762"/>
      <c r="W610" s="762"/>
      <c r="X610" s="762"/>
      <c r="Y610" s="68"/>
      <c r="Z610" s="68"/>
      <c r="AA610" s="68"/>
      <c r="AB610" s="762"/>
      <c r="AC610" s="504"/>
      <c r="AF610" s="763"/>
      <c r="AI610" s="763"/>
      <c r="AK610" s="763"/>
      <c r="AM610" s="776"/>
    </row>
    <row r="611" spans="1:39">
      <c r="A611" s="256">
        <v>283</v>
      </c>
      <c r="B611" s="256"/>
      <c r="C611" s="731" t="s">
        <v>839</v>
      </c>
      <c r="D611" s="256"/>
      <c r="E611" s="513" t="s">
        <v>840</v>
      </c>
      <c r="F611" s="256"/>
      <c r="G611" s="35">
        <v>17815248</v>
      </c>
      <c r="H611" s="256"/>
      <c r="I611" s="773">
        <v>1.2E-2</v>
      </c>
      <c r="J611" s="750">
        <f>G611*I611/1000</f>
        <v>213.78297599999999</v>
      </c>
      <c r="K611" s="750"/>
      <c r="L611" s="35">
        <v>0</v>
      </c>
      <c r="M611" s="35">
        <v>0</v>
      </c>
      <c r="N611" s="35">
        <v>0</v>
      </c>
      <c r="O611" s="35">
        <v>0</v>
      </c>
      <c r="P611" s="35">
        <v>0</v>
      </c>
      <c r="Q611" s="762">
        <f>J611-L611-M611-N611-O611-P611</f>
        <v>213.78297599999999</v>
      </c>
      <c r="R611" s="771"/>
      <c r="S611" s="35">
        <v>5.7646956727616612</v>
      </c>
      <c r="T611" s="35">
        <v>0</v>
      </c>
      <c r="U611" s="35">
        <v>0</v>
      </c>
      <c r="V611" s="35">
        <v>0</v>
      </c>
      <c r="W611" s="35">
        <v>0</v>
      </c>
      <c r="X611" s="35">
        <v>0</v>
      </c>
      <c r="Y611" s="771"/>
      <c r="Z611" s="68">
        <f>Q611+S611+T611+U611+V611+W611+X611</f>
        <v>219.54767167276165</v>
      </c>
      <c r="AA611" s="797">
        <f>Z611/G611*1000</f>
        <v>1.2323582117563655E-2</v>
      </c>
      <c r="AB611" s="762">
        <f>Z611-J611</f>
        <v>5.7646956727616612</v>
      </c>
      <c r="AC611" s="770">
        <f>AA611/I611-1</f>
        <v>2.696517646363783E-2</v>
      </c>
      <c r="AD611" s="769"/>
      <c r="AF611" s="763"/>
      <c r="AI611" s="763"/>
      <c r="AK611" s="763"/>
      <c r="AM611" s="776"/>
    </row>
    <row r="612" spans="1:39">
      <c r="A612" s="256"/>
      <c r="B612" s="256"/>
      <c r="C612" s="519" t="s">
        <v>841</v>
      </c>
      <c r="D612" s="256"/>
      <c r="E612" s="36"/>
      <c r="F612" s="256"/>
      <c r="G612" s="35"/>
      <c r="H612" s="256"/>
      <c r="I612" s="797"/>
      <c r="J612" s="750"/>
      <c r="K612" s="750"/>
      <c r="L612" s="762"/>
      <c r="M612" s="762"/>
      <c r="N612" s="762"/>
      <c r="O612" s="762"/>
      <c r="P612" s="762"/>
      <c r="Q612" s="762"/>
      <c r="R612" s="771"/>
      <c r="S612" s="35"/>
      <c r="T612" s="762"/>
      <c r="U612" s="762"/>
      <c r="V612" s="762"/>
      <c r="W612" s="762"/>
      <c r="X612" s="762"/>
      <c r="Y612" s="771"/>
      <c r="Z612" s="68"/>
      <c r="AA612" s="792"/>
      <c r="AB612" s="762"/>
      <c r="AC612" s="770"/>
      <c r="AD612" s="769"/>
      <c r="AF612" s="763"/>
      <c r="AI612" s="763"/>
      <c r="AK612" s="763"/>
      <c r="AM612" s="776"/>
    </row>
    <row r="613" spans="1:39">
      <c r="A613" s="256">
        <v>284</v>
      </c>
      <c r="B613" s="256"/>
      <c r="C613" s="814" t="s">
        <v>842</v>
      </c>
      <c r="D613" s="256"/>
      <c r="E613" s="513" t="s">
        <v>840</v>
      </c>
      <c r="F613" s="256"/>
      <c r="G613" s="35">
        <v>674172</v>
      </c>
      <c r="H613" s="256"/>
      <c r="I613" s="773">
        <v>1.8779999999999999</v>
      </c>
      <c r="J613" s="750">
        <f>G613*I613/1000</f>
        <v>1266.0950159999998</v>
      </c>
      <c r="K613" s="750"/>
      <c r="L613" s="35">
        <v>0</v>
      </c>
      <c r="M613" s="35">
        <v>0</v>
      </c>
      <c r="N613" s="35">
        <v>0</v>
      </c>
      <c r="O613" s="35">
        <v>0</v>
      </c>
      <c r="P613" s="35">
        <v>0</v>
      </c>
      <c r="Q613" s="762">
        <f>J613-L613-M613-N613-O613-P613</f>
        <v>1266.0950159999998</v>
      </c>
      <c r="R613" s="771"/>
      <c r="S613" s="35">
        <v>34.140475526172395</v>
      </c>
      <c r="T613" s="35">
        <v>0</v>
      </c>
      <c r="U613" s="35">
        <v>0</v>
      </c>
      <c r="V613" s="35">
        <v>0</v>
      </c>
      <c r="W613" s="35">
        <v>0</v>
      </c>
      <c r="X613" s="35">
        <v>0</v>
      </c>
      <c r="Y613" s="771"/>
      <c r="Z613" s="68">
        <f>Q613+S613+T613+U613+V613+W613+X613</f>
        <v>1300.2354915261722</v>
      </c>
      <c r="AA613" s="773">
        <v>1.9259999999999999</v>
      </c>
      <c r="AB613" s="762">
        <f>Z613-J613</f>
        <v>34.140475526172395</v>
      </c>
      <c r="AC613" s="785">
        <f>AA613/I613-1</f>
        <v>2.5559105431310014E-2</v>
      </c>
      <c r="AD613" s="785"/>
      <c r="AF613" s="763"/>
      <c r="AI613" s="763"/>
      <c r="AK613" s="763"/>
      <c r="AM613" s="776"/>
    </row>
    <row r="614" spans="1:39" ht="12.75" customHeight="1">
      <c r="A614" s="256">
        <v>285</v>
      </c>
      <c r="C614" s="814" t="s">
        <v>843</v>
      </c>
      <c r="E614" s="513" t="s">
        <v>840</v>
      </c>
      <c r="G614" s="35">
        <v>10476</v>
      </c>
      <c r="I614" s="773">
        <v>1.4730000000000001</v>
      </c>
      <c r="J614" s="750">
        <f>G614*I614/1000</f>
        <v>15.431148</v>
      </c>
      <c r="K614" s="752"/>
      <c r="L614" s="35">
        <v>0</v>
      </c>
      <c r="M614" s="35">
        <v>0</v>
      </c>
      <c r="N614" s="35">
        <v>0</v>
      </c>
      <c r="O614" s="35">
        <v>0</v>
      </c>
      <c r="P614" s="35">
        <v>0</v>
      </c>
      <c r="Q614" s="762">
        <f>J614-L614-M614-N614-O614-P614</f>
        <v>15.431148</v>
      </c>
      <c r="R614" s="68"/>
      <c r="S614" s="35">
        <v>0.41610362885651142</v>
      </c>
      <c r="T614" s="35">
        <v>0</v>
      </c>
      <c r="U614" s="35">
        <v>0</v>
      </c>
      <c r="V614" s="35">
        <v>0</v>
      </c>
      <c r="W614" s="35">
        <v>0</v>
      </c>
      <c r="X614" s="35">
        <v>0</v>
      </c>
      <c r="Y614" s="68"/>
      <c r="Z614" s="68">
        <f>Q614+S614+T614+U614+V614+W614+X614</f>
        <v>15.847251628856512</v>
      </c>
      <c r="AA614" s="773">
        <v>1.5181292016499417</v>
      </c>
      <c r="AB614" s="762">
        <f>Z614-J614</f>
        <v>0.41610362885651142</v>
      </c>
      <c r="AC614" s="785">
        <f>AA614/I614-1</f>
        <v>3.0637611439199963E-2</v>
      </c>
      <c r="AD614" s="785"/>
      <c r="AF614" s="763"/>
      <c r="AI614" s="763"/>
      <c r="AK614" s="763"/>
      <c r="AM614" s="776"/>
    </row>
    <row r="615" spans="1:39">
      <c r="A615" s="256">
        <v>286</v>
      </c>
      <c r="B615" s="256"/>
      <c r="C615" s="731" t="s">
        <v>844</v>
      </c>
      <c r="D615" s="256"/>
      <c r="E615" s="513" t="s">
        <v>840</v>
      </c>
      <c r="F615" s="256"/>
      <c r="G615" s="35">
        <v>0</v>
      </c>
      <c r="H615" s="256"/>
      <c r="I615" s="773">
        <v>1.4730000000000001</v>
      </c>
      <c r="J615" s="771">
        <f>G615*I615/1000</f>
        <v>0</v>
      </c>
      <c r="K615" s="750"/>
      <c r="L615" s="35">
        <v>0</v>
      </c>
      <c r="M615" s="35">
        <v>0</v>
      </c>
      <c r="N615" s="35">
        <v>0</v>
      </c>
      <c r="O615" s="35">
        <v>0</v>
      </c>
      <c r="P615" s="35">
        <v>0</v>
      </c>
      <c r="Q615" s="762">
        <f>J615-L615-M615-N615-O615-P615</f>
        <v>0</v>
      </c>
      <c r="R615" s="771"/>
      <c r="S615" s="35">
        <v>0</v>
      </c>
      <c r="T615" s="35">
        <v>0</v>
      </c>
      <c r="U615" s="35">
        <v>0</v>
      </c>
      <c r="V615" s="35">
        <v>0</v>
      </c>
      <c r="W615" s="35">
        <v>0</v>
      </c>
      <c r="X615" s="35">
        <v>0</v>
      </c>
      <c r="Y615" s="771"/>
      <c r="Z615" s="68">
        <f>Q615+S615+T615+U615+V615+W615+X615</f>
        <v>0</v>
      </c>
      <c r="AA615" s="773">
        <v>1.5181292016499417</v>
      </c>
      <c r="AB615" s="762">
        <f>Z615-J615</f>
        <v>0</v>
      </c>
      <c r="AC615" s="785">
        <f>AA615/I615-1</f>
        <v>3.0637611439199963E-2</v>
      </c>
      <c r="AD615" s="769"/>
      <c r="AF615" s="763"/>
      <c r="AI615" s="763"/>
      <c r="AK615" s="763"/>
      <c r="AM615" s="776"/>
    </row>
    <row r="616" spans="1:39">
      <c r="A616" s="256">
        <v>287</v>
      </c>
      <c r="B616" s="256"/>
      <c r="C616" s="731" t="s">
        <v>845</v>
      </c>
      <c r="D616" s="256"/>
      <c r="E616" s="513" t="s">
        <v>840</v>
      </c>
      <c r="F616" s="256"/>
      <c r="G616" s="35">
        <v>0</v>
      </c>
      <c r="H616" s="256"/>
      <c r="I616" s="773">
        <v>1.4730000000000001</v>
      </c>
      <c r="J616" s="771">
        <f>G616*I616/1000</f>
        <v>0</v>
      </c>
      <c r="K616" s="750"/>
      <c r="L616" s="35">
        <v>0</v>
      </c>
      <c r="M616" s="35">
        <v>0</v>
      </c>
      <c r="N616" s="35">
        <v>0</v>
      </c>
      <c r="O616" s="35">
        <v>0</v>
      </c>
      <c r="P616" s="35">
        <v>0</v>
      </c>
      <c r="Q616" s="762">
        <f>J616-L616-M616-N616-O616-P616</f>
        <v>0</v>
      </c>
      <c r="R616" s="771"/>
      <c r="S616" s="35">
        <v>0</v>
      </c>
      <c r="T616" s="35">
        <v>0</v>
      </c>
      <c r="U616" s="35">
        <v>0</v>
      </c>
      <c r="V616" s="35">
        <v>0</v>
      </c>
      <c r="W616" s="35">
        <v>0</v>
      </c>
      <c r="X616" s="35">
        <v>0</v>
      </c>
      <c r="Y616" s="771"/>
      <c r="Z616" s="68">
        <f>Q616+S616+T616+U616+V616+W616+X616</f>
        <v>0</v>
      </c>
      <c r="AA616" s="773">
        <v>1.5181292016499417</v>
      </c>
      <c r="AB616" s="762">
        <f>Z616-J616</f>
        <v>0</v>
      </c>
      <c r="AC616" s="785">
        <f>AA616/I616-1</f>
        <v>3.0637611439199963E-2</v>
      </c>
      <c r="AD616" s="769"/>
      <c r="AF616" s="763"/>
      <c r="AI616" s="763"/>
      <c r="AK616" s="763"/>
      <c r="AM616" s="776"/>
    </row>
    <row r="617" spans="1:39">
      <c r="A617" s="256"/>
      <c r="B617" s="256"/>
      <c r="C617" s="519" t="s">
        <v>846</v>
      </c>
      <c r="D617" s="256"/>
      <c r="E617" s="513"/>
      <c r="F617" s="256"/>
      <c r="G617" s="35"/>
      <c r="H617" s="256"/>
      <c r="I617" s="772"/>
      <c r="J617" s="750"/>
      <c r="K617" s="750"/>
      <c r="L617" s="762"/>
      <c r="M617" s="762"/>
      <c r="N617" s="762"/>
      <c r="O617" s="762"/>
      <c r="P617" s="762"/>
      <c r="Q617" s="762"/>
      <c r="R617" s="771"/>
      <c r="S617" s="35"/>
      <c r="T617" s="762"/>
      <c r="U617" s="762"/>
      <c r="V617" s="762"/>
      <c r="W617" s="762"/>
      <c r="X617" s="762"/>
      <c r="Y617" s="771"/>
      <c r="Z617" s="68"/>
      <c r="AA617" s="792"/>
      <c r="AB617" s="762"/>
      <c r="AC617" s="770"/>
      <c r="AD617" s="769"/>
      <c r="AF617" s="763"/>
      <c r="AI617" s="763"/>
      <c r="AK617" s="763"/>
      <c r="AM617" s="776"/>
    </row>
    <row r="618" spans="1:39">
      <c r="A618" s="256">
        <v>288</v>
      </c>
      <c r="B618" s="256"/>
      <c r="C618" s="731" t="s">
        <v>847</v>
      </c>
      <c r="D618" s="256"/>
      <c r="E618" s="36" t="s">
        <v>777</v>
      </c>
      <c r="F618" s="256"/>
      <c r="G618" s="35">
        <v>2989700.51</v>
      </c>
      <c r="H618" s="256"/>
      <c r="I618" s="773">
        <v>1.2E-2</v>
      </c>
      <c r="J618" s="750">
        <f>G618*I618/1000</f>
        <v>35.876406119999999</v>
      </c>
      <c r="K618" s="750"/>
      <c r="L618" s="35">
        <v>0</v>
      </c>
      <c r="M618" s="35">
        <v>0</v>
      </c>
      <c r="N618" s="35">
        <v>0</v>
      </c>
      <c r="O618" s="35">
        <v>0</v>
      </c>
      <c r="P618" s="35">
        <v>0</v>
      </c>
      <c r="Q618" s="762">
        <f>J618-L618-M618-N618-O618-P618</f>
        <v>35.876406119999999</v>
      </c>
      <c r="R618" s="771"/>
      <c r="S618" s="35">
        <v>0.96741362190693536</v>
      </c>
      <c r="T618" s="35">
        <v>0</v>
      </c>
      <c r="U618" s="35">
        <v>0</v>
      </c>
      <c r="V618" s="35">
        <v>0</v>
      </c>
      <c r="W618" s="35">
        <v>0</v>
      </c>
      <c r="X618" s="35">
        <v>0</v>
      </c>
      <c r="Y618" s="771"/>
      <c r="Z618" s="68">
        <f>Q618+S618+T618+U618+V618+W618+X618</f>
        <v>36.843819741906934</v>
      </c>
      <c r="AA618" s="797">
        <f>Z618/G618*1000</f>
        <v>1.2323582117563655E-2</v>
      </c>
      <c r="AB618" s="762">
        <f>Z618-J618</f>
        <v>0.96741362190693536</v>
      </c>
      <c r="AC618" s="785">
        <f>AA618/I618-1</f>
        <v>2.696517646363783E-2</v>
      </c>
      <c r="AD618" s="785"/>
      <c r="AF618" s="763"/>
      <c r="AI618" s="763"/>
      <c r="AK618" s="763"/>
      <c r="AM618" s="776"/>
    </row>
    <row r="619" spans="1:39">
      <c r="A619" s="256"/>
      <c r="B619" s="256"/>
      <c r="C619" s="731"/>
      <c r="D619" s="256"/>
      <c r="E619" s="36"/>
      <c r="F619" s="256"/>
      <c r="G619" s="35"/>
      <c r="H619" s="256"/>
      <c r="I619" s="773"/>
      <c r="J619" s="750"/>
      <c r="K619" s="750"/>
      <c r="L619" s="35"/>
      <c r="M619" s="35"/>
      <c r="N619" s="35"/>
      <c r="O619" s="35"/>
      <c r="P619" s="35"/>
      <c r="Q619" s="762"/>
      <c r="R619" s="771"/>
      <c r="S619" s="35"/>
      <c r="T619" s="35"/>
      <c r="U619" s="35"/>
      <c r="V619" s="35"/>
      <c r="W619" s="35"/>
      <c r="X619" s="35"/>
      <c r="Y619" s="771"/>
      <c r="Z619" s="68"/>
      <c r="AA619" s="797"/>
      <c r="AB619" s="762"/>
      <c r="AC619" s="785"/>
      <c r="AD619" s="785"/>
      <c r="AF619" s="763"/>
      <c r="AI619" s="763"/>
      <c r="AK619" s="763"/>
      <c r="AM619" s="776"/>
    </row>
    <row r="620" spans="1:39">
      <c r="A620" s="256">
        <v>289</v>
      </c>
      <c r="B620" s="256"/>
      <c r="C620" s="9" t="s">
        <v>848</v>
      </c>
      <c r="D620" s="256"/>
      <c r="E620" s="36" t="s">
        <v>777</v>
      </c>
      <c r="F620" s="256"/>
      <c r="G620" s="35">
        <v>0</v>
      </c>
      <c r="H620" s="256"/>
      <c r="I620" s="783">
        <v>3.5799999999999998E-3</v>
      </c>
      <c r="J620" s="35">
        <v>70.632634880000026</v>
      </c>
      <c r="K620" s="750"/>
      <c r="L620" s="35">
        <v>0</v>
      </c>
      <c r="M620" s="35">
        <v>0</v>
      </c>
      <c r="N620" s="35">
        <v>0</v>
      </c>
      <c r="O620" s="35">
        <v>27.307974226355761</v>
      </c>
      <c r="P620" s="35">
        <v>43.324660653644266</v>
      </c>
      <c r="Q620" s="762">
        <f>J620-L620-M620-N620-O620-P620</f>
        <v>0</v>
      </c>
      <c r="R620" s="35"/>
      <c r="S620" s="35">
        <v>0</v>
      </c>
      <c r="T620" s="35">
        <v>0</v>
      </c>
      <c r="U620" s="35">
        <v>0</v>
      </c>
      <c r="V620" s="35">
        <v>0</v>
      </c>
      <c r="W620" s="35">
        <v>33.3237807051419</v>
      </c>
      <c r="X620" s="35">
        <v>43.087170461803538</v>
      </c>
      <c r="Y620" s="771"/>
      <c r="Z620" s="68">
        <f>Q620+S620+T620+U620+V620+W620+X620</f>
        <v>76.410951166945438</v>
      </c>
      <c r="AA620" s="783">
        <v>4.1941789342021703E-3</v>
      </c>
      <c r="AB620" s="762">
        <f>Z620-J620</f>
        <v>5.7783162869454117</v>
      </c>
      <c r="AC620" s="785">
        <f>AA620/I620-1</f>
        <v>0.17155836150898618</v>
      </c>
      <c r="AD620" s="785"/>
      <c r="AF620" s="763"/>
      <c r="AI620" s="763"/>
      <c r="AK620" s="763"/>
      <c r="AM620" s="809"/>
    </row>
    <row r="621" spans="1:39">
      <c r="A621" s="256"/>
      <c r="B621" s="256"/>
      <c r="D621" s="256"/>
      <c r="E621" s="36"/>
      <c r="F621" s="256"/>
      <c r="G621" s="35"/>
      <c r="H621" s="256"/>
      <c r="I621" s="256"/>
      <c r="J621" s="750"/>
      <c r="K621" s="750"/>
      <c r="L621" s="762"/>
      <c r="M621" s="762"/>
      <c r="N621" s="762"/>
      <c r="O621" s="762"/>
      <c r="P621" s="35"/>
      <c r="Q621" s="35"/>
      <c r="R621" s="35"/>
      <c r="S621" s="771"/>
      <c r="T621" s="762"/>
      <c r="U621" s="762"/>
      <c r="V621" s="762"/>
      <c r="W621" s="762"/>
      <c r="X621" s="762"/>
      <c r="Y621" s="771"/>
      <c r="Z621" s="771"/>
      <c r="AA621" s="771"/>
      <c r="AB621" s="762"/>
      <c r="AC621" s="770"/>
      <c r="AD621" s="769"/>
      <c r="AF621" s="763"/>
      <c r="AI621" s="763"/>
      <c r="AK621" s="763"/>
      <c r="AM621" s="776"/>
    </row>
    <row r="622" spans="1:39">
      <c r="A622" s="256">
        <v>290</v>
      </c>
      <c r="B622" s="256"/>
      <c r="C622" s="7" t="s">
        <v>849</v>
      </c>
      <c r="D622" s="256"/>
      <c r="E622" s="36"/>
      <c r="F622" s="256"/>
      <c r="G622" s="420">
        <f>G607</f>
        <v>431289.49168000009</v>
      </c>
      <c r="H622" s="256"/>
      <c r="I622" s="806">
        <f>J622/G622*100</f>
        <v>0.37140208882911663</v>
      </c>
      <c r="J622" s="808">
        <f>SUM(J611:J620)</f>
        <v>1601.8181809999996</v>
      </c>
      <c r="K622" s="750"/>
      <c r="L622" s="807">
        <f t="shared" ref="L622:Q622" si="171">SUM(L611:L620)</f>
        <v>0</v>
      </c>
      <c r="M622" s="807">
        <f t="shared" si="171"/>
        <v>0</v>
      </c>
      <c r="N622" s="807">
        <f t="shared" si="171"/>
        <v>0</v>
      </c>
      <c r="O622" s="807">
        <f t="shared" si="171"/>
        <v>27.307974226355761</v>
      </c>
      <c r="P622" s="807">
        <f t="shared" si="171"/>
        <v>43.324660653644266</v>
      </c>
      <c r="Q622" s="807">
        <f t="shared" si="171"/>
        <v>1531.1855461199996</v>
      </c>
      <c r="R622" s="771"/>
      <c r="S622" s="807">
        <f t="shared" ref="S622:X622" si="172">SUM(S611:S621)</f>
        <v>41.288688449697503</v>
      </c>
      <c r="T622" s="807">
        <f t="shared" si="172"/>
        <v>0</v>
      </c>
      <c r="U622" s="807">
        <f t="shared" si="172"/>
        <v>0</v>
      </c>
      <c r="V622" s="807">
        <f t="shared" si="172"/>
        <v>0</v>
      </c>
      <c r="W622" s="807">
        <f t="shared" si="172"/>
        <v>33.3237807051419</v>
      </c>
      <c r="X622" s="807">
        <f t="shared" si="172"/>
        <v>43.087170461803538</v>
      </c>
      <c r="Y622" s="771"/>
      <c r="Z622" s="807">
        <f>SUM(Z611:Z620)</f>
        <v>1648.8851857366426</v>
      </c>
      <c r="AA622" s="806">
        <f>Z622/G622*100</f>
        <v>0.38231517751887423</v>
      </c>
      <c r="AB622" s="805">
        <f>SUM(AB611:AB620)</f>
        <v>47.067004736642915</v>
      </c>
      <c r="AC622" s="804">
        <f>AA622/I622-1</f>
        <v>2.9383487648554363E-2</v>
      </c>
      <c r="AD622" s="769"/>
      <c r="AF622" s="763"/>
      <c r="AI622" s="763"/>
      <c r="AK622" s="763"/>
      <c r="AM622" s="776"/>
    </row>
    <row r="623" spans="1:39">
      <c r="A623" s="256"/>
      <c r="B623" s="256"/>
      <c r="C623" s="7"/>
      <c r="D623" s="256"/>
      <c r="E623" s="36"/>
      <c r="F623" s="256"/>
      <c r="G623" s="35"/>
      <c r="H623" s="256"/>
      <c r="I623" s="256"/>
      <c r="J623" s="750"/>
      <c r="K623" s="750"/>
      <c r="L623" s="762"/>
      <c r="M623" s="762"/>
      <c r="N623" s="762"/>
      <c r="O623" s="762"/>
      <c r="P623" s="762"/>
      <c r="Q623" s="762"/>
      <c r="R623" s="771"/>
      <c r="S623" s="771"/>
      <c r="T623" s="762"/>
      <c r="U623" s="762"/>
      <c r="V623" s="762"/>
      <c r="W623" s="762"/>
      <c r="X623" s="762"/>
      <c r="Y623" s="771"/>
      <c r="Z623" s="771"/>
      <c r="AA623" s="771"/>
      <c r="AB623" s="762"/>
      <c r="AC623" s="770"/>
      <c r="AD623" s="769"/>
      <c r="AF623" s="763"/>
      <c r="AI623" s="763"/>
      <c r="AK623" s="763"/>
      <c r="AM623" s="776"/>
    </row>
    <row r="624" spans="1:39" ht="13.5" thickBot="1">
      <c r="A624" s="256">
        <v>291</v>
      </c>
      <c r="B624" s="256"/>
      <c r="C624" s="7" t="s">
        <v>850</v>
      </c>
      <c r="D624" s="256"/>
      <c r="E624" s="36"/>
      <c r="F624" s="256"/>
      <c r="G624" s="768">
        <f>G607</f>
        <v>431289.49168000009</v>
      </c>
      <c r="H624" s="256"/>
      <c r="I624" s="803">
        <f>J624/G624*100</f>
        <v>3.4299038825625252</v>
      </c>
      <c r="J624" s="756">
        <f>J607+J622</f>
        <v>14792.815020216502</v>
      </c>
      <c r="K624" s="750"/>
      <c r="L624" s="781">
        <f t="shared" ref="L624:Q624" si="173">L607+L622</f>
        <v>1634.7029693331499</v>
      </c>
      <c r="M624" s="781">
        <f t="shared" si="173"/>
        <v>0</v>
      </c>
      <c r="N624" s="781">
        <f t="shared" si="173"/>
        <v>31.389357744205046</v>
      </c>
      <c r="O624" s="781">
        <f t="shared" si="173"/>
        <v>154.05655875252384</v>
      </c>
      <c r="P624" s="781">
        <f t="shared" si="173"/>
        <v>244.41388709747616</v>
      </c>
      <c r="Q624" s="781">
        <f t="shared" si="173"/>
        <v>12728.252247289145</v>
      </c>
      <c r="R624" s="771"/>
      <c r="S624" s="781">
        <f t="shared" ref="S624:X624" si="174">S607+S622</f>
        <v>341.82395241691881</v>
      </c>
      <c r="T624" s="781">
        <f t="shared" si="174"/>
        <v>965.15650932865947</v>
      </c>
      <c r="U624" s="781">
        <f t="shared" si="174"/>
        <v>0</v>
      </c>
      <c r="V624" s="781">
        <f t="shared" si="174"/>
        <v>29.423554194372251</v>
      </c>
      <c r="W624" s="781">
        <f t="shared" si="174"/>
        <v>187.99442747031659</v>
      </c>
      <c r="X624" s="781">
        <f t="shared" si="174"/>
        <v>243.07409816296237</v>
      </c>
      <c r="Y624" s="771"/>
      <c r="Z624" s="781">
        <f>Z607+Z622</f>
        <v>14495.724788862375</v>
      </c>
      <c r="AA624" s="803">
        <f>Z624/G624*100</f>
        <v>3.3610197021952102</v>
      </c>
      <c r="AB624" s="799">
        <f>AB607+AB622</f>
        <v>-297.09023135412616</v>
      </c>
      <c r="AC624" s="815">
        <f>AA624/I624-1</f>
        <v>-2.0083414208053818E-2</v>
      </c>
      <c r="AD624" s="785"/>
      <c r="AF624" s="763"/>
      <c r="AI624" s="763"/>
      <c r="AK624" s="763"/>
      <c r="AM624" s="776"/>
    </row>
    <row r="625" spans="1:39" ht="13.5" thickTop="1">
      <c r="L625" s="2"/>
      <c r="M625" s="2"/>
      <c r="N625" s="2"/>
      <c r="O625" s="2"/>
      <c r="P625" s="504"/>
      <c r="Q625" s="504"/>
      <c r="T625" s="504"/>
      <c r="U625" s="504"/>
      <c r="V625" s="504"/>
      <c r="W625" s="504"/>
      <c r="X625" s="504"/>
      <c r="AB625" s="762"/>
      <c r="AC625" s="504"/>
      <c r="AF625" s="763"/>
      <c r="AI625" s="763"/>
      <c r="AK625" s="763"/>
      <c r="AM625" s="776"/>
    </row>
    <row r="626" spans="1:39">
      <c r="L626" s="2"/>
      <c r="M626" s="2"/>
      <c r="N626" s="2"/>
      <c r="O626" s="2"/>
      <c r="P626" s="504"/>
      <c r="Q626" s="504"/>
      <c r="T626" s="504"/>
      <c r="U626" s="504"/>
      <c r="V626" s="504"/>
      <c r="W626" s="504"/>
      <c r="X626" s="504"/>
      <c r="AB626" s="504"/>
      <c r="AC626" s="504"/>
      <c r="AF626" s="763"/>
      <c r="AI626" s="763"/>
      <c r="AK626" s="763"/>
      <c r="AM626" s="776"/>
    </row>
    <row r="627" spans="1:39">
      <c r="L627" s="2"/>
      <c r="M627" s="2"/>
      <c r="N627" s="2"/>
      <c r="O627" s="2"/>
      <c r="P627" s="504"/>
      <c r="Q627" s="504"/>
      <c r="T627" s="504"/>
      <c r="U627" s="504"/>
      <c r="V627" s="504"/>
      <c r="W627" s="504"/>
      <c r="X627" s="504"/>
      <c r="AB627" s="504"/>
      <c r="AC627" s="504"/>
      <c r="AF627" s="763"/>
      <c r="AI627" s="763"/>
      <c r="AK627" s="763"/>
      <c r="AM627" s="776"/>
    </row>
    <row r="628" spans="1:39">
      <c r="L628" s="2"/>
      <c r="M628" s="2"/>
      <c r="N628" s="2"/>
      <c r="O628" s="2"/>
      <c r="P628" s="504"/>
      <c r="Q628" s="504"/>
      <c r="T628" s="504"/>
      <c r="U628" s="504"/>
      <c r="V628" s="504"/>
      <c r="W628" s="504"/>
      <c r="X628" s="504"/>
      <c r="AB628" s="504"/>
      <c r="AC628" s="504"/>
      <c r="AF628" s="763"/>
      <c r="AI628" s="763"/>
      <c r="AK628" s="763"/>
      <c r="AM628" s="776"/>
    </row>
    <row r="629" spans="1:39">
      <c r="L629" s="2"/>
      <c r="M629" s="2"/>
      <c r="N629" s="2"/>
      <c r="O629" s="2"/>
      <c r="P629" s="504"/>
      <c r="Q629" s="504"/>
      <c r="T629" s="504"/>
      <c r="U629" s="504"/>
      <c r="V629" s="504"/>
      <c r="W629" s="504"/>
      <c r="X629" s="504"/>
      <c r="AB629" s="504"/>
      <c r="AC629" s="504"/>
      <c r="AF629" s="763"/>
      <c r="AI629" s="763"/>
      <c r="AK629" s="763"/>
      <c r="AM629" s="776"/>
    </row>
    <row r="630" spans="1:39">
      <c r="A630" s="1324" t="s">
        <v>724</v>
      </c>
      <c r="B630" s="1324"/>
      <c r="C630" s="1324"/>
      <c r="D630" s="1324"/>
      <c r="E630" s="1324"/>
      <c r="F630" s="1324"/>
      <c r="G630" s="1324"/>
      <c r="H630" s="1324"/>
      <c r="I630" s="1324"/>
      <c r="J630" s="1324"/>
      <c r="K630" s="1324"/>
      <c r="L630" s="1324"/>
      <c r="M630" s="1324"/>
      <c r="N630" s="1324"/>
      <c r="O630" s="1324"/>
      <c r="P630" s="1324"/>
      <c r="Q630" s="1324"/>
      <c r="R630" s="1324"/>
      <c r="S630" s="1324"/>
      <c r="T630" s="1324"/>
      <c r="U630" s="1324"/>
      <c r="V630" s="1324"/>
      <c r="W630" s="1324"/>
      <c r="X630" s="1324"/>
      <c r="Y630" s="1324"/>
      <c r="Z630" s="1324"/>
      <c r="AA630" s="1324"/>
      <c r="AB630" s="1324"/>
      <c r="AC630" s="1324"/>
      <c r="AD630" s="665"/>
      <c r="AF630" s="763"/>
      <c r="AI630" s="763"/>
      <c r="AK630" s="763"/>
      <c r="AM630" s="776"/>
    </row>
    <row r="631" spans="1:39">
      <c r="A631" s="385"/>
      <c r="B631" s="385"/>
      <c r="C631" s="385"/>
      <c r="D631" s="385"/>
      <c r="E631" s="447"/>
      <c r="F631" s="385"/>
      <c r="G631" s="447"/>
      <c r="H631" s="385"/>
      <c r="I631" s="385"/>
      <c r="J631" s="385"/>
      <c r="K631" s="385"/>
      <c r="L631" s="385"/>
      <c r="M631" s="385"/>
      <c r="N631" s="3"/>
      <c r="O631" s="3"/>
      <c r="P631" s="504"/>
      <c r="Q631" s="504"/>
      <c r="R631" s="385"/>
      <c r="S631" s="385"/>
      <c r="T631" s="504"/>
      <c r="U631" s="504"/>
      <c r="V631" s="504"/>
      <c r="W631" s="504"/>
      <c r="X631" s="504"/>
      <c r="Y631" s="385"/>
      <c r="Z631" s="385"/>
      <c r="AA631" s="385"/>
      <c r="AB631" s="504"/>
      <c r="AC631" s="504"/>
      <c r="AF631" s="763"/>
      <c r="AI631" s="763"/>
      <c r="AK631" s="763"/>
      <c r="AM631" s="776"/>
    </row>
    <row r="632" spans="1:39">
      <c r="A632" s="447"/>
      <c r="B632" s="447"/>
      <c r="C632" s="447"/>
      <c r="D632" s="447"/>
      <c r="E632" s="385"/>
      <c r="F632" s="447"/>
      <c r="G632" s="1313" t="str">
        <f>G8</f>
        <v>Current Approved Revenue</v>
      </c>
      <c r="H632" s="1313"/>
      <c r="I632" s="1313"/>
      <c r="J632" s="1313"/>
      <c r="K632" s="447"/>
      <c r="L632" s="1313" t="str">
        <f>L8</f>
        <v>Adjustments to 2023 Base Rates</v>
      </c>
      <c r="M632" s="1313"/>
      <c r="N632" s="1313"/>
      <c r="O632" s="1313"/>
      <c r="P632" s="1313"/>
      <c r="Q632" s="256"/>
      <c r="R632" s="447"/>
      <c r="S632" s="1313" t="str">
        <f>S8</f>
        <v>Adjustments to 2024 Base Rates</v>
      </c>
      <c r="T632" s="1313"/>
      <c r="U632" s="1313"/>
      <c r="V632" s="1313"/>
      <c r="W632" s="1313"/>
      <c r="X632" s="1313"/>
      <c r="Y632" s="447"/>
      <c r="Z632" s="1313" t="str">
        <f>Z8</f>
        <v>2024 Proposed Revenue</v>
      </c>
      <c r="AA632" s="1313"/>
      <c r="AB632" s="1313"/>
      <c r="AC632" s="1313"/>
      <c r="AD632" s="4"/>
      <c r="AF632" s="763"/>
      <c r="AI632" s="763"/>
      <c r="AK632" s="763"/>
      <c r="AM632" s="776"/>
    </row>
    <row r="633" spans="1:39" ht="38.25">
      <c r="A633" s="254" t="s">
        <v>1</v>
      </c>
      <c r="B633" s="254"/>
      <c r="C633" s="254"/>
      <c r="D633" s="254"/>
      <c r="E633" s="4" t="s">
        <v>670</v>
      </c>
      <c r="F633" s="254"/>
      <c r="G633" s="13" t="s">
        <v>684</v>
      </c>
      <c r="H633" s="254"/>
      <c r="I633" s="13" t="s">
        <v>196</v>
      </c>
      <c r="J633" s="13" t="s">
        <v>503</v>
      </c>
      <c r="K633" s="254"/>
      <c r="L633" s="13" t="s">
        <v>505</v>
      </c>
      <c r="M633" s="13" t="s">
        <v>685</v>
      </c>
      <c r="N633" s="254" t="s">
        <v>686</v>
      </c>
      <c r="O633" s="254" t="s">
        <v>508</v>
      </c>
      <c r="P633" s="254" t="s">
        <v>687</v>
      </c>
      <c r="Q633" s="254" t="s">
        <v>688</v>
      </c>
      <c r="R633" s="254"/>
      <c r="S633" s="254" t="s">
        <v>689</v>
      </c>
      <c r="T633" s="13" t="s">
        <v>505</v>
      </c>
      <c r="U633" s="13" t="s">
        <v>685</v>
      </c>
      <c r="V633" s="254" t="s">
        <v>686</v>
      </c>
      <c r="W633" s="254" t="s">
        <v>508</v>
      </c>
      <c r="X633" s="254" t="s">
        <v>687</v>
      </c>
      <c r="Y633" s="254"/>
      <c r="Z633" s="13" t="s">
        <v>690</v>
      </c>
      <c r="AA633" s="13" t="s">
        <v>691</v>
      </c>
      <c r="AB633" s="13" t="s">
        <v>692</v>
      </c>
      <c r="AC633" s="254" t="s">
        <v>693</v>
      </c>
      <c r="AD633" s="254"/>
      <c r="AF633" s="763"/>
      <c r="AI633" s="763"/>
      <c r="AK633" s="763"/>
      <c r="AM633" s="776"/>
    </row>
    <row r="634" spans="1:39" ht="14.25">
      <c r="A634" s="255" t="s">
        <v>2</v>
      </c>
      <c r="B634" s="256"/>
      <c r="C634" s="449" t="s">
        <v>3</v>
      </c>
      <c r="D634" s="256"/>
      <c r="E634" s="255" t="s">
        <v>4</v>
      </c>
      <c r="F634" s="256"/>
      <c r="G634" s="255" t="s">
        <v>694</v>
      </c>
      <c r="H634" s="256"/>
      <c r="I634" s="255" t="s">
        <v>77</v>
      </c>
      <c r="J634" s="255" t="s">
        <v>20</v>
      </c>
      <c r="K634" s="256"/>
      <c r="L634" s="255" t="s">
        <v>20</v>
      </c>
      <c r="M634" s="255" t="s">
        <v>20</v>
      </c>
      <c r="N634" s="255" t="s">
        <v>20</v>
      </c>
      <c r="O634" s="255" t="s">
        <v>20</v>
      </c>
      <c r="P634" s="255" t="s">
        <v>20</v>
      </c>
      <c r="Q634" s="255" t="s">
        <v>20</v>
      </c>
      <c r="R634" s="256"/>
      <c r="S634" s="255" t="s">
        <v>20</v>
      </c>
      <c r="T634" s="255" t="s">
        <v>20</v>
      </c>
      <c r="U634" s="255" t="s">
        <v>20</v>
      </c>
      <c r="V634" s="255" t="s">
        <v>20</v>
      </c>
      <c r="W634" s="255" t="s">
        <v>20</v>
      </c>
      <c r="X634" s="255" t="s">
        <v>20</v>
      </c>
      <c r="Y634" s="256"/>
      <c r="Z634" s="255" t="s">
        <v>20</v>
      </c>
      <c r="AA634" s="255" t="s">
        <v>77</v>
      </c>
      <c r="AB634" s="255" t="s">
        <v>20</v>
      </c>
      <c r="AC634" s="255" t="s">
        <v>76</v>
      </c>
      <c r="AD634" s="4"/>
      <c r="AF634" s="763"/>
      <c r="AI634" s="763"/>
      <c r="AK634" s="763"/>
      <c r="AM634" s="776"/>
    </row>
    <row r="635" spans="1:39">
      <c r="A635" s="4"/>
      <c r="B635" s="256"/>
      <c r="C635" s="256"/>
      <c r="D635" s="256"/>
      <c r="E635" s="4"/>
      <c r="F635" s="256"/>
      <c r="G635" s="4" t="s">
        <v>8</v>
      </c>
      <c r="H635" s="4"/>
      <c r="I635" s="4" t="s">
        <v>9</v>
      </c>
      <c r="J635" s="4" t="s">
        <v>370</v>
      </c>
      <c r="K635" s="4"/>
      <c r="L635" s="132" t="s">
        <v>79</v>
      </c>
      <c r="M635" s="132" t="s">
        <v>115</v>
      </c>
      <c r="N635" s="132" t="s">
        <v>81</v>
      </c>
      <c r="O635" s="132" t="s">
        <v>82</v>
      </c>
      <c r="P635" s="4" t="s">
        <v>118</v>
      </c>
      <c r="Q635" s="4" t="s">
        <v>695</v>
      </c>
      <c r="R635" s="4"/>
      <c r="S635" s="4" t="s">
        <v>696</v>
      </c>
      <c r="T635" s="4" t="s">
        <v>517</v>
      </c>
      <c r="U635" s="4" t="s">
        <v>518</v>
      </c>
      <c r="V635" s="4" t="s">
        <v>519</v>
      </c>
      <c r="W635" s="4" t="s">
        <v>697</v>
      </c>
      <c r="X635" s="4" t="s">
        <v>698</v>
      </c>
      <c r="Y635" s="4"/>
      <c r="Z635" s="4" t="s">
        <v>725</v>
      </c>
      <c r="AA635" s="4" t="s">
        <v>700</v>
      </c>
      <c r="AB635" s="4" t="s">
        <v>701</v>
      </c>
      <c r="AC635" s="4" t="s">
        <v>702</v>
      </c>
      <c r="AD635" s="4"/>
      <c r="AF635" s="763"/>
      <c r="AI635" s="763"/>
      <c r="AK635" s="763"/>
      <c r="AM635" s="776"/>
    </row>
    <row r="636" spans="1:39">
      <c r="A636" s="256"/>
      <c r="B636" s="256"/>
      <c r="C636" s="7"/>
      <c r="D636" s="256"/>
      <c r="E636" s="36"/>
      <c r="F636" s="256"/>
      <c r="G636" s="453"/>
      <c r="H636" s="256"/>
      <c r="I636" s="256"/>
      <c r="J636" s="750"/>
      <c r="K636" s="750"/>
      <c r="L636" s="762"/>
      <c r="M636" s="762"/>
      <c r="N636" s="762"/>
      <c r="O636" s="762"/>
      <c r="P636" s="762"/>
      <c r="Q636" s="762"/>
      <c r="R636" s="771"/>
      <c r="S636" s="771"/>
      <c r="T636" s="762"/>
      <c r="U636" s="762"/>
      <c r="V636" s="762"/>
      <c r="W636" s="762"/>
      <c r="X636" s="762"/>
      <c r="Y636" s="771"/>
      <c r="Z636" s="771"/>
      <c r="AA636" s="771"/>
      <c r="AB636" s="762"/>
      <c r="AC636" s="504"/>
      <c r="AI636" s="763"/>
    </row>
    <row r="637" spans="1:39">
      <c r="A637" s="4"/>
      <c r="B637" s="256"/>
      <c r="C637" s="6" t="s">
        <v>185</v>
      </c>
      <c r="D637" s="256"/>
      <c r="E637" s="36"/>
      <c r="F637" s="256"/>
      <c r="G637" s="35"/>
      <c r="H637" s="256"/>
      <c r="I637" s="256"/>
      <c r="J637" s="256"/>
      <c r="K637" s="256"/>
      <c r="L637" s="762"/>
      <c r="M637" s="762"/>
      <c r="N637" s="762"/>
      <c r="O637" s="762"/>
      <c r="P637" s="762"/>
      <c r="Q637" s="762"/>
      <c r="R637" s="771"/>
      <c r="S637" s="771"/>
      <c r="T637" s="762"/>
      <c r="U637" s="762"/>
      <c r="V637" s="762"/>
      <c r="W637" s="762"/>
      <c r="X637" s="762"/>
      <c r="Y637" s="771"/>
      <c r="Z637" s="771"/>
      <c r="AA637" s="771"/>
      <c r="AB637" s="762"/>
      <c r="AC637" s="504"/>
    </row>
    <row r="638" spans="1:39">
      <c r="A638" s="4">
        <v>292</v>
      </c>
      <c r="B638" s="256"/>
      <c r="C638" s="7" t="s">
        <v>703</v>
      </c>
      <c r="D638" s="256"/>
      <c r="E638" s="4" t="s">
        <v>824</v>
      </c>
      <c r="F638" s="256"/>
      <c r="G638" s="35">
        <v>501.00000000000347</v>
      </c>
      <c r="H638" s="256"/>
      <c r="I638" s="778">
        <v>6803.81</v>
      </c>
      <c r="J638" s="750">
        <f>G638*I638/1000</f>
        <v>3408.7088100000237</v>
      </c>
      <c r="K638" s="256"/>
      <c r="L638" s="35">
        <v>0</v>
      </c>
      <c r="M638" s="35">
        <v>0</v>
      </c>
      <c r="N638" s="35">
        <v>0</v>
      </c>
      <c r="O638" s="35">
        <v>0</v>
      </c>
      <c r="P638" s="35">
        <v>0</v>
      </c>
      <c r="Q638" s="762">
        <f>J638-L638-M638-N638-O638-P638</f>
        <v>3408.7088100000237</v>
      </c>
      <c r="R638" s="771"/>
      <c r="S638" s="35">
        <v>91.916434574807681</v>
      </c>
      <c r="T638" s="35">
        <v>0</v>
      </c>
      <c r="U638" s="35">
        <v>0</v>
      </c>
      <c r="V638" s="35">
        <v>0</v>
      </c>
      <c r="W638" s="35">
        <v>0</v>
      </c>
      <c r="X638" s="35">
        <v>0</v>
      </c>
      <c r="Y638" s="771"/>
      <c r="Z638" s="771">
        <f>Q638+S638+T638+U638+V638+W638+X638</f>
        <v>3500.6252445748314</v>
      </c>
      <c r="AA638" s="811">
        <f>Z638/G638*1000</f>
        <v>6987.2759372750643</v>
      </c>
      <c r="AB638" s="762">
        <f>Z638-J638</f>
        <v>91.916434574807681</v>
      </c>
      <c r="AC638" s="770">
        <f>AA638/I638-1</f>
        <v>2.696517646363783E-2</v>
      </c>
      <c r="AD638" s="769"/>
      <c r="AF638" s="763"/>
      <c r="AI638" s="763"/>
      <c r="AK638" s="763"/>
      <c r="AM638" s="776"/>
    </row>
    <row r="639" spans="1:39" ht="14.25">
      <c r="A639" s="4"/>
      <c r="B639" s="256"/>
      <c r="C639" s="7" t="s">
        <v>825</v>
      </c>
      <c r="D639" s="256"/>
      <c r="E639" s="4"/>
      <c r="F639" s="256"/>
      <c r="G639" s="35"/>
      <c r="H639" s="256"/>
      <c r="I639" s="778"/>
      <c r="J639" s="750"/>
      <c r="K639" s="256"/>
      <c r="L639" s="35"/>
      <c r="M639" s="35"/>
      <c r="N639" s="35"/>
      <c r="O639" s="35"/>
      <c r="P639" s="35"/>
      <c r="Q639" s="762"/>
      <c r="R639" s="771"/>
      <c r="S639" s="35"/>
      <c r="T639" s="35"/>
      <c r="U639" s="35"/>
      <c r="V639" s="35"/>
      <c r="W639" s="35"/>
      <c r="X639" s="35"/>
      <c r="Y639" s="771"/>
      <c r="Z639" s="771"/>
      <c r="AA639" s="811"/>
      <c r="AB639" s="762"/>
      <c r="AC639" s="770"/>
      <c r="AD639" s="769"/>
      <c r="AF639" s="763"/>
      <c r="AI639" s="763"/>
      <c r="AK639" s="763"/>
      <c r="AM639" s="776"/>
    </row>
    <row r="640" spans="1:39">
      <c r="A640" s="4"/>
      <c r="B640" s="256"/>
      <c r="C640" s="519" t="s">
        <v>826</v>
      </c>
      <c r="D640" s="256"/>
      <c r="F640" s="256"/>
      <c r="G640" s="35"/>
      <c r="H640" s="256"/>
      <c r="I640" s="256"/>
      <c r="J640" s="750"/>
      <c r="K640" s="256"/>
      <c r="L640" s="762"/>
      <c r="M640" s="762"/>
      <c r="N640" s="762"/>
      <c r="O640" s="762"/>
      <c r="P640" s="762"/>
      <c r="Q640" s="762"/>
      <c r="R640" s="771"/>
      <c r="S640" s="35"/>
      <c r="T640" s="35"/>
      <c r="U640" s="762"/>
      <c r="V640" s="762"/>
      <c r="W640" s="762"/>
      <c r="X640" s="762"/>
      <c r="Y640" s="771"/>
      <c r="Z640" s="771"/>
      <c r="AA640" s="792"/>
      <c r="AB640" s="762"/>
      <c r="AC640" s="770"/>
      <c r="AD640" s="769"/>
      <c r="AF640" s="763"/>
      <c r="AI640" s="763"/>
      <c r="AK640" s="763"/>
      <c r="AM640" s="776"/>
    </row>
    <row r="641" spans="1:39">
      <c r="A641" s="4">
        <v>293</v>
      </c>
      <c r="B641" s="256"/>
      <c r="C641" s="731" t="s">
        <v>851</v>
      </c>
      <c r="D641" s="256"/>
      <c r="E641" s="513" t="s">
        <v>828</v>
      </c>
      <c r="F641" s="256"/>
      <c r="G641" s="35">
        <v>60333.714</v>
      </c>
      <c r="H641" s="256"/>
      <c r="I641" s="772">
        <v>33.160600000000002</v>
      </c>
      <c r="J641" s="750">
        <f>G641*I641/100</f>
        <v>20007.021564684001</v>
      </c>
      <c r="K641" s="256"/>
      <c r="L641" s="35">
        <v>1497.5431151939999</v>
      </c>
      <c r="M641" s="35">
        <v>0</v>
      </c>
      <c r="N641" s="35">
        <v>0</v>
      </c>
      <c r="O641" s="35">
        <v>0</v>
      </c>
      <c r="P641" s="35">
        <v>0</v>
      </c>
      <c r="Q641" s="762">
        <f>J641-L641-M641-N641-O641-P641</f>
        <v>18509.478449490001</v>
      </c>
      <c r="R641" s="771"/>
      <c r="S641" s="35">
        <v>499.11135264040058</v>
      </c>
      <c r="T641" s="35">
        <v>1052.1210252863157</v>
      </c>
      <c r="U641" s="35">
        <v>0</v>
      </c>
      <c r="V641" s="35">
        <v>0</v>
      </c>
      <c r="W641" s="35">
        <v>0</v>
      </c>
      <c r="X641" s="35">
        <v>0</v>
      </c>
      <c r="Y641" s="771"/>
      <c r="Z641" s="771">
        <f>Q641+S641+T641+U641+V641+W641+X641</f>
        <v>20060.710827416719</v>
      </c>
      <c r="AA641" s="792">
        <f>Z641/G641*100</f>
        <v>33.249587166831333</v>
      </c>
      <c r="AB641" s="762">
        <f>Z641-J641</f>
        <v>53.689262732717907</v>
      </c>
      <c r="AC641" s="770">
        <f>AA641/I641-1</f>
        <v>2.6835210108180352E-3</v>
      </c>
      <c r="AD641" s="769"/>
      <c r="AF641" s="763"/>
      <c r="AI641" s="763"/>
      <c r="AK641" s="763"/>
      <c r="AM641" s="776"/>
    </row>
    <row r="642" spans="1:39">
      <c r="A642" s="4">
        <v>294</v>
      </c>
      <c r="C642" s="731" t="s">
        <v>852</v>
      </c>
      <c r="E642" s="513" t="s">
        <v>828</v>
      </c>
      <c r="G642" s="35">
        <v>248379.71</v>
      </c>
      <c r="I642" s="772">
        <v>18.477399999999999</v>
      </c>
      <c r="J642" s="750">
        <f>G642*I642/100</f>
        <v>45894.112535539993</v>
      </c>
      <c r="L642" s="35">
        <v>3260.9772125899995</v>
      </c>
      <c r="M642" s="35">
        <v>0</v>
      </c>
      <c r="N642" s="35">
        <v>0</v>
      </c>
      <c r="O642" s="35">
        <v>0</v>
      </c>
      <c r="P642" s="35">
        <v>0</v>
      </c>
      <c r="Q642" s="762">
        <f>J642-L642-M642-N642-O642-P642</f>
        <v>42633.135322949995</v>
      </c>
      <c r="R642" s="68"/>
      <c r="S642" s="35">
        <v>1149.6100171814978</v>
      </c>
      <c r="T642" s="35">
        <v>2423.3647733271655</v>
      </c>
      <c r="U642" s="35">
        <v>0</v>
      </c>
      <c r="V642" s="35">
        <v>0</v>
      </c>
      <c r="W642" s="35">
        <v>0</v>
      </c>
      <c r="X642" s="35">
        <v>0</v>
      </c>
      <c r="Y642" s="68"/>
      <c r="Z642" s="771">
        <f>Q642+S642+T642+U642+V642+W642+X642</f>
        <v>46206.110113458657</v>
      </c>
      <c r="AA642" s="792">
        <f>Z642/G642*100</f>
        <v>18.603013150091311</v>
      </c>
      <c r="AB642" s="762">
        <f>Z642-J642</f>
        <v>311.99757791866432</v>
      </c>
      <c r="AC642" s="770">
        <f>AA642/I642-1</f>
        <v>6.798204838955213E-3</v>
      </c>
      <c r="AD642" s="769"/>
      <c r="AF642" s="763"/>
      <c r="AI642" s="763"/>
      <c r="AK642" s="763"/>
      <c r="AM642" s="776"/>
    </row>
    <row r="643" spans="1:39">
      <c r="A643" s="4"/>
      <c r="C643" s="519" t="s">
        <v>830</v>
      </c>
      <c r="E643" s="36"/>
      <c r="G643" s="35"/>
      <c r="I643" s="772"/>
      <c r="J643" s="750"/>
      <c r="L643" s="35"/>
      <c r="M643" s="762"/>
      <c r="N643" s="762"/>
      <c r="O643" s="762"/>
      <c r="P643" s="762"/>
      <c r="Q643" s="762"/>
      <c r="R643" s="68"/>
      <c r="S643" s="35"/>
      <c r="T643" s="35"/>
      <c r="U643" s="762"/>
      <c r="V643" s="762"/>
      <c r="W643" s="762"/>
      <c r="X643" s="762"/>
      <c r="Y643" s="68"/>
      <c r="Z643" s="771"/>
      <c r="AA643" s="792"/>
      <c r="AB643" s="762"/>
      <c r="AC643" s="770"/>
      <c r="AD643" s="769"/>
      <c r="AF643" s="763"/>
      <c r="AI643" s="763"/>
      <c r="AK643" s="763"/>
      <c r="AM643" s="776"/>
    </row>
    <row r="644" spans="1:39">
      <c r="A644" s="4">
        <v>295</v>
      </c>
      <c r="C644" s="814" t="s">
        <v>831</v>
      </c>
      <c r="E644" s="36" t="s">
        <v>674</v>
      </c>
      <c r="G644" s="35">
        <v>4963881.1019000001</v>
      </c>
      <c r="I644" s="772">
        <v>3.0599999999999999E-2</v>
      </c>
      <c r="J644" s="750">
        <f>G644*I644/100</f>
        <v>1518.9476171813999</v>
      </c>
      <c r="L644" s="35">
        <v>0</v>
      </c>
      <c r="M644" s="35">
        <v>0</v>
      </c>
      <c r="N644" s="35">
        <v>108.47513420704212</v>
      </c>
      <c r="O644" s="35">
        <v>0</v>
      </c>
      <c r="P644" s="35">
        <v>0</v>
      </c>
      <c r="Q644" s="762">
        <f>J644-L644-M644-N644-O644-P644</f>
        <v>1410.4724829743577</v>
      </c>
      <c r="R644" s="68"/>
      <c r="S644" s="35">
        <v>24.09334737430504</v>
      </c>
      <c r="T644" s="35">
        <v>0</v>
      </c>
      <c r="U644" s="35">
        <v>0</v>
      </c>
      <c r="V644" s="35">
        <v>0</v>
      </c>
      <c r="W644" s="35">
        <v>0</v>
      </c>
      <c r="X644" s="762"/>
      <c r="Y644" s="35">
        <v>0</v>
      </c>
      <c r="Z644" s="771">
        <f>Q644+S644+T644+U644+V644+W644+X644</f>
        <v>1434.5658303486628</v>
      </c>
      <c r="AA644" s="792">
        <f>Z644/G644*100</f>
        <v>2.8900084448025175E-2</v>
      </c>
      <c r="AB644" s="762">
        <f>Z644-J644</f>
        <v>-84.381786832737134</v>
      </c>
      <c r="AC644" s="785">
        <f>AA644/I644-1</f>
        <v>-5.5552795816170675E-2</v>
      </c>
      <c r="AD644" s="769"/>
      <c r="AF644" s="763"/>
      <c r="AI644" s="763"/>
      <c r="AK644" s="763"/>
      <c r="AM644" s="776"/>
    </row>
    <row r="645" spans="1:39">
      <c r="A645" s="4">
        <v>296</v>
      </c>
      <c r="C645" s="814" t="s">
        <v>832</v>
      </c>
      <c r="E645" s="36" t="s">
        <v>674</v>
      </c>
      <c r="G645" s="35">
        <v>41762.222750000008</v>
      </c>
      <c r="I645" s="772">
        <v>2.7176999999999998</v>
      </c>
      <c r="J645" s="750">
        <f>G645*I645/100</f>
        <v>1134.9719276767503</v>
      </c>
      <c r="L645" s="35">
        <v>41.469887190750008</v>
      </c>
      <c r="M645" s="35">
        <v>0</v>
      </c>
      <c r="N645" s="35">
        <v>0.91262514645176551</v>
      </c>
      <c r="O645" s="35">
        <v>0</v>
      </c>
      <c r="P645" s="35">
        <v>0</v>
      </c>
      <c r="Q645" s="762">
        <f>J645-L645-M645-N645-O645-P645</f>
        <v>1092.5894153395484</v>
      </c>
      <c r="R645" s="68"/>
      <c r="S645" s="35">
        <v>29.344577165724104</v>
      </c>
      <c r="T645" s="35">
        <v>61.910325756040926</v>
      </c>
      <c r="U645" s="35">
        <v>0</v>
      </c>
      <c r="V645" s="35">
        <v>0</v>
      </c>
      <c r="W645" s="35">
        <v>0</v>
      </c>
      <c r="X645" s="35">
        <v>0</v>
      </c>
      <c r="Y645" s="68"/>
      <c r="Z645" s="771">
        <f>Q645+S645+T645+U645+V645+W645+X645</f>
        <v>1183.8443182613134</v>
      </c>
      <c r="AA645" s="792">
        <f>Z645/G645*100</f>
        <v>2.8347253577668186</v>
      </c>
      <c r="AB645" s="762">
        <f>Z645-J645</f>
        <v>48.872390584563163</v>
      </c>
      <c r="AC645" s="770">
        <f>AA645/I645-1</f>
        <v>4.3060439992206101E-2</v>
      </c>
      <c r="AD645" s="769"/>
      <c r="AF645" s="763"/>
      <c r="AI645" s="763"/>
      <c r="AK645" s="763"/>
      <c r="AM645" s="776"/>
    </row>
    <row r="646" spans="1:39">
      <c r="A646" s="4"/>
      <c r="C646" s="7"/>
      <c r="E646" s="36"/>
      <c r="G646" s="35"/>
      <c r="I646" s="772"/>
      <c r="J646" s="750"/>
      <c r="L646" s="35"/>
      <c r="M646" s="762"/>
      <c r="N646" s="35"/>
      <c r="O646" s="762"/>
      <c r="P646" s="35"/>
      <c r="Q646" s="762"/>
      <c r="R646" s="68"/>
      <c r="S646" s="35"/>
      <c r="T646" s="35"/>
      <c r="U646" s="762"/>
      <c r="V646" s="35"/>
      <c r="W646" s="762"/>
      <c r="X646" s="762"/>
      <c r="Y646" s="68"/>
      <c r="Z646" s="771"/>
      <c r="AA646" s="792"/>
      <c r="AB646" s="762"/>
      <c r="AC646" s="770"/>
      <c r="AD646" s="769"/>
      <c r="AF646" s="763"/>
      <c r="AI646" s="763"/>
      <c r="AK646" s="763"/>
      <c r="AM646" s="776"/>
    </row>
    <row r="647" spans="1:39">
      <c r="A647" s="4">
        <v>297</v>
      </c>
      <c r="B647" s="256"/>
      <c r="C647" s="9" t="s">
        <v>833</v>
      </c>
      <c r="D647" s="256"/>
      <c r="E647" s="36" t="s">
        <v>674</v>
      </c>
      <c r="F647" s="256"/>
      <c r="G647" s="35">
        <v>24455.350999999999</v>
      </c>
      <c r="H647" s="256"/>
      <c r="I647" s="772">
        <v>3.0599999999999999E-2</v>
      </c>
      <c r="J647" s="750">
        <f>G647*I647/100</f>
        <v>7.4833374059999995</v>
      </c>
      <c r="K647" s="256"/>
      <c r="L647" s="35">
        <v>0</v>
      </c>
      <c r="M647" s="35">
        <v>0</v>
      </c>
      <c r="N647" s="35">
        <v>0.53442002887416529</v>
      </c>
      <c r="O647" s="35">
        <v>0</v>
      </c>
      <c r="P647" s="35">
        <v>0</v>
      </c>
      <c r="Q647" s="762">
        <f>J647-L647-M647-N647-O647-P647</f>
        <v>6.9489173771258343</v>
      </c>
      <c r="R647" s="771"/>
      <c r="S647" s="35">
        <v>0.11869971393513623</v>
      </c>
      <c r="T647" s="35">
        <v>0</v>
      </c>
      <c r="U647" s="35">
        <v>0</v>
      </c>
      <c r="V647" s="35">
        <v>0</v>
      </c>
      <c r="W647" s="35">
        <v>0</v>
      </c>
      <c r="X647" s="35">
        <v>0</v>
      </c>
      <c r="Y647" s="771"/>
      <c r="Z647" s="771">
        <f>Q647+S647+T647+U647+V647+W647+X647</f>
        <v>7.0676170910609706</v>
      </c>
      <c r="AA647" s="792">
        <f>Z647/G647*100</f>
        <v>2.8900084448025182E-2</v>
      </c>
      <c r="AB647" s="762">
        <f>Z647-J647</f>
        <v>-0.41572031493902895</v>
      </c>
      <c r="AC647" s="785">
        <f>AA647/I647-1</f>
        <v>-5.5552795816170453E-2</v>
      </c>
      <c r="AD647" s="769"/>
      <c r="AF647" s="763"/>
      <c r="AI647" s="763"/>
      <c r="AK647" s="763"/>
      <c r="AM647" s="776"/>
    </row>
    <row r="648" spans="1:39">
      <c r="A648" s="4">
        <v>298</v>
      </c>
      <c r="B648" s="256"/>
      <c r="C648" s="9" t="s">
        <v>834</v>
      </c>
      <c r="D648" s="256"/>
      <c r="E648" s="36" t="s">
        <v>674</v>
      </c>
      <c r="F648" s="256"/>
      <c r="G648" s="35">
        <v>176.95000000000073</v>
      </c>
      <c r="H648" s="256"/>
      <c r="I648" s="772">
        <v>3.2397999999999998</v>
      </c>
      <c r="J648" s="750">
        <f>G648*I648/100</f>
        <v>5.7328261000000236</v>
      </c>
      <c r="K648" s="256"/>
      <c r="L648" s="35">
        <v>0.17571135000000074</v>
      </c>
      <c r="M648" s="35">
        <v>0</v>
      </c>
      <c r="N648" s="35">
        <v>3.8668684047627839E-3</v>
      </c>
      <c r="O648" s="35">
        <v>0</v>
      </c>
      <c r="P648" s="35">
        <v>0</v>
      </c>
      <c r="Q648" s="762">
        <f>J648-L648-M648-N648-O648-P648</f>
        <v>5.5532478815952597</v>
      </c>
      <c r="R648" s="771"/>
      <c r="S648" s="35">
        <v>0.14924737237755448</v>
      </c>
      <c r="T648" s="35">
        <v>0.26231918277222172</v>
      </c>
      <c r="U648" s="35">
        <v>0</v>
      </c>
      <c r="V648" s="35">
        <v>0</v>
      </c>
      <c r="W648" s="35">
        <v>0</v>
      </c>
      <c r="X648" s="35">
        <v>0</v>
      </c>
      <c r="Y648" s="771"/>
      <c r="Z648" s="771">
        <f>Q648+S648+T648+U648+V648+W648+X648</f>
        <v>5.9648144367450362</v>
      </c>
      <c r="AA648" s="792">
        <f>Z648/G648*100</f>
        <v>3.3709038919158019</v>
      </c>
      <c r="AB648" s="762">
        <f>Z648-J648</f>
        <v>0.23198833674501262</v>
      </c>
      <c r="AC648" s="770">
        <f>AA648/I648-1</f>
        <v>4.0466662113649576E-2</v>
      </c>
      <c r="AD648" s="769"/>
      <c r="AF648" s="763"/>
      <c r="AI648" s="763"/>
      <c r="AK648" s="763"/>
      <c r="AM648" s="776"/>
    </row>
    <row r="649" spans="1:39">
      <c r="A649" s="4"/>
      <c r="C649" s="7"/>
      <c r="E649" s="36"/>
      <c r="G649" s="35"/>
      <c r="I649" s="772"/>
      <c r="J649" s="750"/>
      <c r="L649" s="762"/>
      <c r="M649" s="762"/>
      <c r="N649" s="762"/>
      <c r="O649" s="762"/>
      <c r="P649" s="762"/>
      <c r="Q649" s="762"/>
      <c r="R649" s="68"/>
      <c r="S649" s="35"/>
      <c r="T649" s="35"/>
      <c r="U649" s="762"/>
      <c r="V649" s="762"/>
      <c r="W649" s="762"/>
      <c r="X649" s="762"/>
      <c r="Y649" s="68"/>
      <c r="Z649" s="771"/>
      <c r="AA649" s="792"/>
      <c r="AB649" s="762"/>
      <c r="AC649" s="770"/>
      <c r="AD649" s="769"/>
      <c r="AF649" s="763"/>
      <c r="AI649" s="763"/>
      <c r="AK649" s="763"/>
      <c r="AM649" s="776"/>
    </row>
    <row r="650" spans="1:39">
      <c r="A650" s="4">
        <v>299</v>
      </c>
      <c r="B650" s="256"/>
      <c r="C650" s="9" t="s">
        <v>835</v>
      </c>
      <c r="D650" s="256"/>
      <c r="E650" s="36" t="s">
        <v>777</v>
      </c>
      <c r="F650" s="256"/>
      <c r="G650" s="35">
        <v>0</v>
      </c>
      <c r="H650" s="256"/>
      <c r="I650" s="783">
        <v>3.0899999999999999E-3</v>
      </c>
      <c r="J650" s="35">
        <v>3215.4555231599979</v>
      </c>
      <c r="K650" s="256"/>
      <c r="L650" s="35">
        <v>0</v>
      </c>
      <c r="M650" s="35">
        <v>0</v>
      </c>
      <c r="N650" s="35">
        <v>0</v>
      </c>
      <c r="O650" s="35">
        <v>2139.6182019678349</v>
      </c>
      <c r="P650" s="35">
        <v>1075.8373211921632</v>
      </c>
      <c r="Q650" s="762">
        <f>J650-L650-M650-N650-O650-P650</f>
        <v>0</v>
      </c>
      <c r="R650" s="68"/>
      <c r="S650" s="35">
        <v>0</v>
      </c>
      <c r="T650" s="35">
        <v>0</v>
      </c>
      <c r="U650" s="35">
        <v>0</v>
      </c>
      <c r="V650" s="35">
        <v>103.04176993967982</v>
      </c>
      <c r="W650" s="35">
        <v>2610.9651036030414</v>
      </c>
      <c r="X650" s="35">
        <v>1069.9399683232759</v>
      </c>
      <c r="Y650" s="771"/>
      <c r="Z650" s="771">
        <f>Q650+S650+T650+U650+V650+W650+X650</f>
        <v>3783.9468418659972</v>
      </c>
      <c r="AA650" s="783">
        <v>3.6363108297250506E-3</v>
      </c>
      <c r="AB650" s="762">
        <f>Z650-J650</f>
        <v>568.49131870599922</v>
      </c>
      <c r="AC650" s="770">
        <f>AA650/I650-1</f>
        <v>0.17679962127024296</v>
      </c>
      <c r="AD650" s="769"/>
      <c r="AF650" s="763"/>
      <c r="AI650" s="763"/>
      <c r="AK650" s="763"/>
      <c r="AM650" s="809"/>
    </row>
    <row r="651" spans="1:39">
      <c r="A651" s="4"/>
      <c r="B651" s="256"/>
      <c r="C651" s="7"/>
      <c r="D651" s="256"/>
      <c r="E651" s="742"/>
      <c r="F651" s="256"/>
      <c r="G651" s="35"/>
      <c r="H651" s="256"/>
      <c r="I651" s="256"/>
      <c r="J651" s="750"/>
      <c r="K651" s="256"/>
      <c r="L651" s="762"/>
      <c r="M651" s="762"/>
      <c r="N651" s="762"/>
      <c r="O651" s="762"/>
      <c r="P651" s="762"/>
      <c r="Q651" s="762"/>
      <c r="R651" s="771"/>
      <c r="S651" s="771"/>
      <c r="T651" s="762"/>
      <c r="U651" s="762"/>
      <c r="V651" s="762"/>
      <c r="W651" s="762"/>
      <c r="X651" s="762"/>
      <c r="Y651" s="771"/>
      <c r="Z651" s="771"/>
      <c r="AA651" s="771"/>
      <c r="AB651" s="762"/>
      <c r="AC651" s="770"/>
      <c r="AD651" s="769"/>
      <c r="AF651" s="763"/>
      <c r="AI651" s="763"/>
      <c r="AK651" s="763"/>
      <c r="AM651" s="776"/>
    </row>
    <row r="652" spans="1:39">
      <c r="A652" s="4">
        <v>300</v>
      </c>
      <c r="B652" s="256"/>
      <c r="C652" s="7" t="s">
        <v>836</v>
      </c>
      <c r="D652" s="256"/>
      <c r="E652" s="742"/>
      <c r="F652" s="256"/>
      <c r="G652" s="420">
        <f>G644+G645</f>
        <v>5005643.3246499998</v>
      </c>
      <c r="H652" s="256"/>
      <c r="I652" s="806">
        <f>J652/G652*100</f>
        <v>1.5021532551364056</v>
      </c>
      <c r="J652" s="808">
        <f>SUM(J638:J650)</f>
        <v>75192.434141748163</v>
      </c>
      <c r="K652" s="750"/>
      <c r="L652" s="807">
        <f t="shared" ref="L652:Q652" si="175">SUM(L638:L650)</f>
        <v>4800.1659263247493</v>
      </c>
      <c r="M652" s="807">
        <f t="shared" si="175"/>
        <v>0</v>
      </c>
      <c r="N652" s="807">
        <f t="shared" si="175"/>
        <v>109.9260462507728</v>
      </c>
      <c r="O652" s="807">
        <f t="shared" si="175"/>
        <v>2139.6182019678349</v>
      </c>
      <c r="P652" s="807">
        <f t="shared" si="175"/>
        <v>1075.8373211921632</v>
      </c>
      <c r="Q652" s="807">
        <f t="shared" si="175"/>
        <v>67066.886646012659</v>
      </c>
      <c r="R652" s="771"/>
      <c r="S652" s="807">
        <f t="shared" ref="S652:X652" si="176">SUM(S638:S650)</f>
        <v>1794.3436760230479</v>
      </c>
      <c r="T652" s="807">
        <f t="shared" si="176"/>
        <v>3537.6584435522946</v>
      </c>
      <c r="U652" s="807">
        <f t="shared" si="176"/>
        <v>0</v>
      </c>
      <c r="V652" s="807">
        <f t="shared" si="176"/>
        <v>103.04176993967982</v>
      </c>
      <c r="W652" s="807">
        <f t="shared" si="176"/>
        <v>2610.9651036030414</v>
      </c>
      <c r="X652" s="807">
        <f t="shared" si="176"/>
        <v>1069.9399683232759</v>
      </c>
      <c r="Y652" s="771"/>
      <c r="Z652" s="807">
        <f>SUM(Z638:Z650)</f>
        <v>76182.835607453977</v>
      </c>
      <c r="AA652" s="806">
        <f>Z652/G652*100</f>
        <v>1.521938953027197</v>
      </c>
      <c r="AB652" s="805">
        <f>SUM(AB638:AB650)</f>
        <v>990.40146570582112</v>
      </c>
      <c r="AC652" s="804">
        <f>AA652/I652-1</f>
        <v>1.3171557444712656E-2</v>
      </c>
      <c r="AD652" s="769"/>
      <c r="AF652" s="763"/>
      <c r="AI652" s="763"/>
      <c r="AK652" s="763"/>
      <c r="AM652" s="776"/>
    </row>
    <row r="653" spans="1:39">
      <c r="A653" s="4"/>
      <c r="B653" s="256"/>
      <c r="D653" s="256"/>
      <c r="E653" s="742"/>
      <c r="F653" s="256"/>
      <c r="G653" s="453"/>
      <c r="H653" s="256"/>
      <c r="I653" s="256"/>
      <c r="J653" s="750"/>
      <c r="K653" s="256"/>
      <c r="L653" s="762"/>
      <c r="M653" s="762"/>
      <c r="N653" s="762"/>
      <c r="O653" s="762"/>
      <c r="P653" s="762"/>
      <c r="Q653" s="762"/>
      <c r="R653" s="771"/>
      <c r="S653" s="771"/>
      <c r="T653" s="762"/>
      <c r="U653" s="762"/>
      <c r="V653" s="762"/>
      <c r="W653" s="762"/>
      <c r="X653" s="762"/>
      <c r="Y653" s="771"/>
      <c r="Z653" s="771"/>
      <c r="AA653" s="771"/>
      <c r="AB653" s="762"/>
      <c r="AC653" s="504"/>
      <c r="AK653" s="763"/>
    </row>
    <row r="654" spans="1:39">
      <c r="A654" s="4"/>
      <c r="C654" s="512" t="s">
        <v>837</v>
      </c>
      <c r="E654" s="36"/>
      <c r="G654" s="135"/>
      <c r="J654" s="752"/>
      <c r="L654" s="762"/>
      <c r="M654" s="762"/>
      <c r="N654" s="762"/>
      <c r="O654" s="762"/>
      <c r="P654" s="762"/>
      <c r="Q654" s="762"/>
      <c r="R654" s="68"/>
      <c r="S654" s="68"/>
      <c r="T654" s="762"/>
      <c r="U654" s="762"/>
      <c r="V654" s="762"/>
      <c r="W654" s="762"/>
      <c r="X654" s="762"/>
      <c r="Y654" s="68"/>
      <c r="Z654" s="68"/>
      <c r="AA654" s="68"/>
      <c r="AB654" s="762"/>
      <c r="AC654" s="504"/>
    </row>
    <row r="655" spans="1:39">
      <c r="A655" s="4"/>
      <c r="B655" s="256"/>
      <c r="C655" s="519" t="s">
        <v>838</v>
      </c>
      <c r="D655" s="256"/>
      <c r="F655" s="256"/>
      <c r="G655" s="35"/>
      <c r="H655" s="256"/>
      <c r="I655" s="256"/>
      <c r="J655" s="750"/>
      <c r="K655" s="256"/>
      <c r="L655" s="762"/>
      <c r="M655" s="762"/>
      <c r="N655" s="762"/>
      <c r="O655" s="762"/>
      <c r="P655" s="762"/>
      <c r="Q655" s="762"/>
      <c r="R655" s="771"/>
      <c r="S655" s="771"/>
      <c r="T655" s="762"/>
      <c r="U655" s="762"/>
      <c r="V655" s="762"/>
      <c r="W655" s="762"/>
      <c r="X655" s="762"/>
      <c r="Y655" s="771"/>
      <c r="Z655" s="771"/>
      <c r="AA655" s="771"/>
      <c r="AB655" s="762"/>
      <c r="AC655" s="504"/>
    </row>
    <row r="656" spans="1:39">
      <c r="A656" s="4">
        <v>301</v>
      </c>
      <c r="B656" s="256"/>
      <c r="C656" s="731" t="s">
        <v>839</v>
      </c>
      <c r="D656" s="256"/>
      <c r="E656" s="513" t="s">
        <v>840</v>
      </c>
      <c r="F656" s="256"/>
      <c r="G656" s="35">
        <v>113600526</v>
      </c>
      <c r="H656" s="256"/>
      <c r="I656" s="773">
        <v>1.2E-2</v>
      </c>
      <c r="J656" s="750">
        <f>G656*I656/1000</f>
        <v>1363.206312</v>
      </c>
      <c r="K656" s="256"/>
      <c r="L656" s="35">
        <v>0</v>
      </c>
      <c r="M656" s="35">
        <v>0</v>
      </c>
      <c r="N656" s="35">
        <v>0</v>
      </c>
      <c r="O656" s="35">
        <v>0</v>
      </c>
      <c r="P656" s="35">
        <v>0</v>
      </c>
      <c r="Q656" s="762">
        <f>J656-L656-M656-N656-O656-P656</f>
        <v>1363.206312</v>
      </c>
      <c r="R656" s="771"/>
      <c r="S656" s="453">
        <v>36.759098759424887</v>
      </c>
      <c r="T656" s="35">
        <v>0</v>
      </c>
      <c r="U656" s="35">
        <v>0</v>
      </c>
      <c r="V656" s="35">
        <v>0</v>
      </c>
      <c r="W656" s="35">
        <v>0</v>
      </c>
      <c r="X656" s="35">
        <v>0</v>
      </c>
      <c r="Y656" s="35"/>
      <c r="Z656" s="771">
        <f>Q656+S656+T656+U656+V656+W656+X656</f>
        <v>1399.9654107594249</v>
      </c>
      <c r="AA656" s="797">
        <f>Z656/G656*1000</f>
        <v>1.2323582117563655E-2</v>
      </c>
      <c r="AB656" s="762">
        <f>Z656-J656</f>
        <v>36.759098759424887</v>
      </c>
      <c r="AC656" s="770">
        <f>AA656/I656-1</f>
        <v>2.696517646363783E-2</v>
      </c>
      <c r="AD656" s="769"/>
      <c r="AF656" s="763"/>
      <c r="AI656" s="763"/>
      <c r="AK656" s="763"/>
      <c r="AM656" s="776"/>
    </row>
    <row r="657" spans="1:39">
      <c r="A657" s="4"/>
      <c r="B657" s="256"/>
      <c r="C657" s="519" t="s">
        <v>841</v>
      </c>
      <c r="D657" s="256"/>
      <c r="E657" s="36"/>
      <c r="F657" s="256"/>
      <c r="G657" s="35"/>
      <c r="H657" s="256"/>
      <c r="I657" s="256"/>
      <c r="J657" s="750"/>
      <c r="K657" s="256"/>
      <c r="L657" s="762"/>
      <c r="M657" s="762"/>
      <c r="N657" s="762"/>
      <c r="O657" s="762"/>
      <c r="P657" s="762"/>
      <c r="Q657" s="762"/>
      <c r="R657" s="771"/>
      <c r="S657" s="453"/>
      <c r="T657" s="762"/>
      <c r="U657" s="762"/>
      <c r="V657" s="762"/>
      <c r="W657" s="762"/>
      <c r="X657" s="762"/>
      <c r="Y657" s="771"/>
      <c r="Z657" s="771"/>
      <c r="AA657" s="792"/>
      <c r="AB657" s="762"/>
      <c r="AC657" s="770"/>
      <c r="AD657" s="769"/>
      <c r="AF657" s="763"/>
      <c r="AI657" s="763"/>
      <c r="AK657" s="763"/>
      <c r="AM657" s="776"/>
    </row>
    <row r="658" spans="1:39">
      <c r="A658" s="4">
        <v>302</v>
      </c>
      <c r="B658" s="256"/>
      <c r="C658" s="814" t="s">
        <v>842</v>
      </c>
      <c r="D658" s="256"/>
      <c r="E658" s="513" t="s">
        <v>840</v>
      </c>
      <c r="F658" s="256"/>
      <c r="G658" s="35">
        <v>2398062</v>
      </c>
      <c r="H658" s="256"/>
      <c r="I658" s="773">
        <v>1.8779999999999999</v>
      </c>
      <c r="J658" s="750">
        <f>G658*I658/1000</f>
        <v>4503.5604359999998</v>
      </c>
      <c r="K658" s="256"/>
      <c r="L658" s="35">
        <v>0</v>
      </c>
      <c r="M658" s="35">
        <v>0</v>
      </c>
      <c r="N658" s="35">
        <v>0</v>
      </c>
      <c r="O658" s="35">
        <v>0</v>
      </c>
      <c r="P658" s="35">
        <v>0</v>
      </c>
      <c r="Q658" s="762">
        <f>J658-L658-M658-N658-O658-P658</f>
        <v>4503.5604359999998</v>
      </c>
      <c r="R658" s="771"/>
      <c r="S658" s="453">
        <v>121.43930187139813</v>
      </c>
      <c r="T658" s="35">
        <v>0</v>
      </c>
      <c r="U658" s="35">
        <v>0</v>
      </c>
      <c r="V658" s="35">
        <v>0</v>
      </c>
      <c r="W658" s="35">
        <v>0</v>
      </c>
      <c r="X658" s="35">
        <v>0</v>
      </c>
      <c r="Y658" s="771"/>
      <c r="Z658" s="771">
        <f>Q658+S658+T658+U658+V658+W658+X658</f>
        <v>4624.9997378713979</v>
      </c>
      <c r="AA658" s="773">
        <v>1.9259999999999999</v>
      </c>
      <c r="AB658" s="762">
        <f>Z658-J658</f>
        <v>121.43930187139813</v>
      </c>
      <c r="AC658" s="770">
        <f>AA658/I658-1</f>
        <v>2.5559105431310014E-2</v>
      </c>
      <c r="AD658" s="769"/>
      <c r="AF658" s="763"/>
      <c r="AI658" s="763"/>
      <c r="AK658" s="763"/>
      <c r="AM658" s="776"/>
    </row>
    <row r="659" spans="1:39" ht="12.75" customHeight="1">
      <c r="A659" s="4">
        <v>303</v>
      </c>
      <c r="B659" s="256"/>
      <c r="C659" s="814" t="s">
        <v>843</v>
      </c>
      <c r="D659" s="256"/>
      <c r="E659" s="513" t="s">
        <v>840</v>
      </c>
      <c r="F659" s="256"/>
      <c r="G659" s="35">
        <v>900000</v>
      </c>
      <c r="H659" s="256"/>
      <c r="I659" s="773">
        <v>1.4730000000000001</v>
      </c>
      <c r="J659" s="750">
        <f>G659*I659/1000</f>
        <v>1325.7</v>
      </c>
      <c r="K659" s="256"/>
      <c r="L659" s="35">
        <v>0</v>
      </c>
      <c r="M659" s="35">
        <v>0</v>
      </c>
      <c r="N659" s="35">
        <v>0</v>
      </c>
      <c r="O659" s="35">
        <v>0</v>
      </c>
      <c r="P659" s="35">
        <v>0</v>
      </c>
      <c r="Q659" s="762">
        <f>J659-L659-M659-N659-O659-P659</f>
        <v>1325.7</v>
      </c>
      <c r="R659" s="771"/>
      <c r="S659" s="453">
        <v>35.747734437844656</v>
      </c>
      <c r="T659" s="35">
        <v>0</v>
      </c>
      <c r="U659" s="35">
        <v>0</v>
      </c>
      <c r="V659" s="35">
        <v>0</v>
      </c>
      <c r="W659" s="35">
        <v>0</v>
      </c>
      <c r="X659" s="35">
        <v>0</v>
      </c>
      <c r="Y659" s="771"/>
      <c r="Z659" s="771">
        <f>Q659+S659+T659+U659+V659+W659+X659</f>
        <v>1361.4477344378447</v>
      </c>
      <c r="AA659" s="773">
        <v>1.5181292016499417</v>
      </c>
      <c r="AB659" s="762">
        <f>Z659-J659</f>
        <v>35.747734437844656</v>
      </c>
      <c r="AC659" s="770">
        <f>AA659/I659-1</f>
        <v>3.0637611439199963E-2</v>
      </c>
      <c r="AD659" s="769"/>
      <c r="AF659" s="763"/>
      <c r="AI659" s="763"/>
      <c r="AK659" s="763"/>
      <c r="AM659" s="776"/>
    </row>
    <row r="660" spans="1:39">
      <c r="A660" s="4">
        <v>304</v>
      </c>
      <c r="B660" s="256"/>
      <c r="C660" s="731" t="s">
        <v>844</v>
      </c>
      <c r="D660" s="256"/>
      <c r="E660" s="513" t="s">
        <v>840</v>
      </c>
      <c r="F660" s="256"/>
      <c r="G660" s="35">
        <v>12000</v>
      </c>
      <c r="H660" s="256"/>
      <c r="I660" s="773">
        <v>1.4730000000000001</v>
      </c>
      <c r="J660" s="750">
        <f>G660*I660/1000</f>
        <v>17.675999999999998</v>
      </c>
      <c r="K660" s="256"/>
      <c r="L660" s="35">
        <v>0</v>
      </c>
      <c r="M660" s="35">
        <v>0</v>
      </c>
      <c r="N660" s="35">
        <v>0</v>
      </c>
      <c r="O660" s="35">
        <v>0</v>
      </c>
      <c r="P660" s="35">
        <v>0</v>
      </c>
      <c r="Q660" s="762">
        <f>J660-L660-M660-N660-O660-P660</f>
        <v>17.675999999999998</v>
      </c>
      <c r="R660" s="771"/>
      <c r="S660" s="453">
        <v>0.47663645917126374</v>
      </c>
      <c r="T660" s="35">
        <v>0</v>
      </c>
      <c r="U660" s="35">
        <v>0</v>
      </c>
      <c r="V660" s="35">
        <v>0</v>
      </c>
      <c r="W660" s="35">
        <v>0</v>
      </c>
      <c r="X660" s="35">
        <v>0</v>
      </c>
      <c r="Y660" s="771"/>
      <c r="Z660" s="771">
        <f>Q660+S660+T660+U660+V660+W660+X660</f>
        <v>18.152636459171262</v>
      </c>
      <c r="AA660" s="773">
        <v>1.5181292016499417</v>
      </c>
      <c r="AB660" s="762">
        <f>Z660-J660</f>
        <v>0.47663645917126374</v>
      </c>
      <c r="AC660" s="770">
        <f>AA660/I660-1</f>
        <v>3.0637611439199963E-2</v>
      </c>
      <c r="AD660" s="769"/>
      <c r="AF660" s="763"/>
      <c r="AI660" s="763"/>
      <c r="AK660" s="763"/>
      <c r="AM660" s="776"/>
    </row>
    <row r="661" spans="1:39">
      <c r="A661" s="4">
        <v>305</v>
      </c>
      <c r="B661" s="256"/>
      <c r="C661" s="731" t="s">
        <v>845</v>
      </c>
      <c r="D661" s="256"/>
      <c r="E661" s="513" t="s">
        <v>840</v>
      </c>
      <c r="F661" s="256"/>
      <c r="G661" s="35">
        <v>180000</v>
      </c>
      <c r="H661" s="256"/>
      <c r="I661" s="773">
        <v>1.4730000000000001</v>
      </c>
      <c r="J661" s="750">
        <f>G661*I661/1000</f>
        <v>265.14</v>
      </c>
      <c r="K661" s="256"/>
      <c r="L661" s="35">
        <v>0</v>
      </c>
      <c r="M661" s="35">
        <v>0</v>
      </c>
      <c r="N661" s="35">
        <v>0</v>
      </c>
      <c r="O661" s="35">
        <v>0</v>
      </c>
      <c r="P661" s="35">
        <v>0</v>
      </c>
      <c r="Q661" s="762">
        <f>J661-L661-M661-N661-O661-P661</f>
        <v>265.14</v>
      </c>
      <c r="R661" s="771"/>
      <c r="S661" s="453">
        <v>7.1495468875689312</v>
      </c>
      <c r="T661" s="35">
        <v>0</v>
      </c>
      <c r="U661" s="35">
        <v>0</v>
      </c>
      <c r="V661" s="35">
        <v>0</v>
      </c>
      <c r="W661" s="35">
        <v>0</v>
      </c>
      <c r="X661" s="35">
        <v>0</v>
      </c>
      <c r="Y661" s="771"/>
      <c r="Z661" s="771">
        <f>Q661+S661+T661+U661+V661+W661+X661</f>
        <v>272.28954688756892</v>
      </c>
      <c r="AA661" s="773">
        <v>1.5181292016499417</v>
      </c>
      <c r="AB661" s="762">
        <f>Z661-J661</f>
        <v>7.1495468875689312</v>
      </c>
      <c r="AC661" s="770">
        <f>AA661/I661-1</f>
        <v>3.0637611439199963E-2</v>
      </c>
      <c r="AD661" s="769"/>
      <c r="AF661" s="763"/>
      <c r="AI661" s="763"/>
      <c r="AK661" s="763"/>
      <c r="AM661" s="776"/>
    </row>
    <row r="662" spans="1:39">
      <c r="A662" s="4"/>
      <c r="C662" s="519" t="s">
        <v>846</v>
      </c>
      <c r="E662" s="513"/>
      <c r="G662" s="35"/>
      <c r="I662" s="773"/>
      <c r="J662" s="750"/>
      <c r="L662" s="762"/>
      <c r="M662" s="762"/>
      <c r="N662" s="762"/>
      <c r="O662" s="762"/>
      <c r="P662" s="762"/>
      <c r="Q662" s="762"/>
      <c r="R662" s="68"/>
      <c r="S662" s="136"/>
      <c r="T662" s="762"/>
      <c r="U662" s="762"/>
      <c r="V662" s="762"/>
      <c r="W662" s="762"/>
      <c r="X662" s="762"/>
      <c r="Y662" s="68"/>
      <c r="Z662" s="771"/>
      <c r="AA662" s="792"/>
      <c r="AB662" s="762"/>
      <c r="AC662" s="770"/>
      <c r="AD662" s="769"/>
      <c r="AF662" s="763"/>
      <c r="AI662" s="763"/>
      <c r="AK662" s="763"/>
      <c r="AM662" s="776"/>
    </row>
    <row r="663" spans="1:39">
      <c r="A663" s="4">
        <v>306</v>
      </c>
      <c r="B663" s="734"/>
      <c r="C663" s="731" t="s">
        <v>847</v>
      </c>
      <c r="D663" s="734"/>
      <c r="E663" s="36" t="s">
        <v>777</v>
      </c>
      <c r="F663" s="734"/>
      <c r="G663" s="35">
        <v>31198326.559999999</v>
      </c>
      <c r="H663" s="734"/>
      <c r="I663" s="773">
        <v>1.2E-2</v>
      </c>
      <c r="J663" s="750">
        <f>G663*I663/1000</f>
        <v>374.37991872000003</v>
      </c>
      <c r="K663" s="734"/>
      <c r="L663" s="35">
        <v>0</v>
      </c>
      <c r="M663" s="35">
        <v>0</v>
      </c>
      <c r="N663" s="35">
        <v>0</v>
      </c>
      <c r="O663" s="35">
        <v>0</v>
      </c>
      <c r="P663" s="35">
        <v>0</v>
      </c>
      <c r="Q663" s="762">
        <f>J663-L663-M663-N663-O663-P663</f>
        <v>374.37991872000003</v>
      </c>
      <c r="R663" s="790"/>
      <c r="S663" s="136">
        <v>10.095220572727214</v>
      </c>
      <c r="T663" s="35">
        <v>0</v>
      </c>
      <c r="U663" s="35">
        <v>0</v>
      </c>
      <c r="V663" s="35">
        <v>0</v>
      </c>
      <c r="W663" s="35">
        <v>0</v>
      </c>
      <c r="X663" s="35">
        <v>0</v>
      </c>
      <c r="Y663" s="790"/>
      <c r="Z663" s="771">
        <f>Q663+S663+T663+U663+V663+W663+X663</f>
        <v>384.47513929272725</v>
      </c>
      <c r="AA663" s="797">
        <f>Z663/G663*1000</f>
        <v>1.2323582117563656E-2</v>
      </c>
      <c r="AB663" s="762">
        <f>Z663-J663</f>
        <v>10.095220572727214</v>
      </c>
      <c r="AC663" s="770">
        <f>AA663/I663-1</f>
        <v>2.6965176463638052E-2</v>
      </c>
      <c r="AD663" s="769"/>
      <c r="AF663" s="763"/>
      <c r="AI663" s="763"/>
      <c r="AK663" s="763"/>
      <c r="AM663" s="776"/>
    </row>
    <row r="664" spans="1:39">
      <c r="A664" s="4"/>
      <c r="B664" s="734"/>
      <c r="C664" s="731"/>
      <c r="D664" s="734"/>
      <c r="E664" s="36"/>
      <c r="F664" s="734"/>
      <c r="G664" s="35"/>
      <c r="H664" s="734"/>
      <c r="I664" s="773"/>
      <c r="J664" s="750"/>
      <c r="K664" s="734"/>
      <c r="L664" s="35"/>
      <c r="M664" s="35"/>
      <c r="N664" s="35"/>
      <c r="O664" s="35"/>
      <c r="P664" s="35"/>
      <c r="Q664" s="762"/>
      <c r="R664" s="790"/>
      <c r="S664" s="136"/>
      <c r="T664" s="35"/>
      <c r="U664" s="35"/>
      <c r="V664" s="35"/>
      <c r="W664" s="35"/>
      <c r="X664" s="35"/>
      <c r="Y664" s="790"/>
      <c r="Z664" s="771"/>
      <c r="AA664" s="797"/>
      <c r="AB664" s="762"/>
      <c r="AC664" s="770"/>
      <c r="AD664" s="769"/>
      <c r="AF664" s="763"/>
      <c r="AI664" s="763"/>
      <c r="AK664" s="763"/>
      <c r="AM664" s="776"/>
    </row>
    <row r="665" spans="1:39">
      <c r="A665" s="4">
        <v>307</v>
      </c>
      <c r="B665" s="447"/>
      <c r="C665" s="9" t="s">
        <v>848</v>
      </c>
      <c r="D665" s="447"/>
      <c r="E665" s="36" t="s">
        <v>777</v>
      </c>
      <c r="F665" s="447"/>
      <c r="G665" s="35">
        <v>0</v>
      </c>
      <c r="H665" s="447"/>
      <c r="I665" s="783">
        <v>3.0899999999999999E-3</v>
      </c>
      <c r="J665" s="773">
        <v>737.06227340000055</v>
      </c>
      <c r="K665" s="447"/>
      <c r="L665" s="35">
        <v>0</v>
      </c>
      <c r="M665" s="35">
        <v>0</v>
      </c>
      <c r="N665" s="35">
        <v>0</v>
      </c>
      <c r="O665" s="35">
        <v>425.80073937659938</v>
      </c>
      <c r="P665" s="35">
        <v>311.26153402340117</v>
      </c>
      <c r="Q665" s="762">
        <f>J665-L665-M665-N665-O665-P665</f>
        <v>0</v>
      </c>
      <c r="R665" s="787"/>
      <c r="S665" s="35">
        <v>0</v>
      </c>
      <c r="T665" s="35">
        <v>0</v>
      </c>
      <c r="U665" s="35">
        <v>0</v>
      </c>
      <c r="V665" s="35">
        <v>0</v>
      </c>
      <c r="W665" s="35">
        <v>519.60245551200785</v>
      </c>
      <c r="X665" s="35">
        <v>309.55531035511177</v>
      </c>
      <c r="Y665" s="787"/>
      <c r="Z665" s="771">
        <f>Q665+S665+T665+U665+V665+W665+X665</f>
        <v>829.15776586711968</v>
      </c>
      <c r="AA665" s="783">
        <v>3.6363108297250506E-3</v>
      </c>
      <c r="AB665" s="762">
        <f>Z665-J665</f>
        <v>92.095492467119129</v>
      </c>
      <c r="AC665" s="770">
        <f>AA665/I665-1</f>
        <v>0.17679962127024296</v>
      </c>
      <c r="AD665" s="769"/>
      <c r="AF665" s="763"/>
      <c r="AI665" s="763"/>
      <c r="AK665" s="763"/>
      <c r="AM665" s="809"/>
    </row>
    <row r="666" spans="1:39">
      <c r="A666" s="4"/>
      <c r="B666" s="254"/>
      <c r="D666" s="254"/>
      <c r="E666" s="36"/>
      <c r="F666" s="254"/>
      <c r="G666" s="13"/>
      <c r="H666" s="254"/>
      <c r="I666" s="254"/>
      <c r="J666" s="254"/>
      <c r="K666" s="254"/>
      <c r="L666" s="762"/>
      <c r="M666" s="762"/>
      <c r="N666" s="762"/>
      <c r="O666" s="762"/>
      <c r="P666" s="762"/>
      <c r="Q666" s="762"/>
      <c r="R666" s="786"/>
      <c r="S666" s="813"/>
      <c r="T666" s="762"/>
      <c r="U666" s="762"/>
      <c r="V666" s="762"/>
      <c r="W666" s="762"/>
      <c r="X666" s="762"/>
      <c r="Y666" s="786"/>
      <c r="Z666" s="786"/>
      <c r="AA666" s="786"/>
      <c r="AB666" s="762"/>
      <c r="AC666" s="770"/>
      <c r="AD666" s="769"/>
      <c r="AF666" s="763"/>
      <c r="AI666" s="763"/>
      <c r="AK666" s="763"/>
      <c r="AM666" s="776"/>
    </row>
    <row r="667" spans="1:39">
      <c r="A667" s="4">
        <v>308</v>
      </c>
      <c r="B667" s="256"/>
      <c r="C667" s="7" t="s">
        <v>849</v>
      </c>
      <c r="D667" s="256"/>
      <c r="E667" s="4"/>
      <c r="F667" s="256"/>
      <c r="G667" s="812">
        <f>G652</f>
        <v>5005643.3246499998</v>
      </c>
      <c r="H667" s="256"/>
      <c r="I667" s="806">
        <f>J667/G667*100</f>
        <v>0.17154088661961137</v>
      </c>
      <c r="J667" s="808">
        <f>SUM(J656:J665)</f>
        <v>8586.7249401200006</v>
      </c>
      <c r="K667" s="256"/>
      <c r="L667" s="805">
        <f t="shared" ref="L667:Q667" si="177">SUM(L656:L665)</f>
        <v>0</v>
      </c>
      <c r="M667" s="805">
        <f t="shared" si="177"/>
        <v>0</v>
      </c>
      <c r="N667" s="805">
        <f t="shared" si="177"/>
        <v>0</v>
      </c>
      <c r="O667" s="805">
        <f t="shared" si="177"/>
        <v>425.80073937659938</v>
      </c>
      <c r="P667" s="805">
        <f t="shared" si="177"/>
        <v>311.26153402340117</v>
      </c>
      <c r="Q667" s="805">
        <f t="shared" si="177"/>
        <v>7849.6626667200007</v>
      </c>
      <c r="R667" s="762"/>
      <c r="S667" s="137">
        <f t="shared" ref="S667:X667" si="178">SUM(S656:S665)</f>
        <v>211.66753898813508</v>
      </c>
      <c r="T667" s="137">
        <f t="shared" si="178"/>
        <v>0</v>
      </c>
      <c r="U667" s="137">
        <f t="shared" si="178"/>
        <v>0</v>
      </c>
      <c r="V667" s="137">
        <f t="shared" si="178"/>
        <v>0</v>
      </c>
      <c r="W667" s="137">
        <f t="shared" si="178"/>
        <v>519.60245551200785</v>
      </c>
      <c r="X667" s="137">
        <f t="shared" si="178"/>
        <v>309.55531035511177</v>
      </c>
      <c r="Y667" s="453"/>
      <c r="Z667" s="807">
        <f>SUM(Z656:Z665)</f>
        <v>8890.4879715752541</v>
      </c>
      <c r="AA667" s="806">
        <f>Z667/G667*100</f>
        <v>0.17760929804555914</v>
      </c>
      <c r="AB667" s="805">
        <f>SUM(AB656:AB665)</f>
        <v>303.76303145525424</v>
      </c>
      <c r="AC667" s="804">
        <f>AA667/I667-1</f>
        <v>3.5375889361026536E-2</v>
      </c>
      <c r="AD667" s="769"/>
      <c r="AF667" s="763"/>
      <c r="AI667" s="763"/>
      <c r="AK667" s="763"/>
      <c r="AM667" s="776"/>
    </row>
    <row r="668" spans="1:39">
      <c r="A668" s="4"/>
      <c r="B668" s="256"/>
      <c r="C668" s="7"/>
      <c r="D668" s="256"/>
      <c r="E668" s="4"/>
      <c r="F668" s="256"/>
      <c r="G668" s="4"/>
      <c r="H668" s="256"/>
      <c r="I668" s="256"/>
      <c r="J668" s="256"/>
      <c r="K668" s="256"/>
      <c r="L668" s="762"/>
      <c r="M668" s="762"/>
      <c r="N668" s="762"/>
      <c r="O668" s="762"/>
      <c r="P668" s="762"/>
      <c r="Q668" s="762"/>
      <c r="R668" s="771"/>
      <c r="S668" s="453"/>
      <c r="T668" s="762"/>
      <c r="U668" s="762"/>
      <c r="V668" s="762"/>
      <c r="W668" s="762"/>
      <c r="X668" s="762"/>
      <c r="Y668" s="771"/>
      <c r="Z668" s="771"/>
      <c r="AA668" s="771"/>
      <c r="AB668" s="762"/>
      <c r="AC668" s="504"/>
      <c r="AF668" s="763"/>
      <c r="AI668" s="763"/>
      <c r="AK668" s="763"/>
      <c r="AM668" s="776"/>
    </row>
    <row r="669" spans="1:39" ht="13.5" thickBot="1">
      <c r="A669" s="4">
        <v>309</v>
      </c>
      <c r="B669" s="256"/>
      <c r="C669" s="7" t="s">
        <v>853</v>
      </c>
      <c r="D669" s="256"/>
      <c r="E669" s="742"/>
      <c r="F669" s="256"/>
      <c r="G669" s="458">
        <f>G667</f>
        <v>5005643.3246499998</v>
      </c>
      <c r="H669" s="256"/>
      <c r="I669" s="803">
        <f>J669/G669*100</f>
        <v>1.6736941417560169</v>
      </c>
      <c r="J669" s="756">
        <f>J652+J667</f>
        <v>83779.159081868158</v>
      </c>
      <c r="K669" s="750"/>
      <c r="L669" s="781">
        <f t="shared" ref="L669:Q669" si="179">L652+L667</f>
        <v>4800.1659263247493</v>
      </c>
      <c r="M669" s="781">
        <f t="shared" si="179"/>
        <v>0</v>
      </c>
      <c r="N669" s="781">
        <f t="shared" si="179"/>
        <v>109.9260462507728</v>
      </c>
      <c r="O669" s="781">
        <f t="shared" si="179"/>
        <v>2565.4189413444342</v>
      </c>
      <c r="P669" s="781">
        <f t="shared" si="179"/>
        <v>1387.0988552155645</v>
      </c>
      <c r="Q669" s="781">
        <f t="shared" si="179"/>
        <v>74916.549312732663</v>
      </c>
      <c r="R669" s="771"/>
      <c r="S669" s="781">
        <f t="shared" ref="S669:X669" si="180">S652+S667</f>
        <v>2006.0112150111829</v>
      </c>
      <c r="T669" s="781">
        <f t="shared" si="180"/>
        <v>3537.6584435522946</v>
      </c>
      <c r="U669" s="781">
        <f t="shared" si="180"/>
        <v>0</v>
      </c>
      <c r="V669" s="781">
        <f t="shared" si="180"/>
        <v>103.04176993967982</v>
      </c>
      <c r="W669" s="781">
        <f t="shared" si="180"/>
        <v>3130.5675591150493</v>
      </c>
      <c r="X669" s="781">
        <f t="shared" si="180"/>
        <v>1379.4952786783876</v>
      </c>
      <c r="Y669" s="771"/>
      <c r="Z669" s="781">
        <f>Z652+Z667</f>
        <v>85073.323579029238</v>
      </c>
      <c r="AA669" s="803">
        <f>Z669/G669*100</f>
        <v>1.699548251072756</v>
      </c>
      <c r="AB669" s="799">
        <f>AB652+AB667</f>
        <v>1294.1644971610754</v>
      </c>
      <c r="AC669" s="798">
        <f>AA669/I669-1</f>
        <v>1.544733214493621E-2</v>
      </c>
      <c r="AD669" s="769"/>
      <c r="AF669" s="763"/>
      <c r="AI669" s="763"/>
      <c r="AK669" s="763"/>
      <c r="AM669" s="776"/>
    </row>
    <row r="670" spans="1:39" ht="13.5" thickTop="1">
      <c r="A670" s="4"/>
      <c r="B670" s="256"/>
      <c r="C670" s="6"/>
      <c r="D670" s="256"/>
      <c r="E670" s="134"/>
      <c r="F670" s="256"/>
      <c r="G670" s="749"/>
      <c r="H670" s="256"/>
      <c r="I670" s="256"/>
      <c r="J670" s="256"/>
      <c r="K670" s="256"/>
      <c r="L670" s="762"/>
      <c r="M670" s="762"/>
      <c r="N670" s="762"/>
      <c r="O670" s="762"/>
      <c r="P670" s="762"/>
      <c r="Q670" s="762"/>
      <c r="R670" s="771"/>
      <c r="S670" s="771"/>
      <c r="T670" s="762"/>
      <c r="U670" s="762"/>
      <c r="V670" s="762"/>
      <c r="W670" s="762"/>
      <c r="X670" s="762"/>
      <c r="Y670" s="771"/>
      <c r="Z670" s="771"/>
      <c r="AA670" s="771"/>
      <c r="AB670" s="762"/>
      <c r="AC670" s="504"/>
    </row>
    <row r="671" spans="1:39">
      <c r="A671" s="4"/>
      <c r="B671" s="256"/>
      <c r="C671" s="6"/>
      <c r="D671" s="256"/>
      <c r="E671" s="134"/>
      <c r="F671" s="256"/>
      <c r="G671" s="749"/>
      <c r="H671" s="256"/>
      <c r="I671" s="256"/>
      <c r="J671" s="256"/>
      <c r="K671" s="256"/>
      <c r="L671" s="762"/>
      <c r="M671" s="762"/>
      <c r="N671" s="762"/>
      <c r="O671" s="762"/>
      <c r="P671" s="762"/>
      <c r="Q671" s="762"/>
      <c r="R671" s="771"/>
      <c r="S671" s="771"/>
      <c r="T671" s="762"/>
      <c r="U671" s="762"/>
      <c r="V671" s="762"/>
      <c r="W671" s="762"/>
      <c r="X671" s="762"/>
      <c r="Y671" s="771"/>
      <c r="Z671" s="771"/>
      <c r="AA671" s="771"/>
      <c r="AB671" s="762"/>
      <c r="AC671" s="504"/>
    </row>
    <row r="672" spans="1:39">
      <c r="A672" s="4"/>
      <c r="B672" s="256"/>
      <c r="C672" s="6"/>
      <c r="D672" s="256"/>
      <c r="E672" s="134"/>
      <c r="F672" s="256"/>
      <c r="G672" s="749"/>
      <c r="H672" s="256"/>
      <c r="I672" s="256"/>
      <c r="J672" s="256"/>
      <c r="K672" s="256"/>
      <c r="L672" s="762"/>
      <c r="M672" s="762"/>
      <c r="N672" s="762"/>
      <c r="O672" s="762"/>
      <c r="P672" s="762"/>
      <c r="Q672" s="762"/>
      <c r="R672" s="771"/>
      <c r="S672" s="771"/>
      <c r="T672" s="762"/>
      <c r="U672" s="762"/>
      <c r="V672" s="762"/>
      <c r="W672" s="762"/>
      <c r="X672" s="762"/>
      <c r="Y672" s="771"/>
      <c r="Z672" s="771"/>
      <c r="AA672" s="771"/>
      <c r="AB672" s="762"/>
      <c r="AC672" s="504"/>
    </row>
    <row r="673" spans="1:39">
      <c r="A673" s="4"/>
      <c r="B673" s="256"/>
      <c r="C673" s="6"/>
      <c r="D673" s="256"/>
      <c r="E673" s="134"/>
      <c r="F673" s="256"/>
      <c r="G673" s="749"/>
      <c r="H673" s="256"/>
      <c r="I673" s="256"/>
      <c r="J673" s="256"/>
      <c r="K673" s="256"/>
      <c r="L673" s="762"/>
      <c r="M673" s="762"/>
      <c r="N673" s="762"/>
      <c r="O673" s="762"/>
      <c r="P673" s="762"/>
      <c r="Q673" s="762"/>
      <c r="R673" s="771"/>
      <c r="S673" s="771"/>
      <c r="T673" s="762"/>
      <c r="U673" s="762"/>
      <c r="V673" s="762"/>
      <c r="W673" s="762"/>
      <c r="X673" s="762"/>
      <c r="Y673" s="771"/>
      <c r="Z673" s="771"/>
      <c r="AA673" s="771"/>
      <c r="AB673" s="762"/>
      <c r="AC673" s="504"/>
    </row>
    <row r="674" spans="1:39">
      <c r="A674" s="4"/>
      <c r="B674" s="256"/>
      <c r="C674" s="6"/>
      <c r="D674" s="256"/>
      <c r="E674" s="134"/>
      <c r="F674" s="256"/>
      <c r="G674" s="749"/>
      <c r="H674" s="256"/>
      <c r="I674" s="256"/>
      <c r="J674" s="256"/>
      <c r="K674" s="256"/>
      <c r="L674" s="762"/>
      <c r="M674" s="762"/>
      <c r="N674" s="762"/>
      <c r="O674" s="762"/>
      <c r="P674" s="762"/>
      <c r="Q674" s="762"/>
      <c r="R674" s="771"/>
      <c r="S674" s="771"/>
      <c r="T674" s="762"/>
      <c r="U674" s="762"/>
      <c r="V674" s="762"/>
      <c r="W674" s="762"/>
      <c r="X674" s="762"/>
      <c r="Y674" s="771"/>
      <c r="Z674" s="771"/>
      <c r="AA674" s="771"/>
      <c r="AB674" s="762"/>
      <c r="AC674" s="504"/>
    </row>
    <row r="675" spans="1:39">
      <c r="A675" s="1324" t="s">
        <v>724</v>
      </c>
      <c r="B675" s="1324"/>
      <c r="C675" s="1324"/>
      <c r="D675" s="1324"/>
      <c r="E675" s="1324"/>
      <c r="F675" s="1324"/>
      <c r="G675" s="1324"/>
      <c r="H675" s="1324"/>
      <c r="I675" s="1324"/>
      <c r="J675" s="1324"/>
      <c r="K675" s="1324"/>
      <c r="L675" s="1324"/>
      <c r="M675" s="1324"/>
      <c r="N675" s="1324"/>
      <c r="O675" s="1324"/>
      <c r="P675" s="1324"/>
      <c r="Q675" s="1324"/>
      <c r="R675" s="1324"/>
      <c r="S675" s="1324"/>
      <c r="T675" s="1324"/>
      <c r="U675" s="1324"/>
      <c r="V675" s="1324"/>
      <c r="W675" s="1324"/>
      <c r="X675" s="1324"/>
      <c r="Y675" s="1324"/>
      <c r="Z675" s="1324"/>
      <c r="AA675" s="1324"/>
      <c r="AB675" s="1324"/>
      <c r="AC675" s="1324"/>
    </row>
    <row r="676" spans="1:39">
      <c r="A676" s="385"/>
      <c r="B676" s="385"/>
      <c r="C676" s="385"/>
      <c r="D676" s="385"/>
      <c r="E676" s="447"/>
      <c r="F676" s="385"/>
      <c r="G676" s="447"/>
      <c r="H676" s="385"/>
      <c r="I676" s="385"/>
      <c r="J676" s="385"/>
      <c r="K676" s="385"/>
      <c r="L676" s="385"/>
      <c r="M676" s="385"/>
      <c r="N676" s="3"/>
      <c r="O676" s="3"/>
      <c r="P676" s="504"/>
      <c r="Q676" s="504"/>
      <c r="R676" s="385"/>
      <c r="S676" s="385"/>
      <c r="T676" s="504"/>
      <c r="U676" s="504"/>
      <c r="V676" s="504"/>
      <c r="W676" s="504"/>
      <c r="X676" s="504"/>
      <c r="Y676" s="385"/>
      <c r="Z676" s="385"/>
      <c r="AA676" s="385"/>
      <c r="AB676" s="504"/>
      <c r="AC676" s="504"/>
    </row>
    <row r="677" spans="1:39">
      <c r="A677" s="447"/>
      <c r="B677" s="447"/>
      <c r="C677" s="447"/>
      <c r="D677" s="447"/>
      <c r="E677" s="385"/>
      <c r="F677" s="447"/>
      <c r="G677" s="1313" t="str">
        <f>G632</f>
        <v>Current Approved Revenue</v>
      </c>
      <c r="H677" s="1313"/>
      <c r="I677" s="1313"/>
      <c r="J677" s="1313"/>
      <c r="K677" s="447"/>
      <c r="L677" s="1313" t="str">
        <f>L632</f>
        <v>Adjustments to 2023 Base Rates</v>
      </c>
      <c r="M677" s="1313"/>
      <c r="N677" s="1313"/>
      <c r="O677" s="1313"/>
      <c r="P677" s="1313"/>
      <c r="Q677" s="256"/>
      <c r="R677" s="447"/>
      <c r="S677" s="1313" t="str">
        <f>S632</f>
        <v>Adjustments to 2024 Base Rates</v>
      </c>
      <c r="T677" s="1313"/>
      <c r="U677" s="1313"/>
      <c r="V677" s="1313"/>
      <c r="W677" s="1313"/>
      <c r="X677" s="1313"/>
      <c r="Y677" s="447"/>
      <c r="Z677" s="1313" t="str">
        <f>Z632</f>
        <v>2024 Proposed Revenue</v>
      </c>
      <c r="AA677" s="1313"/>
      <c r="AB677" s="1313"/>
      <c r="AC677" s="1313"/>
    </row>
    <row r="678" spans="1:39" ht="38.25">
      <c r="A678" s="254" t="s">
        <v>1</v>
      </c>
      <c r="B678" s="254"/>
      <c r="C678" s="254"/>
      <c r="D678" s="254"/>
      <c r="E678" s="4" t="s">
        <v>670</v>
      </c>
      <c r="F678" s="254"/>
      <c r="G678" s="13" t="s">
        <v>684</v>
      </c>
      <c r="H678" s="254"/>
      <c r="I678" s="13" t="s">
        <v>196</v>
      </c>
      <c r="J678" s="13" t="s">
        <v>503</v>
      </c>
      <c r="K678" s="254"/>
      <c r="L678" s="13" t="s">
        <v>505</v>
      </c>
      <c r="M678" s="13" t="s">
        <v>685</v>
      </c>
      <c r="N678" s="254" t="s">
        <v>686</v>
      </c>
      <c r="O678" s="254" t="s">
        <v>508</v>
      </c>
      <c r="P678" s="254" t="s">
        <v>687</v>
      </c>
      <c r="Q678" s="254" t="s">
        <v>688</v>
      </c>
      <c r="R678" s="254"/>
      <c r="S678" s="254" t="s">
        <v>689</v>
      </c>
      <c r="T678" s="13" t="s">
        <v>505</v>
      </c>
      <c r="U678" s="13" t="s">
        <v>685</v>
      </c>
      <c r="V678" s="254" t="s">
        <v>686</v>
      </c>
      <c r="W678" s="254" t="s">
        <v>508</v>
      </c>
      <c r="X678" s="254" t="s">
        <v>687</v>
      </c>
      <c r="Y678" s="254"/>
      <c r="Z678" s="13" t="s">
        <v>690</v>
      </c>
      <c r="AA678" s="13" t="s">
        <v>691</v>
      </c>
      <c r="AB678" s="13" t="s">
        <v>692</v>
      </c>
      <c r="AC678" s="254" t="s">
        <v>693</v>
      </c>
    </row>
    <row r="679" spans="1:39" ht="14.25">
      <c r="A679" s="255" t="s">
        <v>2</v>
      </c>
      <c r="B679" s="256"/>
      <c r="C679" s="449" t="s">
        <v>3</v>
      </c>
      <c r="D679" s="256"/>
      <c r="E679" s="255" t="s">
        <v>4</v>
      </c>
      <c r="F679" s="256"/>
      <c r="G679" s="255" t="s">
        <v>694</v>
      </c>
      <c r="H679" s="256"/>
      <c r="I679" s="255" t="s">
        <v>77</v>
      </c>
      <c r="J679" s="255" t="s">
        <v>20</v>
      </c>
      <c r="K679" s="256"/>
      <c r="L679" s="255" t="s">
        <v>20</v>
      </c>
      <c r="M679" s="255" t="s">
        <v>20</v>
      </c>
      <c r="N679" s="255" t="s">
        <v>20</v>
      </c>
      <c r="O679" s="255" t="s">
        <v>20</v>
      </c>
      <c r="P679" s="255" t="s">
        <v>20</v>
      </c>
      <c r="Q679" s="255" t="s">
        <v>20</v>
      </c>
      <c r="R679" s="256"/>
      <c r="S679" s="255" t="s">
        <v>20</v>
      </c>
      <c r="T679" s="255" t="s">
        <v>20</v>
      </c>
      <c r="U679" s="255" t="s">
        <v>20</v>
      </c>
      <c r="V679" s="255" t="s">
        <v>20</v>
      </c>
      <c r="W679" s="255" t="s">
        <v>20</v>
      </c>
      <c r="X679" s="255" t="s">
        <v>20</v>
      </c>
      <c r="Y679" s="256"/>
      <c r="Z679" s="255" t="s">
        <v>20</v>
      </c>
      <c r="AA679" s="255" t="s">
        <v>77</v>
      </c>
      <c r="AB679" s="255" t="s">
        <v>20</v>
      </c>
      <c r="AC679" s="255" t="s">
        <v>76</v>
      </c>
    </row>
    <row r="680" spans="1:39">
      <c r="A680" s="4"/>
      <c r="B680" s="256"/>
      <c r="C680" s="256"/>
      <c r="D680" s="256"/>
      <c r="E680" s="4"/>
      <c r="F680" s="256"/>
      <c r="G680" s="4" t="s">
        <v>8</v>
      </c>
      <c r="H680" s="4"/>
      <c r="I680" s="4" t="s">
        <v>9</v>
      </c>
      <c r="J680" s="4" t="s">
        <v>370</v>
      </c>
      <c r="K680" s="4"/>
      <c r="L680" s="132" t="s">
        <v>79</v>
      </c>
      <c r="M680" s="132" t="s">
        <v>115</v>
      </c>
      <c r="N680" s="132" t="s">
        <v>81</v>
      </c>
      <c r="O680" s="132" t="s">
        <v>82</v>
      </c>
      <c r="P680" s="4" t="s">
        <v>118</v>
      </c>
      <c r="Q680" s="4" t="s">
        <v>695</v>
      </c>
      <c r="R680" s="4"/>
      <c r="S680" s="4" t="s">
        <v>696</v>
      </c>
      <c r="T680" s="4" t="s">
        <v>517</v>
      </c>
      <c r="U680" s="4" t="s">
        <v>518</v>
      </c>
      <c r="V680" s="4" t="s">
        <v>519</v>
      </c>
      <c r="W680" s="4" t="s">
        <v>697</v>
      </c>
      <c r="X680" s="4" t="s">
        <v>698</v>
      </c>
      <c r="Y680" s="4"/>
      <c r="Z680" s="4" t="s">
        <v>725</v>
      </c>
      <c r="AA680" s="4" t="s">
        <v>700</v>
      </c>
      <c r="AB680" s="4" t="s">
        <v>701</v>
      </c>
      <c r="AC680" s="4" t="s">
        <v>702</v>
      </c>
    </row>
    <row r="681" spans="1:39">
      <c r="A681" s="4"/>
      <c r="B681" s="256"/>
      <c r="C681" s="256"/>
      <c r="D681" s="256"/>
      <c r="E681" s="4"/>
      <c r="F681" s="256"/>
      <c r="G681" s="4"/>
      <c r="H681" s="4"/>
      <c r="I681" s="4"/>
      <c r="J681" s="4"/>
      <c r="K681" s="4"/>
      <c r="L681" s="132"/>
      <c r="M681" s="132"/>
      <c r="N681" s="132"/>
      <c r="O681" s="132"/>
      <c r="P681" s="4"/>
      <c r="Q681" s="4"/>
      <c r="R681" s="4"/>
      <c r="S681" s="4"/>
      <c r="T681" s="4"/>
      <c r="U681" s="4"/>
      <c r="V681" s="4"/>
      <c r="W681" s="4"/>
      <c r="X681" s="4"/>
      <c r="Y681" s="4"/>
      <c r="Z681" s="4"/>
      <c r="AA681" s="4"/>
      <c r="AB681" s="4"/>
      <c r="AC681" s="4"/>
    </row>
    <row r="682" spans="1:39">
      <c r="A682" s="4"/>
      <c r="C682" s="6" t="s">
        <v>186</v>
      </c>
      <c r="E682" s="36"/>
      <c r="G682" s="35"/>
      <c r="L682" s="762"/>
      <c r="M682" s="762"/>
      <c r="N682" s="762"/>
      <c r="O682" s="762"/>
      <c r="P682" s="762"/>
      <c r="Q682" s="762"/>
      <c r="R682" s="68"/>
      <c r="S682" s="68"/>
      <c r="T682" s="762"/>
      <c r="U682" s="762"/>
      <c r="V682" s="762"/>
      <c r="W682" s="762"/>
      <c r="X682" s="762"/>
      <c r="Y682" s="68"/>
      <c r="Z682" s="68"/>
      <c r="AA682" s="68"/>
      <c r="AB682" s="762"/>
      <c r="AC682" s="504"/>
    </row>
    <row r="683" spans="1:39">
      <c r="A683" s="4">
        <v>310</v>
      </c>
      <c r="B683" s="256"/>
      <c r="C683" s="7" t="s">
        <v>703</v>
      </c>
      <c r="D683" s="256"/>
      <c r="E683" s="4" t="s">
        <v>824</v>
      </c>
      <c r="F683" s="256"/>
      <c r="G683" s="35">
        <v>12.000000000000004</v>
      </c>
      <c r="H683" s="256"/>
      <c r="I683" s="778">
        <v>22703.73</v>
      </c>
      <c r="J683" s="750">
        <f>G683*I683/1000</f>
        <v>272.44476000000009</v>
      </c>
      <c r="K683" s="256"/>
      <c r="L683" s="35">
        <v>0</v>
      </c>
      <c r="M683" s="35">
        <v>0</v>
      </c>
      <c r="N683" s="35">
        <v>0</v>
      </c>
      <c r="O683" s="35">
        <v>0</v>
      </c>
      <c r="P683" s="35">
        <v>0</v>
      </c>
      <c r="Q683" s="762">
        <f>J683-L683-M683-N683-O683-P683</f>
        <v>272.44476000000009</v>
      </c>
      <c r="R683" s="771"/>
      <c r="S683" s="35">
        <v>7.3465210299934824</v>
      </c>
      <c r="T683" s="35">
        <v>0</v>
      </c>
      <c r="U683" s="35">
        <v>0</v>
      </c>
      <c r="V683" s="35">
        <v>0</v>
      </c>
      <c r="W683" s="35">
        <v>0</v>
      </c>
      <c r="X683" s="35">
        <v>0</v>
      </c>
      <c r="Y683" s="771"/>
      <c r="Z683" s="771">
        <f>Q683+S683+T683+U683+V683+W683+X683</f>
        <v>279.79128102999357</v>
      </c>
      <c r="AA683" s="811">
        <f>Z683/G683*1000</f>
        <v>23315.94008583279</v>
      </c>
      <c r="AB683" s="762">
        <f>Z683-J683</f>
        <v>7.3465210299934824</v>
      </c>
      <c r="AC683" s="770">
        <f>AA683/I683-1</f>
        <v>2.696517646363783E-2</v>
      </c>
      <c r="AD683" s="769"/>
      <c r="AF683" s="763"/>
      <c r="AI683" s="763"/>
      <c r="AK683" s="763"/>
      <c r="AM683" s="776"/>
    </row>
    <row r="684" spans="1:39" ht="14.25">
      <c r="A684" s="4"/>
      <c r="B684" s="256"/>
      <c r="C684" s="7" t="s">
        <v>825</v>
      </c>
      <c r="D684" s="256"/>
      <c r="E684" s="4"/>
      <c r="F684" s="256"/>
      <c r="G684" s="35"/>
      <c r="H684" s="256"/>
      <c r="I684" s="778"/>
      <c r="J684" s="750"/>
      <c r="K684" s="256"/>
      <c r="L684" s="35"/>
      <c r="M684" s="35"/>
      <c r="N684" s="35"/>
      <c r="O684" s="35"/>
      <c r="P684" s="35"/>
      <c r="Q684" s="762"/>
      <c r="R684" s="771"/>
      <c r="S684" s="35"/>
      <c r="T684" s="35"/>
      <c r="U684" s="35"/>
      <c r="V684" s="35"/>
      <c r="W684" s="35"/>
      <c r="X684" s="35"/>
      <c r="Y684" s="771"/>
      <c r="Z684" s="771"/>
      <c r="AA684" s="811"/>
      <c r="AB684" s="762"/>
      <c r="AC684" s="770"/>
      <c r="AD684" s="769"/>
      <c r="AF684" s="763"/>
      <c r="AI684" s="763"/>
      <c r="AK684" s="763"/>
      <c r="AM684" s="776"/>
    </row>
    <row r="685" spans="1:39">
      <c r="A685" s="4">
        <v>311</v>
      </c>
      <c r="B685" s="256"/>
      <c r="C685" s="519" t="s">
        <v>826</v>
      </c>
      <c r="D685" s="256"/>
      <c r="E685" s="513" t="s">
        <v>828</v>
      </c>
      <c r="F685" s="256"/>
      <c r="G685" s="35">
        <v>28200</v>
      </c>
      <c r="H685" s="256"/>
      <c r="I685" s="772">
        <v>20.7133</v>
      </c>
      <c r="J685" s="750">
        <f>G685*I685/100</f>
        <v>5841.1506000000008</v>
      </c>
      <c r="K685" s="256"/>
      <c r="L685" s="35">
        <v>106.2576</v>
      </c>
      <c r="M685" s="35">
        <v>0</v>
      </c>
      <c r="N685" s="35">
        <v>0</v>
      </c>
      <c r="O685" s="35">
        <v>0</v>
      </c>
      <c r="P685" s="35">
        <v>0</v>
      </c>
      <c r="Q685" s="762">
        <f>J685-L685-M685-N685-O685-P685</f>
        <v>5734.8930000000009</v>
      </c>
      <c r="R685" s="771"/>
      <c r="S685" s="35">
        <v>154.64240174508177</v>
      </c>
      <c r="T685" s="35">
        <v>111.50384979625936</v>
      </c>
      <c r="U685" s="35">
        <v>0</v>
      </c>
      <c r="V685" s="35">
        <v>0</v>
      </c>
      <c r="W685" s="35">
        <v>0</v>
      </c>
      <c r="X685" s="35">
        <v>0</v>
      </c>
      <c r="Y685" s="771"/>
      <c r="Z685" s="771">
        <f>Q685+S685+T685+U685+V685+W685+X685</f>
        <v>6001.0392515413423</v>
      </c>
      <c r="AA685" s="792">
        <f>Z685/G685*100</f>
        <v>21.280281033834548</v>
      </c>
      <c r="AB685" s="762">
        <f>Z685-J685</f>
        <v>159.88865154134146</v>
      </c>
      <c r="AC685" s="770">
        <f>AA685/I685-1</f>
        <v>2.7372800752875959E-2</v>
      </c>
      <c r="AD685" s="769"/>
      <c r="AF685" s="763"/>
      <c r="AI685" s="763"/>
      <c r="AK685" s="763"/>
      <c r="AM685" s="776"/>
    </row>
    <row r="686" spans="1:39">
      <c r="A686" s="4">
        <v>312</v>
      </c>
      <c r="B686" s="256"/>
      <c r="C686" s="9" t="s">
        <v>830</v>
      </c>
      <c r="D686" s="256"/>
      <c r="E686" s="513" t="s">
        <v>674</v>
      </c>
      <c r="F686" s="256"/>
      <c r="G686" s="35">
        <v>249200.14546999999</v>
      </c>
      <c r="H686" s="256"/>
      <c r="I686" s="772">
        <v>8.2100000000000006E-2</v>
      </c>
      <c r="J686" s="750">
        <f>G686*I686/100</f>
        <v>204.59331943087</v>
      </c>
      <c r="K686" s="256"/>
      <c r="L686" s="35">
        <v>0</v>
      </c>
      <c r="M686" s="35">
        <v>0</v>
      </c>
      <c r="N686" s="35">
        <v>10.217205964270001</v>
      </c>
      <c r="O686" s="35">
        <v>0</v>
      </c>
      <c r="P686" s="35">
        <v>0</v>
      </c>
      <c r="Q686" s="762">
        <f>J686-L686-M686-N686-O686-P686</f>
        <v>194.3761134666</v>
      </c>
      <c r="R686" s="771"/>
      <c r="S686" s="35">
        <v>5.2413861999429514</v>
      </c>
      <c r="T686" s="35">
        <v>0</v>
      </c>
      <c r="U686" s="35">
        <v>0</v>
      </c>
      <c r="V686" s="35">
        <v>0</v>
      </c>
      <c r="W686" s="35">
        <v>0</v>
      </c>
      <c r="X686" s="35">
        <v>0</v>
      </c>
      <c r="Y686" s="771"/>
      <c r="Z686" s="771">
        <f>Q686+S686+T686+U686+V686+W686+X686</f>
        <v>199.61749966654295</v>
      </c>
      <c r="AA686" s="792">
        <f>Z686/G686*100</f>
        <v>8.0103283764163744E-2</v>
      </c>
      <c r="AB686" s="762">
        <f>Z686-J686</f>
        <v>-4.9758197643270421</v>
      </c>
      <c r="AC686" s="785">
        <f>AA686/I686-1</f>
        <v>-2.4320538804339376E-2</v>
      </c>
      <c r="AD686" s="769"/>
      <c r="AF686" s="763"/>
      <c r="AI686" s="763"/>
      <c r="AK686" s="763"/>
      <c r="AM686" s="776"/>
    </row>
    <row r="687" spans="1:39">
      <c r="A687" s="4"/>
      <c r="B687" s="256"/>
      <c r="C687" s="9"/>
      <c r="D687" s="256"/>
      <c r="E687" s="513"/>
      <c r="F687" s="256"/>
      <c r="G687" s="35"/>
      <c r="H687" s="256"/>
      <c r="I687" s="772"/>
      <c r="J687" s="750"/>
      <c r="K687" s="256"/>
      <c r="L687" s="35"/>
      <c r="M687" s="35"/>
      <c r="N687" s="35"/>
      <c r="O687" s="35"/>
      <c r="P687" s="35"/>
      <c r="Q687" s="762"/>
      <c r="R687" s="771"/>
      <c r="S687" s="35"/>
      <c r="T687" s="35"/>
      <c r="U687" s="35"/>
      <c r="V687" s="35"/>
      <c r="W687" s="35"/>
      <c r="X687" s="35"/>
      <c r="Y687" s="771"/>
      <c r="Z687" s="771"/>
      <c r="AA687" s="792"/>
      <c r="AB687" s="762"/>
      <c r="AC687" s="785"/>
      <c r="AD687" s="769"/>
      <c r="AF687" s="763"/>
      <c r="AI687" s="763"/>
      <c r="AK687" s="763"/>
      <c r="AM687" s="776"/>
    </row>
    <row r="688" spans="1:39">
      <c r="A688" s="4">
        <v>313</v>
      </c>
      <c r="B688" s="256"/>
      <c r="C688" s="9" t="s">
        <v>835</v>
      </c>
      <c r="D688" s="256"/>
      <c r="E688" s="513" t="s">
        <v>674</v>
      </c>
      <c r="F688" s="256"/>
      <c r="G688" s="35">
        <v>0</v>
      </c>
      <c r="H688" s="256"/>
      <c r="I688" s="783">
        <v>4.1900000000000001E-3</v>
      </c>
      <c r="J688" s="35">
        <v>216.63544388</v>
      </c>
      <c r="K688" s="256"/>
      <c r="L688" s="35">
        <v>0</v>
      </c>
      <c r="M688" s="35">
        <v>0</v>
      </c>
      <c r="N688" s="35">
        <v>0</v>
      </c>
      <c r="O688" s="35">
        <v>104.835140629248</v>
      </c>
      <c r="P688" s="35">
        <v>111.80030325075201</v>
      </c>
      <c r="Q688" s="762">
        <f>J688-L688-M688-N688-O688-P688</f>
        <v>0</v>
      </c>
      <c r="R688" s="771"/>
      <c r="S688" s="35">
        <v>0</v>
      </c>
      <c r="T688" s="35">
        <v>0</v>
      </c>
      <c r="U688" s="35">
        <v>0</v>
      </c>
      <c r="V688" s="35">
        <v>9.5773387864319055</v>
      </c>
      <c r="W688" s="35">
        <v>127.92978371680481</v>
      </c>
      <c r="X688" s="35">
        <v>111.18745423898166</v>
      </c>
      <c r="Y688" s="771"/>
      <c r="Z688" s="771">
        <f>Q688+S688+T688+U688+V688+W688+X688</f>
        <v>248.69457674221837</v>
      </c>
      <c r="AA688" s="783">
        <v>4.8100636621914127E-3</v>
      </c>
      <c r="AB688" s="762">
        <f>Z688-J688</f>
        <v>32.059132862218377</v>
      </c>
      <c r="AC688" s="770">
        <f>AA688/I688-1</f>
        <v>0.14798655422229423</v>
      </c>
      <c r="AD688" s="769"/>
      <c r="AF688" s="763"/>
      <c r="AI688" s="763"/>
      <c r="AK688" s="763"/>
      <c r="AM688" s="809"/>
    </row>
    <row r="689" spans="1:39">
      <c r="A689" s="4"/>
      <c r="B689" s="256"/>
      <c r="C689" s="9"/>
      <c r="D689" s="256"/>
      <c r="E689" s="513"/>
      <c r="F689" s="256"/>
      <c r="G689" s="35"/>
      <c r="H689" s="256"/>
      <c r="I689" s="772"/>
      <c r="J689" s="750"/>
      <c r="K689" s="256"/>
      <c r="L689" s="762"/>
      <c r="M689" s="762"/>
      <c r="N689" s="762"/>
      <c r="O689" s="762"/>
      <c r="P689" s="762"/>
      <c r="Q689" s="762"/>
      <c r="R689" s="771"/>
      <c r="S689" s="771"/>
      <c r="T689" s="762"/>
      <c r="U689" s="762"/>
      <c r="V689" s="762"/>
      <c r="W689" s="762"/>
      <c r="X689" s="762"/>
      <c r="Y689" s="771"/>
      <c r="Z689" s="771"/>
      <c r="AA689" s="771"/>
      <c r="AB689" s="762"/>
      <c r="AC689" s="770"/>
      <c r="AD689" s="769"/>
      <c r="AF689" s="763"/>
      <c r="AI689" s="763"/>
      <c r="AK689" s="763"/>
      <c r="AM689" s="776"/>
    </row>
    <row r="690" spans="1:39">
      <c r="A690" s="4">
        <v>314</v>
      </c>
      <c r="B690" s="256"/>
      <c r="C690" s="7" t="s">
        <v>836</v>
      </c>
      <c r="D690" s="256"/>
      <c r="E690" s="36"/>
      <c r="F690" s="256"/>
      <c r="G690" s="420">
        <f>G686</f>
        <v>249200.14546999999</v>
      </c>
      <c r="H690" s="256"/>
      <c r="I690" s="810">
        <f>J690/G690*100</f>
        <v>2.6223195459962394</v>
      </c>
      <c r="J690" s="808">
        <f>SUM(J683:J689)</f>
        <v>6534.8241233108711</v>
      </c>
      <c r="K690" s="256"/>
      <c r="L690" s="805">
        <f t="shared" ref="L690:Q690" si="181">SUM(L683:L689)</f>
        <v>106.2576</v>
      </c>
      <c r="M690" s="805">
        <f t="shared" si="181"/>
        <v>0</v>
      </c>
      <c r="N690" s="805">
        <f t="shared" si="181"/>
        <v>10.217205964270001</v>
      </c>
      <c r="O690" s="805">
        <f t="shared" si="181"/>
        <v>104.835140629248</v>
      </c>
      <c r="P690" s="805">
        <f t="shared" si="181"/>
        <v>111.80030325075201</v>
      </c>
      <c r="Q690" s="805">
        <f t="shared" si="181"/>
        <v>6201.7138734666014</v>
      </c>
      <c r="R690" s="762"/>
      <c r="S690" s="807">
        <f t="shared" ref="S690:X690" si="182">SUM(S683:S689)</f>
        <v>167.2303089750182</v>
      </c>
      <c r="T690" s="807">
        <f t="shared" si="182"/>
        <v>111.50384979625936</v>
      </c>
      <c r="U690" s="807">
        <f t="shared" si="182"/>
        <v>0</v>
      </c>
      <c r="V690" s="807">
        <f t="shared" si="182"/>
        <v>9.5773387864319055</v>
      </c>
      <c r="W690" s="807">
        <f t="shared" si="182"/>
        <v>127.92978371680481</v>
      </c>
      <c r="X690" s="807">
        <f t="shared" si="182"/>
        <v>111.18745423898166</v>
      </c>
      <c r="Y690" s="771"/>
      <c r="Z690" s="807">
        <f>SUM(Z683:Z689)</f>
        <v>6729.1426089800971</v>
      </c>
      <c r="AA690" s="806">
        <f>Z690/G690*100</f>
        <v>2.7002964208904068</v>
      </c>
      <c r="AB690" s="805">
        <f>SUM(AB683:AB688)</f>
        <v>194.31848566922628</v>
      </c>
      <c r="AC690" s="804">
        <f>AA690/I690-1</f>
        <v>2.9735840169907046E-2</v>
      </c>
      <c r="AD690" s="769"/>
      <c r="AF690" s="763"/>
      <c r="AI690" s="763"/>
      <c r="AK690" s="763"/>
      <c r="AM690" s="776"/>
    </row>
    <row r="691" spans="1:39">
      <c r="A691" s="4"/>
      <c r="E691" s="36"/>
      <c r="G691" s="35"/>
      <c r="I691" s="772"/>
      <c r="J691" s="752"/>
      <c r="L691" s="762"/>
      <c r="M691" s="762"/>
      <c r="N691" s="762"/>
      <c r="O691" s="762"/>
      <c r="P691" s="762"/>
      <c r="Q691" s="762"/>
      <c r="R691" s="68"/>
      <c r="S691" s="68"/>
      <c r="T691" s="762"/>
      <c r="U691" s="762"/>
      <c r="V691" s="762"/>
      <c r="W691" s="762"/>
      <c r="X691" s="762"/>
      <c r="Y691" s="68"/>
      <c r="Z691" s="68"/>
      <c r="AA691" s="68"/>
      <c r="AB691" s="762"/>
      <c r="AC691" s="504"/>
      <c r="AF691" s="763"/>
      <c r="AI691" s="763"/>
      <c r="AK691" s="763"/>
      <c r="AM691" s="776"/>
    </row>
    <row r="692" spans="1:39">
      <c r="A692" s="4"/>
      <c r="C692" s="512" t="s">
        <v>837</v>
      </c>
      <c r="E692" s="36"/>
      <c r="G692" s="35"/>
      <c r="I692" s="772"/>
      <c r="J692" s="752"/>
      <c r="L692" s="762"/>
      <c r="M692" s="762"/>
      <c r="N692" s="762"/>
      <c r="O692" s="762"/>
      <c r="P692" s="762"/>
      <c r="Q692" s="762"/>
      <c r="R692" s="68"/>
      <c r="S692" s="68"/>
      <c r="T692" s="762"/>
      <c r="U692" s="762"/>
      <c r="V692" s="762"/>
      <c r="W692" s="762"/>
      <c r="X692" s="762"/>
      <c r="Y692" s="68"/>
      <c r="Z692" s="68"/>
      <c r="AA692" s="68"/>
      <c r="AB692" s="762"/>
      <c r="AC692" s="504"/>
      <c r="AF692" s="763"/>
      <c r="AI692" s="763"/>
      <c r="AK692" s="763"/>
      <c r="AM692" s="776"/>
    </row>
    <row r="693" spans="1:39">
      <c r="A693" s="4"/>
      <c r="B693" s="256"/>
      <c r="C693" s="519" t="s">
        <v>838</v>
      </c>
      <c r="D693" s="256"/>
      <c r="E693" s="513"/>
      <c r="F693" s="256"/>
      <c r="G693" s="35"/>
      <c r="H693" s="256"/>
      <c r="I693" s="772"/>
      <c r="J693" s="750"/>
      <c r="K693" s="256"/>
      <c r="L693" s="762"/>
      <c r="M693" s="762"/>
      <c r="N693" s="762"/>
      <c r="O693" s="762"/>
      <c r="P693" s="762"/>
      <c r="Q693" s="762"/>
      <c r="R693" s="771"/>
      <c r="S693" s="771"/>
      <c r="T693" s="762"/>
      <c r="U693" s="762"/>
      <c r="V693" s="762"/>
      <c r="W693" s="762"/>
      <c r="X693" s="762"/>
      <c r="Y693" s="771"/>
      <c r="Z693" s="771"/>
      <c r="AA693" s="771"/>
      <c r="AB693" s="762"/>
      <c r="AC693" s="504"/>
      <c r="AF693" s="763"/>
      <c r="AI693" s="763"/>
      <c r="AK693" s="763"/>
      <c r="AM693" s="776"/>
    </row>
    <row r="694" spans="1:39">
      <c r="A694" s="4">
        <v>315</v>
      </c>
      <c r="C694" s="731" t="s">
        <v>839</v>
      </c>
      <c r="E694" s="513" t="s">
        <v>840</v>
      </c>
      <c r="G694" s="35">
        <v>38472252</v>
      </c>
      <c r="I694" s="773">
        <v>1.2E-2</v>
      </c>
      <c r="J694" s="752">
        <f>G694*I694/1000</f>
        <v>461.66702400000003</v>
      </c>
      <c r="L694" s="35">
        <v>0</v>
      </c>
      <c r="M694" s="35">
        <v>0</v>
      </c>
      <c r="N694" s="35">
        <v>0</v>
      </c>
      <c r="O694" s="35">
        <v>0</v>
      </c>
      <c r="P694" s="35">
        <v>0</v>
      </c>
      <c r="Q694" s="762">
        <f>J694-L694-M694-N694-O694-P694</f>
        <v>461.66702400000003</v>
      </c>
      <c r="R694" s="68"/>
      <c r="S694" s="35">
        <v>12.44893276960255</v>
      </c>
      <c r="T694" s="35">
        <v>0</v>
      </c>
      <c r="U694" s="35">
        <v>0</v>
      </c>
      <c r="V694" s="35">
        <v>0</v>
      </c>
      <c r="W694" s="35">
        <v>0</v>
      </c>
      <c r="X694" s="35">
        <v>0</v>
      </c>
      <c r="Y694" s="68"/>
      <c r="Z694" s="68">
        <f>Q694+S694+T694+U694+V694+W694+X694</f>
        <v>474.11595676960258</v>
      </c>
      <c r="AA694" s="797">
        <f>Z694/G694*1000</f>
        <v>1.2323582117563656E-2</v>
      </c>
      <c r="AB694" s="762">
        <f>Z694-J694</f>
        <v>12.44893276960255</v>
      </c>
      <c r="AC694" s="770">
        <f>AA694/I694-1</f>
        <v>2.6965176463638052E-2</v>
      </c>
      <c r="AD694" s="769"/>
      <c r="AF694" s="763"/>
      <c r="AI694" s="763"/>
      <c r="AK694" s="763"/>
      <c r="AM694" s="776"/>
    </row>
    <row r="695" spans="1:39">
      <c r="A695" s="4"/>
      <c r="C695" s="519" t="s">
        <v>841</v>
      </c>
      <c r="E695" s="36"/>
      <c r="G695" s="35"/>
      <c r="I695" s="772"/>
      <c r="J695" s="752"/>
      <c r="L695" s="762"/>
      <c r="M695" s="762"/>
      <c r="N695" s="762"/>
      <c r="O695" s="762"/>
      <c r="P695" s="762"/>
      <c r="Q695" s="762"/>
      <c r="R695" s="68"/>
      <c r="S695" s="35"/>
      <c r="T695" s="762"/>
      <c r="U695" s="762"/>
      <c r="V695" s="762"/>
      <c r="W695" s="762"/>
      <c r="X695" s="762"/>
      <c r="Y695" s="68"/>
      <c r="Z695" s="68"/>
      <c r="AA695" s="68"/>
      <c r="AB695" s="762"/>
      <c r="AC695" s="770"/>
      <c r="AD695" s="769"/>
      <c r="AF695" s="763"/>
      <c r="AI695" s="763"/>
      <c r="AK695" s="763"/>
      <c r="AM695" s="776"/>
    </row>
    <row r="696" spans="1:39">
      <c r="A696" s="4">
        <v>316</v>
      </c>
      <c r="B696" s="256"/>
      <c r="C696" s="731" t="s">
        <v>842</v>
      </c>
      <c r="D696" s="256"/>
      <c r="E696" s="513" t="s">
        <v>840</v>
      </c>
      <c r="F696" s="256"/>
      <c r="G696" s="35">
        <v>0</v>
      </c>
      <c r="H696" s="256"/>
      <c r="I696" s="773">
        <v>1.8779999999999999</v>
      </c>
      <c r="J696" s="68">
        <f>G696*I696/1000</f>
        <v>0</v>
      </c>
      <c r="K696" s="256"/>
      <c r="L696" s="35">
        <v>0</v>
      </c>
      <c r="M696" s="35">
        <v>0</v>
      </c>
      <c r="N696" s="35">
        <v>0</v>
      </c>
      <c r="O696" s="35">
        <v>0</v>
      </c>
      <c r="P696" s="35">
        <v>0</v>
      </c>
      <c r="Q696" s="762">
        <f>J696-L696-M696-N696-O696-P696</f>
        <v>0</v>
      </c>
      <c r="R696" s="771"/>
      <c r="S696" s="35">
        <v>0</v>
      </c>
      <c r="T696" s="35">
        <v>0</v>
      </c>
      <c r="U696" s="35">
        <v>0</v>
      </c>
      <c r="V696" s="35">
        <v>0</v>
      </c>
      <c r="W696" s="35">
        <v>0</v>
      </c>
      <c r="X696" s="35">
        <v>0</v>
      </c>
      <c r="Y696" s="771"/>
      <c r="Z696" s="68">
        <f>Q696+S696+T696+U696+V696+W696+X696</f>
        <v>0</v>
      </c>
      <c r="AA696" s="773">
        <v>1.9259999999999999</v>
      </c>
      <c r="AB696" s="762"/>
      <c r="AC696" s="770"/>
      <c r="AD696" s="769"/>
      <c r="AF696" s="763"/>
      <c r="AI696" s="763"/>
      <c r="AK696" s="763"/>
      <c r="AM696" s="776"/>
    </row>
    <row r="697" spans="1:39">
      <c r="A697" s="4">
        <v>317</v>
      </c>
      <c r="B697" s="256"/>
      <c r="C697" s="731" t="s">
        <v>843</v>
      </c>
      <c r="D697" s="256"/>
      <c r="E697" s="513" t="s">
        <v>840</v>
      </c>
      <c r="F697" s="256"/>
      <c r="G697" s="35">
        <v>649668</v>
      </c>
      <c r="H697" s="256"/>
      <c r="I697" s="773">
        <v>1.4730000000000001</v>
      </c>
      <c r="J697" s="752">
        <f>G697*I697/1000</f>
        <v>956.96096399999999</v>
      </c>
      <c r="K697" s="256"/>
      <c r="L697" s="35">
        <v>0</v>
      </c>
      <c r="M697" s="35">
        <v>0</v>
      </c>
      <c r="N697" s="35">
        <v>0</v>
      </c>
      <c r="O697" s="35">
        <v>0</v>
      </c>
      <c r="P697" s="35">
        <v>0</v>
      </c>
      <c r="Q697" s="762">
        <f>J697-L697-M697-N697-O697-P697</f>
        <v>956.96096399999999</v>
      </c>
      <c r="R697" s="771"/>
      <c r="S697" s="35">
        <v>25.804621263072931</v>
      </c>
      <c r="T697" s="35">
        <v>0</v>
      </c>
      <c r="U697" s="35">
        <v>0</v>
      </c>
      <c r="V697" s="35">
        <v>0</v>
      </c>
      <c r="W697" s="35">
        <v>0</v>
      </c>
      <c r="X697" s="35">
        <v>0</v>
      </c>
      <c r="Y697" s="771"/>
      <c r="Z697" s="68">
        <f>Q697+S697+T697+U697+V697+W697+X697</f>
        <v>982.76558526307292</v>
      </c>
      <c r="AA697" s="773">
        <v>1.5181292016499417</v>
      </c>
      <c r="AB697" s="762">
        <f>Z697-J697</f>
        <v>25.804621263072931</v>
      </c>
      <c r="AC697" s="785">
        <f>AA697/I697-1</f>
        <v>3.0637611439199963E-2</v>
      </c>
      <c r="AD697" s="769"/>
      <c r="AF697" s="763"/>
      <c r="AI697" s="763"/>
      <c r="AK697" s="763"/>
      <c r="AM697" s="776"/>
    </row>
    <row r="698" spans="1:39">
      <c r="A698" s="4">
        <v>318</v>
      </c>
      <c r="C698" s="731" t="s">
        <v>844</v>
      </c>
      <c r="E698" s="513" t="s">
        <v>840</v>
      </c>
      <c r="G698" s="35">
        <v>0</v>
      </c>
      <c r="I698" s="773">
        <v>1.4730000000000001</v>
      </c>
      <c r="J698" s="68">
        <f>G698*I698/1000</f>
        <v>0</v>
      </c>
      <c r="L698" s="35">
        <v>0</v>
      </c>
      <c r="M698" s="35">
        <v>0</v>
      </c>
      <c r="N698" s="35">
        <v>0</v>
      </c>
      <c r="O698" s="35">
        <v>0</v>
      </c>
      <c r="P698" s="35">
        <v>0</v>
      </c>
      <c r="Q698" s="762">
        <f>J698-L698-M698-N698-O698-P698</f>
        <v>0</v>
      </c>
      <c r="R698" s="68"/>
      <c r="S698" s="35">
        <v>0</v>
      </c>
      <c r="T698" s="35">
        <v>0</v>
      </c>
      <c r="U698" s="35">
        <v>0</v>
      </c>
      <c r="V698" s="35">
        <v>0</v>
      </c>
      <c r="W698" s="35">
        <v>0</v>
      </c>
      <c r="X698" s="35">
        <v>0</v>
      </c>
      <c r="Y698" s="68"/>
      <c r="Z698" s="68">
        <f>Q698+S698+T698+U698+V698+W698+X698</f>
        <v>0</v>
      </c>
      <c r="AA698" s="773">
        <v>1.5181292016499417</v>
      </c>
      <c r="AB698" s="762"/>
      <c r="AC698" s="770"/>
      <c r="AD698" s="769"/>
      <c r="AF698" s="763"/>
      <c r="AI698" s="763"/>
      <c r="AK698" s="763"/>
      <c r="AM698" s="776"/>
    </row>
    <row r="699" spans="1:39">
      <c r="A699" s="4">
        <v>319</v>
      </c>
      <c r="B699" s="256"/>
      <c r="C699" s="731" t="s">
        <v>845</v>
      </c>
      <c r="D699" s="256"/>
      <c r="E699" s="513" t="s">
        <v>840</v>
      </c>
      <c r="F699" s="256"/>
      <c r="G699" s="35">
        <v>0</v>
      </c>
      <c r="H699" s="256"/>
      <c r="I699" s="773">
        <v>1.4730000000000001</v>
      </c>
      <c r="J699" s="68">
        <f>G699*I699/1000</f>
        <v>0</v>
      </c>
      <c r="K699" s="256"/>
      <c r="L699" s="35">
        <v>0</v>
      </c>
      <c r="M699" s="35">
        <v>0</v>
      </c>
      <c r="N699" s="35">
        <v>0</v>
      </c>
      <c r="O699" s="35">
        <v>0</v>
      </c>
      <c r="P699" s="35">
        <v>0</v>
      </c>
      <c r="Q699" s="762">
        <f>J699-L699-M699-N699-O699-P699</f>
        <v>0</v>
      </c>
      <c r="R699" s="771"/>
      <c r="S699" s="35">
        <v>0</v>
      </c>
      <c r="T699" s="35">
        <v>0</v>
      </c>
      <c r="U699" s="35">
        <v>0</v>
      </c>
      <c r="V699" s="35">
        <v>0</v>
      </c>
      <c r="W699" s="35">
        <v>0</v>
      </c>
      <c r="X699" s="35">
        <v>0</v>
      </c>
      <c r="Y699" s="771"/>
      <c r="Z699" s="68">
        <f>Q699+S699+T699+U699+V699+W699+X699</f>
        <v>0</v>
      </c>
      <c r="AA699" s="773">
        <v>1.5181292016499417</v>
      </c>
      <c r="AB699" s="762"/>
      <c r="AC699" s="770"/>
      <c r="AD699" s="769"/>
      <c r="AF699" s="763"/>
      <c r="AI699" s="763"/>
      <c r="AK699" s="763"/>
      <c r="AM699" s="776"/>
    </row>
    <row r="700" spans="1:39">
      <c r="A700" s="4"/>
      <c r="B700" s="256"/>
      <c r="C700" s="519" t="s">
        <v>846</v>
      </c>
      <c r="D700" s="256"/>
      <c r="E700" s="742"/>
      <c r="F700" s="256"/>
      <c r="G700" s="35"/>
      <c r="H700" s="256"/>
      <c r="I700" s="773"/>
      <c r="J700" s="752"/>
      <c r="K700" s="256"/>
      <c r="L700" s="762"/>
      <c r="M700" s="762"/>
      <c r="N700" s="762"/>
      <c r="O700" s="762"/>
      <c r="P700" s="762"/>
      <c r="Q700" s="762"/>
      <c r="R700" s="771"/>
      <c r="S700" s="35"/>
      <c r="T700" s="762"/>
      <c r="U700" s="762"/>
      <c r="V700" s="762"/>
      <c r="W700" s="762"/>
      <c r="X700" s="762"/>
      <c r="Y700" s="771"/>
      <c r="Z700" s="68"/>
      <c r="AA700" s="792"/>
      <c r="AB700" s="762"/>
      <c r="AC700" s="770"/>
      <c r="AD700" s="769"/>
      <c r="AF700" s="763"/>
      <c r="AI700" s="763"/>
      <c r="AK700" s="763"/>
      <c r="AM700" s="776"/>
    </row>
    <row r="701" spans="1:39">
      <c r="A701" s="4">
        <v>320</v>
      </c>
      <c r="B701" s="256"/>
      <c r="C701" s="731" t="s">
        <v>847</v>
      </c>
      <c r="D701" s="256"/>
      <c r="E701" s="513" t="s">
        <v>777</v>
      </c>
      <c r="F701" s="256"/>
      <c r="G701" s="35">
        <v>6433273.9199999999</v>
      </c>
      <c r="H701" s="256"/>
      <c r="I701" s="773">
        <v>1.2E-2</v>
      </c>
      <c r="J701" s="752">
        <f>G701*I701/1000</f>
        <v>77.199287040000002</v>
      </c>
      <c r="K701" s="256"/>
      <c r="L701" s="35">
        <v>0</v>
      </c>
      <c r="M701" s="35">
        <v>0</v>
      </c>
      <c r="N701" s="35">
        <v>0</v>
      </c>
      <c r="O701" s="35">
        <v>0</v>
      </c>
      <c r="P701" s="35">
        <v>0</v>
      </c>
      <c r="Q701" s="762">
        <f>J701-L701-M701-N701-O701-P701</f>
        <v>77.199287040000002</v>
      </c>
      <c r="R701" s="771"/>
      <c r="S701" s="35">
        <v>2.0816923979006248</v>
      </c>
      <c r="T701" s="35">
        <v>0</v>
      </c>
      <c r="U701" s="35">
        <v>0</v>
      </c>
      <c r="V701" s="35">
        <v>0</v>
      </c>
      <c r="W701" s="35">
        <v>0</v>
      </c>
      <c r="X701" s="35">
        <v>0</v>
      </c>
      <c r="Y701" s="771"/>
      <c r="Z701" s="68">
        <f>Q701+S701+T701+U701+V701+W701+X701</f>
        <v>79.280979437900626</v>
      </c>
      <c r="AA701" s="797">
        <f>Z701/G701*1000</f>
        <v>1.2323582117563655E-2</v>
      </c>
      <c r="AB701" s="762">
        <f>Z701-J701</f>
        <v>2.0816923979006248</v>
      </c>
      <c r="AC701" s="770">
        <f>AA701/I701-1</f>
        <v>2.696517646363783E-2</v>
      </c>
      <c r="AD701" s="769"/>
      <c r="AF701" s="763"/>
      <c r="AI701" s="763"/>
      <c r="AK701" s="763"/>
      <c r="AM701" s="776"/>
    </row>
    <row r="702" spans="1:39">
      <c r="A702" s="4"/>
      <c r="B702" s="256"/>
      <c r="C702" s="731"/>
      <c r="D702" s="256"/>
      <c r="E702" s="513"/>
      <c r="F702" s="256"/>
      <c r="G702" s="35"/>
      <c r="H702" s="256"/>
      <c r="I702" s="773"/>
      <c r="J702" s="752"/>
      <c r="K702" s="256"/>
      <c r="L702" s="35"/>
      <c r="M702" s="35"/>
      <c r="N702" s="35"/>
      <c r="O702" s="35"/>
      <c r="P702" s="35"/>
      <c r="Q702" s="762"/>
      <c r="R702" s="771"/>
      <c r="S702" s="35"/>
      <c r="T702" s="35"/>
      <c r="U702" s="35"/>
      <c r="V702" s="35"/>
      <c r="W702" s="35"/>
      <c r="X702" s="35"/>
      <c r="Y702" s="771"/>
      <c r="Z702" s="68"/>
      <c r="AA702" s="797"/>
      <c r="AB702" s="762"/>
      <c r="AC702" s="770"/>
      <c r="AD702" s="769"/>
      <c r="AF702" s="763"/>
      <c r="AI702" s="763"/>
      <c r="AK702" s="763"/>
      <c r="AM702" s="776"/>
    </row>
    <row r="703" spans="1:39">
      <c r="A703" s="4">
        <v>321</v>
      </c>
      <c r="C703" s="9" t="s">
        <v>848</v>
      </c>
      <c r="E703" s="513" t="s">
        <v>777</v>
      </c>
      <c r="G703" s="35">
        <v>0</v>
      </c>
      <c r="I703" s="783">
        <v>4.1900000000000001E-3</v>
      </c>
      <c r="J703" s="35">
        <v>151.98647672000001</v>
      </c>
      <c r="L703" s="35">
        <v>0</v>
      </c>
      <c r="M703" s="35">
        <v>0</v>
      </c>
      <c r="N703" s="35">
        <v>0</v>
      </c>
      <c r="O703" s="35">
        <v>58.760979199992988</v>
      </c>
      <c r="P703" s="35">
        <v>93.225497520007025</v>
      </c>
      <c r="Q703" s="762">
        <f>J703-L703-M703-N703-O703-P703</f>
        <v>0</v>
      </c>
      <c r="R703" s="68"/>
      <c r="S703" s="35">
        <v>0</v>
      </c>
      <c r="T703" s="35">
        <v>0</v>
      </c>
      <c r="U703" s="35">
        <v>0</v>
      </c>
      <c r="V703" s="35">
        <v>0</v>
      </c>
      <c r="W703" s="35">
        <v>71.705721143903546</v>
      </c>
      <c r="X703" s="35">
        <v>92.714468905900361</v>
      </c>
      <c r="Y703" s="68"/>
      <c r="Z703" s="68">
        <f>Q703+S703+T703+U703+V703+W703+X703</f>
        <v>164.42019004980392</v>
      </c>
      <c r="AA703" s="783">
        <v>4.8100636621914127E-3</v>
      </c>
      <c r="AB703" s="762">
        <f>Z703-J703</f>
        <v>12.433713329803908</v>
      </c>
      <c r="AC703" s="770">
        <f>AA703/I703-1</f>
        <v>0.14798655422229423</v>
      </c>
      <c r="AD703" s="769"/>
      <c r="AF703" s="763"/>
      <c r="AI703" s="763"/>
      <c r="AK703" s="763"/>
      <c r="AM703" s="809"/>
    </row>
    <row r="704" spans="1:39">
      <c r="A704" s="4"/>
      <c r="B704" s="256"/>
      <c r="D704" s="256"/>
      <c r="E704" s="36"/>
      <c r="F704" s="256"/>
      <c r="G704" s="35"/>
      <c r="H704" s="256"/>
      <c r="I704" s="256"/>
      <c r="J704" s="750"/>
      <c r="K704" s="256"/>
      <c r="L704" s="762"/>
      <c r="M704" s="762"/>
      <c r="N704" s="762"/>
      <c r="O704" s="762"/>
      <c r="P704" s="762"/>
      <c r="Q704" s="762"/>
      <c r="R704" s="771"/>
      <c r="S704" s="771"/>
      <c r="T704" s="762"/>
      <c r="U704" s="762"/>
      <c r="V704" s="762"/>
      <c r="W704" s="762"/>
      <c r="X704" s="762"/>
      <c r="Y704" s="771"/>
      <c r="Z704" s="771"/>
      <c r="AA704" s="771"/>
      <c r="AB704" s="762"/>
      <c r="AC704" s="770"/>
      <c r="AD704" s="769"/>
      <c r="AF704" s="763"/>
      <c r="AI704" s="763"/>
      <c r="AK704" s="763"/>
      <c r="AM704" s="776"/>
    </row>
    <row r="705" spans="1:39">
      <c r="A705" s="4">
        <v>322</v>
      </c>
      <c r="B705" s="256"/>
      <c r="C705" s="7" t="s">
        <v>849</v>
      </c>
      <c r="D705" s="256"/>
      <c r="E705" s="513"/>
      <c r="F705" s="256"/>
      <c r="G705" s="420">
        <f>G690</f>
        <v>249200.14546999999</v>
      </c>
      <c r="H705" s="256"/>
      <c r="I705" s="806">
        <f>J705/G705*100</f>
        <v>0.66124108742078247</v>
      </c>
      <c r="J705" s="808">
        <f>SUM(J694:J703)</f>
        <v>1647.8137517599998</v>
      </c>
      <c r="K705" s="256"/>
      <c r="L705" s="805">
        <f t="shared" ref="L705:Q705" si="183">SUM(L694:L703)</f>
        <v>0</v>
      </c>
      <c r="M705" s="805">
        <f t="shared" si="183"/>
        <v>0</v>
      </c>
      <c r="N705" s="805">
        <f t="shared" si="183"/>
        <v>0</v>
      </c>
      <c r="O705" s="805">
        <f t="shared" si="183"/>
        <v>58.760979199992988</v>
      </c>
      <c r="P705" s="805">
        <f t="shared" si="183"/>
        <v>93.225497520007025</v>
      </c>
      <c r="Q705" s="805">
        <f t="shared" si="183"/>
        <v>1495.8272750399999</v>
      </c>
      <c r="R705" s="771"/>
      <c r="S705" s="807">
        <f t="shared" ref="S705:X705" si="184">SUM(S694:S703)</f>
        <v>40.335246430576106</v>
      </c>
      <c r="T705" s="807">
        <f t="shared" si="184"/>
        <v>0</v>
      </c>
      <c r="U705" s="807">
        <f t="shared" si="184"/>
        <v>0</v>
      </c>
      <c r="V705" s="807">
        <f t="shared" si="184"/>
        <v>0</v>
      </c>
      <c r="W705" s="807">
        <f t="shared" si="184"/>
        <v>71.705721143903546</v>
      </c>
      <c r="X705" s="807">
        <f t="shared" si="184"/>
        <v>92.714468905900361</v>
      </c>
      <c r="Y705" s="771"/>
      <c r="Z705" s="807">
        <f>SUM(Z694:Z703)</f>
        <v>1700.5827115203801</v>
      </c>
      <c r="AA705" s="806">
        <f>Z705/G705*100</f>
        <v>0.68241642006790282</v>
      </c>
      <c r="AB705" s="805">
        <f>SUM(AB694:AB703)</f>
        <v>52.768959760380014</v>
      </c>
      <c r="AC705" s="804">
        <f>AA705/I705-1</f>
        <v>3.2023618994573066E-2</v>
      </c>
      <c r="AD705" s="769"/>
      <c r="AF705" s="763"/>
      <c r="AI705" s="763"/>
      <c r="AK705" s="763"/>
      <c r="AM705" s="776"/>
    </row>
    <row r="706" spans="1:39">
      <c r="A706" s="4"/>
      <c r="B706" s="256"/>
      <c r="C706" s="7"/>
      <c r="D706" s="256"/>
      <c r="E706" s="36"/>
      <c r="F706" s="256"/>
      <c r="G706" s="35"/>
      <c r="H706" s="256"/>
      <c r="I706" s="256"/>
      <c r="J706" s="750"/>
      <c r="K706" s="256"/>
      <c r="L706" s="762"/>
      <c r="M706" s="762"/>
      <c r="N706" s="762"/>
      <c r="O706" s="762"/>
      <c r="P706" s="762"/>
      <c r="Q706" s="762"/>
      <c r="R706" s="771"/>
      <c r="S706" s="771"/>
      <c r="T706" s="762"/>
      <c r="U706" s="762"/>
      <c r="V706" s="762"/>
      <c r="W706" s="762"/>
      <c r="X706" s="762"/>
      <c r="Y706" s="771"/>
      <c r="Z706" s="771"/>
      <c r="AA706" s="771"/>
      <c r="AB706" s="762"/>
      <c r="AC706" s="504"/>
      <c r="AF706" s="763"/>
      <c r="AI706" s="763"/>
      <c r="AK706" s="763"/>
      <c r="AM706" s="776"/>
    </row>
    <row r="707" spans="1:39">
      <c r="A707" s="4">
        <v>323</v>
      </c>
      <c r="B707" s="256"/>
      <c r="C707" s="7" t="s">
        <v>854</v>
      </c>
      <c r="D707" s="256"/>
      <c r="E707" s="36"/>
      <c r="F707" s="256"/>
      <c r="G707" s="453"/>
      <c r="H707" s="256"/>
      <c r="I707" s="256"/>
      <c r="J707" s="750"/>
      <c r="K707" s="256"/>
      <c r="L707" s="762"/>
      <c r="M707" s="762"/>
      <c r="N707" s="762"/>
      <c r="O707" s="762"/>
      <c r="P707" s="762"/>
      <c r="Q707" s="762"/>
      <c r="R707" s="771"/>
      <c r="S707" s="771"/>
      <c r="T707" s="762"/>
      <c r="U707" s="762"/>
      <c r="V707" s="762"/>
      <c r="W707" s="762"/>
      <c r="X707" s="762"/>
      <c r="Y707" s="771"/>
      <c r="Z707" s="771"/>
      <c r="AA707" s="771"/>
      <c r="AB707" s="762"/>
      <c r="AC707" s="504"/>
      <c r="AF707" s="763"/>
      <c r="AI707" s="763"/>
      <c r="AK707" s="763"/>
      <c r="AM707" s="776"/>
    </row>
    <row r="708" spans="1:39" ht="13.5" thickBot="1">
      <c r="A708" s="4"/>
      <c r="B708" s="256"/>
      <c r="C708" s="7"/>
      <c r="D708" s="256"/>
      <c r="E708" s="36"/>
      <c r="F708" s="256"/>
      <c r="G708" s="458">
        <f>G690</f>
        <v>249200.14546999999</v>
      </c>
      <c r="H708" s="256"/>
      <c r="I708" s="803">
        <f>J708/G708*100</f>
        <v>3.2835606334170215</v>
      </c>
      <c r="J708" s="756">
        <f>J690+J705</f>
        <v>8182.6378750708709</v>
      </c>
      <c r="K708" s="750"/>
      <c r="L708" s="781">
        <f t="shared" ref="L708:Q708" si="185">L690+L705</f>
        <v>106.2576</v>
      </c>
      <c r="M708" s="781">
        <f t="shared" si="185"/>
        <v>0</v>
      </c>
      <c r="N708" s="781">
        <f t="shared" si="185"/>
        <v>10.217205964270001</v>
      </c>
      <c r="O708" s="781">
        <f t="shared" si="185"/>
        <v>163.59611982924099</v>
      </c>
      <c r="P708" s="781">
        <f t="shared" si="185"/>
        <v>205.02580077075902</v>
      </c>
      <c r="Q708" s="781">
        <f t="shared" si="185"/>
        <v>7697.5411485066015</v>
      </c>
      <c r="R708" s="771"/>
      <c r="S708" s="781">
        <f t="shared" ref="S708:X708" si="186">S690+S705</f>
        <v>207.5655554055943</v>
      </c>
      <c r="T708" s="781">
        <f t="shared" si="186"/>
        <v>111.50384979625936</v>
      </c>
      <c r="U708" s="781">
        <f t="shared" si="186"/>
        <v>0</v>
      </c>
      <c r="V708" s="781">
        <f t="shared" si="186"/>
        <v>9.5773387864319055</v>
      </c>
      <c r="W708" s="781">
        <f t="shared" si="186"/>
        <v>199.63550486070835</v>
      </c>
      <c r="X708" s="781">
        <f t="shared" si="186"/>
        <v>203.90192314488201</v>
      </c>
      <c r="Y708" s="771"/>
      <c r="Z708" s="781">
        <f>Z690+Z705</f>
        <v>8429.7253205004781</v>
      </c>
      <c r="AA708" s="803">
        <f>Z708/G708*100</f>
        <v>3.3827128409583103</v>
      </c>
      <c r="AB708" s="781">
        <f>AB690+AB705</f>
        <v>247.0874454296063</v>
      </c>
      <c r="AC708" s="780">
        <f>AA708/I708-1</f>
        <v>3.0196551430240026E-2</v>
      </c>
      <c r="AD708" s="779"/>
      <c r="AF708" s="763"/>
      <c r="AI708" s="763"/>
      <c r="AK708" s="763"/>
      <c r="AM708" s="776"/>
    </row>
    <row r="709" spans="1:39" ht="13.5" thickTop="1">
      <c r="A709" s="4"/>
      <c r="B709" s="256"/>
      <c r="C709" s="7"/>
      <c r="D709" s="256"/>
      <c r="E709" s="36"/>
      <c r="F709" s="256"/>
      <c r="G709" s="453"/>
      <c r="H709" s="256"/>
      <c r="I709" s="792"/>
      <c r="J709" s="750"/>
      <c r="K709" s="750"/>
      <c r="L709" s="771"/>
      <c r="M709" s="771"/>
      <c r="N709" s="771"/>
      <c r="O709" s="771"/>
      <c r="P709" s="771"/>
      <c r="Q709" s="771"/>
      <c r="R709" s="771"/>
      <c r="S709" s="771"/>
      <c r="T709" s="771"/>
      <c r="U709" s="771"/>
      <c r="V709" s="771"/>
      <c r="W709" s="771"/>
      <c r="X709" s="771"/>
      <c r="Y709" s="771"/>
      <c r="Z709" s="771"/>
      <c r="AA709" s="771"/>
      <c r="AB709" s="771"/>
      <c r="AC709" s="779"/>
      <c r="AD709" s="779"/>
      <c r="AK709" s="763"/>
    </row>
    <row r="710" spans="1:39" ht="13.5" thickBot="1">
      <c r="A710" s="4">
        <v>324</v>
      </c>
      <c r="B710" s="256"/>
      <c r="C710" s="504" t="s">
        <v>523</v>
      </c>
      <c r="D710" s="256"/>
      <c r="E710" s="134"/>
      <c r="F710" s="256"/>
      <c r="G710" s="749"/>
      <c r="H710" s="256"/>
      <c r="I710" s="256"/>
      <c r="J710" s="756">
        <f>J33+J57+J86+J107+J139+J148+J190+J215+J249+J269+J311+J340+J391+J407+J445+J462+J490+J519+J551+J569+J590+J624+J669+J708</f>
        <v>5782469.2617205745</v>
      </c>
      <c r="K710" s="750"/>
      <c r="L710" s="756">
        <f t="shared" ref="L710:X710" si="187">L33+L57+L86+L107+L139+L148+L190+L215+L249+L269+L311+L340+L391+L407+L445+L462+L490+L519+L551+L569+L590+L624+L669+L708</f>
        <v>143871.4637834662</v>
      </c>
      <c r="M710" s="756">
        <f t="shared" si="187"/>
        <v>46925.204694014014</v>
      </c>
      <c r="N710" s="781">
        <f t="shared" si="187"/>
        <v>4279.0945088308627</v>
      </c>
      <c r="O710" s="781">
        <f t="shared" si="187"/>
        <v>38156.803959081393</v>
      </c>
      <c r="P710" s="781">
        <f t="shared" si="187"/>
        <v>20462.561851652143</v>
      </c>
      <c r="Q710" s="761">
        <f t="shared" si="187"/>
        <v>5530816.5300091309</v>
      </c>
      <c r="R710" s="750">
        <f t="shared" si="187"/>
        <v>0</v>
      </c>
      <c r="S710" s="781">
        <f t="shared" si="187"/>
        <v>66829.357196292141</v>
      </c>
      <c r="T710" s="781">
        <f t="shared" si="187"/>
        <v>183081.92719976377</v>
      </c>
      <c r="U710" s="781">
        <f t="shared" si="187"/>
        <v>46390.692841946395</v>
      </c>
      <c r="V710" s="781">
        <f t="shared" si="187"/>
        <v>3884.1941707516062</v>
      </c>
      <c r="W710" s="781">
        <f t="shared" si="187"/>
        <v>42874.998378134667</v>
      </c>
      <c r="X710" s="781">
        <f t="shared" si="187"/>
        <v>19261.161824881954</v>
      </c>
      <c r="Y710" s="750"/>
      <c r="Z710" s="756">
        <f>Z33+Z57+Z86+Z107+Z139+Z148+Z190+Z215+Z249+Z269+Z311+Z340+Z391+Z407+Z445+Z462+Z490+Z519+Z551+Z569+Z590+Z624+Z669+Z708</f>
        <v>5893138.861620903</v>
      </c>
      <c r="AA710" s="750"/>
      <c r="AB710" s="756">
        <f>AB33+AB57+AB86+AB107+AB139+AB148+AB190+AB215+AB249+AB269+AB311+AB340+AB391+AB407+AB445+AB462+AB490+AB519+AB551+AB569+AB590+AB624+AB669+AB708</f>
        <v>110669.59990032835</v>
      </c>
      <c r="AC710" s="753"/>
    </row>
    <row r="711" spans="1:39" ht="13.5" thickTop="1">
      <c r="L711" s="2"/>
      <c r="M711" s="2"/>
      <c r="N711" s="2"/>
      <c r="O711" s="2"/>
      <c r="P711" s="504"/>
      <c r="Q711" s="504"/>
      <c r="T711" s="504"/>
      <c r="U711" s="504"/>
      <c r="V711" s="504"/>
      <c r="W711" s="504"/>
      <c r="X711" s="504"/>
      <c r="AB711" s="753"/>
      <c r="AC711" s="504"/>
    </row>
    <row r="712" spans="1:39">
      <c r="L712" s="2"/>
      <c r="M712" s="2"/>
      <c r="N712" s="2"/>
      <c r="O712" s="2"/>
      <c r="P712" s="504"/>
      <c r="Q712" s="504"/>
      <c r="T712" s="504"/>
      <c r="U712" s="504"/>
      <c r="V712" s="504"/>
      <c r="W712" s="504"/>
      <c r="X712" s="504"/>
      <c r="AB712" s="753"/>
      <c r="AC712" s="504"/>
    </row>
    <row r="713" spans="1:39">
      <c r="L713" s="2"/>
      <c r="M713" s="2"/>
      <c r="N713" s="2"/>
      <c r="O713" s="2"/>
      <c r="P713" s="504"/>
      <c r="Q713" s="504"/>
      <c r="T713" s="504"/>
      <c r="U713" s="504"/>
      <c r="V713" s="504"/>
      <c r="W713" s="504"/>
      <c r="X713" s="504"/>
      <c r="AB713" s="504"/>
      <c r="AC713" s="504"/>
    </row>
    <row r="714" spans="1:39">
      <c r="L714" s="2"/>
      <c r="M714" s="2"/>
      <c r="N714" s="2"/>
      <c r="O714" s="2"/>
      <c r="P714" s="504"/>
      <c r="Q714" s="504"/>
      <c r="T714" s="504"/>
      <c r="U714" s="504"/>
      <c r="V714" s="504"/>
      <c r="W714" s="504"/>
      <c r="X714" s="504"/>
      <c r="AB714" s="504"/>
      <c r="AC714" s="504"/>
    </row>
    <row r="715" spans="1:39">
      <c r="L715" s="2"/>
      <c r="M715" s="2"/>
      <c r="N715" s="2"/>
      <c r="O715" s="2"/>
      <c r="P715" s="504"/>
      <c r="Q715" s="504"/>
      <c r="T715" s="504"/>
      <c r="U715" s="504"/>
      <c r="V715" s="504"/>
      <c r="W715" s="504"/>
      <c r="X715" s="504"/>
      <c r="AB715" s="504"/>
      <c r="AC715" s="504"/>
    </row>
    <row r="716" spans="1:39">
      <c r="A716" s="1324" t="s">
        <v>724</v>
      </c>
      <c r="B716" s="1324"/>
      <c r="C716" s="1324"/>
      <c r="D716" s="1324"/>
      <c r="E716" s="1324"/>
      <c r="F716" s="1324"/>
      <c r="G716" s="1324"/>
      <c r="H716" s="1324"/>
      <c r="I716" s="1324"/>
      <c r="J716" s="1324"/>
      <c r="K716" s="1324"/>
      <c r="L716" s="1324"/>
      <c r="M716" s="1324"/>
      <c r="N716" s="1324"/>
      <c r="O716" s="1324"/>
      <c r="P716" s="1324"/>
      <c r="Q716" s="1324"/>
      <c r="R716" s="1324"/>
      <c r="S716" s="1324"/>
      <c r="T716" s="1324"/>
      <c r="U716" s="1324"/>
      <c r="V716" s="1324"/>
      <c r="W716" s="1324"/>
      <c r="X716" s="1324"/>
      <c r="Y716" s="1324"/>
      <c r="Z716" s="1324"/>
      <c r="AA716" s="1324"/>
      <c r="AB716" s="1324"/>
      <c r="AC716" s="1324"/>
      <c r="AD716" s="665"/>
    </row>
    <row r="717" spans="1:39">
      <c r="A717" s="385"/>
      <c r="B717" s="385"/>
      <c r="C717" s="385"/>
      <c r="D717" s="385"/>
      <c r="E717" s="447"/>
      <c r="F717" s="385"/>
      <c r="G717" s="447"/>
      <c r="H717" s="385"/>
      <c r="I717" s="385"/>
      <c r="J717" s="385"/>
      <c r="K717" s="385"/>
      <c r="L717" s="385"/>
      <c r="M717" s="385"/>
      <c r="N717" s="3"/>
      <c r="O717" s="3"/>
      <c r="P717" s="504"/>
      <c r="Q717" s="504"/>
      <c r="R717" s="385"/>
      <c r="S717" s="385"/>
      <c r="T717" s="504"/>
      <c r="U717" s="504"/>
      <c r="V717" s="504"/>
      <c r="W717" s="504"/>
      <c r="X717" s="504"/>
      <c r="Y717" s="385"/>
      <c r="Z717" s="385"/>
      <c r="AA717" s="385"/>
      <c r="AB717" s="504"/>
      <c r="AC717" s="504"/>
    </row>
    <row r="718" spans="1:39">
      <c r="A718" s="447"/>
      <c r="B718" s="447"/>
      <c r="C718" s="447"/>
      <c r="D718" s="447"/>
      <c r="E718" s="385"/>
      <c r="F718" s="447"/>
      <c r="G718" s="1313" t="str">
        <f>G8</f>
        <v>Current Approved Revenue</v>
      </c>
      <c r="H718" s="1313"/>
      <c r="I718" s="1313"/>
      <c r="J718" s="1313"/>
      <c r="K718" s="447"/>
      <c r="L718" s="1313" t="str">
        <f>L8</f>
        <v>Adjustments to 2023 Base Rates</v>
      </c>
      <c r="M718" s="1313"/>
      <c r="N718" s="1313"/>
      <c r="O718" s="1313"/>
      <c r="P718" s="1313"/>
      <c r="Q718" s="256"/>
      <c r="R718" s="447"/>
      <c r="S718" s="1313" t="str">
        <f>S8</f>
        <v>Adjustments to 2024 Base Rates</v>
      </c>
      <c r="T718" s="1313"/>
      <c r="U718" s="1313"/>
      <c r="V718" s="1313"/>
      <c r="W718" s="1313"/>
      <c r="X718" s="1313"/>
      <c r="Y718" s="447"/>
      <c r="Z718" s="1313" t="str">
        <f>Z8</f>
        <v>2024 Proposed Revenue</v>
      </c>
      <c r="AA718" s="1313"/>
      <c r="AB718" s="1313"/>
      <c r="AC718" s="1313"/>
      <c r="AD718" s="4"/>
    </row>
    <row r="719" spans="1:39" ht="38.25">
      <c r="A719" s="254" t="s">
        <v>1</v>
      </c>
      <c r="B719" s="254"/>
      <c r="C719" s="254"/>
      <c r="D719" s="254"/>
      <c r="E719" s="4" t="s">
        <v>670</v>
      </c>
      <c r="F719" s="254"/>
      <c r="G719" s="13" t="s">
        <v>684</v>
      </c>
      <c r="H719" s="254"/>
      <c r="I719" s="13" t="s">
        <v>196</v>
      </c>
      <c r="J719" s="13" t="s">
        <v>503</v>
      </c>
      <c r="K719" s="254"/>
      <c r="L719" s="13" t="s">
        <v>505</v>
      </c>
      <c r="M719" s="13" t="s">
        <v>685</v>
      </c>
      <c r="N719" s="254" t="s">
        <v>686</v>
      </c>
      <c r="O719" s="254" t="s">
        <v>508</v>
      </c>
      <c r="P719" s="254" t="s">
        <v>687</v>
      </c>
      <c r="Q719" s="254" t="s">
        <v>688</v>
      </c>
      <c r="R719" s="254"/>
      <c r="S719" s="254" t="s">
        <v>689</v>
      </c>
      <c r="T719" s="13" t="s">
        <v>505</v>
      </c>
      <c r="U719" s="13" t="s">
        <v>685</v>
      </c>
      <c r="V719" s="254" t="s">
        <v>686</v>
      </c>
      <c r="W719" s="254" t="s">
        <v>508</v>
      </c>
      <c r="X719" s="254" t="s">
        <v>687</v>
      </c>
      <c r="Y719" s="254"/>
      <c r="Z719" s="13" t="s">
        <v>690</v>
      </c>
      <c r="AA719" s="13" t="s">
        <v>691</v>
      </c>
      <c r="AB719" s="13" t="s">
        <v>692</v>
      </c>
      <c r="AC719" s="254" t="s">
        <v>693</v>
      </c>
      <c r="AD719" s="254"/>
    </row>
    <row r="720" spans="1:39">
      <c r="A720" s="255" t="s">
        <v>2</v>
      </c>
      <c r="B720" s="256"/>
      <c r="C720" s="449" t="s">
        <v>3</v>
      </c>
      <c r="D720" s="256"/>
      <c r="E720" s="255" t="s">
        <v>4</v>
      </c>
      <c r="F720" s="256"/>
      <c r="G720" s="255" t="s">
        <v>694</v>
      </c>
      <c r="H720" s="256"/>
      <c r="I720" s="255" t="s">
        <v>131</v>
      </c>
      <c r="J720" s="255" t="s">
        <v>20</v>
      </c>
      <c r="K720" s="256"/>
      <c r="L720" s="255" t="s">
        <v>20</v>
      </c>
      <c r="M720" s="255" t="s">
        <v>20</v>
      </c>
      <c r="N720" s="255" t="s">
        <v>20</v>
      </c>
      <c r="O720" s="255" t="s">
        <v>20</v>
      </c>
      <c r="P720" s="255" t="s">
        <v>20</v>
      </c>
      <c r="Q720" s="255" t="s">
        <v>20</v>
      </c>
      <c r="R720" s="256"/>
      <c r="S720" s="255" t="s">
        <v>20</v>
      </c>
      <c r="T720" s="255" t="s">
        <v>20</v>
      </c>
      <c r="U720" s="255" t="s">
        <v>20</v>
      </c>
      <c r="V720" s="255" t="s">
        <v>20</v>
      </c>
      <c r="W720" s="255" t="s">
        <v>20</v>
      </c>
      <c r="X720" s="255" t="s">
        <v>20</v>
      </c>
      <c r="Y720" s="256"/>
      <c r="Z720" s="255" t="s">
        <v>20</v>
      </c>
      <c r="AA720" s="255" t="s">
        <v>131</v>
      </c>
      <c r="AB720" s="255" t="s">
        <v>20</v>
      </c>
      <c r="AC720" s="255" t="s">
        <v>76</v>
      </c>
      <c r="AD720" s="4"/>
    </row>
    <row r="721" spans="1:39">
      <c r="A721" s="4"/>
      <c r="B721" s="256"/>
      <c r="C721" s="256"/>
      <c r="D721" s="256"/>
      <c r="E721" s="4"/>
      <c r="F721" s="256"/>
      <c r="G721" s="4" t="s">
        <v>8</v>
      </c>
      <c r="H721" s="4"/>
      <c r="I721" s="4" t="s">
        <v>9</v>
      </c>
      <c r="J721" s="4" t="s">
        <v>370</v>
      </c>
      <c r="K721" s="4"/>
      <c r="L721" s="132" t="s">
        <v>79</v>
      </c>
      <c r="M721" s="132" t="s">
        <v>115</v>
      </c>
      <c r="N721" s="132" t="s">
        <v>81</v>
      </c>
      <c r="O721" s="132" t="s">
        <v>82</v>
      </c>
      <c r="P721" s="4" t="s">
        <v>118</v>
      </c>
      <c r="Q721" s="4" t="s">
        <v>695</v>
      </c>
      <c r="R721" s="4"/>
      <c r="S721" s="4" t="s">
        <v>696</v>
      </c>
      <c r="T721" s="4" t="s">
        <v>517</v>
      </c>
      <c r="U721" s="4" t="s">
        <v>518</v>
      </c>
      <c r="V721" s="4" t="s">
        <v>519</v>
      </c>
      <c r="W721" s="4" t="s">
        <v>697</v>
      </c>
      <c r="X721" s="4" t="s">
        <v>698</v>
      </c>
      <c r="Y721" s="4"/>
      <c r="Z721" s="4" t="s">
        <v>725</v>
      </c>
      <c r="AA721" s="4" t="s">
        <v>700</v>
      </c>
      <c r="AB721" s="4" t="s">
        <v>701</v>
      </c>
      <c r="AC721" s="4" t="s">
        <v>702</v>
      </c>
      <c r="AD721" s="4"/>
    </row>
    <row r="722" spans="1:39">
      <c r="A722" s="4"/>
      <c r="B722" s="256"/>
      <c r="C722" s="256"/>
      <c r="D722" s="256"/>
      <c r="E722" s="4"/>
      <c r="F722" s="256"/>
      <c r="G722" s="4"/>
      <c r="H722" s="4"/>
      <c r="I722" s="4"/>
      <c r="J722" s="4"/>
      <c r="K722" s="4"/>
      <c r="L722" s="132"/>
      <c r="M722" s="132"/>
      <c r="N722" s="132"/>
      <c r="O722" s="132"/>
      <c r="P722" s="4"/>
      <c r="Q722" s="4"/>
      <c r="R722" s="4"/>
      <c r="S722" s="4"/>
      <c r="T722" s="4"/>
      <c r="U722" s="4"/>
      <c r="V722" s="4"/>
      <c r="W722" s="4"/>
      <c r="X722" s="4"/>
      <c r="Y722" s="4"/>
      <c r="Z722" s="4"/>
      <c r="AA722" s="4"/>
      <c r="AB722" s="4"/>
      <c r="AC722" s="4"/>
      <c r="AD722" s="4"/>
    </row>
    <row r="723" spans="1:39">
      <c r="A723" s="4"/>
      <c r="C723" s="802" t="s">
        <v>524</v>
      </c>
      <c r="E723" s="36"/>
      <c r="G723" s="35"/>
      <c r="L723" s="762"/>
      <c r="M723" s="762"/>
      <c r="N723" s="762"/>
      <c r="O723" s="762"/>
      <c r="P723" s="762"/>
      <c r="Q723" s="762"/>
      <c r="R723" s="68"/>
      <c r="S723" s="68"/>
      <c r="T723" s="762"/>
      <c r="U723" s="762"/>
      <c r="V723" s="762"/>
      <c r="W723" s="762"/>
      <c r="X723" s="762"/>
      <c r="Y723" s="68"/>
      <c r="Z723" s="68"/>
      <c r="AA723" s="68"/>
      <c r="AB723" s="762"/>
      <c r="AC723" s="504"/>
    </row>
    <row r="724" spans="1:39">
      <c r="A724" s="4"/>
      <c r="C724" s="6" t="s">
        <v>525</v>
      </c>
      <c r="E724" s="36"/>
      <c r="L724" s="762"/>
      <c r="M724" s="762"/>
      <c r="N724" s="762"/>
      <c r="O724" s="762"/>
      <c r="P724" s="762"/>
      <c r="Q724" s="762"/>
      <c r="R724" s="68"/>
      <c r="S724" s="68"/>
      <c r="T724" s="762"/>
      <c r="U724" s="762"/>
      <c r="V724" s="762"/>
      <c r="W724" s="762"/>
      <c r="X724" s="762"/>
      <c r="Y724" s="68"/>
      <c r="Z724" s="68"/>
      <c r="AA724" s="68"/>
      <c r="AB724" s="762"/>
      <c r="AC724" s="504"/>
    </row>
    <row r="725" spans="1:39">
      <c r="A725" s="4"/>
      <c r="B725" s="256"/>
      <c r="C725" s="512" t="s">
        <v>855</v>
      </c>
      <c r="D725" s="256"/>
      <c r="E725" s="36"/>
      <c r="F725" s="256"/>
      <c r="H725" s="256"/>
      <c r="I725" s="256"/>
      <c r="J725" s="256"/>
      <c r="K725" s="256"/>
      <c r="L725" s="762"/>
      <c r="M725" s="762"/>
      <c r="N725" s="762"/>
      <c r="O725" s="762"/>
      <c r="P725" s="762"/>
      <c r="Q725" s="762"/>
      <c r="R725" s="771"/>
      <c r="S725" s="771"/>
      <c r="T725" s="762"/>
      <c r="U725" s="762"/>
      <c r="V725" s="762"/>
      <c r="W725" s="762"/>
      <c r="X725" s="762"/>
      <c r="Y725" s="771"/>
      <c r="Z725" s="771"/>
      <c r="AA725" s="771"/>
      <c r="AB725" s="762"/>
      <c r="AC725" s="504"/>
    </row>
    <row r="726" spans="1:39">
      <c r="A726" s="4">
        <v>325</v>
      </c>
      <c r="B726" s="256"/>
      <c r="C726" s="775" t="s">
        <v>856</v>
      </c>
      <c r="D726" s="256"/>
      <c r="E726" s="513" t="s">
        <v>840</v>
      </c>
      <c r="F726" s="256"/>
      <c r="G726" s="35">
        <v>91095.48</v>
      </c>
      <c r="H726" s="256"/>
      <c r="I726" s="774">
        <v>0.15459999999999999</v>
      </c>
      <c r="J726" s="750">
        <f>(G726*I726*12/1000)</f>
        <v>169.00033449599997</v>
      </c>
      <c r="K726" s="256"/>
      <c r="L726" s="35">
        <v>0</v>
      </c>
      <c r="M726" s="35">
        <v>0</v>
      </c>
      <c r="N726" s="35">
        <v>0</v>
      </c>
      <c r="O726" s="35">
        <v>0</v>
      </c>
      <c r="P726" s="35">
        <v>0</v>
      </c>
      <c r="Q726" s="762">
        <f>J726-L726-M726-N726-O726-P726</f>
        <v>169.00033449599997</v>
      </c>
      <c r="R726" s="771"/>
      <c r="S726" s="35">
        <v>4.8098413440000343</v>
      </c>
      <c r="T726" s="35">
        <v>0</v>
      </c>
      <c r="U726" s="35">
        <v>0</v>
      </c>
      <c r="V726" s="35">
        <v>0</v>
      </c>
      <c r="W726" s="35">
        <v>0</v>
      </c>
      <c r="X726" s="35">
        <v>0</v>
      </c>
      <c r="Y726" s="771"/>
      <c r="Z726" s="771">
        <f>Q726+S726+T726+U726+V726+W726+X726</f>
        <v>173.81017584</v>
      </c>
      <c r="AA726" s="800">
        <v>0.159</v>
      </c>
      <c r="AB726" s="762">
        <f>Z726-J726</f>
        <v>4.8098413440000343</v>
      </c>
      <c r="AC726" s="770">
        <f>IFERROR((AA726-I726)/I726,"")</f>
        <v>2.8460543337645635E-2</v>
      </c>
      <c r="AD726" s="769"/>
      <c r="AF726" s="763"/>
      <c r="AI726" s="763"/>
      <c r="AK726" s="763"/>
      <c r="AM726" s="776"/>
    </row>
    <row r="727" spans="1:39">
      <c r="A727" s="1">
        <v>326</v>
      </c>
      <c r="C727" s="775" t="s">
        <v>857</v>
      </c>
      <c r="E727" s="513" t="s">
        <v>777</v>
      </c>
      <c r="G727" s="35">
        <v>0</v>
      </c>
      <c r="I727" s="774">
        <v>5.8999999999999999E-3</v>
      </c>
      <c r="J727" s="771">
        <f>(G727*I727*12/1000)</f>
        <v>0</v>
      </c>
      <c r="L727" s="35">
        <v>0</v>
      </c>
      <c r="M727" s="35">
        <v>0</v>
      </c>
      <c r="N727" s="35">
        <v>0</v>
      </c>
      <c r="O727" s="35">
        <v>0</v>
      </c>
      <c r="P727" s="35">
        <v>0</v>
      </c>
      <c r="Q727" s="762">
        <f>J727-L727-M727-N727-O727-P727</f>
        <v>0</v>
      </c>
      <c r="R727" s="68"/>
      <c r="S727" s="35">
        <v>0</v>
      </c>
      <c r="T727" s="35">
        <v>0</v>
      </c>
      <c r="U727" s="35">
        <v>0</v>
      </c>
      <c r="V727" s="35">
        <v>0</v>
      </c>
      <c r="W727" s="35">
        <v>0</v>
      </c>
      <c r="X727" s="35">
        <v>0</v>
      </c>
      <c r="Y727" s="35"/>
      <c r="Z727" s="771">
        <f>Q727+S727+T727+U727+V727+W727+X727</f>
        <v>0</v>
      </c>
      <c r="AA727" s="800">
        <v>6.2728767123287664E-3</v>
      </c>
      <c r="AB727" s="762">
        <f>Z727-J727</f>
        <v>0</v>
      </c>
      <c r="AC727" s="770">
        <f>IFERROR((AA727-I727)/I727,"")</f>
        <v>6.3199442767587558E-2</v>
      </c>
      <c r="AD727" s="769"/>
      <c r="AF727" s="763"/>
      <c r="AI727" s="763"/>
      <c r="AK727" s="763"/>
      <c r="AM727" s="776"/>
    </row>
    <row r="728" spans="1:39">
      <c r="E728" s="36"/>
      <c r="G728" s="35"/>
      <c r="J728" s="752"/>
      <c r="L728" s="762"/>
      <c r="M728" s="762"/>
      <c r="N728" s="762"/>
      <c r="O728" s="762"/>
      <c r="P728" s="762"/>
      <c r="Q728" s="762"/>
      <c r="R728" s="68"/>
      <c r="S728" s="68"/>
      <c r="T728" s="762"/>
      <c r="U728" s="762"/>
      <c r="V728" s="762"/>
      <c r="W728" s="762"/>
      <c r="X728" s="762"/>
      <c r="Y728" s="68"/>
      <c r="Z728" s="68"/>
      <c r="AA728" s="68"/>
      <c r="AB728" s="762"/>
      <c r="AC728" s="504"/>
      <c r="AF728" s="763"/>
      <c r="AI728" s="763"/>
      <c r="AK728" s="763"/>
    </row>
    <row r="729" spans="1:39" ht="13.5" thickBot="1">
      <c r="A729" s="1">
        <v>327</v>
      </c>
      <c r="C729" s="504" t="s">
        <v>858</v>
      </c>
      <c r="E729" s="36"/>
      <c r="G729" s="768">
        <f>G726+G727</f>
        <v>91095.48</v>
      </c>
      <c r="I729" s="767">
        <f>J729/G729*100</f>
        <v>0.18551999999999999</v>
      </c>
      <c r="J729" s="758">
        <f>SUM(J726:J728)</f>
        <v>169.00033449599997</v>
      </c>
      <c r="L729" s="799">
        <f t="shared" ref="L729:Q729" si="188">SUM(L726:L728)</f>
        <v>0</v>
      </c>
      <c r="M729" s="799">
        <f t="shared" si="188"/>
        <v>0</v>
      </c>
      <c r="N729" s="799">
        <f t="shared" si="188"/>
        <v>0</v>
      </c>
      <c r="O729" s="799">
        <f t="shared" si="188"/>
        <v>0</v>
      </c>
      <c r="P729" s="799">
        <f t="shared" si="188"/>
        <v>0</v>
      </c>
      <c r="Q729" s="799">
        <f t="shared" si="188"/>
        <v>169.00033449599997</v>
      </c>
      <c r="R729" s="762"/>
      <c r="S729" s="799">
        <f t="shared" ref="S729:X729" si="189">SUM(S726:S728)</f>
        <v>4.8098413440000343</v>
      </c>
      <c r="T729" s="799">
        <f t="shared" si="189"/>
        <v>0</v>
      </c>
      <c r="U729" s="799">
        <f t="shared" si="189"/>
        <v>0</v>
      </c>
      <c r="V729" s="799">
        <f t="shared" si="189"/>
        <v>0</v>
      </c>
      <c r="W729" s="799">
        <f t="shared" si="189"/>
        <v>0</v>
      </c>
      <c r="X729" s="799">
        <f t="shared" si="189"/>
        <v>0</v>
      </c>
      <c r="Y729" s="68"/>
      <c r="Z729" s="760">
        <f>SUM(Z726:Z728)</f>
        <v>173.81017584</v>
      </c>
      <c r="AA729" s="781">
        <v>0</v>
      </c>
      <c r="AB729" s="799">
        <f>AB726+AB727</f>
        <v>4.8098413440000343</v>
      </c>
      <c r="AC729" s="798">
        <f>(Z729-J729)/J729</f>
        <v>2.8460543337645746E-2</v>
      </c>
      <c r="AD729" s="769"/>
      <c r="AF729" s="763"/>
      <c r="AI729" s="763"/>
      <c r="AK729" s="763"/>
    </row>
    <row r="730" spans="1:39" ht="13.5" thickTop="1">
      <c r="C730" s="9"/>
      <c r="E730" s="36"/>
      <c r="G730" s="35"/>
      <c r="J730" s="752"/>
      <c r="L730" s="762"/>
      <c r="M730" s="762"/>
      <c r="N730" s="762"/>
      <c r="O730" s="762"/>
      <c r="P730" s="762"/>
      <c r="Q730" s="762"/>
      <c r="R730" s="68"/>
      <c r="S730" s="68"/>
      <c r="T730" s="762"/>
      <c r="U730" s="762"/>
      <c r="V730" s="762"/>
      <c r="W730" s="762"/>
      <c r="X730" s="762"/>
      <c r="Y730" s="68"/>
      <c r="Z730" s="68"/>
      <c r="AA730" s="68"/>
      <c r="AB730" s="762"/>
      <c r="AC730" s="504"/>
      <c r="AF730" s="763"/>
    </row>
    <row r="731" spans="1:39">
      <c r="B731" s="256"/>
      <c r="C731" s="6" t="s">
        <v>526</v>
      </c>
      <c r="D731" s="256"/>
      <c r="E731" s="36"/>
      <c r="F731" s="256"/>
      <c r="G731" s="35"/>
      <c r="H731" s="256"/>
      <c r="I731" s="256"/>
      <c r="J731" s="750"/>
      <c r="K731" s="256"/>
      <c r="L731" s="762"/>
      <c r="M731" s="762"/>
      <c r="N731" s="762"/>
      <c r="O731" s="762"/>
      <c r="P731" s="762"/>
      <c r="Q731" s="762"/>
      <c r="R731" s="771"/>
      <c r="S731" s="771"/>
      <c r="T731" s="762"/>
      <c r="U731" s="762"/>
      <c r="V731" s="762"/>
      <c r="W731" s="762"/>
      <c r="X731" s="762"/>
      <c r="Y731" s="771"/>
      <c r="Z731" s="771"/>
      <c r="AA731" s="771"/>
      <c r="AB731" s="762"/>
      <c r="AC731" s="504"/>
      <c r="AF731" s="763"/>
    </row>
    <row r="732" spans="1:39">
      <c r="A732" s="1">
        <v>328</v>
      </c>
      <c r="C732" s="801" t="s">
        <v>859</v>
      </c>
      <c r="E732" s="513" t="s">
        <v>840</v>
      </c>
      <c r="G732" s="35">
        <v>1210000</v>
      </c>
      <c r="I732" s="774">
        <v>1.3209</v>
      </c>
      <c r="J732" s="752">
        <f>(G732*I732*12/1000)</f>
        <v>19179.468000000001</v>
      </c>
      <c r="L732" s="35">
        <v>0</v>
      </c>
      <c r="M732" s="35">
        <v>0</v>
      </c>
      <c r="N732" s="35">
        <v>0</v>
      </c>
      <c r="O732" s="35">
        <v>0</v>
      </c>
      <c r="P732" s="35">
        <v>0</v>
      </c>
      <c r="Q732" s="762">
        <f>J732-L732-M732-N732-O732-P732</f>
        <v>19179.468000000001</v>
      </c>
      <c r="R732" s="68"/>
      <c r="S732" s="35">
        <v>517.17773909869356</v>
      </c>
      <c r="T732" s="35">
        <v>0</v>
      </c>
      <c r="U732" s="35">
        <v>0</v>
      </c>
      <c r="V732" s="35">
        <v>0</v>
      </c>
      <c r="W732" s="35">
        <v>0</v>
      </c>
      <c r="X732" s="35">
        <v>0</v>
      </c>
      <c r="Y732" s="68"/>
      <c r="Z732" s="68">
        <f>Q732+S732+T732+U732+V732+W732+X732</f>
        <v>19696.645739098694</v>
      </c>
      <c r="AA732" s="800">
        <v>1.357</v>
      </c>
      <c r="AB732" s="762">
        <f>Z732-J732</f>
        <v>517.17773909869356</v>
      </c>
      <c r="AC732" s="770">
        <f>IFERROR((AA732-I732)/I732,"")</f>
        <v>2.7329850859262639E-2</v>
      </c>
      <c r="AD732" s="769"/>
      <c r="AF732" s="763"/>
      <c r="AH732" s="763"/>
      <c r="AI732" s="763"/>
      <c r="AK732" s="763"/>
      <c r="AM732" s="776"/>
    </row>
    <row r="733" spans="1:39">
      <c r="B733" s="256"/>
      <c r="C733" s="504"/>
      <c r="D733" s="256"/>
      <c r="E733" s="742"/>
      <c r="F733" s="256"/>
      <c r="G733" s="35"/>
      <c r="H733" s="256"/>
      <c r="I733" s="256"/>
      <c r="J733" s="256"/>
      <c r="K733" s="256"/>
      <c r="L733" s="762"/>
      <c r="M733" s="762"/>
      <c r="N733" s="762"/>
      <c r="O733" s="762"/>
      <c r="P733" s="762"/>
      <c r="Q733" s="762"/>
      <c r="R733" s="771"/>
      <c r="S733" s="771"/>
      <c r="T733" s="762"/>
      <c r="U733" s="762"/>
      <c r="V733" s="762"/>
      <c r="W733" s="762"/>
      <c r="X733" s="762"/>
      <c r="Y733" s="771"/>
      <c r="Z733" s="771"/>
      <c r="AA733" s="771"/>
      <c r="AB733" s="762"/>
      <c r="AC733" s="504"/>
      <c r="AF733" s="763"/>
      <c r="AH733" s="763"/>
      <c r="AI733" s="763"/>
      <c r="AK733" s="763"/>
    </row>
    <row r="734" spans="1:39" ht="13.5" thickBot="1">
      <c r="A734" s="1">
        <v>329</v>
      </c>
      <c r="B734" s="256"/>
      <c r="C734" s="504" t="s">
        <v>860</v>
      </c>
      <c r="D734" s="256"/>
      <c r="E734" s="36"/>
      <c r="F734" s="256"/>
      <c r="G734" s="458">
        <f>G732</f>
        <v>1210000</v>
      </c>
      <c r="H734" s="256"/>
      <c r="I734" s="766">
        <f>I732</f>
        <v>1.3209</v>
      </c>
      <c r="J734" s="756">
        <f>SUM(J732:J733)</f>
        <v>19179.468000000001</v>
      </c>
      <c r="K734" s="256"/>
      <c r="L734" s="799">
        <f t="shared" ref="L734:Q734" si="190">SUM(L732:L733)</f>
        <v>0</v>
      </c>
      <c r="M734" s="799">
        <f t="shared" si="190"/>
        <v>0</v>
      </c>
      <c r="N734" s="799">
        <f t="shared" si="190"/>
        <v>0</v>
      </c>
      <c r="O734" s="799">
        <f t="shared" si="190"/>
        <v>0</v>
      </c>
      <c r="P734" s="799">
        <f t="shared" si="190"/>
        <v>0</v>
      </c>
      <c r="Q734" s="799">
        <f t="shared" si="190"/>
        <v>19179.468000000001</v>
      </c>
      <c r="R734" s="762"/>
      <c r="S734" s="781">
        <f t="shared" ref="S734:X734" si="191">SUM(S732:S733)</f>
        <v>517.17773909869356</v>
      </c>
      <c r="T734" s="781">
        <f t="shared" si="191"/>
        <v>0</v>
      </c>
      <c r="U734" s="781">
        <f t="shared" si="191"/>
        <v>0</v>
      </c>
      <c r="V734" s="781">
        <f t="shared" si="191"/>
        <v>0</v>
      </c>
      <c r="W734" s="781">
        <f t="shared" si="191"/>
        <v>0</v>
      </c>
      <c r="X734" s="781">
        <f t="shared" si="191"/>
        <v>0</v>
      </c>
      <c r="Y734" s="771"/>
      <c r="Z734" s="781">
        <f>SUM(Z732:Z733)</f>
        <v>19696.645739098694</v>
      </c>
      <c r="AA734" s="781">
        <v>0</v>
      </c>
      <c r="AB734" s="799">
        <f>AB732</f>
        <v>517.17773909869356</v>
      </c>
      <c r="AC734" s="798">
        <f>(Z734-J734)/J734</f>
        <v>2.6965176463637757E-2</v>
      </c>
      <c r="AD734" s="769"/>
      <c r="AF734" s="763"/>
      <c r="AH734" s="763"/>
      <c r="AI734" s="763"/>
      <c r="AK734" s="763"/>
    </row>
    <row r="735" spans="1:39" ht="13.5" thickTop="1">
      <c r="G735" s="135"/>
      <c r="L735" s="762"/>
      <c r="M735" s="762"/>
      <c r="N735" s="762"/>
      <c r="O735" s="762"/>
      <c r="P735" s="762"/>
      <c r="Q735" s="762"/>
      <c r="R735" s="68"/>
      <c r="S735" s="68"/>
      <c r="T735" s="762"/>
      <c r="U735" s="762"/>
      <c r="V735" s="762"/>
      <c r="W735" s="762"/>
      <c r="X735" s="762"/>
      <c r="Y735" s="68"/>
      <c r="Z735" s="68"/>
      <c r="AA735" s="68"/>
      <c r="AB735" s="762"/>
      <c r="AC735" s="504"/>
      <c r="AF735" s="763"/>
      <c r="AH735" s="763"/>
      <c r="AI735" s="763"/>
      <c r="AK735" s="763"/>
    </row>
    <row r="736" spans="1:39">
      <c r="B736" s="256"/>
      <c r="C736" s="736" t="s">
        <v>861</v>
      </c>
      <c r="D736" s="256"/>
      <c r="E736" s="36"/>
      <c r="F736" s="256"/>
      <c r="G736" s="35"/>
      <c r="H736" s="256"/>
      <c r="I736" s="256"/>
      <c r="J736" s="256"/>
      <c r="K736" s="256"/>
      <c r="L736" s="762"/>
      <c r="M736" s="762"/>
      <c r="N736" s="762"/>
      <c r="O736" s="762"/>
      <c r="P736" s="762"/>
      <c r="Q736" s="762"/>
      <c r="R736" s="771"/>
      <c r="S736" s="771"/>
      <c r="T736" s="762"/>
      <c r="U736" s="762"/>
      <c r="V736" s="762"/>
      <c r="W736" s="762"/>
      <c r="X736" s="762"/>
      <c r="Y736" s="771"/>
      <c r="Z736" s="771"/>
      <c r="AA736" s="771"/>
      <c r="AB736" s="762"/>
      <c r="AC736" s="504"/>
    </row>
    <row r="737" spans="1:39">
      <c r="A737" s="1">
        <v>330</v>
      </c>
      <c r="B737" s="256"/>
      <c r="C737" s="512" t="s">
        <v>862</v>
      </c>
      <c r="D737" s="256"/>
      <c r="E737" s="36"/>
      <c r="F737" s="256"/>
      <c r="G737" s="35"/>
      <c r="H737" s="256"/>
      <c r="I737" s="256"/>
      <c r="J737" s="35">
        <v>3560.977942268019</v>
      </c>
      <c r="K737" s="256"/>
      <c r="L737" s="762"/>
      <c r="M737" s="762"/>
      <c r="N737" s="762"/>
      <c r="O737" s="762"/>
      <c r="P737" s="762"/>
      <c r="Q737" s="35">
        <v>3560.977942268019</v>
      </c>
      <c r="R737" s="771"/>
      <c r="S737" s="771"/>
      <c r="T737" s="762"/>
      <c r="U737" s="762"/>
      <c r="V737" s="762"/>
      <c r="W737" s="762"/>
      <c r="X737" s="762"/>
      <c r="Y737" s="771"/>
      <c r="Z737" s="35">
        <v>3560.977942268019</v>
      </c>
      <c r="AA737" s="771"/>
      <c r="AB737" s="762">
        <f>Z737-J737</f>
        <v>0</v>
      </c>
      <c r="AC737" s="504"/>
      <c r="AF737" s="763"/>
      <c r="AH737" s="763"/>
      <c r="AI737" s="763"/>
      <c r="AK737" s="763"/>
    </row>
    <row r="738" spans="1:39">
      <c r="B738" s="256"/>
      <c r="C738" s="7"/>
      <c r="D738" s="256"/>
      <c r="E738" s="36"/>
      <c r="F738" s="256"/>
      <c r="G738" s="453"/>
      <c r="H738" s="256"/>
      <c r="I738" s="256"/>
      <c r="J738" s="256"/>
      <c r="K738" s="256"/>
      <c r="L738" s="762"/>
      <c r="M738" s="762"/>
      <c r="N738" s="762"/>
      <c r="O738" s="762"/>
      <c r="P738" s="762"/>
      <c r="Q738" s="762"/>
      <c r="R738" s="771"/>
      <c r="S738" s="771"/>
      <c r="T738" s="762"/>
      <c r="U738" s="762"/>
      <c r="V738" s="762"/>
      <c r="W738" s="762"/>
      <c r="X738" s="762"/>
      <c r="Y738" s="771"/>
      <c r="Z738" s="771"/>
      <c r="AA738" s="771"/>
      <c r="AB738" s="762"/>
      <c r="AC738" s="504"/>
    </row>
    <row r="739" spans="1:39">
      <c r="B739" s="256"/>
      <c r="C739" s="6" t="s">
        <v>863</v>
      </c>
      <c r="D739" s="256"/>
      <c r="E739" s="742"/>
      <c r="F739" s="256"/>
      <c r="G739" s="453"/>
      <c r="H739" s="256"/>
      <c r="I739" s="256"/>
      <c r="J739" s="256"/>
      <c r="K739" s="256"/>
      <c r="L739" s="762"/>
      <c r="M739" s="762"/>
      <c r="N739" s="762"/>
      <c r="O739" s="762"/>
      <c r="P739" s="762"/>
      <c r="Q739" s="762"/>
      <c r="R739" s="771"/>
      <c r="S739" s="771"/>
      <c r="T739" s="762"/>
      <c r="U739" s="762"/>
      <c r="V739" s="762"/>
      <c r="W739" s="762"/>
      <c r="X739" s="762"/>
      <c r="Y739" s="771"/>
      <c r="Z739" s="771"/>
      <c r="AA739" s="771"/>
      <c r="AB739" s="762"/>
      <c r="AC739" s="504"/>
    </row>
    <row r="740" spans="1:39">
      <c r="B740" s="256"/>
      <c r="C740" s="7" t="s">
        <v>864</v>
      </c>
      <c r="D740" s="256"/>
      <c r="E740" s="504"/>
      <c r="F740" s="256"/>
      <c r="G740" s="453"/>
      <c r="H740" s="256"/>
      <c r="I740" s="256"/>
      <c r="J740" s="256"/>
      <c r="K740" s="256"/>
      <c r="L740" s="762"/>
      <c r="M740" s="762"/>
      <c r="N740" s="762"/>
      <c r="O740" s="762"/>
      <c r="P740" s="762"/>
      <c r="Q740" s="762"/>
      <c r="R740" s="771"/>
      <c r="S740" s="771"/>
      <c r="T740" s="762"/>
      <c r="U740" s="762"/>
      <c r="V740" s="762"/>
      <c r="W740" s="762"/>
      <c r="X740" s="762"/>
      <c r="Y740" s="771"/>
      <c r="Z740" s="771"/>
      <c r="AA740" s="771"/>
      <c r="AB740" s="762"/>
      <c r="AC740" s="504"/>
    </row>
    <row r="741" spans="1:39">
      <c r="A741" s="1">
        <v>331</v>
      </c>
      <c r="B741" s="256"/>
      <c r="C741" s="519" t="s">
        <v>865</v>
      </c>
      <c r="D741" s="734"/>
      <c r="E741" s="513" t="s">
        <v>840</v>
      </c>
      <c r="F741" s="734"/>
      <c r="G741" s="35">
        <v>22020420</v>
      </c>
      <c r="H741" s="734"/>
      <c r="I741" s="773">
        <v>3.76</v>
      </c>
      <c r="J741" s="750">
        <f>G741*I741/1000</f>
        <v>82796.77919999999</v>
      </c>
      <c r="K741" s="734"/>
      <c r="L741" s="35">
        <v>0</v>
      </c>
      <c r="M741" s="35">
        <v>0</v>
      </c>
      <c r="N741" s="35">
        <v>0</v>
      </c>
      <c r="O741" s="35">
        <v>0</v>
      </c>
      <c r="P741" s="35">
        <v>0</v>
      </c>
      <c r="Q741" s="762">
        <f>SUM(J741-L741-M741-N741-O741-P741)</f>
        <v>82796.77919999999</v>
      </c>
      <c r="R741" s="790"/>
      <c r="S741" s="35">
        <v>2288.4800431139593</v>
      </c>
      <c r="T741" s="35">
        <v>0</v>
      </c>
      <c r="U741" s="35">
        <v>0</v>
      </c>
      <c r="V741" s="35">
        <v>0</v>
      </c>
      <c r="W741" s="35">
        <v>0</v>
      </c>
      <c r="X741" s="35">
        <v>0</v>
      </c>
      <c r="Y741" s="790"/>
      <c r="Z741" s="771">
        <f>Q741+S741+T741+U741+V741+W741+X741</f>
        <v>85085.259243113949</v>
      </c>
      <c r="AA741" s="773">
        <f>Z741/G741*1000</f>
        <v>3.8639253585133231</v>
      </c>
      <c r="AB741" s="762">
        <f>Z741-J741</f>
        <v>2288.4800431139593</v>
      </c>
      <c r="AC741" s="770">
        <f>AA741/I741-1</f>
        <v>2.7639723008862527E-2</v>
      </c>
      <c r="AD741" s="769"/>
      <c r="AF741" s="763"/>
      <c r="AH741" s="763"/>
      <c r="AI741" s="763"/>
      <c r="AK741" s="763"/>
      <c r="AM741" s="776"/>
    </row>
    <row r="742" spans="1:39">
      <c r="A742" s="1">
        <v>332</v>
      </c>
      <c r="B742" s="256"/>
      <c r="C742" s="743" t="s">
        <v>866</v>
      </c>
      <c r="D742" s="385"/>
      <c r="E742" s="513" t="s">
        <v>840</v>
      </c>
      <c r="F742" s="385"/>
      <c r="G742" s="35">
        <v>5417148</v>
      </c>
      <c r="H742" s="385"/>
      <c r="I742" s="773">
        <v>7.6999999999999999E-2</v>
      </c>
      <c r="J742" s="750">
        <f>G742*I742/1000</f>
        <v>417.12039600000003</v>
      </c>
      <c r="K742" s="385"/>
      <c r="L742" s="35">
        <v>0</v>
      </c>
      <c r="M742" s="35">
        <v>0</v>
      </c>
      <c r="N742" s="35">
        <v>0</v>
      </c>
      <c r="O742" s="35">
        <v>0</v>
      </c>
      <c r="P742" s="35">
        <v>0</v>
      </c>
      <c r="Q742" s="762">
        <f>SUM(J742-L742-M742-N742-O742-P742)</f>
        <v>417.12039600000003</v>
      </c>
      <c r="R742" s="789"/>
      <c r="S742" s="35">
        <v>11.247725084722504</v>
      </c>
      <c r="T742" s="35">
        <v>0</v>
      </c>
      <c r="U742" s="35">
        <v>0</v>
      </c>
      <c r="V742" s="35">
        <v>0</v>
      </c>
      <c r="W742" s="35">
        <v>0</v>
      </c>
      <c r="X742" s="35">
        <v>0</v>
      </c>
      <c r="Y742" s="789"/>
      <c r="Z742" s="771">
        <f>Q742+S742+T742+U742+V742+W742+X742</f>
        <v>428.36812108472253</v>
      </c>
      <c r="AA742" s="773">
        <f>Z742/G742*1000</f>
        <v>7.9076318587700131E-2</v>
      </c>
      <c r="AB742" s="762">
        <f>Z742-J742</f>
        <v>11.247725084722504</v>
      </c>
      <c r="AC742" s="770">
        <f>AA742/I742-1</f>
        <v>2.6965176463638052E-2</v>
      </c>
      <c r="AD742" s="769"/>
      <c r="AF742" s="763"/>
      <c r="AH742" s="763"/>
      <c r="AI742" s="763"/>
      <c r="AK742" s="763"/>
      <c r="AM742" s="776"/>
    </row>
    <row r="743" spans="1:39">
      <c r="A743" s="1">
        <v>333</v>
      </c>
      <c r="B743" s="256"/>
      <c r="C743" s="519" t="s">
        <v>867</v>
      </c>
      <c r="D743" s="256"/>
      <c r="E743" s="513" t="s">
        <v>840</v>
      </c>
      <c r="F743" s="256"/>
      <c r="G743" s="35">
        <v>594000</v>
      </c>
      <c r="H743" s="256"/>
      <c r="I743" s="773">
        <v>3.19</v>
      </c>
      <c r="J743" s="750">
        <f>G743*I743/1000</f>
        <v>1894.86</v>
      </c>
      <c r="K743" s="256"/>
      <c r="L743" s="35">
        <v>0</v>
      </c>
      <c r="M743" s="35">
        <v>0</v>
      </c>
      <c r="N743" s="35">
        <v>0</v>
      </c>
      <c r="O743" s="35">
        <v>0</v>
      </c>
      <c r="P743" s="35">
        <v>0</v>
      </c>
      <c r="Q743" s="762">
        <f>SUM(J743-L743-M743-N743-O743-P743)</f>
        <v>1894.86</v>
      </c>
      <c r="R743" s="771"/>
      <c r="S743" s="35">
        <v>53.859232021489561</v>
      </c>
      <c r="T743" s="35">
        <v>0</v>
      </c>
      <c r="U743" s="35">
        <v>0</v>
      </c>
      <c r="V743" s="35">
        <v>0</v>
      </c>
      <c r="W743" s="35">
        <v>0</v>
      </c>
      <c r="X743" s="35">
        <v>0</v>
      </c>
      <c r="Y743" s="771"/>
      <c r="Z743" s="771">
        <f>Q743+S743+T743+U743+V743+W743+X743</f>
        <v>1948.7192320214895</v>
      </c>
      <c r="AA743" s="773">
        <f>Z743/G743*1000</f>
        <v>3.2806721077802852</v>
      </c>
      <c r="AB743" s="762">
        <f>Z743-J743</f>
        <v>53.859232021489561</v>
      </c>
      <c r="AC743" s="770">
        <f>AA743/I743-1</f>
        <v>2.8423858238333821E-2</v>
      </c>
      <c r="AD743" s="769"/>
      <c r="AF743" s="763"/>
      <c r="AH743" s="763"/>
      <c r="AI743" s="763"/>
      <c r="AK743" s="763"/>
      <c r="AM743" s="776"/>
    </row>
    <row r="744" spans="1:39">
      <c r="A744" s="1">
        <v>334</v>
      </c>
      <c r="C744" s="743" t="s">
        <v>866</v>
      </c>
      <c r="E744" s="513" t="s">
        <v>840</v>
      </c>
      <c r="G744" s="35">
        <v>594000</v>
      </c>
      <c r="I744" s="773">
        <v>7.6999999999999999E-2</v>
      </c>
      <c r="J744" s="750">
        <f>G744*I744/1000</f>
        <v>45.738</v>
      </c>
      <c r="L744" s="35">
        <v>0</v>
      </c>
      <c r="M744" s="35">
        <v>0</v>
      </c>
      <c r="N744" s="35">
        <v>0</v>
      </c>
      <c r="O744" s="35">
        <v>0</v>
      </c>
      <c r="P744" s="35">
        <v>0</v>
      </c>
      <c r="Q744" s="762">
        <f>SUM(J744-L744-M744-N744-O744-P744)</f>
        <v>45.738</v>
      </c>
      <c r="R744" s="68"/>
      <c r="S744" s="35">
        <v>1.2333332410938667</v>
      </c>
      <c r="T744" s="35">
        <v>0</v>
      </c>
      <c r="U744" s="35">
        <v>0</v>
      </c>
      <c r="V744" s="35">
        <v>0</v>
      </c>
      <c r="W744" s="35">
        <v>0</v>
      </c>
      <c r="X744" s="35">
        <v>0</v>
      </c>
      <c r="Y744" s="68"/>
      <c r="Z744" s="771">
        <f>Q744+S744+T744+U744+V744+W744+X744</f>
        <v>46.971333241093866</v>
      </c>
      <c r="AA744" s="773">
        <f>Z744/G744*1000</f>
        <v>7.9076318587700117E-2</v>
      </c>
      <c r="AB744" s="762">
        <f>Z744-J744</f>
        <v>1.2333332410938667</v>
      </c>
      <c r="AC744" s="770">
        <f>AA744/I744-1</f>
        <v>2.696517646363783E-2</v>
      </c>
      <c r="AD744" s="769"/>
      <c r="AF744" s="763"/>
      <c r="AH744" s="763"/>
      <c r="AI744" s="763"/>
      <c r="AK744" s="763"/>
      <c r="AM744" s="776"/>
    </row>
    <row r="745" spans="1:39">
      <c r="A745" s="1">
        <v>335</v>
      </c>
      <c r="B745" s="734"/>
      <c r="C745" s="519" t="s">
        <v>868</v>
      </c>
      <c r="D745" s="256"/>
      <c r="E745" s="513" t="s">
        <v>840</v>
      </c>
      <c r="G745" s="35">
        <v>4604866</v>
      </c>
      <c r="H745" s="256"/>
      <c r="I745" s="773">
        <v>0.56999999999999995</v>
      </c>
      <c r="J745" s="750">
        <f>G745*I745/1000</f>
        <v>2624.7736199999995</v>
      </c>
      <c r="K745" s="256"/>
      <c r="L745" s="35">
        <v>0</v>
      </c>
      <c r="M745" s="35">
        <v>0</v>
      </c>
      <c r="N745" s="35">
        <v>0</v>
      </c>
      <c r="O745" s="35">
        <v>0</v>
      </c>
      <c r="P745" s="35">
        <v>0</v>
      </c>
      <c r="Q745" s="762">
        <f>SUM(J745-L745-M745-N745-O745-P745)</f>
        <v>2624.7736199999995</v>
      </c>
      <c r="R745" s="771"/>
      <c r="S745" s="35">
        <v>61.029443690039898</v>
      </c>
      <c r="T745" s="35">
        <v>0</v>
      </c>
      <c r="U745" s="35">
        <v>0</v>
      </c>
      <c r="V745" s="35">
        <v>0</v>
      </c>
      <c r="W745" s="35">
        <v>0</v>
      </c>
      <c r="X745" s="35">
        <v>0</v>
      </c>
      <c r="Y745" s="771"/>
      <c r="Z745" s="771">
        <f>Q745+S745+T745+U745+V745+W745+X745</f>
        <v>2685.8030636900394</v>
      </c>
      <c r="AA745" s="773">
        <f>Z745/G745*1000</f>
        <v>0.58325325073303746</v>
      </c>
      <c r="AB745" s="762">
        <f>Z745-J745</f>
        <v>61.029443690039898</v>
      </c>
      <c r="AC745" s="770">
        <f>AA745/I745-1</f>
        <v>2.325131707550443E-2</v>
      </c>
      <c r="AD745" s="769"/>
      <c r="AF745" s="763"/>
      <c r="AH745" s="763"/>
      <c r="AI745" s="763"/>
      <c r="AK745" s="763"/>
      <c r="AM745" s="776"/>
    </row>
    <row r="746" spans="1:39">
      <c r="B746" s="385"/>
      <c r="C746" s="9" t="s">
        <v>869</v>
      </c>
      <c r="D746" s="254"/>
      <c r="E746" s="513" t="s">
        <v>840</v>
      </c>
      <c r="F746" s="254"/>
      <c r="G746" s="504"/>
      <c r="H746" s="504"/>
      <c r="I746" s="504"/>
      <c r="J746" s="504"/>
      <c r="K746" s="504"/>
      <c r="L746" s="504"/>
      <c r="M746" s="504"/>
      <c r="N746" s="504"/>
      <c r="O746" s="504"/>
      <c r="P746" s="504"/>
      <c r="Q746" s="504"/>
      <c r="R746" s="504"/>
      <c r="S746" s="504"/>
      <c r="T746" s="504"/>
      <c r="U746" s="504"/>
      <c r="V746" s="504"/>
      <c r="W746" s="504"/>
      <c r="X746" s="504"/>
      <c r="Y746" s="504"/>
      <c r="Z746" s="504"/>
      <c r="AA746" s="504"/>
      <c r="AB746" s="504"/>
      <c r="AC746" s="504"/>
      <c r="AF746" s="268"/>
      <c r="AG746" s="268"/>
      <c r="AH746" s="268"/>
      <c r="AI746" s="268"/>
      <c r="AJ746" s="268"/>
      <c r="AK746" s="268"/>
      <c r="AL746" s="268"/>
    </row>
    <row r="747" spans="1:39">
      <c r="A747" s="1">
        <v>336</v>
      </c>
      <c r="B747" s="254"/>
      <c r="C747" s="743" t="s">
        <v>870</v>
      </c>
      <c r="D747" s="256"/>
      <c r="E747" s="513" t="s">
        <v>840</v>
      </c>
      <c r="F747" s="256"/>
      <c r="G747" s="35">
        <v>654156</v>
      </c>
      <c r="H747" s="254"/>
      <c r="I747" s="773">
        <v>4.6479999999999997</v>
      </c>
      <c r="J747" s="750">
        <f>G747*I747/1000</f>
        <v>3040.5170880000001</v>
      </c>
      <c r="K747" s="254"/>
      <c r="L747" s="35">
        <v>0</v>
      </c>
      <c r="M747" s="35">
        <v>0</v>
      </c>
      <c r="N747" s="35">
        <v>0</v>
      </c>
      <c r="O747" s="35">
        <v>0</v>
      </c>
      <c r="P747" s="35">
        <v>0</v>
      </c>
      <c r="Q747" s="762">
        <f>SUM(J747-L747-M747-N747-O747-P747)</f>
        <v>3040.5170880000001</v>
      </c>
      <c r="R747" s="786"/>
      <c r="S747" s="35">
        <v>81.365434291691599</v>
      </c>
      <c r="T747" s="35"/>
      <c r="U747" s="35"/>
      <c r="V747" s="35"/>
      <c r="W747" s="35"/>
      <c r="X747" s="35"/>
      <c r="Y747" s="786"/>
      <c r="Z747" s="771">
        <f>Q747+S747+T747+U747+V747+W747+X747</f>
        <v>3121.8825222916917</v>
      </c>
      <c r="AA747" s="773">
        <f>Z747/G747*1000</f>
        <v>4.7723823098644536</v>
      </c>
      <c r="AB747" s="762">
        <f>Z747-J747</f>
        <v>81.365434291691599</v>
      </c>
      <c r="AC747" s="770">
        <f>AA747/I747-1</f>
        <v>2.6760393688565864E-2</v>
      </c>
      <c r="AD747" s="769"/>
      <c r="AF747" s="763"/>
      <c r="AH747" s="763"/>
      <c r="AI747" s="763"/>
      <c r="AK747" s="763"/>
      <c r="AM747" s="776"/>
    </row>
    <row r="748" spans="1:39">
      <c r="B748" s="256"/>
      <c r="C748" s="504"/>
      <c r="D748" s="504"/>
      <c r="E748" s="504"/>
      <c r="F748" s="504"/>
      <c r="L748" s="504"/>
      <c r="M748" s="504"/>
      <c r="N748" s="504"/>
      <c r="O748" s="504"/>
      <c r="P748" s="504"/>
      <c r="Q748" s="504"/>
      <c r="T748" s="504"/>
      <c r="U748" s="504"/>
      <c r="V748" s="504"/>
      <c r="W748" s="504"/>
      <c r="X748" s="504"/>
      <c r="AB748" s="504"/>
      <c r="AC748" s="504"/>
      <c r="AD748" s="769"/>
      <c r="AF748" s="763"/>
      <c r="AH748" s="763"/>
      <c r="AI748" s="763"/>
      <c r="AK748" s="763"/>
      <c r="AM748" s="776"/>
    </row>
    <row r="749" spans="1:39">
      <c r="B749" s="256"/>
      <c r="C749" s="512" t="s">
        <v>871</v>
      </c>
      <c r="D749" s="256"/>
      <c r="E749" s="742"/>
      <c r="F749" s="256"/>
      <c r="G749" s="453"/>
      <c r="H749" s="256"/>
      <c r="I749" s="797"/>
      <c r="J749" s="750"/>
      <c r="K749" s="256"/>
      <c r="L749" s="762"/>
      <c r="M749" s="762"/>
      <c r="N749" s="762"/>
      <c r="O749" s="762"/>
      <c r="P749" s="762"/>
      <c r="Q749" s="762">
        <f>SUM(J749-L749-M749-N749-O749-P749)</f>
        <v>0</v>
      </c>
      <c r="R749" s="771"/>
      <c r="S749" s="35"/>
      <c r="T749" s="762"/>
      <c r="U749" s="762"/>
      <c r="V749" s="762"/>
      <c r="W749" s="762"/>
      <c r="X749" s="762"/>
      <c r="Y749" s="771"/>
      <c r="Z749" s="771"/>
      <c r="AA749" s="773"/>
      <c r="AB749" s="762"/>
      <c r="AC749" s="770"/>
      <c r="AD749" s="769"/>
      <c r="AF749" s="763"/>
      <c r="AH749" s="763"/>
      <c r="AI749" s="763"/>
      <c r="AK749" s="763"/>
      <c r="AM749" s="776"/>
    </row>
    <row r="750" spans="1:39">
      <c r="A750" s="1">
        <v>337</v>
      </c>
      <c r="B750" s="256"/>
      <c r="C750" s="519" t="s">
        <v>872</v>
      </c>
      <c r="D750" s="256"/>
      <c r="E750" s="513" t="s">
        <v>840</v>
      </c>
      <c r="F750" s="256"/>
      <c r="G750" s="35">
        <v>393912</v>
      </c>
      <c r="H750" s="256"/>
      <c r="I750" s="773">
        <v>3.76</v>
      </c>
      <c r="J750" s="750">
        <f>G750*I750/1000</f>
        <v>1481.1091199999998</v>
      </c>
      <c r="K750" s="256"/>
      <c r="L750" s="35">
        <v>0</v>
      </c>
      <c r="M750" s="35">
        <v>0</v>
      </c>
      <c r="N750" s="35">
        <v>0</v>
      </c>
      <c r="O750" s="35">
        <v>0</v>
      </c>
      <c r="P750" s="35">
        <v>0</v>
      </c>
      <c r="Q750" s="762">
        <f>SUM(J750-L750-M750-N750-O750-P750)</f>
        <v>1481.1091199999998</v>
      </c>
      <c r="R750" s="771"/>
      <c r="S750" s="35">
        <v>40.937445822700283</v>
      </c>
      <c r="T750" s="35">
        <v>0</v>
      </c>
      <c r="U750" s="35">
        <v>0</v>
      </c>
      <c r="V750" s="35">
        <v>0</v>
      </c>
      <c r="W750" s="35">
        <v>0</v>
      </c>
      <c r="X750" s="35">
        <v>0</v>
      </c>
      <c r="Y750" s="771"/>
      <c r="Z750" s="771">
        <f>Q750+S750+T750+U750+V750+W750+X750</f>
        <v>1522.0465658227001</v>
      </c>
      <c r="AA750" s="773">
        <f>Z750/G750*1000</f>
        <v>3.8639253585133231</v>
      </c>
      <c r="AB750" s="762">
        <f>Z750-J750</f>
        <v>40.937445822700283</v>
      </c>
      <c r="AC750" s="770">
        <f t="shared" ref="AC750:AC755" si="192">AA750/I750-1</f>
        <v>2.7639723008862527E-2</v>
      </c>
      <c r="AD750" s="769"/>
      <c r="AF750" s="763"/>
      <c r="AH750" s="763"/>
      <c r="AI750" s="763"/>
      <c r="AK750" s="763"/>
      <c r="AM750" s="776"/>
    </row>
    <row r="751" spans="1:39">
      <c r="A751" s="1">
        <v>338</v>
      </c>
      <c r="C751" s="519" t="s">
        <v>867</v>
      </c>
      <c r="D751" s="504"/>
      <c r="E751" s="513" t="s">
        <v>840</v>
      </c>
      <c r="F751" s="504"/>
      <c r="G751" s="35">
        <v>0</v>
      </c>
      <c r="H751" s="504"/>
      <c r="I751" s="796">
        <f>I743</f>
        <v>3.19</v>
      </c>
      <c r="J751" s="762">
        <v>0</v>
      </c>
      <c r="K751" s="504"/>
      <c r="L751" s="35">
        <v>0</v>
      </c>
      <c r="M751" s="35">
        <v>0</v>
      </c>
      <c r="N751" s="35">
        <v>0</v>
      </c>
      <c r="O751" s="35">
        <v>0</v>
      </c>
      <c r="P751" s="35">
        <v>0</v>
      </c>
      <c r="Q751" s="35">
        <v>0</v>
      </c>
      <c r="R751" s="35"/>
      <c r="S751" s="35">
        <v>0</v>
      </c>
      <c r="T751" s="35">
        <v>0</v>
      </c>
      <c r="U751" s="35">
        <v>0</v>
      </c>
      <c r="V751" s="35">
        <v>0</v>
      </c>
      <c r="W751" s="35">
        <v>0</v>
      </c>
      <c r="X751" s="35">
        <v>0</v>
      </c>
      <c r="Y751" s="35"/>
      <c r="Z751" s="35">
        <v>0</v>
      </c>
      <c r="AA751" s="796">
        <f>AA743</f>
        <v>3.2806721077802852</v>
      </c>
      <c r="AB751" s="35">
        <v>0</v>
      </c>
      <c r="AC751" s="770">
        <f t="shared" si="192"/>
        <v>2.8423858238333821E-2</v>
      </c>
      <c r="AF751" s="268"/>
      <c r="AG751" s="268"/>
      <c r="AH751" s="268"/>
      <c r="AI751" s="268"/>
      <c r="AJ751" s="268"/>
      <c r="AK751" s="268"/>
      <c r="AL751" s="268"/>
    </row>
    <row r="752" spans="1:39">
      <c r="A752" s="1">
        <v>339</v>
      </c>
      <c r="C752" s="519" t="s">
        <v>868</v>
      </c>
      <c r="D752" s="504"/>
      <c r="E752" s="513" t="s">
        <v>840</v>
      </c>
      <c r="F752" s="504"/>
      <c r="G752" s="35">
        <v>0</v>
      </c>
      <c r="H752" s="504"/>
      <c r="I752" s="796">
        <f>I745</f>
        <v>0.56999999999999995</v>
      </c>
      <c r="J752" s="762">
        <v>0</v>
      </c>
      <c r="K752" s="504"/>
      <c r="L752" s="35">
        <v>0</v>
      </c>
      <c r="M752" s="35">
        <v>0</v>
      </c>
      <c r="N752" s="35">
        <v>0</v>
      </c>
      <c r="O752" s="35">
        <v>0</v>
      </c>
      <c r="P752" s="35">
        <v>0</v>
      </c>
      <c r="Q752" s="504"/>
      <c r="R752" s="504"/>
      <c r="S752" s="504"/>
      <c r="T752" s="35">
        <v>0</v>
      </c>
      <c r="U752" s="35">
        <v>0</v>
      </c>
      <c r="V752" s="35">
        <v>0</v>
      </c>
      <c r="W752" s="35">
        <v>0</v>
      </c>
      <c r="X752" s="35">
        <v>0</v>
      </c>
      <c r="Y752" s="504"/>
      <c r="Z752" s="35">
        <v>0</v>
      </c>
      <c r="AA752" s="796">
        <f>AA745</f>
        <v>0.58325325073303746</v>
      </c>
      <c r="AB752" s="35">
        <v>0</v>
      </c>
      <c r="AC752" s="770">
        <f t="shared" si="192"/>
        <v>2.325131707550443E-2</v>
      </c>
      <c r="AF752" s="268"/>
      <c r="AG752" s="268"/>
      <c r="AH752" s="268"/>
      <c r="AI752" s="268"/>
      <c r="AJ752" s="268"/>
      <c r="AK752" s="268"/>
      <c r="AL752" s="268"/>
    </row>
    <row r="753" spans="1:39">
      <c r="A753" s="1">
        <v>340</v>
      </c>
      <c r="B753" s="256"/>
      <c r="C753" s="519" t="s">
        <v>873</v>
      </c>
      <c r="D753" s="256"/>
      <c r="E753" s="513" t="s">
        <v>840</v>
      </c>
      <c r="F753" s="256"/>
      <c r="G753" s="35">
        <v>12566292</v>
      </c>
      <c r="H753" s="256"/>
      <c r="I753" s="773">
        <v>0.88800000000000001</v>
      </c>
      <c r="J753" s="750">
        <f>G753*I753/1000</f>
        <v>11158.867296</v>
      </c>
      <c r="K753" s="256"/>
      <c r="L753" s="35">
        <v>0</v>
      </c>
      <c r="M753" s="35">
        <v>0</v>
      </c>
      <c r="N753" s="35">
        <v>0</v>
      </c>
      <c r="O753" s="35">
        <v>0</v>
      </c>
      <c r="P753" s="35">
        <v>0</v>
      </c>
      <c r="Q753" s="762">
        <f>SUM(J753-L753-M753-N753-O753-P753)</f>
        <v>11158.867296</v>
      </c>
      <c r="R753" s="771"/>
      <c r="S753" s="35">
        <v>257.06802410810087</v>
      </c>
      <c r="T753" s="35">
        <v>0</v>
      </c>
      <c r="U753" s="35">
        <v>0</v>
      </c>
      <c r="V753" s="35">
        <v>0</v>
      </c>
      <c r="W753" s="35">
        <v>0</v>
      </c>
      <c r="X753" s="35">
        <v>0</v>
      </c>
      <c r="Y753" s="771"/>
      <c r="Z753" s="771">
        <f>Q753+S753+T753+U753+V753+W753+X753</f>
        <v>11415.935320108101</v>
      </c>
      <c r="AA753" s="773">
        <f>Z753/G753*1000</f>
        <v>0.90845695135113058</v>
      </c>
      <c r="AB753" s="762">
        <f>Z753-J753</f>
        <v>257.06802410810087</v>
      </c>
      <c r="AC753" s="770">
        <f t="shared" si="192"/>
        <v>2.3037107377399391E-2</v>
      </c>
      <c r="AD753" s="769"/>
      <c r="AF753" s="763"/>
      <c r="AH753" s="763"/>
      <c r="AI753" s="763"/>
      <c r="AK753" s="763"/>
      <c r="AM753" s="776"/>
    </row>
    <row r="754" spans="1:39">
      <c r="A754" s="1">
        <v>341</v>
      </c>
      <c r="C754" s="519" t="s">
        <v>874</v>
      </c>
      <c r="E754" s="513" t="s">
        <v>840</v>
      </c>
      <c r="G754" s="35">
        <v>759948</v>
      </c>
      <c r="I754" s="773">
        <v>1.5669999999999999</v>
      </c>
      <c r="J754" s="750">
        <f>G754*I754/1000</f>
        <v>1190.838516</v>
      </c>
      <c r="L754" s="35">
        <v>0</v>
      </c>
      <c r="M754" s="35">
        <v>0</v>
      </c>
      <c r="N754" s="35">
        <v>0</v>
      </c>
      <c r="O754" s="35">
        <v>0</v>
      </c>
      <c r="P754" s="35">
        <v>0</v>
      </c>
      <c r="Q754" s="762">
        <f>SUM(J754-L754-M754-N754-O754-P754)</f>
        <v>1190.838516</v>
      </c>
      <c r="R754" s="68"/>
      <c r="S754" s="35">
        <v>26.701301911090695</v>
      </c>
      <c r="T754" s="35">
        <v>0</v>
      </c>
      <c r="U754" s="35">
        <v>0</v>
      </c>
      <c r="V754" s="35">
        <v>0</v>
      </c>
      <c r="W754" s="35">
        <v>0</v>
      </c>
      <c r="X754" s="35">
        <v>0</v>
      </c>
      <c r="Y754" s="68"/>
      <c r="Z754" s="771">
        <f>Q754+S754+T754+U754+V754+W754+X754</f>
        <v>1217.5398179110907</v>
      </c>
      <c r="AA754" s="773">
        <f>Z754/G754*1000</f>
        <v>1.6021356960095832</v>
      </c>
      <c r="AB754" s="762">
        <f>Z754-J754</f>
        <v>26.701301911090695</v>
      </c>
      <c r="AC754" s="770">
        <f t="shared" si="192"/>
        <v>2.2422269310518939E-2</v>
      </c>
      <c r="AD754" s="769"/>
      <c r="AF754" s="763"/>
      <c r="AH754" s="763"/>
      <c r="AI754" s="763"/>
      <c r="AK754" s="763"/>
      <c r="AM754" s="776"/>
    </row>
    <row r="755" spans="1:39">
      <c r="A755" s="1">
        <v>342</v>
      </c>
      <c r="B755" s="256"/>
      <c r="C755" s="519" t="s">
        <v>868</v>
      </c>
      <c r="E755" s="513" t="s">
        <v>840</v>
      </c>
      <c r="G755" s="35">
        <v>0</v>
      </c>
      <c r="I755" s="773">
        <v>0.56999999999999995</v>
      </c>
      <c r="J755" s="795">
        <f>G755*I755/1000</f>
        <v>0</v>
      </c>
      <c r="L755" s="35">
        <v>0</v>
      </c>
      <c r="M755" s="35">
        <v>0</v>
      </c>
      <c r="N755" s="35">
        <v>0</v>
      </c>
      <c r="O755" s="35">
        <v>0</v>
      </c>
      <c r="P755" s="35">
        <v>0</v>
      </c>
      <c r="Q755" s="762">
        <f>SUM(J755-L755-M755-N755-O755-P755)</f>
        <v>0</v>
      </c>
      <c r="R755" s="68"/>
      <c r="S755" s="35">
        <v>0</v>
      </c>
      <c r="T755" s="35">
        <v>0</v>
      </c>
      <c r="U755" s="35">
        <v>0</v>
      </c>
      <c r="V755" s="35">
        <v>0</v>
      </c>
      <c r="W755" s="35">
        <v>0</v>
      </c>
      <c r="X755" s="35">
        <v>0</v>
      </c>
      <c r="Y755" s="68"/>
      <c r="Z755" s="771">
        <f>Q755+S755+T755+U755+V755+W755+X755</f>
        <v>0</v>
      </c>
      <c r="AA755" s="773">
        <v>0.58325325073303746</v>
      </c>
      <c r="AB755" s="762">
        <f>Z755-J755</f>
        <v>0</v>
      </c>
      <c r="AC755" s="770">
        <f t="shared" si="192"/>
        <v>2.325131707550443E-2</v>
      </c>
      <c r="AD755" s="769"/>
      <c r="AF755" s="763"/>
      <c r="AH755" s="763"/>
      <c r="AI755" s="763"/>
      <c r="AK755" s="763"/>
      <c r="AM755" s="776"/>
    </row>
    <row r="756" spans="1:39">
      <c r="C756" s="512" t="s">
        <v>875</v>
      </c>
      <c r="E756" s="36"/>
      <c r="G756" s="35"/>
      <c r="J756" s="752"/>
      <c r="L756" s="762"/>
      <c r="M756" s="762"/>
      <c r="N756" s="762"/>
      <c r="O756" s="762"/>
      <c r="P756" s="762"/>
      <c r="Q756" s="762"/>
      <c r="R756" s="68"/>
      <c r="S756" s="136"/>
      <c r="T756" s="762"/>
      <c r="U756" s="762"/>
      <c r="V756" s="762"/>
      <c r="W756" s="762"/>
      <c r="X756" s="762"/>
      <c r="Y756" s="68"/>
      <c r="Z756" s="771"/>
      <c r="AA756" s="771"/>
      <c r="AB756" s="762"/>
      <c r="AC756" s="504"/>
      <c r="AF756" s="763"/>
      <c r="AH756" s="763"/>
      <c r="AI756" s="763"/>
      <c r="AK756" s="763"/>
    </row>
    <row r="757" spans="1:39">
      <c r="A757" s="1">
        <v>343</v>
      </c>
      <c r="B757" s="256"/>
      <c r="C757" s="9" t="s">
        <v>876</v>
      </c>
      <c r="D757" s="256"/>
      <c r="E757" s="513" t="s">
        <v>777</v>
      </c>
      <c r="F757" s="256"/>
      <c r="G757" s="35">
        <v>349244186.82099998</v>
      </c>
      <c r="H757" s="256"/>
      <c r="I757" s="35">
        <v>0</v>
      </c>
      <c r="J757" s="35">
        <v>15561.312225236692</v>
      </c>
      <c r="K757" s="256"/>
      <c r="L757" s="35">
        <v>0</v>
      </c>
      <c r="M757" s="35">
        <v>0</v>
      </c>
      <c r="N757" s="35">
        <v>0</v>
      </c>
      <c r="O757" s="35">
        <v>3333.3135730441568</v>
      </c>
      <c r="P757" s="35">
        <v>12227.998652192535</v>
      </c>
      <c r="Q757" s="35">
        <v>0</v>
      </c>
      <c r="R757" s="771"/>
      <c r="S757" s="35">
        <v>0</v>
      </c>
      <c r="T757" s="35">
        <v>0</v>
      </c>
      <c r="U757" s="35">
        <v>0</v>
      </c>
      <c r="V757" s="35">
        <v>0</v>
      </c>
      <c r="W757" s="35">
        <v>4067.625434565964</v>
      </c>
      <c r="X757" s="35">
        <v>12160.969165938659</v>
      </c>
      <c r="Y757" s="771"/>
      <c r="Z757" s="771">
        <f>W757+X757</f>
        <v>16228.594600504623</v>
      </c>
      <c r="AA757" s="35">
        <v>0</v>
      </c>
      <c r="AB757" s="762">
        <f>Z757-J757</f>
        <v>667.28237526793055</v>
      </c>
      <c r="AC757" s="35">
        <v>0</v>
      </c>
      <c r="AD757" s="35"/>
      <c r="AF757" s="763"/>
      <c r="AH757" s="763"/>
      <c r="AI757" s="763"/>
      <c r="AK757" s="763"/>
    </row>
    <row r="758" spans="1:39">
      <c r="A758" s="1">
        <v>344</v>
      </c>
      <c r="B758" s="256"/>
      <c r="C758" s="9" t="s">
        <v>877</v>
      </c>
      <c r="D758" s="256"/>
      <c r="E758" s="513" t="s">
        <v>777</v>
      </c>
      <c r="F758" s="256"/>
      <c r="G758" s="35">
        <v>17399687.223999999</v>
      </c>
      <c r="H758" s="256"/>
      <c r="I758" s="35">
        <v>0</v>
      </c>
      <c r="J758" s="35">
        <v>160.76437939710056</v>
      </c>
      <c r="K758" s="256"/>
      <c r="L758" s="35">
        <v>0</v>
      </c>
      <c r="M758" s="35">
        <v>0</v>
      </c>
      <c r="N758" s="35">
        <v>0</v>
      </c>
      <c r="O758" s="35">
        <v>34.436561656883327</v>
      </c>
      <c r="P758" s="35">
        <v>126.32781774021721</v>
      </c>
      <c r="Q758" s="35">
        <v>0</v>
      </c>
      <c r="R758" s="771"/>
      <c r="S758" s="35">
        <v>0</v>
      </c>
      <c r="T758" s="35">
        <v>0</v>
      </c>
      <c r="U758" s="35">
        <v>0</v>
      </c>
      <c r="V758" s="35">
        <v>0</v>
      </c>
      <c r="W758" s="35">
        <v>42.022759336924246</v>
      </c>
      <c r="X758" s="35">
        <v>125.63533412425102</v>
      </c>
      <c r="Y758" s="771"/>
      <c r="Z758" s="771">
        <f>W758+X758</f>
        <v>167.65809346117527</v>
      </c>
      <c r="AA758" s="35">
        <v>0</v>
      </c>
      <c r="AB758" s="762">
        <f>Z758-J758</f>
        <v>6.8937140640747145</v>
      </c>
      <c r="AC758" s="35">
        <v>0</v>
      </c>
      <c r="AD758" s="35"/>
      <c r="AF758" s="763"/>
      <c r="AH758" s="763"/>
      <c r="AI758" s="763"/>
      <c r="AK758" s="763"/>
    </row>
    <row r="759" spans="1:39">
      <c r="B759" s="256"/>
      <c r="C759" s="512"/>
      <c r="D759" s="256"/>
      <c r="E759" s="742"/>
      <c r="F759" s="256"/>
      <c r="G759" s="35"/>
      <c r="H759" s="256"/>
      <c r="I759" s="256"/>
      <c r="J759" s="750"/>
      <c r="K759" s="256"/>
      <c r="L759" s="762"/>
      <c r="M759" s="762"/>
      <c r="N759" s="35"/>
      <c r="O759" s="35"/>
      <c r="P759" s="35"/>
      <c r="Q759" s="35"/>
      <c r="R759" s="771"/>
      <c r="S759" s="453"/>
      <c r="T759" s="762"/>
      <c r="U759" s="762"/>
      <c r="V759" s="35"/>
      <c r="W759" s="35"/>
      <c r="X759" s="35"/>
      <c r="Y759" s="771"/>
      <c r="Z759" s="771"/>
      <c r="AA759" s="771"/>
      <c r="AB759" s="762"/>
      <c r="AC759" s="504"/>
      <c r="AF759" s="763"/>
      <c r="AH759" s="763"/>
      <c r="AI759" s="763"/>
      <c r="AK759" s="763"/>
    </row>
    <row r="760" spans="1:39">
      <c r="B760" s="256"/>
      <c r="C760" s="512" t="s">
        <v>878</v>
      </c>
      <c r="D760" s="256"/>
      <c r="E760" s="36"/>
      <c r="F760" s="256"/>
      <c r="G760" s="453"/>
      <c r="H760" s="256"/>
      <c r="I760" s="256"/>
      <c r="J760" s="35"/>
      <c r="K760" s="256"/>
      <c r="L760" s="762"/>
      <c r="M760" s="762"/>
      <c r="N760" s="35"/>
      <c r="O760" s="35"/>
      <c r="P760" s="35"/>
      <c r="Q760" s="35"/>
      <c r="R760" s="771"/>
      <c r="S760" s="453"/>
      <c r="T760" s="762"/>
      <c r="U760" s="762"/>
      <c r="V760" s="35"/>
      <c r="W760" s="35"/>
      <c r="X760" s="35"/>
      <c r="Y760" s="771"/>
      <c r="Z760" s="771"/>
      <c r="AA760" s="771"/>
      <c r="AB760" s="762"/>
      <c r="AC760" s="504"/>
      <c r="AF760" s="763"/>
      <c r="AH760" s="763"/>
      <c r="AI760" s="763"/>
      <c r="AK760" s="763"/>
    </row>
    <row r="761" spans="1:39">
      <c r="A761" s="1">
        <v>345</v>
      </c>
      <c r="C761" s="9" t="s">
        <v>876</v>
      </c>
      <c r="E761" s="513" t="s">
        <v>777</v>
      </c>
      <c r="G761" s="35">
        <v>4834911.8473035097</v>
      </c>
      <c r="I761" s="35">
        <v>0</v>
      </c>
      <c r="J761" s="35">
        <v>225.86213270525406</v>
      </c>
      <c r="L761" s="35">
        <v>0</v>
      </c>
      <c r="M761" s="35">
        <v>0</v>
      </c>
      <c r="N761" s="35">
        <v>0</v>
      </c>
      <c r="O761" s="35">
        <v>132.09169027347178</v>
      </c>
      <c r="P761" s="35">
        <v>93.770442431782286</v>
      </c>
      <c r="Q761" s="35">
        <v>0</v>
      </c>
      <c r="R761" s="68"/>
      <c r="S761" s="35">
        <v>0</v>
      </c>
      <c r="T761" s="35">
        <v>0</v>
      </c>
      <c r="U761" s="35">
        <v>0</v>
      </c>
      <c r="V761" s="35">
        <v>0</v>
      </c>
      <c r="W761" s="35">
        <v>161.19081126846794</v>
      </c>
      <c r="X761" s="35">
        <v>93.25642662586182</v>
      </c>
      <c r="Y761" s="68"/>
      <c r="Z761" s="771">
        <f>W761+X761</f>
        <v>254.44723789432976</v>
      </c>
      <c r="AA761" s="35">
        <v>0</v>
      </c>
      <c r="AB761" s="762">
        <f>Z761-J761</f>
        <v>28.585105189075705</v>
      </c>
      <c r="AC761" s="35">
        <v>0</v>
      </c>
      <c r="AD761" s="35"/>
      <c r="AF761" s="763"/>
      <c r="AH761" s="763"/>
      <c r="AI761" s="763"/>
      <c r="AK761" s="763"/>
    </row>
    <row r="762" spans="1:39">
      <c r="A762" s="1">
        <v>346</v>
      </c>
      <c r="B762" s="256"/>
      <c r="C762" s="9" t="s">
        <v>877</v>
      </c>
      <c r="D762" s="256"/>
      <c r="E762" s="513" t="s">
        <v>777</v>
      </c>
      <c r="F762" s="256"/>
      <c r="G762" s="35">
        <v>204967728.36268201</v>
      </c>
      <c r="H762" s="256"/>
      <c r="I762" s="35">
        <v>0</v>
      </c>
      <c r="J762" s="35">
        <v>3043.347625504985</v>
      </c>
      <c r="K762" s="256"/>
      <c r="L762" s="35">
        <v>0</v>
      </c>
      <c r="M762" s="35">
        <v>0</v>
      </c>
      <c r="N762" s="35">
        <v>0</v>
      </c>
      <c r="O762" s="35">
        <v>1779.850952117388</v>
      </c>
      <c r="P762" s="35">
        <v>1263.4966733875974</v>
      </c>
      <c r="Q762" s="35">
        <v>0</v>
      </c>
      <c r="R762" s="771"/>
      <c r="S762" s="35">
        <v>0</v>
      </c>
      <c r="T762" s="35">
        <v>0</v>
      </c>
      <c r="U762" s="35">
        <v>0</v>
      </c>
      <c r="V762" s="35">
        <v>0</v>
      </c>
      <c r="W762" s="35">
        <v>2171.942976237126</v>
      </c>
      <c r="X762" s="35">
        <v>1256.5706395116067</v>
      </c>
      <c r="Y762" s="771"/>
      <c r="Z762" s="771">
        <f>W762+X762</f>
        <v>3428.5136157487327</v>
      </c>
      <c r="AA762" s="35">
        <v>0</v>
      </c>
      <c r="AB762" s="762">
        <f>Z762-J762</f>
        <v>385.16599024374773</v>
      </c>
      <c r="AC762" s="35">
        <v>0</v>
      </c>
      <c r="AD762" s="35"/>
      <c r="AF762" s="763"/>
      <c r="AH762" s="763"/>
      <c r="AI762" s="763"/>
      <c r="AK762" s="763"/>
    </row>
    <row r="763" spans="1:39">
      <c r="B763" s="256"/>
      <c r="D763" s="256"/>
      <c r="E763" s="36"/>
      <c r="F763" s="256"/>
      <c r="G763" s="35"/>
      <c r="H763" s="256"/>
      <c r="I763" s="256"/>
      <c r="J763" s="750"/>
      <c r="K763" s="256"/>
      <c r="L763" s="762"/>
      <c r="M763" s="762"/>
      <c r="N763" s="762"/>
      <c r="O763" s="762"/>
      <c r="P763" s="762"/>
      <c r="Q763" s="762"/>
      <c r="R763" s="771"/>
      <c r="S763" s="453"/>
      <c r="T763" s="762"/>
      <c r="U763" s="762"/>
      <c r="V763" s="762"/>
      <c r="W763" s="762"/>
      <c r="X763" s="762"/>
      <c r="Y763" s="771"/>
      <c r="Z763" s="771"/>
      <c r="AA763" s="771"/>
      <c r="AB763" s="762"/>
      <c r="AC763" s="504"/>
      <c r="AF763" s="763"/>
      <c r="AH763" s="763"/>
      <c r="AI763" s="763"/>
      <c r="AK763" s="763"/>
    </row>
    <row r="764" spans="1:39" ht="13.5" thickBot="1">
      <c r="A764" s="1">
        <v>347</v>
      </c>
      <c r="B764" s="256"/>
      <c r="C764" s="12" t="s">
        <v>879</v>
      </c>
      <c r="D764" s="256"/>
      <c r="E764" s="36"/>
      <c r="F764" s="256"/>
      <c r="G764" s="458">
        <f>SUM(G743:G763)</f>
        <v>596613688.25498545</v>
      </c>
      <c r="H764" s="256"/>
      <c r="I764" s="766">
        <f>J764/G764*100</f>
        <v>2.0723944494213643E-2</v>
      </c>
      <c r="J764" s="756">
        <f>SUM(J741:J762)</f>
        <v>123641.88959884401</v>
      </c>
      <c r="K764" s="750"/>
      <c r="L764" s="781">
        <f>SUM(L743:L762)</f>
        <v>0</v>
      </c>
      <c r="M764" s="781">
        <f>SUM(M743:M762)</f>
        <v>0</v>
      </c>
      <c r="N764" s="781">
        <f>SUM(N743:N762)</f>
        <v>0</v>
      </c>
      <c r="O764" s="781">
        <f>SUM(O743:O762)</f>
        <v>5279.6927770919001</v>
      </c>
      <c r="P764" s="781">
        <f>SUM(P743:P762)</f>
        <v>13711.593585752131</v>
      </c>
      <c r="Q764" s="781">
        <f>SUM(Q741:Q762)</f>
        <v>104650.60323599997</v>
      </c>
      <c r="R764" s="771"/>
      <c r="S764" s="781">
        <f t="shared" ref="S764:X764" si="193">SUM(S741:S762)</f>
        <v>2821.9219832848885</v>
      </c>
      <c r="T764" s="781">
        <f t="shared" si="193"/>
        <v>0</v>
      </c>
      <c r="U764" s="781">
        <f t="shared" si="193"/>
        <v>0</v>
      </c>
      <c r="V764" s="781">
        <f t="shared" si="193"/>
        <v>0</v>
      </c>
      <c r="W764" s="781">
        <f t="shared" si="193"/>
        <v>6442.7819814084814</v>
      </c>
      <c r="X764" s="781">
        <f t="shared" si="193"/>
        <v>13636.431566200377</v>
      </c>
      <c r="Y764" s="771"/>
      <c r="Z764" s="781">
        <f>SUM(Z741:Z762)</f>
        <v>127551.73876689374</v>
      </c>
      <c r="AA764" s="766">
        <f>Z764/G764*100</f>
        <v>2.137928466575505E-2</v>
      </c>
      <c r="AB764" s="781">
        <f>SUM(AB741:AB762)</f>
        <v>3909.8491680497173</v>
      </c>
      <c r="AC764" s="780">
        <f>AA764/I764-1</f>
        <v>3.162236666501328E-2</v>
      </c>
      <c r="AD764" s="779"/>
      <c r="AF764" s="763"/>
      <c r="AH764" s="763"/>
      <c r="AI764" s="763"/>
      <c r="AK764" s="763"/>
    </row>
    <row r="765" spans="1:39" ht="13.5" thickTop="1">
      <c r="L765" s="2"/>
      <c r="M765" s="2"/>
      <c r="N765" s="2"/>
      <c r="O765" s="2"/>
      <c r="P765" s="504"/>
      <c r="Q765" s="504"/>
      <c r="T765" s="504"/>
      <c r="U765" s="504"/>
      <c r="V765" s="504"/>
      <c r="W765" s="504"/>
      <c r="X765" s="504"/>
      <c r="AB765" s="762"/>
      <c r="AC765" s="504"/>
      <c r="AF765" s="763"/>
      <c r="AH765" s="763"/>
      <c r="AI765" s="763"/>
      <c r="AK765" s="763"/>
    </row>
    <row r="766" spans="1:39">
      <c r="L766" s="2"/>
      <c r="M766" s="2"/>
      <c r="N766" s="2"/>
      <c r="O766" s="2"/>
      <c r="P766" s="504"/>
      <c r="Q766" s="504"/>
      <c r="T766" s="504"/>
      <c r="U766" s="504"/>
      <c r="V766" s="504"/>
      <c r="W766" s="504"/>
      <c r="X766" s="504"/>
      <c r="AB766" s="504"/>
      <c r="AC766" s="504"/>
      <c r="AF766" s="763"/>
      <c r="AH766" s="763"/>
      <c r="AI766" s="763"/>
      <c r="AK766" s="763"/>
    </row>
    <row r="767" spans="1:39">
      <c r="L767" s="2"/>
      <c r="M767" s="2"/>
      <c r="N767" s="2"/>
      <c r="O767" s="2"/>
      <c r="P767" s="504"/>
      <c r="Q767" s="504"/>
      <c r="T767" s="504"/>
      <c r="U767" s="504"/>
      <c r="V767" s="504"/>
      <c r="W767" s="504"/>
      <c r="X767" s="504"/>
      <c r="AB767" s="504"/>
      <c r="AC767" s="504"/>
      <c r="AF767" s="763"/>
      <c r="AH767" s="763"/>
      <c r="AI767" s="763"/>
      <c r="AK767" s="763"/>
    </row>
    <row r="768" spans="1:39">
      <c r="L768" s="2"/>
      <c r="M768" s="2"/>
      <c r="N768" s="2"/>
      <c r="O768" s="2"/>
      <c r="P768" s="504"/>
      <c r="Q768" s="504"/>
      <c r="T768" s="504"/>
      <c r="U768" s="504"/>
      <c r="V768" s="504"/>
      <c r="W768" s="504"/>
      <c r="X768" s="504"/>
      <c r="AB768" s="504"/>
      <c r="AC768" s="504"/>
      <c r="AF768" s="763"/>
      <c r="AH768" s="763"/>
      <c r="AI768" s="763"/>
      <c r="AK768" s="763"/>
    </row>
    <row r="769" spans="1:39">
      <c r="L769" s="2"/>
      <c r="M769" s="2"/>
      <c r="N769" s="2"/>
      <c r="O769" s="2"/>
      <c r="P769" s="504"/>
      <c r="Q769" s="504"/>
      <c r="T769" s="504"/>
      <c r="U769" s="504"/>
      <c r="V769" s="504"/>
      <c r="W769" s="504"/>
      <c r="X769" s="504"/>
      <c r="AB769" s="504"/>
      <c r="AC769" s="504"/>
      <c r="AF769" s="763"/>
      <c r="AH769" s="763"/>
      <c r="AI769" s="763"/>
      <c r="AK769" s="763"/>
    </row>
    <row r="770" spans="1:39">
      <c r="A770" s="1324" t="s">
        <v>724</v>
      </c>
      <c r="B770" s="1324"/>
      <c r="C770" s="1324"/>
      <c r="D770" s="1324"/>
      <c r="E770" s="1324"/>
      <c r="F770" s="1324"/>
      <c r="G770" s="1324"/>
      <c r="H770" s="1324"/>
      <c r="I770" s="1324"/>
      <c r="J770" s="1324"/>
      <c r="K770" s="1324"/>
      <c r="L770" s="1324"/>
      <c r="M770" s="1324"/>
      <c r="N770" s="1324"/>
      <c r="O770" s="1324"/>
      <c r="P770" s="1324"/>
      <c r="Q770" s="1324"/>
      <c r="R770" s="1324"/>
      <c r="S770" s="1324"/>
      <c r="T770" s="1324"/>
      <c r="U770" s="1324"/>
      <c r="V770" s="1324"/>
      <c r="W770" s="1324"/>
      <c r="X770" s="1324"/>
      <c r="Y770" s="1324"/>
      <c r="Z770" s="1324"/>
      <c r="AA770" s="1324"/>
      <c r="AB770" s="1324"/>
      <c r="AC770" s="1324"/>
      <c r="AD770" s="665"/>
      <c r="AF770" s="763"/>
      <c r="AH770" s="763"/>
      <c r="AI770" s="763"/>
      <c r="AK770" s="763"/>
    </row>
    <row r="771" spans="1:39">
      <c r="A771" s="385"/>
      <c r="B771" s="385"/>
      <c r="C771" s="385"/>
      <c r="D771" s="385"/>
      <c r="E771" s="447"/>
      <c r="F771" s="385"/>
      <c r="G771" s="447"/>
      <c r="H771" s="385"/>
      <c r="I771" s="385"/>
      <c r="J771" s="385"/>
      <c r="K771" s="385"/>
      <c r="L771" s="385"/>
      <c r="M771" s="385"/>
      <c r="N771" s="3"/>
      <c r="O771" s="3"/>
      <c r="P771" s="504"/>
      <c r="Q771" s="504"/>
      <c r="R771" s="385"/>
      <c r="S771" s="385"/>
      <c r="T771" s="504"/>
      <c r="U771" s="504"/>
      <c r="V771" s="504"/>
      <c r="W771" s="504"/>
      <c r="X771" s="504"/>
      <c r="Y771" s="385"/>
      <c r="Z771" s="385"/>
      <c r="AA771" s="385"/>
      <c r="AB771" s="504"/>
      <c r="AC771" s="504"/>
      <c r="AF771" s="763"/>
      <c r="AH771" s="763"/>
      <c r="AI771" s="763"/>
      <c r="AK771" s="763"/>
    </row>
    <row r="772" spans="1:39">
      <c r="A772" s="447"/>
      <c r="B772" s="447"/>
      <c r="C772" s="447"/>
      <c r="D772" s="447"/>
      <c r="E772" s="385"/>
      <c r="F772" s="447"/>
      <c r="G772" s="1313" t="str">
        <f>G8</f>
        <v>Current Approved Revenue</v>
      </c>
      <c r="H772" s="1313"/>
      <c r="I772" s="1313"/>
      <c r="J772" s="1313"/>
      <c r="K772" s="447"/>
      <c r="L772" s="1313" t="str">
        <f>L8</f>
        <v>Adjustments to 2023 Base Rates</v>
      </c>
      <c r="M772" s="1313"/>
      <c r="N772" s="1313"/>
      <c r="O772" s="1313"/>
      <c r="P772" s="1313"/>
      <c r="Q772" s="256"/>
      <c r="R772" s="447"/>
      <c r="S772" s="1313" t="str">
        <f>S8</f>
        <v>Adjustments to 2024 Base Rates</v>
      </c>
      <c r="T772" s="1313"/>
      <c r="U772" s="1313"/>
      <c r="V772" s="1313"/>
      <c r="W772" s="1313"/>
      <c r="X772" s="1313"/>
      <c r="Y772" s="447"/>
      <c r="Z772" s="1313" t="str">
        <f>Z8</f>
        <v>2024 Proposed Revenue</v>
      </c>
      <c r="AA772" s="1313"/>
      <c r="AB772" s="1313"/>
      <c r="AC772" s="1313"/>
      <c r="AD772" s="4"/>
      <c r="AF772" s="763"/>
      <c r="AH772" s="763"/>
      <c r="AI772" s="763"/>
      <c r="AK772" s="763"/>
    </row>
    <row r="773" spans="1:39" ht="38.25">
      <c r="A773" s="254" t="s">
        <v>1</v>
      </c>
      <c r="B773" s="254"/>
      <c r="C773" s="254"/>
      <c r="D773" s="254"/>
      <c r="E773" s="4" t="s">
        <v>670</v>
      </c>
      <c r="F773" s="254"/>
      <c r="G773" s="13" t="s">
        <v>684</v>
      </c>
      <c r="H773" s="254"/>
      <c r="I773" s="13" t="s">
        <v>196</v>
      </c>
      <c r="J773" s="13" t="s">
        <v>503</v>
      </c>
      <c r="K773" s="254"/>
      <c r="L773" s="13" t="s">
        <v>505</v>
      </c>
      <c r="M773" s="13" t="s">
        <v>685</v>
      </c>
      <c r="N773" s="254" t="s">
        <v>686</v>
      </c>
      <c r="O773" s="254" t="s">
        <v>508</v>
      </c>
      <c r="P773" s="254" t="s">
        <v>687</v>
      </c>
      <c r="Q773" s="254" t="s">
        <v>688</v>
      </c>
      <c r="R773" s="254"/>
      <c r="S773" s="254" t="s">
        <v>689</v>
      </c>
      <c r="T773" s="13" t="s">
        <v>505</v>
      </c>
      <c r="U773" s="13" t="s">
        <v>685</v>
      </c>
      <c r="V773" s="254" t="s">
        <v>686</v>
      </c>
      <c r="W773" s="254" t="s">
        <v>508</v>
      </c>
      <c r="X773" s="254" t="s">
        <v>687</v>
      </c>
      <c r="Y773" s="254"/>
      <c r="Z773" s="13" t="s">
        <v>690</v>
      </c>
      <c r="AA773" s="13" t="s">
        <v>691</v>
      </c>
      <c r="AB773" s="13" t="s">
        <v>692</v>
      </c>
      <c r="AC773" s="254" t="s">
        <v>693</v>
      </c>
      <c r="AD773" s="254"/>
      <c r="AF773" s="763"/>
      <c r="AH773" s="763"/>
      <c r="AI773" s="763"/>
      <c r="AK773" s="763"/>
    </row>
    <row r="774" spans="1:39">
      <c r="A774" s="255" t="s">
        <v>2</v>
      </c>
      <c r="B774" s="256"/>
      <c r="C774" s="449" t="s">
        <v>3</v>
      </c>
      <c r="D774" s="256"/>
      <c r="E774" s="255" t="s">
        <v>4</v>
      </c>
      <c r="F774" s="256"/>
      <c r="G774" s="255" t="s">
        <v>694</v>
      </c>
      <c r="H774" s="256"/>
      <c r="I774" s="255" t="s">
        <v>131</v>
      </c>
      <c r="J774" s="255" t="s">
        <v>20</v>
      </c>
      <c r="K774" s="256"/>
      <c r="L774" s="255" t="s">
        <v>20</v>
      </c>
      <c r="M774" s="255" t="s">
        <v>20</v>
      </c>
      <c r="N774" s="255" t="s">
        <v>20</v>
      </c>
      <c r="O774" s="255" t="s">
        <v>20</v>
      </c>
      <c r="P774" s="255" t="s">
        <v>20</v>
      </c>
      <c r="Q774" s="255" t="s">
        <v>20</v>
      </c>
      <c r="R774" s="256"/>
      <c r="S774" s="255" t="s">
        <v>20</v>
      </c>
      <c r="T774" s="255" t="s">
        <v>20</v>
      </c>
      <c r="U774" s="255" t="s">
        <v>20</v>
      </c>
      <c r="V774" s="255" t="s">
        <v>20</v>
      </c>
      <c r="W774" s="255" t="s">
        <v>20</v>
      </c>
      <c r="X774" s="255" t="s">
        <v>20</v>
      </c>
      <c r="Y774" s="256"/>
      <c r="Z774" s="255" t="s">
        <v>20</v>
      </c>
      <c r="AA774" s="255" t="s">
        <v>131</v>
      </c>
      <c r="AB774" s="255" t="s">
        <v>20</v>
      </c>
      <c r="AC774" s="255" t="s">
        <v>76</v>
      </c>
      <c r="AD774" s="4"/>
      <c r="AF774" s="763"/>
      <c r="AH774" s="763"/>
      <c r="AI774" s="763"/>
      <c r="AK774" s="763"/>
    </row>
    <row r="775" spans="1:39">
      <c r="A775" s="4"/>
      <c r="B775" s="256"/>
      <c r="C775" s="256"/>
      <c r="D775" s="256"/>
      <c r="E775" s="4"/>
      <c r="F775" s="256"/>
      <c r="G775" s="4" t="s">
        <v>8</v>
      </c>
      <c r="H775" s="4"/>
      <c r="I775" s="4" t="s">
        <v>9</v>
      </c>
      <c r="J775" s="4" t="s">
        <v>370</v>
      </c>
      <c r="K775" s="4"/>
      <c r="L775" s="132" t="s">
        <v>79</v>
      </c>
      <c r="M775" s="132" t="s">
        <v>115</v>
      </c>
      <c r="N775" s="132" t="s">
        <v>81</v>
      </c>
      <c r="O775" s="132" t="s">
        <v>82</v>
      </c>
      <c r="P775" s="4" t="s">
        <v>118</v>
      </c>
      <c r="Q775" s="4" t="s">
        <v>695</v>
      </c>
      <c r="R775" s="4"/>
      <c r="S775" s="4" t="s">
        <v>696</v>
      </c>
      <c r="T775" s="4" t="s">
        <v>517</v>
      </c>
      <c r="U775" s="4" t="s">
        <v>518</v>
      </c>
      <c r="V775" s="4" t="s">
        <v>519</v>
      </c>
      <c r="W775" s="4" t="s">
        <v>697</v>
      </c>
      <c r="X775" s="4" t="s">
        <v>698</v>
      </c>
      <c r="Y775" s="4"/>
      <c r="Z775" s="4" t="s">
        <v>725</v>
      </c>
      <c r="AA775" s="4" t="s">
        <v>700</v>
      </c>
      <c r="AB775" s="4" t="s">
        <v>701</v>
      </c>
      <c r="AC775" s="4" t="s">
        <v>702</v>
      </c>
      <c r="AD775" s="4"/>
      <c r="AF775" s="763"/>
      <c r="AH775" s="763"/>
      <c r="AI775" s="763"/>
      <c r="AK775" s="763"/>
    </row>
    <row r="776" spans="1:39">
      <c r="A776" s="4"/>
      <c r="B776" s="256"/>
      <c r="D776" s="256"/>
      <c r="E776" s="742"/>
      <c r="F776" s="256"/>
      <c r="G776" s="453"/>
      <c r="H776" s="256"/>
      <c r="I776" s="256"/>
      <c r="J776" s="256"/>
      <c r="K776" s="256"/>
      <c r="L776" s="762"/>
      <c r="M776" s="762"/>
      <c r="N776" s="762"/>
      <c r="O776" s="762"/>
      <c r="P776" s="762"/>
      <c r="Q776" s="762"/>
      <c r="R776" s="771"/>
      <c r="S776" s="453"/>
      <c r="T776" s="762"/>
      <c r="U776" s="762"/>
      <c r="V776" s="762"/>
      <c r="W776" s="762"/>
      <c r="X776" s="762"/>
      <c r="Y776" s="771"/>
      <c r="Z776" s="771"/>
      <c r="AA776" s="771"/>
      <c r="AB776" s="762"/>
      <c r="AC776" s="504"/>
    </row>
    <row r="777" spans="1:39">
      <c r="A777" s="4"/>
      <c r="B777" s="256"/>
      <c r="C777" s="6" t="s">
        <v>529</v>
      </c>
      <c r="D777" s="256"/>
      <c r="E777" s="134"/>
      <c r="F777" s="256"/>
      <c r="G777" s="749"/>
      <c r="H777" s="256"/>
      <c r="I777" s="256"/>
      <c r="J777" s="256"/>
      <c r="K777" s="256"/>
      <c r="L777" s="762"/>
      <c r="M777" s="762"/>
      <c r="N777" s="762"/>
      <c r="O777" s="762"/>
      <c r="P777" s="762"/>
      <c r="Q777" s="762"/>
      <c r="R777" s="771"/>
      <c r="S777" s="771"/>
      <c r="T777" s="762"/>
      <c r="U777" s="762"/>
      <c r="V777" s="762"/>
      <c r="W777" s="762"/>
      <c r="X777" s="762"/>
      <c r="Y777" s="771"/>
      <c r="Z777" s="771"/>
      <c r="AA777" s="771"/>
      <c r="AB777" s="762"/>
      <c r="AC777" s="504"/>
    </row>
    <row r="778" spans="1:39">
      <c r="A778" s="4"/>
      <c r="C778" s="7" t="s">
        <v>880</v>
      </c>
      <c r="E778" s="513"/>
      <c r="G778" s="35"/>
      <c r="L778" s="762"/>
      <c r="M778" s="762"/>
      <c r="N778" s="762"/>
      <c r="O778" s="762"/>
      <c r="P778" s="762"/>
      <c r="Q778" s="762"/>
      <c r="R778" s="68"/>
      <c r="S778" s="68"/>
      <c r="T778" s="762"/>
      <c r="U778" s="762"/>
      <c r="V778" s="762"/>
      <c r="W778" s="762"/>
      <c r="X778" s="762"/>
      <c r="Y778" s="68"/>
      <c r="Z778" s="68"/>
      <c r="AA778" s="68"/>
      <c r="AB778" s="762"/>
      <c r="AC778" s="504"/>
    </row>
    <row r="779" spans="1:39" ht="25.5">
      <c r="A779" s="557">
        <v>348</v>
      </c>
      <c r="C779" s="794" t="s">
        <v>881</v>
      </c>
      <c r="E779" s="513" t="s">
        <v>882</v>
      </c>
      <c r="G779" s="35">
        <v>443124</v>
      </c>
      <c r="I779" s="773">
        <v>2.3260000000000001</v>
      </c>
      <c r="J779" s="752">
        <f>G779*I779/1000</f>
        <v>1030.706424</v>
      </c>
      <c r="L779" s="35">
        <v>0</v>
      </c>
      <c r="M779" s="35">
        <v>0</v>
      </c>
      <c r="N779" s="35">
        <v>0</v>
      </c>
      <c r="O779" s="35">
        <v>0</v>
      </c>
      <c r="P779" s="35">
        <v>0</v>
      </c>
      <c r="Q779" s="68">
        <f>SUM(J779-L779-M779-N779-O779-P779)</f>
        <v>1030.706424</v>
      </c>
      <c r="R779" s="68"/>
      <c r="S779" s="35">
        <v>25.701192000000219</v>
      </c>
      <c r="T779" s="35">
        <v>0</v>
      </c>
      <c r="U779" s="35">
        <v>0</v>
      </c>
      <c r="V779" s="35">
        <v>0</v>
      </c>
      <c r="W779" s="35">
        <v>0</v>
      </c>
      <c r="X779" s="35">
        <v>0</v>
      </c>
      <c r="Y779" s="68"/>
      <c r="Z779" s="68">
        <f>Q779+S779+T779+U779+V779+W779+X779</f>
        <v>1056.4076160000002</v>
      </c>
      <c r="AA779" s="773">
        <f>Z779/G779*1000</f>
        <v>2.3840000000000003</v>
      </c>
      <c r="AB779" s="762">
        <f>Z779-J779</f>
        <v>25.701192000000219</v>
      </c>
      <c r="AC779" s="770">
        <f>AA779/I779-1</f>
        <v>2.4935511607910632E-2</v>
      </c>
      <c r="AD779" s="769"/>
      <c r="AF779" s="763"/>
      <c r="AH779" s="763"/>
      <c r="AI779" s="763"/>
      <c r="AK779" s="763"/>
      <c r="AM779" s="776"/>
    </row>
    <row r="780" spans="1:39">
      <c r="A780" s="4"/>
      <c r="B780" s="256"/>
      <c r="C780" s="741"/>
      <c r="D780" s="256"/>
      <c r="E780" s="513"/>
      <c r="F780" s="256"/>
      <c r="G780" s="35"/>
      <c r="H780" s="256"/>
      <c r="I780" s="773"/>
      <c r="J780" s="68"/>
      <c r="K780" s="256"/>
      <c r="L780" s="35"/>
      <c r="M780" s="35"/>
      <c r="N780" s="35"/>
      <c r="O780" s="35"/>
      <c r="P780" s="35"/>
      <c r="Q780" s="68"/>
      <c r="R780" s="771"/>
      <c r="S780" s="35"/>
      <c r="T780" s="35"/>
      <c r="U780" s="35"/>
      <c r="V780" s="35"/>
      <c r="W780" s="35"/>
      <c r="X780" s="35"/>
      <c r="Y780" s="771"/>
      <c r="Z780" s="68"/>
      <c r="AA780" s="773"/>
      <c r="AB780" s="762"/>
      <c r="AC780" s="770"/>
      <c r="AD780" s="769"/>
      <c r="AF780" s="763"/>
      <c r="AH780" s="763"/>
      <c r="AI780" s="763"/>
      <c r="AK780" s="763"/>
      <c r="AM780" s="776"/>
    </row>
    <row r="781" spans="1:39">
      <c r="A781" s="4">
        <v>349</v>
      </c>
      <c r="B781" s="256"/>
      <c r="C781" s="9" t="s">
        <v>883</v>
      </c>
      <c r="D781" s="256"/>
      <c r="E781" s="513" t="s">
        <v>882</v>
      </c>
      <c r="F781" s="256"/>
      <c r="G781" s="35">
        <v>2443512</v>
      </c>
      <c r="H781" s="256"/>
      <c r="I781" s="773">
        <v>3.2000000000000001E-2</v>
      </c>
      <c r="J781" s="752">
        <f>G781*I781/1000</f>
        <v>78.192384000000004</v>
      </c>
      <c r="K781" s="256"/>
      <c r="L781" s="35">
        <v>0</v>
      </c>
      <c r="M781" s="35">
        <v>0</v>
      </c>
      <c r="N781" s="35">
        <v>0</v>
      </c>
      <c r="O781" s="35">
        <v>0</v>
      </c>
      <c r="P781" s="35">
        <v>0</v>
      </c>
      <c r="Q781" s="68">
        <f>SUM(J781-L781-M781-N781-O781-P781)</f>
        <v>78.192384000000004</v>
      </c>
      <c r="R781" s="771"/>
      <c r="S781" s="35">
        <v>2.4435119999999984</v>
      </c>
      <c r="T781" s="35">
        <v>0</v>
      </c>
      <c r="U781" s="35">
        <v>0</v>
      </c>
      <c r="V781" s="35">
        <v>0</v>
      </c>
      <c r="W781" s="35">
        <v>0</v>
      </c>
      <c r="X781" s="35">
        <v>0</v>
      </c>
      <c r="Y781" s="771"/>
      <c r="Z781" s="68">
        <f>Q781+S781+T781+U781+V781+W781+X781</f>
        <v>80.635896000000002</v>
      </c>
      <c r="AA781" s="773">
        <f>Z781/G781*1000</f>
        <v>3.3000000000000002E-2</v>
      </c>
      <c r="AB781" s="762">
        <f>Z781-J781</f>
        <v>2.4435119999999984</v>
      </c>
      <c r="AC781" s="770">
        <f>AA781/I781-1</f>
        <v>3.125E-2</v>
      </c>
      <c r="AD781" s="769"/>
      <c r="AF781" s="763"/>
      <c r="AH781" s="763"/>
      <c r="AI781" s="763"/>
      <c r="AK781" s="763"/>
      <c r="AM781" s="776"/>
    </row>
    <row r="782" spans="1:39">
      <c r="A782" s="4">
        <v>350</v>
      </c>
      <c r="B782" s="256"/>
      <c r="C782" s="543" t="s">
        <v>866</v>
      </c>
      <c r="D782" s="256"/>
      <c r="E782" s="513" t="s">
        <v>882</v>
      </c>
      <c r="F782" s="256"/>
      <c r="G782" s="35">
        <v>1329372</v>
      </c>
      <c r="H782" s="256"/>
      <c r="I782" s="773">
        <v>7.6999999999999999E-2</v>
      </c>
      <c r="J782" s="752">
        <f>G782*I782/1000</f>
        <v>102.361644</v>
      </c>
      <c r="K782" s="256"/>
      <c r="L782" s="35">
        <v>0</v>
      </c>
      <c r="M782" s="35">
        <v>0</v>
      </c>
      <c r="N782" s="35">
        <v>0</v>
      </c>
      <c r="O782" s="35">
        <v>0</v>
      </c>
      <c r="P782" s="35">
        <v>0</v>
      </c>
      <c r="Q782" s="68">
        <f>SUM(J782-L782-M782-N782-O782-P782)</f>
        <v>102.361644</v>
      </c>
      <c r="R782" s="771"/>
      <c r="S782" s="35">
        <v>2.7601997935680913</v>
      </c>
      <c r="T782" s="35">
        <v>0</v>
      </c>
      <c r="U782" s="35">
        <v>0</v>
      </c>
      <c r="V782" s="35">
        <v>0</v>
      </c>
      <c r="W782" s="35">
        <v>0</v>
      </c>
      <c r="X782" s="35">
        <v>0</v>
      </c>
      <c r="Y782" s="771"/>
      <c r="Z782" s="68">
        <f>Q782+S782+T782+U782+V782+W782+X782</f>
        <v>105.12184379356809</v>
      </c>
      <c r="AA782" s="773">
        <f>Z782/G782*1000</f>
        <v>7.9076318587700131E-2</v>
      </c>
      <c r="AB782" s="762">
        <f>Z782-J782</f>
        <v>2.7601997935680913</v>
      </c>
      <c r="AC782" s="770">
        <f>AA782/I782-1</f>
        <v>2.6965176463638052E-2</v>
      </c>
      <c r="AD782" s="769"/>
      <c r="AF782" s="763"/>
      <c r="AH782" s="763"/>
      <c r="AI782" s="763"/>
      <c r="AK782" s="763"/>
      <c r="AM782" s="776"/>
    </row>
    <row r="783" spans="1:39">
      <c r="A783" s="4">
        <v>351</v>
      </c>
      <c r="B783" s="256"/>
      <c r="C783" s="9" t="s">
        <v>884</v>
      </c>
      <c r="D783" s="256"/>
      <c r="E783" s="513" t="s">
        <v>882</v>
      </c>
      <c r="F783" s="256"/>
      <c r="G783" s="35">
        <v>6000000</v>
      </c>
      <c r="H783" s="256"/>
      <c r="I783" s="773">
        <v>0.152</v>
      </c>
      <c r="J783" s="752">
        <f>G783*I783/1000</f>
        <v>912</v>
      </c>
      <c r="K783" s="256"/>
      <c r="L783" s="35">
        <v>0</v>
      </c>
      <c r="M783" s="35">
        <v>0</v>
      </c>
      <c r="N783" s="35">
        <v>0</v>
      </c>
      <c r="O783" s="35">
        <v>0</v>
      </c>
      <c r="P783" s="35">
        <v>0</v>
      </c>
      <c r="Q783" s="68">
        <f>SUM(J783-L783-M783-N783-O783-P783)</f>
        <v>912</v>
      </c>
      <c r="R783" s="771"/>
      <c r="S783" s="35">
        <v>24</v>
      </c>
      <c r="T783" s="35">
        <v>0</v>
      </c>
      <c r="U783" s="35">
        <v>0</v>
      </c>
      <c r="V783" s="35">
        <v>0</v>
      </c>
      <c r="W783" s="35">
        <v>0</v>
      </c>
      <c r="X783" s="35">
        <v>0</v>
      </c>
      <c r="Y783" s="771"/>
      <c r="Z783" s="68">
        <f>Q783+S783+T783+U783+V783+W783+X783</f>
        <v>936</v>
      </c>
      <c r="AA783" s="773">
        <f>Z783/G783*1000</f>
        <v>0.156</v>
      </c>
      <c r="AB783" s="762">
        <f>Z783-J783</f>
        <v>24</v>
      </c>
      <c r="AC783" s="770">
        <f>AA783/I783-1</f>
        <v>2.6315789473684292E-2</v>
      </c>
      <c r="AD783" s="769"/>
      <c r="AF783" s="763"/>
      <c r="AH783" s="763"/>
      <c r="AI783" s="763"/>
      <c r="AK783" s="763"/>
      <c r="AM783" s="776"/>
    </row>
    <row r="784" spans="1:39">
      <c r="A784" s="4"/>
      <c r="B784" s="256"/>
      <c r="D784" s="256"/>
      <c r="E784" s="742"/>
      <c r="F784" s="256"/>
      <c r="G784" s="35"/>
      <c r="H784" s="256"/>
      <c r="I784" s="774"/>
      <c r="J784" s="752"/>
      <c r="K784" s="256"/>
      <c r="L784" s="762"/>
      <c r="M784" s="762"/>
      <c r="N784" s="762"/>
      <c r="O784" s="762"/>
      <c r="P784" s="762"/>
      <c r="Q784" s="762"/>
      <c r="R784" s="771"/>
      <c r="S784" s="35"/>
      <c r="T784" s="762"/>
      <c r="U784" s="762"/>
      <c r="V784" s="762"/>
      <c r="W784" s="762"/>
      <c r="X784" s="762"/>
      <c r="Y784" s="771"/>
      <c r="Z784" s="771"/>
      <c r="AA784" s="771"/>
      <c r="AB784" s="762"/>
      <c r="AC784" s="504"/>
      <c r="AF784" s="763"/>
      <c r="AH784" s="763"/>
      <c r="AI784" s="763"/>
      <c r="AK784" s="763"/>
    </row>
    <row r="785" spans="1:37">
      <c r="A785" s="4"/>
      <c r="B785" s="256"/>
      <c r="C785" s="7" t="s">
        <v>885</v>
      </c>
      <c r="D785" s="256"/>
      <c r="E785" s="742"/>
      <c r="F785" s="256"/>
      <c r="G785" s="35"/>
      <c r="H785" s="256"/>
      <c r="I785" s="256"/>
      <c r="J785" s="752"/>
      <c r="K785" s="256"/>
      <c r="L785" s="762"/>
      <c r="M785" s="762"/>
      <c r="N785" s="762"/>
      <c r="O785" s="762"/>
      <c r="P785" s="762"/>
      <c r="Q785" s="762"/>
      <c r="R785" s="771"/>
      <c r="S785" s="35"/>
      <c r="T785" s="762"/>
      <c r="U785" s="762"/>
      <c r="V785" s="762"/>
      <c r="W785" s="762"/>
      <c r="X785" s="762"/>
      <c r="Y785" s="771"/>
      <c r="Z785" s="771"/>
      <c r="AA785" s="771"/>
      <c r="AB785" s="762"/>
      <c r="AC785" s="504"/>
      <c r="AF785" s="763"/>
      <c r="AH785" s="763"/>
      <c r="AI785" s="763"/>
      <c r="AK785" s="763"/>
    </row>
    <row r="786" spans="1:37">
      <c r="A786" s="4"/>
      <c r="B786" s="256"/>
      <c r="C786" s="519" t="s">
        <v>886</v>
      </c>
      <c r="D786" s="256"/>
      <c r="E786" s="36"/>
      <c r="F786" s="256"/>
      <c r="G786" s="35"/>
      <c r="H786" s="256"/>
      <c r="I786" s="256"/>
      <c r="J786" s="752"/>
      <c r="K786" s="256"/>
      <c r="L786" s="762"/>
      <c r="M786" s="762"/>
      <c r="N786" s="762"/>
      <c r="O786" s="762"/>
      <c r="P786" s="762"/>
      <c r="Q786" s="762"/>
      <c r="R786" s="771"/>
      <c r="S786" s="35"/>
      <c r="T786" s="762"/>
      <c r="U786" s="762"/>
      <c r="V786" s="762"/>
      <c r="W786" s="762"/>
      <c r="X786" s="762"/>
      <c r="Y786" s="771"/>
      <c r="Z786" s="771"/>
      <c r="AA786" s="771"/>
      <c r="AB786" s="762"/>
      <c r="AC786" s="504"/>
      <c r="AF786" s="763"/>
      <c r="AH786" s="763"/>
      <c r="AI786" s="763"/>
      <c r="AK786" s="763"/>
    </row>
    <row r="787" spans="1:37">
      <c r="A787" s="4">
        <v>352</v>
      </c>
      <c r="B787" s="256"/>
      <c r="C787" s="740" t="s">
        <v>887</v>
      </c>
      <c r="D787" s="256"/>
      <c r="E787" s="513" t="s">
        <v>777</v>
      </c>
      <c r="F787" s="256"/>
      <c r="G787" s="35">
        <v>182561.93109999999</v>
      </c>
      <c r="H787" s="256"/>
      <c r="I787" s="35">
        <v>0</v>
      </c>
      <c r="J787" s="35">
        <v>3.7415094940005567</v>
      </c>
      <c r="K787" s="256"/>
      <c r="L787" s="35">
        <v>0</v>
      </c>
      <c r="M787" s="35">
        <v>0</v>
      </c>
      <c r="N787" s="35">
        <v>0</v>
      </c>
      <c r="O787" s="35">
        <v>2.1881592426195975</v>
      </c>
      <c r="P787" s="35">
        <v>1.5533502513809598</v>
      </c>
      <c r="Q787" s="35">
        <v>0</v>
      </c>
      <c r="R787" s="771"/>
      <c r="S787" s="35">
        <v>0</v>
      </c>
      <c r="T787" s="35">
        <v>0</v>
      </c>
      <c r="U787" s="35">
        <v>0</v>
      </c>
      <c r="V787" s="35">
        <v>0</v>
      </c>
      <c r="W787" s="35">
        <v>2.6701994862222223</v>
      </c>
      <c r="X787" s="35">
        <v>1.5448353445442857</v>
      </c>
      <c r="Y787" s="771"/>
      <c r="Z787" s="771">
        <f>V787+W787+X787</f>
        <v>4.2150348307665082</v>
      </c>
      <c r="AA787" s="35">
        <v>0</v>
      </c>
      <c r="AB787" s="762">
        <f>Z787-J787</f>
        <v>0.47352533676595154</v>
      </c>
      <c r="AC787" s="35">
        <v>0</v>
      </c>
      <c r="AD787" s="35"/>
      <c r="AF787" s="763"/>
      <c r="AH787" s="763"/>
      <c r="AI787" s="763"/>
      <c r="AK787" s="763"/>
    </row>
    <row r="788" spans="1:37">
      <c r="A788" s="4">
        <v>353</v>
      </c>
      <c r="B788" s="256"/>
      <c r="C788" s="740" t="s">
        <v>888</v>
      </c>
      <c r="D788" s="256"/>
      <c r="E788" s="513" t="s">
        <v>777</v>
      </c>
      <c r="F788" s="256"/>
      <c r="G788" s="35">
        <v>36496498.858000003</v>
      </c>
      <c r="H788" s="256"/>
      <c r="I788" s="35">
        <v>0</v>
      </c>
      <c r="J788" s="35">
        <v>534.17159271005198</v>
      </c>
      <c r="K788" s="256"/>
      <c r="L788" s="35">
        <v>0</v>
      </c>
      <c r="M788" s="35">
        <v>0</v>
      </c>
      <c r="N788" s="35">
        <v>0</v>
      </c>
      <c r="O788" s="35">
        <v>312.40132080583129</v>
      </c>
      <c r="P788" s="35">
        <v>221.77027190422081</v>
      </c>
      <c r="Q788" s="35">
        <v>0</v>
      </c>
      <c r="R788" s="771"/>
      <c r="S788" s="35">
        <v>0</v>
      </c>
      <c r="T788" s="35">
        <v>0</v>
      </c>
      <c r="U788" s="35">
        <v>0</v>
      </c>
      <c r="V788" s="35">
        <v>0</v>
      </c>
      <c r="W788" s="35">
        <v>381.22172740601229</v>
      </c>
      <c r="X788" s="35">
        <v>220.5546071159803</v>
      </c>
      <c r="Y788" s="771"/>
      <c r="Z788" s="771">
        <f>V788+W788+X788</f>
        <v>601.77633452199257</v>
      </c>
      <c r="AA788" s="35">
        <v>0</v>
      </c>
      <c r="AB788" s="762">
        <f>Z788-J788</f>
        <v>67.604741811940585</v>
      </c>
      <c r="AC788" s="35">
        <v>0</v>
      </c>
      <c r="AD788" s="35"/>
      <c r="AF788" s="763"/>
      <c r="AH788" s="763"/>
      <c r="AI788" s="763"/>
      <c r="AK788" s="763"/>
    </row>
    <row r="789" spans="1:37">
      <c r="A789" s="4">
        <v>354</v>
      </c>
      <c r="B789" s="256"/>
      <c r="C789" s="740" t="s">
        <v>889</v>
      </c>
      <c r="D789" s="256"/>
      <c r="E789" s="513" t="s">
        <v>777</v>
      </c>
      <c r="F789" s="256"/>
      <c r="G789" s="35">
        <v>10101454.704</v>
      </c>
      <c r="H789" s="256"/>
      <c r="I789" s="35">
        <v>0</v>
      </c>
      <c r="J789" s="35">
        <v>222.75142613254567</v>
      </c>
      <c r="K789" s="256"/>
      <c r="L789" s="35">
        <v>0</v>
      </c>
      <c r="M789" s="35">
        <v>0</v>
      </c>
      <c r="N789" s="35">
        <v>0</v>
      </c>
      <c r="O789" s="35">
        <v>130.27244556780852</v>
      </c>
      <c r="P789" s="35">
        <v>92.478980564737185</v>
      </c>
      <c r="Q789" s="35">
        <v>0</v>
      </c>
      <c r="R789" s="771"/>
      <c r="S789" s="35">
        <v>0</v>
      </c>
      <c r="T789" s="35">
        <v>0</v>
      </c>
      <c r="U789" s="35">
        <v>0</v>
      </c>
      <c r="V789" s="35">
        <v>0</v>
      </c>
      <c r="W789" s="35">
        <v>158.97079629709</v>
      </c>
      <c r="X789" s="35">
        <v>91.972044087816229</v>
      </c>
      <c r="Y789" s="771"/>
      <c r="Z789" s="771">
        <f>V789+W789+X789</f>
        <v>250.94284038490622</v>
      </c>
      <c r="AA789" s="35">
        <v>0</v>
      </c>
      <c r="AB789" s="762">
        <f>Z789-J789</f>
        <v>28.191414252360545</v>
      </c>
      <c r="AC789" s="35">
        <v>0</v>
      </c>
      <c r="AD789" s="35"/>
      <c r="AF789" s="763"/>
      <c r="AH789" s="763"/>
      <c r="AI789" s="763"/>
      <c r="AK789" s="763"/>
    </row>
    <row r="790" spans="1:37">
      <c r="A790" s="4">
        <v>355</v>
      </c>
      <c r="C790" s="740" t="s">
        <v>890</v>
      </c>
      <c r="E790" s="513" t="s">
        <v>777</v>
      </c>
      <c r="G790" s="35">
        <v>0</v>
      </c>
      <c r="I790" s="35">
        <v>0</v>
      </c>
      <c r="J790" s="752"/>
      <c r="L790" s="762"/>
      <c r="M790" s="762"/>
      <c r="N790" s="762"/>
      <c r="O790" s="762"/>
      <c r="P790" s="762"/>
      <c r="Q790" s="762"/>
      <c r="R790" s="68"/>
      <c r="S790" s="35"/>
      <c r="T790" s="762"/>
      <c r="U790" s="762"/>
      <c r="V790" s="762"/>
      <c r="W790" s="762"/>
      <c r="X790" s="762"/>
      <c r="Y790" s="68"/>
      <c r="Z790" s="68"/>
      <c r="AA790" s="68"/>
      <c r="AB790" s="762">
        <f>Z790-J790</f>
        <v>0</v>
      </c>
      <c r="AC790" s="35">
        <v>0</v>
      </c>
      <c r="AD790" s="35"/>
      <c r="AF790" s="763"/>
      <c r="AH790" s="763"/>
      <c r="AI790" s="763"/>
      <c r="AK790" s="763"/>
    </row>
    <row r="791" spans="1:37">
      <c r="A791" s="4"/>
      <c r="C791" s="504"/>
      <c r="E791" s="36"/>
      <c r="G791" s="35"/>
      <c r="J791" s="752"/>
      <c r="L791" s="762"/>
      <c r="M791" s="762"/>
      <c r="N791" s="762"/>
      <c r="O791" s="762"/>
      <c r="P791" s="762"/>
      <c r="Q791" s="762"/>
      <c r="R791" s="68"/>
      <c r="S791" s="35"/>
      <c r="T791" s="762"/>
      <c r="U791" s="762"/>
      <c r="V791" s="762"/>
      <c r="W791" s="762"/>
      <c r="X791" s="762"/>
      <c r="Y791" s="68"/>
      <c r="Z791" s="68"/>
      <c r="AA791" s="68"/>
      <c r="AB791" s="762"/>
      <c r="AC791" s="504"/>
      <c r="AF791" s="763"/>
      <c r="AH791" s="763"/>
      <c r="AI791" s="763"/>
      <c r="AK791" s="763"/>
    </row>
    <row r="792" spans="1:37">
      <c r="A792" s="4"/>
      <c r="C792" s="512" t="s">
        <v>891</v>
      </c>
      <c r="E792" s="36"/>
      <c r="G792" s="35"/>
      <c r="J792" s="752"/>
      <c r="L792" s="762"/>
      <c r="M792" s="762"/>
      <c r="N792" s="762"/>
      <c r="O792" s="762"/>
      <c r="P792" s="762"/>
      <c r="Q792" s="762"/>
      <c r="R792" s="68"/>
      <c r="S792" s="35"/>
      <c r="T792" s="762"/>
      <c r="U792" s="762"/>
      <c r="V792" s="762"/>
      <c r="W792" s="762"/>
      <c r="X792" s="762"/>
      <c r="Y792" s="68"/>
      <c r="Z792" s="68"/>
      <c r="AA792" s="68"/>
      <c r="AB792" s="762"/>
      <c r="AC792" s="504"/>
      <c r="AF792" s="763"/>
      <c r="AH792" s="763"/>
      <c r="AI792" s="763"/>
      <c r="AK792" s="763"/>
    </row>
    <row r="793" spans="1:37">
      <c r="A793" s="4">
        <v>356</v>
      </c>
      <c r="C793" s="740" t="s">
        <v>892</v>
      </c>
      <c r="E793" s="513" t="s">
        <v>777</v>
      </c>
      <c r="G793" s="35">
        <v>0</v>
      </c>
      <c r="I793" s="35">
        <v>0</v>
      </c>
      <c r="J793" s="35">
        <v>0</v>
      </c>
      <c r="L793" s="35">
        <v>0</v>
      </c>
      <c r="M793" s="35">
        <v>0</v>
      </c>
      <c r="N793" s="35">
        <v>0</v>
      </c>
      <c r="O793" s="35">
        <v>0</v>
      </c>
      <c r="P793" s="35">
        <v>0</v>
      </c>
      <c r="Q793" s="762">
        <f>J793</f>
        <v>0</v>
      </c>
      <c r="R793" s="68"/>
      <c r="S793" s="35">
        <v>0</v>
      </c>
      <c r="T793" s="35">
        <v>0</v>
      </c>
      <c r="U793" s="35">
        <v>0</v>
      </c>
      <c r="V793" s="35">
        <v>0</v>
      </c>
      <c r="W793" s="35">
        <v>0</v>
      </c>
      <c r="X793" s="35">
        <v>0</v>
      </c>
      <c r="Y793" s="68"/>
      <c r="Z793" s="68">
        <f>Q793</f>
        <v>0</v>
      </c>
      <c r="AA793" s="35">
        <v>0</v>
      </c>
      <c r="AB793" s="762">
        <f>Z793-J793</f>
        <v>0</v>
      </c>
      <c r="AC793" s="35">
        <v>0</v>
      </c>
      <c r="AD793" s="35"/>
      <c r="AF793" s="763"/>
      <c r="AH793" s="763"/>
      <c r="AI793" s="763"/>
      <c r="AK793" s="763"/>
    </row>
    <row r="794" spans="1:37">
      <c r="A794" s="4">
        <v>357</v>
      </c>
      <c r="C794" s="740" t="s">
        <v>893</v>
      </c>
      <c r="E794" s="513" t="s">
        <v>777</v>
      </c>
      <c r="G794" s="35">
        <v>0</v>
      </c>
      <c r="I794" s="35">
        <v>0</v>
      </c>
      <c r="J794" s="35">
        <v>0</v>
      </c>
      <c r="L794" s="35">
        <v>0</v>
      </c>
      <c r="M794" s="35">
        <v>0</v>
      </c>
      <c r="N794" s="35">
        <v>0</v>
      </c>
      <c r="O794" s="35">
        <v>0</v>
      </c>
      <c r="P794" s="35">
        <v>0</v>
      </c>
      <c r="Q794" s="762">
        <f>J794</f>
        <v>0</v>
      </c>
      <c r="R794" s="68"/>
      <c r="S794" s="35">
        <v>0</v>
      </c>
      <c r="T794" s="35">
        <v>0</v>
      </c>
      <c r="U794" s="35">
        <v>0</v>
      </c>
      <c r="V794" s="35">
        <v>0</v>
      </c>
      <c r="W794" s="35">
        <v>0</v>
      </c>
      <c r="X794" s="35">
        <v>0</v>
      </c>
      <c r="Y794" s="68"/>
      <c r="Z794" s="68">
        <f>Q794</f>
        <v>0</v>
      </c>
      <c r="AA794" s="35">
        <v>0</v>
      </c>
      <c r="AB794" s="762">
        <f>Z794-J794</f>
        <v>0</v>
      </c>
      <c r="AC794" s="35">
        <v>0</v>
      </c>
      <c r="AD794" s="35"/>
      <c r="AF794" s="763"/>
      <c r="AH794" s="763"/>
      <c r="AI794" s="763"/>
      <c r="AK794" s="763"/>
    </row>
    <row r="795" spans="1:37">
      <c r="A795" s="4"/>
      <c r="E795" s="36"/>
      <c r="G795" s="35"/>
      <c r="J795" s="752"/>
      <c r="L795" s="762"/>
      <c r="M795" s="762"/>
      <c r="N795" s="762"/>
      <c r="O795" s="762"/>
      <c r="P795" s="762"/>
      <c r="Q795" s="762"/>
      <c r="R795" s="68"/>
      <c r="S795" s="35">
        <v>0</v>
      </c>
      <c r="T795" s="762"/>
      <c r="U795" s="762"/>
      <c r="V795" s="762"/>
      <c r="W795" s="762"/>
      <c r="X795" s="762"/>
      <c r="Y795" s="68"/>
      <c r="Z795" s="68"/>
      <c r="AA795" s="68"/>
      <c r="AB795" s="762"/>
      <c r="AC795" s="504"/>
      <c r="AF795" s="763"/>
      <c r="AH795" s="763"/>
      <c r="AI795" s="763"/>
      <c r="AK795" s="763"/>
    </row>
    <row r="796" spans="1:37">
      <c r="A796" s="4">
        <v>358</v>
      </c>
      <c r="C796" s="2" t="s">
        <v>894</v>
      </c>
      <c r="E796" s="513" t="s">
        <v>777</v>
      </c>
      <c r="G796" s="35">
        <v>45665000</v>
      </c>
      <c r="I796" s="35">
        <v>0</v>
      </c>
      <c r="J796" s="35">
        <v>12138.692302499876</v>
      </c>
      <c r="L796" s="35">
        <v>0</v>
      </c>
      <c r="M796" s="35">
        <v>0</v>
      </c>
      <c r="N796" s="35">
        <v>0</v>
      </c>
      <c r="O796" s="35">
        <v>0</v>
      </c>
      <c r="P796" s="35">
        <v>0</v>
      </c>
      <c r="Q796" s="762">
        <f>J796</f>
        <v>12138.692302499876</v>
      </c>
      <c r="R796" s="68"/>
      <c r="S796" s="35">
        <v>0</v>
      </c>
      <c r="T796" s="35">
        <v>0</v>
      </c>
      <c r="U796" s="35">
        <v>0</v>
      </c>
      <c r="V796" s="35">
        <v>0</v>
      </c>
      <c r="W796" s="35">
        <v>0</v>
      </c>
      <c r="X796" s="35">
        <v>0</v>
      </c>
      <c r="Y796" s="68"/>
      <c r="Z796" s="68">
        <f>Q796</f>
        <v>12138.692302499876</v>
      </c>
      <c r="AA796" s="35">
        <v>0</v>
      </c>
      <c r="AB796" s="762">
        <f>Z796-J796</f>
        <v>0</v>
      </c>
      <c r="AC796" s="35">
        <v>0</v>
      </c>
      <c r="AD796" s="35"/>
      <c r="AF796" s="763"/>
      <c r="AH796" s="763"/>
      <c r="AI796" s="763"/>
      <c r="AK796" s="763"/>
    </row>
    <row r="797" spans="1:37">
      <c r="A797" s="4">
        <v>359</v>
      </c>
      <c r="C797" s="2" t="s">
        <v>895</v>
      </c>
      <c r="E797" s="513" t="s">
        <v>777</v>
      </c>
      <c r="G797" s="35">
        <v>0</v>
      </c>
      <c r="I797" s="35">
        <v>0</v>
      </c>
      <c r="J797" s="35">
        <v>2388.3000000000002</v>
      </c>
      <c r="L797" s="35">
        <v>0</v>
      </c>
      <c r="M797" s="35">
        <v>0</v>
      </c>
      <c r="N797" s="35">
        <v>0</v>
      </c>
      <c r="O797" s="35">
        <v>410.98500000000001</v>
      </c>
      <c r="P797" s="35">
        <v>1977.3150000000001</v>
      </c>
      <c r="Q797" s="35">
        <v>0</v>
      </c>
      <c r="R797" s="68"/>
      <c r="S797" s="35">
        <v>0</v>
      </c>
      <c r="T797" s="35">
        <v>0</v>
      </c>
      <c r="U797" s="35">
        <v>0</v>
      </c>
      <c r="V797" s="35">
        <v>0</v>
      </c>
      <c r="W797" s="35">
        <v>511.42336737272689</v>
      </c>
      <c r="X797" s="35">
        <v>1969.0537638875649</v>
      </c>
      <c r="Y797" s="68"/>
      <c r="Z797" s="68">
        <f>V797+W797+X797</f>
        <v>2480.4771312602916</v>
      </c>
      <c r="AA797" s="35">
        <v>0</v>
      </c>
      <c r="AB797" s="762">
        <f>Z797-J797</f>
        <v>92.177131260291389</v>
      </c>
      <c r="AC797" s="35">
        <v>0</v>
      </c>
      <c r="AD797" s="35"/>
      <c r="AF797" s="763"/>
      <c r="AH797" s="763"/>
      <c r="AI797" s="763"/>
      <c r="AK797" s="763"/>
    </row>
    <row r="798" spans="1:37">
      <c r="A798" s="4"/>
      <c r="E798" s="36"/>
      <c r="G798" s="35"/>
      <c r="J798" s="752"/>
      <c r="L798" s="762"/>
      <c r="M798" s="762"/>
      <c r="N798" s="762"/>
      <c r="O798" s="762"/>
      <c r="P798" s="762"/>
      <c r="Q798" s="762"/>
      <c r="R798" s="68"/>
      <c r="S798" s="68"/>
      <c r="T798" s="762"/>
      <c r="U798" s="762"/>
      <c r="V798" s="762"/>
      <c r="W798" s="762"/>
      <c r="X798" s="762"/>
      <c r="Y798" s="68"/>
      <c r="Z798" s="68"/>
      <c r="AA798" s="68"/>
      <c r="AB798" s="762"/>
      <c r="AC798" s="504"/>
      <c r="AF798" s="763"/>
      <c r="AH798" s="763"/>
      <c r="AI798" s="763"/>
      <c r="AK798" s="763"/>
    </row>
    <row r="799" spans="1:37" ht="13.5" thickBot="1">
      <c r="A799" s="4">
        <v>360</v>
      </c>
      <c r="C799" s="2" t="str">
        <f>"Total " &amp;C777</f>
        <v>Total Rate C1</v>
      </c>
      <c r="E799" s="36"/>
      <c r="G799" s="768">
        <f>SUM(G779:G797)</f>
        <v>102661523.4931</v>
      </c>
      <c r="I799" s="767">
        <f>J799/G799*100</f>
        <v>1.6959535267374717E-2</v>
      </c>
      <c r="J799" s="758">
        <f>SUM(J779:J797)</f>
        <v>17410.917282836475</v>
      </c>
      <c r="K799" s="752"/>
      <c r="L799" s="760">
        <f>SUM(L779:L797)</f>
        <v>0</v>
      </c>
      <c r="M799" s="760">
        <f>SUM(M779:M797)</f>
        <v>0</v>
      </c>
      <c r="N799" s="760">
        <f>SUM(N779:N797)</f>
        <v>0</v>
      </c>
      <c r="O799" s="760">
        <f>SUM(O779:O797)</f>
        <v>855.84692561625934</v>
      </c>
      <c r="P799" s="760">
        <f>SUM(P779:P797)</f>
        <v>2293.1176027203392</v>
      </c>
      <c r="Q799" s="760">
        <f>J799-L799-M799-N799-O799-P799</f>
        <v>14261.952754499875</v>
      </c>
      <c r="R799" s="68"/>
      <c r="S799" s="760">
        <f t="shared" ref="S799:X799" si="194">SUM(S779:S797)</f>
        <v>54.904903793568309</v>
      </c>
      <c r="T799" s="760">
        <f t="shared" si="194"/>
        <v>0</v>
      </c>
      <c r="U799" s="760">
        <f t="shared" si="194"/>
        <v>0</v>
      </c>
      <c r="V799" s="760">
        <f t="shared" si="194"/>
        <v>0</v>
      </c>
      <c r="W799" s="760">
        <f t="shared" si="194"/>
        <v>1054.2860905620514</v>
      </c>
      <c r="X799" s="760">
        <f t="shared" si="194"/>
        <v>2283.1252504359059</v>
      </c>
      <c r="Y799" s="68"/>
      <c r="Z799" s="760">
        <f>SUM(Z779:Z797)</f>
        <v>17654.268999291402</v>
      </c>
      <c r="AA799" s="766">
        <f>Z799/G799*100</f>
        <v>1.7196578034883697E-2</v>
      </c>
      <c r="AB799" s="760">
        <f>SUM(AB779:AB797)</f>
        <v>243.35171645492679</v>
      </c>
      <c r="AC799" s="765">
        <f>AA799/I799-1</f>
        <v>1.3976961265264265E-2</v>
      </c>
      <c r="AD799" s="764"/>
      <c r="AF799" s="763"/>
      <c r="AH799" s="763"/>
      <c r="AI799" s="763"/>
      <c r="AK799" s="763"/>
    </row>
    <row r="800" spans="1:37" ht="13.5" thickTop="1">
      <c r="L800" s="2"/>
      <c r="M800" s="2"/>
      <c r="N800" s="2"/>
      <c r="O800" s="2"/>
      <c r="P800" s="504"/>
      <c r="Q800" s="504"/>
      <c r="T800" s="504"/>
      <c r="U800" s="504"/>
      <c r="V800" s="504"/>
      <c r="W800" s="504"/>
      <c r="X800" s="504"/>
      <c r="AB800" s="762"/>
      <c r="AC800" s="504"/>
      <c r="AF800" s="763"/>
      <c r="AH800" s="763"/>
      <c r="AI800" s="763"/>
      <c r="AK800" s="763"/>
    </row>
    <row r="801" spans="1:39">
      <c r="L801" s="2"/>
      <c r="M801" s="2"/>
      <c r="N801" s="2"/>
      <c r="O801" s="2"/>
      <c r="P801" s="504"/>
      <c r="Q801" s="504"/>
      <c r="T801" s="504"/>
      <c r="U801" s="504"/>
      <c r="V801" s="504"/>
      <c r="W801" s="504"/>
      <c r="X801" s="504"/>
      <c r="AB801" s="504"/>
      <c r="AC801" s="504"/>
      <c r="AF801" s="763"/>
      <c r="AH801" s="763"/>
      <c r="AI801" s="763"/>
      <c r="AK801" s="763"/>
    </row>
    <row r="802" spans="1:39">
      <c r="L802" s="2"/>
      <c r="M802" s="2"/>
      <c r="N802" s="2"/>
      <c r="O802" s="2"/>
      <c r="P802" s="504"/>
      <c r="Q802" s="504"/>
      <c r="T802" s="504"/>
      <c r="U802" s="504"/>
      <c r="V802" s="504"/>
      <c r="W802" s="504"/>
      <c r="X802" s="504"/>
      <c r="AB802" s="504"/>
      <c r="AC802" s="504"/>
      <c r="AF802" s="763"/>
      <c r="AH802" s="763"/>
      <c r="AI802" s="763"/>
      <c r="AK802" s="763"/>
    </row>
    <row r="803" spans="1:39">
      <c r="L803" s="2"/>
      <c r="M803" s="2"/>
      <c r="N803" s="2"/>
      <c r="O803" s="2"/>
      <c r="P803" s="504"/>
      <c r="Q803" s="504"/>
      <c r="T803" s="504"/>
      <c r="U803" s="504"/>
      <c r="V803" s="504"/>
      <c r="W803" s="504"/>
      <c r="X803" s="504"/>
      <c r="AB803" s="504"/>
      <c r="AC803" s="504"/>
      <c r="AF803" s="763"/>
      <c r="AH803" s="763"/>
      <c r="AI803" s="763"/>
      <c r="AK803" s="763"/>
    </row>
    <row r="804" spans="1:39">
      <c r="L804" s="2"/>
      <c r="M804" s="2"/>
      <c r="N804" s="2"/>
      <c r="O804" s="2"/>
      <c r="P804" s="504"/>
      <c r="Q804" s="504"/>
      <c r="T804" s="504"/>
      <c r="U804" s="504"/>
      <c r="V804" s="504"/>
      <c r="W804" s="504"/>
      <c r="X804" s="504"/>
      <c r="AB804" s="504"/>
      <c r="AC804" s="504"/>
      <c r="AF804" s="763"/>
      <c r="AH804" s="763"/>
      <c r="AI804" s="763"/>
      <c r="AK804" s="763"/>
    </row>
    <row r="805" spans="1:39">
      <c r="A805" s="1324" t="s">
        <v>724</v>
      </c>
      <c r="B805" s="1324"/>
      <c r="C805" s="1324"/>
      <c r="D805" s="1324"/>
      <c r="E805" s="1324"/>
      <c r="F805" s="1324"/>
      <c r="G805" s="1324"/>
      <c r="H805" s="1324"/>
      <c r="I805" s="1324"/>
      <c r="J805" s="1324"/>
      <c r="K805" s="1324"/>
      <c r="L805" s="1324"/>
      <c r="M805" s="1324"/>
      <c r="N805" s="1324"/>
      <c r="O805" s="1324"/>
      <c r="P805" s="1324"/>
      <c r="Q805" s="1324"/>
      <c r="R805" s="1324"/>
      <c r="S805" s="1324"/>
      <c r="T805" s="1324"/>
      <c r="U805" s="1324"/>
      <c r="V805" s="1324"/>
      <c r="W805" s="1324"/>
      <c r="X805" s="1324"/>
      <c r="Y805" s="1324"/>
      <c r="Z805" s="1324"/>
      <c r="AA805" s="1324"/>
      <c r="AB805" s="1324"/>
      <c r="AC805" s="1324"/>
      <c r="AD805" s="665"/>
      <c r="AF805" s="763"/>
      <c r="AH805" s="763"/>
      <c r="AI805" s="763"/>
      <c r="AK805" s="763"/>
    </row>
    <row r="806" spans="1:39">
      <c r="A806" s="385"/>
      <c r="B806" s="385"/>
      <c r="C806" s="385"/>
      <c r="D806" s="385"/>
      <c r="E806" s="447"/>
      <c r="F806" s="385"/>
      <c r="G806" s="447"/>
      <c r="H806" s="385"/>
      <c r="I806" s="385"/>
      <c r="J806" s="385"/>
      <c r="K806" s="385"/>
      <c r="L806" s="385"/>
      <c r="M806" s="385"/>
      <c r="N806" s="3"/>
      <c r="O806" s="3"/>
      <c r="P806" s="504"/>
      <c r="Q806" s="504"/>
      <c r="R806" s="385"/>
      <c r="S806" s="385"/>
      <c r="T806" s="504"/>
      <c r="U806" s="504"/>
      <c r="V806" s="504"/>
      <c r="W806" s="504"/>
      <c r="X806" s="504"/>
      <c r="Y806" s="385"/>
      <c r="Z806" s="385"/>
      <c r="AA806" s="385"/>
      <c r="AB806" s="504"/>
      <c r="AC806" s="504"/>
      <c r="AF806" s="763"/>
      <c r="AH806" s="763"/>
      <c r="AI806" s="763"/>
      <c r="AK806" s="763"/>
    </row>
    <row r="807" spans="1:39">
      <c r="A807" s="447"/>
      <c r="B807" s="447"/>
      <c r="C807" s="447"/>
      <c r="D807" s="447"/>
      <c r="E807" s="385"/>
      <c r="F807" s="447"/>
      <c r="G807" s="1313" t="str">
        <f>G8</f>
        <v>Current Approved Revenue</v>
      </c>
      <c r="H807" s="1313"/>
      <c r="I807" s="1313"/>
      <c r="J807" s="1313"/>
      <c r="K807" s="447"/>
      <c r="L807" s="1313" t="str">
        <f>L8</f>
        <v>Adjustments to 2023 Base Rates</v>
      </c>
      <c r="M807" s="1313"/>
      <c r="N807" s="1313"/>
      <c r="O807" s="1313"/>
      <c r="P807" s="1313"/>
      <c r="Q807" s="256"/>
      <c r="R807" s="447"/>
      <c r="S807" s="1313" t="str">
        <f>S8</f>
        <v>Adjustments to 2024 Base Rates</v>
      </c>
      <c r="T807" s="1313"/>
      <c r="U807" s="1313"/>
      <c r="V807" s="1313"/>
      <c r="W807" s="1313"/>
      <c r="X807" s="1313"/>
      <c r="Y807" s="447"/>
      <c r="Z807" s="1313" t="str">
        <f>Z8</f>
        <v>2024 Proposed Revenue</v>
      </c>
      <c r="AA807" s="1313"/>
      <c r="AB807" s="1313"/>
      <c r="AC807" s="1313"/>
      <c r="AD807" s="4"/>
      <c r="AF807" s="763"/>
      <c r="AH807" s="763"/>
      <c r="AI807" s="763"/>
      <c r="AK807" s="763"/>
    </row>
    <row r="808" spans="1:39" ht="38.25">
      <c r="A808" s="254" t="s">
        <v>1</v>
      </c>
      <c r="B808" s="254"/>
      <c r="C808" s="254"/>
      <c r="D808" s="254"/>
      <c r="E808" s="4" t="s">
        <v>670</v>
      </c>
      <c r="F808" s="254"/>
      <c r="G808" s="13" t="s">
        <v>684</v>
      </c>
      <c r="H808" s="254"/>
      <c r="I808" s="13" t="s">
        <v>196</v>
      </c>
      <c r="J808" s="13" t="s">
        <v>503</v>
      </c>
      <c r="K808" s="254"/>
      <c r="L808" s="13" t="s">
        <v>505</v>
      </c>
      <c r="M808" s="13" t="s">
        <v>685</v>
      </c>
      <c r="N808" s="254" t="s">
        <v>686</v>
      </c>
      <c r="O808" s="254" t="s">
        <v>508</v>
      </c>
      <c r="P808" s="254" t="s">
        <v>687</v>
      </c>
      <c r="Q808" s="254" t="s">
        <v>688</v>
      </c>
      <c r="R808" s="254"/>
      <c r="S808" s="254" t="s">
        <v>689</v>
      </c>
      <c r="T808" s="13" t="s">
        <v>505</v>
      </c>
      <c r="U808" s="13" t="s">
        <v>685</v>
      </c>
      <c r="V808" s="254" t="s">
        <v>686</v>
      </c>
      <c r="W808" s="254" t="s">
        <v>508</v>
      </c>
      <c r="X808" s="254" t="s">
        <v>687</v>
      </c>
      <c r="Y808" s="254"/>
      <c r="Z808" s="13" t="s">
        <v>690</v>
      </c>
      <c r="AA808" s="13" t="s">
        <v>691</v>
      </c>
      <c r="AB808" s="13" t="s">
        <v>692</v>
      </c>
      <c r="AC808" s="254" t="s">
        <v>693</v>
      </c>
      <c r="AD808" s="254"/>
      <c r="AF808" s="763"/>
      <c r="AH808" s="763"/>
      <c r="AI808" s="763"/>
      <c r="AK808" s="763"/>
    </row>
    <row r="809" spans="1:39">
      <c r="A809" s="255" t="s">
        <v>2</v>
      </c>
      <c r="B809" s="256"/>
      <c r="C809" s="449" t="s">
        <v>3</v>
      </c>
      <c r="D809" s="256"/>
      <c r="E809" s="255" t="s">
        <v>4</v>
      </c>
      <c r="F809" s="256"/>
      <c r="G809" s="255" t="s">
        <v>694</v>
      </c>
      <c r="H809" s="256"/>
      <c r="I809" s="255" t="s">
        <v>131</v>
      </c>
      <c r="J809" s="255" t="s">
        <v>20</v>
      </c>
      <c r="K809" s="256"/>
      <c r="L809" s="255" t="s">
        <v>20</v>
      </c>
      <c r="M809" s="255" t="s">
        <v>20</v>
      </c>
      <c r="N809" s="255" t="s">
        <v>20</v>
      </c>
      <c r="O809" s="255" t="s">
        <v>20</v>
      </c>
      <c r="P809" s="255" t="s">
        <v>20</v>
      </c>
      <c r="Q809" s="255" t="s">
        <v>20</v>
      </c>
      <c r="R809" s="256"/>
      <c r="S809" s="255" t="s">
        <v>20</v>
      </c>
      <c r="T809" s="255" t="s">
        <v>20</v>
      </c>
      <c r="U809" s="255" t="s">
        <v>20</v>
      </c>
      <c r="V809" s="255" t="s">
        <v>20</v>
      </c>
      <c r="W809" s="255" t="s">
        <v>20</v>
      </c>
      <c r="X809" s="255" t="s">
        <v>20</v>
      </c>
      <c r="Y809" s="256"/>
      <c r="Z809" s="255" t="s">
        <v>20</v>
      </c>
      <c r="AA809" s="255" t="s">
        <v>131</v>
      </c>
      <c r="AB809" s="255" t="s">
        <v>20</v>
      </c>
      <c r="AC809" s="255" t="s">
        <v>76</v>
      </c>
      <c r="AD809" s="4"/>
      <c r="AF809" s="763"/>
      <c r="AH809" s="763"/>
      <c r="AI809" s="763"/>
      <c r="AK809" s="763"/>
    </row>
    <row r="810" spans="1:39">
      <c r="A810" s="4"/>
      <c r="B810" s="256"/>
      <c r="C810" s="256"/>
      <c r="D810" s="256"/>
      <c r="E810" s="4"/>
      <c r="F810" s="256"/>
      <c r="G810" s="4" t="s">
        <v>8</v>
      </c>
      <c r="H810" s="4"/>
      <c r="I810" s="4" t="s">
        <v>9</v>
      </c>
      <c r="J810" s="4" t="s">
        <v>370</v>
      </c>
      <c r="K810" s="4"/>
      <c r="L810" s="132" t="s">
        <v>79</v>
      </c>
      <c r="M810" s="132" t="s">
        <v>115</v>
      </c>
      <c r="N810" s="132" t="s">
        <v>81</v>
      </c>
      <c r="O810" s="132" t="s">
        <v>82</v>
      </c>
      <c r="P810" s="4" t="s">
        <v>118</v>
      </c>
      <c r="Q810" s="4" t="s">
        <v>695</v>
      </c>
      <c r="R810" s="4"/>
      <c r="S810" s="4" t="s">
        <v>696</v>
      </c>
      <c r="T810" s="4" t="s">
        <v>517</v>
      </c>
      <c r="U810" s="4" t="s">
        <v>518</v>
      </c>
      <c r="V810" s="4" t="s">
        <v>519</v>
      </c>
      <c r="W810" s="4" t="s">
        <v>697</v>
      </c>
      <c r="X810" s="4" t="s">
        <v>698</v>
      </c>
      <c r="Y810" s="4"/>
      <c r="Z810" s="4" t="s">
        <v>725</v>
      </c>
      <c r="AA810" s="4" t="s">
        <v>700</v>
      </c>
      <c r="AB810" s="4" t="s">
        <v>701</v>
      </c>
      <c r="AC810" s="4" t="s">
        <v>702</v>
      </c>
      <c r="AD810" s="4"/>
      <c r="AF810" s="763"/>
      <c r="AH810" s="763"/>
      <c r="AI810" s="763"/>
      <c r="AK810" s="763"/>
    </row>
    <row r="811" spans="1:39">
      <c r="A811" s="4"/>
      <c r="E811" s="36"/>
      <c r="G811" s="35"/>
      <c r="I811" s="793"/>
      <c r="J811" s="752"/>
      <c r="K811" s="752"/>
      <c r="L811" s="68"/>
      <c r="M811" s="68"/>
      <c r="N811" s="68"/>
      <c r="O811" s="68"/>
      <c r="P811" s="68"/>
      <c r="Q811" s="68"/>
      <c r="R811" s="68"/>
      <c r="S811" s="68"/>
      <c r="T811" s="68"/>
      <c r="U811" s="68"/>
      <c r="V811" s="68"/>
      <c r="W811" s="68"/>
      <c r="X811" s="68"/>
      <c r="Y811" s="68"/>
      <c r="Z811" s="68"/>
      <c r="AA811" s="792"/>
      <c r="AB811" s="68"/>
      <c r="AC811" s="764"/>
      <c r="AD811" s="764"/>
      <c r="AF811" s="763"/>
      <c r="AH811" s="763"/>
      <c r="AI811" s="763"/>
      <c r="AK811" s="763"/>
    </row>
    <row r="812" spans="1:39">
      <c r="A812" s="4"/>
      <c r="B812" s="256"/>
      <c r="C812" s="553" t="s">
        <v>896</v>
      </c>
      <c r="D812" s="256"/>
      <c r="E812" s="742"/>
      <c r="F812" s="256"/>
      <c r="G812" s="35"/>
      <c r="H812" s="256"/>
      <c r="I812" s="256"/>
      <c r="J812" s="256"/>
      <c r="K812" s="256"/>
      <c r="L812" s="762"/>
      <c r="M812" s="762"/>
      <c r="N812" s="762"/>
      <c r="O812" s="762"/>
      <c r="P812" s="762"/>
      <c r="Q812" s="762"/>
      <c r="R812" s="771"/>
      <c r="S812" s="771"/>
      <c r="T812" s="762"/>
      <c r="U812" s="762"/>
      <c r="V812" s="762"/>
      <c r="W812" s="762"/>
      <c r="X812" s="762"/>
      <c r="Y812" s="771"/>
      <c r="Z812" s="771"/>
      <c r="AA812" s="771"/>
      <c r="AB812" s="762"/>
      <c r="AC812" s="504"/>
    </row>
    <row r="813" spans="1:39">
      <c r="A813" s="4">
        <v>361</v>
      </c>
      <c r="C813" s="512" t="s">
        <v>897</v>
      </c>
      <c r="E813" s="513" t="s">
        <v>704</v>
      </c>
      <c r="G813" s="35">
        <v>129</v>
      </c>
      <c r="I813" s="778">
        <v>1047.53</v>
      </c>
      <c r="J813" s="752">
        <f>G813*I813/1000</f>
        <v>135.13137</v>
      </c>
      <c r="L813" s="35">
        <v>0</v>
      </c>
      <c r="M813" s="35">
        <v>0</v>
      </c>
      <c r="N813" s="35">
        <v>0</v>
      </c>
      <c r="O813" s="35">
        <v>0</v>
      </c>
      <c r="P813" s="35">
        <v>0</v>
      </c>
      <c r="Q813" s="762">
        <f>SUM(J813-L813-M813-N813-O813-P813)</f>
        <v>135.13137</v>
      </c>
      <c r="R813" s="68"/>
      <c r="S813" s="35">
        <v>0</v>
      </c>
      <c r="T813" s="35">
        <v>0</v>
      </c>
      <c r="U813" s="35">
        <v>0</v>
      </c>
      <c r="V813" s="35">
        <v>0</v>
      </c>
      <c r="W813" s="35">
        <v>0</v>
      </c>
      <c r="X813" s="35">
        <v>0</v>
      </c>
      <c r="Y813" s="68"/>
      <c r="Z813" s="68">
        <f>Q813+S813+T813+U813+V813+W813+X813</f>
        <v>135.13137</v>
      </c>
      <c r="AA813" s="778">
        <f>Z813/G813*1000</f>
        <v>1047.53</v>
      </c>
      <c r="AB813" s="762">
        <f>Z813-Q813</f>
        <v>0</v>
      </c>
      <c r="AC813" s="770">
        <f>AA813/I813-1</f>
        <v>0</v>
      </c>
      <c r="AD813" s="769"/>
      <c r="AF813" s="763"/>
      <c r="AH813" s="763"/>
      <c r="AI813" s="763"/>
      <c r="AK813" s="763"/>
      <c r="AM813" s="776"/>
    </row>
    <row r="814" spans="1:39">
      <c r="A814" s="4">
        <v>362</v>
      </c>
      <c r="B814" s="256"/>
      <c r="C814" s="512" t="s">
        <v>898</v>
      </c>
      <c r="D814" s="256"/>
      <c r="E814" s="513" t="s">
        <v>777</v>
      </c>
      <c r="F814" s="256"/>
      <c r="G814" s="35">
        <v>4791112.166666666</v>
      </c>
      <c r="H814" s="256"/>
      <c r="I814" s="773">
        <v>3.7999999999999999E-2</v>
      </c>
      <c r="J814" s="752">
        <f>G814*I814/1000</f>
        <v>182.06226233333331</v>
      </c>
      <c r="K814" s="256"/>
      <c r="L814" s="35">
        <v>0</v>
      </c>
      <c r="M814" s="35">
        <v>0</v>
      </c>
      <c r="N814" s="35">
        <v>0</v>
      </c>
      <c r="O814" s="35">
        <v>0</v>
      </c>
      <c r="P814" s="35">
        <v>0</v>
      </c>
      <c r="Q814" s="762">
        <f>SUM(J814-L814-M814-N814-O814-P814)</f>
        <v>182.06226233333331</v>
      </c>
      <c r="R814" s="771"/>
      <c r="S814" s="35">
        <v>4.9093410311874663</v>
      </c>
      <c r="T814" s="35">
        <v>0</v>
      </c>
      <c r="U814" s="35">
        <v>0</v>
      </c>
      <c r="V814" s="35">
        <v>0</v>
      </c>
      <c r="W814" s="35">
        <v>0</v>
      </c>
      <c r="X814" s="35">
        <v>0</v>
      </c>
      <c r="Y814" s="771"/>
      <c r="Z814" s="68">
        <f>Q814+S814+T814+U814+V814+W814+X814</f>
        <v>186.97160336452077</v>
      </c>
      <c r="AA814" s="773">
        <v>3.9E-2</v>
      </c>
      <c r="AB814" s="762">
        <f>Z814-Q814</f>
        <v>4.9093410311874663</v>
      </c>
      <c r="AC814" s="770">
        <f>AA814/I814-1</f>
        <v>2.6315789473684292E-2</v>
      </c>
      <c r="AD814" s="769"/>
      <c r="AF814" s="763"/>
      <c r="AH814" s="763"/>
      <c r="AI814" s="763"/>
      <c r="AK814" s="763"/>
      <c r="AM814" s="776"/>
    </row>
    <row r="815" spans="1:39">
      <c r="A815" s="4">
        <v>363</v>
      </c>
      <c r="B815" s="256"/>
      <c r="C815" s="512" t="s">
        <v>899</v>
      </c>
      <c r="D815" s="256"/>
      <c r="E815" s="513" t="s">
        <v>777</v>
      </c>
      <c r="F815" s="256"/>
      <c r="G815" s="35">
        <v>0</v>
      </c>
      <c r="H815" s="256"/>
      <c r="I815" s="35">
        <v>0</v>
      </c>
      <c r="J815" s="68">
        <f>G815*I815/1000</f>
        <v>0</v>
      </c>
      <c r="K815" s="256"/>
      <c r="L815" s="35">
        <v>0</v>
      </c>
      <c r="M815" s="35">
        <v>0</v>
      </c>
      <c r="N815" s="35">
        <v>0</v>
      </c>
      <c r="O815" s="35">
        <v>0</v>
      </c>
      <c r="P815" s="35">
        <v>0</v>
      </c>
      <c r="Q815" s="762">
        <f>SUM(J815-L815-M815-N815-O815-P815)</f>
        <v>0</v>
      </c>
      <c r="R815" s="771"/>
      <c r="S815" s="35">
        <v>0</v>
      </c>
      <c r="T815" s="762">
        <v>0</v>
      </c>
      <c r="U815" s="762">
        <v>0</v>
      </c>
      <c r="V815" s="762">
        <v>0</v>
      </c>
      <c r="W815" s="762">
        <v>0</v>
      </c>
      <c r="X815" s="762">
        <v>0</v>
      </c>
      <c r="Y815" s="771"/>
      <c r="Z815" s="68">
        <v>0</v>
      </c>
      <c r="AA815" s="35">
        <v>0</v>
      </c>
      <c r="AB815" s="762">
        <v>0</v>
      </c>
      <c r="AC815" s="770"/>
      <c r="AD815" s="769"/>
      <c r="AF815" s="763"/>
      <c r="AH815" s="763"/>
      <c r="AI815" s="763"/>
      <c r="AK815" s="763"/>
      <c r="AM815" s="776"/>
    </row>
    <row r="816" spans="1:39">
      <c r="A816" s="4">
        <v>364</v>
      </c>
      <c r="B816" s="256"/>
      <c r="C816" s="512" t="s">
        <v>900</v>
      </c>
      <c r="D816" s="256"/>
      <c r="E816" s="513" t="s">
        <v>777</v>
      </c>
      <c r="F816" s="256"/>
      <c r="G816" s="35">
        <v>4791112.166666666</v>
      </c>
      <c r="H816" s="256"/>
      <c r="I816" s="773">
        <v>8.9999999999999993E-3</v>
      </c>
      <c r="J816" s="752">
        <f>G816*I816/1000</f>
        <v>43.120009499999995</v>
      </c>
      <c r="K816" s="256"/>
      <c r="L816" s="35">
        <v>0</v>
      </c>
      <c r="M816" s="35">
        <v>0</v>
      </c>
      <c r="N816" s="35">
        <v>0</v>
      </c>
      <c r="O816" s="35">
        <v>43.120009500000002</v>
      </c>
      <c r="P816" s="35">
        <v>0</v>
      </c>
      <c r="Q816" s="762">
        <f>SUM(J816-L816-M816-N816-O816-P816)</f>
        <v>-7.1054273576010019E-15</v>
      </c>
      <c r="R816" s="771"/>
      <c r="S816" s="35">
        <v>0</v>
      </c>
      <c r="T816" s="35">
        <v>0</v>
      </c>
      <c r="U816" s="35">
        <v>0</v>
      </c>
      <c r="V816" s="35">
        <v>0</v>
      </c>
      <c r="W816" s="35">
        <v>53.702699847298454</v>
      </c>
      <c r="X816" s="35">
        <v>0</v>
      </c>
      <c r="Y816" s="771"/>
      <c r="Z816" s="68">
        <f>V816+W816+X816</f>
        <v>53.702699847298454</v>
      </c>
      <c r="AA816" s="773">
        <v>1.0999999999999999E-2</v>
      </c>
      <c r="AB816" s="762">
        <f>Z816-J816</f>
        <v>10.58269034729846</v>
      </c>
      <c r="AC816" s="770">
        <f>AA816/I816-1</f>
        <v>0.22222222222222232</v>
      </c>
      <c r="AD816" s="35"/>
      <c r="AF816" s="763"/>
      <c r="AH816" s="763"/>
      <c r="AI816" s="763"/>
      <c r="AK816" s="763"/>
      <c r="AM816" s="776"/>
    </row>
    <row r="817" spans="1:39">
      <c r="A817" s="4"/>
      <c r="B817" s="256"/>
      <c r="C817" s="7"/>
      <c r="D817" s="256"/>
      <c r="E817" s="742"/>
      <c r="F817" s="256"/>
      <c r="G817" s="453"/>
      <c r="H817" s="256"/>
      <c r="I817" s="256"/>
      <c r="J817" s="256"/>
      <c r="K817" s="256"/>
      <c r="L817" s="762"/>
      <c r="M817" s="762"/>
      <c r="N817" s="762"/>
      <c r="O817" s="762"/>
      <c r="P817" s="762"/>
      <c r="Q817" s="762"/>
      <c r="R817" s="771"/>
      <c r="S817" s="771"/>
      <c r="T817" s="762"/>
      <c r="U817" s="762"/>
      <c r="V817" s="762"/>
      <c r="W817" s="762"/>
      <c r="X817" s="762"/>
      <c r="Y817" s="771"/>
      <c r="Z817" s="771"/>
      <c r="AA817" s="771"/>
      <c r="AB817" s="762"/>
      <c r="AC817" s="770"/>
      <c r="AD817" s="769"/>
      <c r="AF817" s="763"/>
      <c r="AH817" s="763"/>
      <c r="AI817" s="763"/>
      <c r="AK817" s="763"/>
    </row>
    <row r="818" spans="1:39" ht="13.5" thickBot="1">
      <c r="A818" s="4">
        <v>365</v>
      </c>
      <c r="C818" s="791" t="str">
        <f>"Total " &amp;C812</f>
        <v>Total Rate M13</v>
      </c>
      <c r="G818" s="760">
        <f>G816</f>
        <v>4791112.166666666</v>
      </c>
      <c r="I818" s="767">
        <f>J818/G818*100</f>
        <v>7.52045932758897E-3</v>
      </c>
      <c r="J818" s="758">
        <f>SUM(J813:J817)</f>
        <v>360.31364183333329</v>
      </c>
      <c r="K818" s="752"/>
      <c r="L818" s="760">
        <f t="shared" ref="L818:Q818" si="195">SUM(L813:L817)</f>
        <v>0</v>
      </c>
      <c r="M818" s="760">
        <f t="shared" si="195"/>
        <v>0</v>
      </c>
      <c r="N818" s="760">
        <f t="shared" si="195"/>
        <v>0</v>
      </c>
      <c r="O818" s="760">
        <f t="shared" si="195"/>
        <v>43.120009500000002</v>
      </c>
      <c r="P818" s="760">
        <f t="shared" si="195"/>
        <v>0</v>
      </c>
      <c r="Q818" s="760">
        <f t="shared" si="195"/>
        <v>317.19363233333331</v>
      </c>
      <c r="R818" s="68"/>
      <c r="S818" s="760">
        <f t="shared" ref="S818:X818" si="196">SUM(S813:S817)</f>
        <v>4.9093410311874663</v>
      </c>
      <c r="T818" s="760">
        <f t="shared" si="196"/>
        <v>0</v>
      </c>
      <c r="U818" s="760">
        <f t="shared" si="196"/>
        <v>0</v>
      </c>
      <c r="V818" s="760">
        <f t="shared" si="196"/>
        <v>0</v>
      </c>
      <c r="W818" s="760">
        <f t="shared" si="196"/>
        <v>53.702699847298454</v>
      </c>
      <c r="X818" s="760">
        <f t="shared" si="196"/>
        <v>0</v>
      </c>
      <c r="Y818" s="68"/>
      <c r="Z818" s="760">
        <f>SUM(Z813:Z817)</f>
        <v>375.80567321181923</v>
      </c>
      <c r="AA818" s="766">
        <f>Z818/G818*100</f>
        <v>7.8438087053444953E-3</v>
      </c>
      <c r="AB818" s="760">
        <f>SUM(AB813:AB817)</f>
        <v>15.492031378485926</v>
      </c>
      <c r="AC818" s="765">
        <f>AA818/I818-1</f>
        <v>4.2995961239935321E-2</v>
      </c>
      <c r="AD818" s="764"/>
      <c r="AF818" s="763"/>
      <c r="AH818" s="763"/>
      <c r="AI818" s="763"/>
      <c r="AK818" s="763"/>
    </row>
    <row r="819" spans="1:39" ht="13.5" thickTop="1">
      <c r="A819" s="4"/>
      <c r="B819" s="734"/>
      <c r="C819" s="7"/>
      <c r="D819" s="734"/>
      <c r="E819" s="734"/>
      <c r="F819" s="734"/>
      <c r="G819" s="734"/>
      <c r="H819" s="734"/>
      <c r="I819" s="734"/>
      <c r="J819" s="734"/>
      <c r="K819" s="734"/>
      <c r="L819" s="762"/>
      <c r="M819" s="762"/>
      <c r="N819" s="762"/>
      <c r="O819" s="762"/>
      <c r="P819" s="762"/>
      <c r="Q819" s="762"/>
      <c r="R819" s="790"/>
      <c r="S819" s="790"/>
      <c r="T819" s="762"/>
      <c r="U819" s="762"/>
      <c r="V819" s="762"/>
      <c r="W819" s="762"/>
      <c r="X819" s="762"/>
      <c r="Y819" s="790"/>
      <c r="Z819" s="790"/>
      <c r="AA819" s="790"/>
      <c r="AB819" s="762"/>
      <c r="AC819" s="504"/>
      <c r="AF819" s="763"/>
      <c r="AH819" s="763"/>
      <c r="AI819" s="763"/>
      <c r="AK819" s="763"/>
    </row>
    <row r="820" spans="1:39">
      <c r="A820" s="4">
        <v>366</v>
      </c>
      <c r="B820" s="385"/>
      <c r="C820" s="512" t="s">
        <v>901</v>
      </c>
      <c r="D820" s="385"/>
      <c r="E820" s="513" t="s">
        <v>704</v>
      </c>
      <c r="F820" s="385"/>
      <c r="G820" s="35">
        <v>768</v>
      </c>
      <c r="H820" s="385"/>
      <c r="I820" s="788">
        <v>90</v>
      </c>
      <c r="J820" s="35">
        <v>63.72</v>
      </c>
      <c r="K820" s="385"/>
      <c r="L820" s="762">
        <v>0</v>
      </c>
      <c r="M820" s="762">
        <v>0</v>
      </c>
      <c r="N820" s="762">
        <v>0</v>
      </c>
      <c r="O820" s="762">
        <v>0</v>
      </c>
      <c r="P820" s="762">
        <v>0</v>
      </c>
      <c r="Q820" s="762">
        <f>J820</f>
        <v>63.72</v>
      </c>
      <c r="R820" s="789"/>
      <c r="S820" s="789">
        <v>0</v>
      </c>
      <c r="T820" s="762">
        <v>0</v>
      </c>
      <c r="U820" s="762">
        <v>0</v>
      </c>
      <c r="V820" s="762">
        <v>0</v>
      </c>
      <c r="W820" s="762">
        <v>0</v>
      </c>
      <c r="X820" s="762">
        <v>0</v>
      </c>
      <c r="Y820" s="789"/>
      <c r="Z820" s="453">
        <f>Q820</f>
        <v>63.72</v>
      </c>
      <c r="AA820" s="788">
        <f>I820</f>
        <v>90</v>
      </c>
      <c r="AB820" s="762">
        <v>0</v>
      </c>
      <c r="AC820" s="504"/>
      <c r="AF820" s="763"/>
      <c r="AH820" s="763"/>
      <c r="AI820" s="763"/>
      <c r="AK820" s="763"/>
    </row>
    <row r="821" spans="1:39">
      <c r="A821" s="4"/>
      <c r="B821" s="447"/>
      <c r="C821" s="447"/>
      <c r="D821" s="447"/>
      <c r="E821" s="385"/>
      <c r="F821" s="447"/>
      <c r="G821" s="385"/>
      <c r="H821" s="447"/>
      <c r="I821" s="447"/>
      <c r="J821" s="447"/>
      <c r="K821" s="447"/>
      <c r="L821" s="762"/>
      <c r="M821" s="762"/>
      <c r="N821" s="762"/>
      <c r="O821" s="762"/>
      <c r="P821" s="762"/>
      <c r="Q821" s="762"/>
      <c r="R821" s="787"/>
      <c r="S821" s="787"/>
      <c r="T821" s="762"/>
      <c r="U821" s="762"/>
      <c r="V821" s="762"/>
      <c r="W821" s="762"/>
      <c r="X821" s="762"/>
      <c r="Y821" s="787"/>
      <c r="Z821" s="787"/>
      <c r="AA821" s="787"/>
      <c r="AB821" s="762"/>
      <c r="AC821" s="504"/>
    </row>
    <row r="822" spans="1:39">
      <c r="A822" s="4"/>
      <c r="B822" s="254"/>
      <c r="C822" s="6" t="s">
        <v>531</v>
      </c>
      <c r="D822" s="254"/>
      <c r="E822" s="4"/>
      <c r="F822" s="254"/>
      <c r="G822" s="13"/>
      <c r="H822" s="254"/>
      <c r="I822" s="254"/>
      <c r="J822" s="254"/>
      <c r="K822" s="254"/>
      <c r="L822" s="762"/>
      <c r="M822" s="762"/>
      <c r="N822" s="762"/>
      <c r="O822" s="762"/>
      <c r="P822" s="762"/>
      <c r="Q822" s="762"/>
      <c r="R822" s="786"/>
      <c r="S822" s="786"/>
      <c r="T822" s="762"/>
      <c r="U822" s="762"/>
      <c r="V822" s="762"/>
      <c r="W822" s="762"/>
      <c r="X822" s="762"/>
      <c r="Y822" s="786"/>
      <c r="Z822" s="786"/>
      <c r="AA822" s="786"/>
      <c r="AB822" s="762"/>
      <c r="AC822" s="504"/>
    </row>
    <row r="823" spans="1:39">
      <c r="A823" s="4">
        <v>367</v>
      </c>
      <c r="B823" s="256"/>
      <c r="C823" s="512" t="s">
        <v>897</v>
      </c>
      <c r="D823" s="256"/>
      <c r="E823" s="513" t="s">
        <v>704</v>
      </c>
      <c r="F823" s="256"/>
      <c r="G823" s="35">
        <v>24</v>
      </c>
      <c r="H823" s="256"/>
      <c r="I823" s="778">
        <v>1666.51</v>
      </c>
      <c r="J823" s="750">
        <f>G823*I823/1000</f>
        <v>39.99624</v>
      </c>
      <c r="K823" s="256"/>
      <c r="L823" s="35">
        <v>0</v>
      </c>
      <c r="M823" s="35">
        <v>0</v>
      </c>
      <c r="N823" s="35">
        <v>0</v>
      </c>
      <c r="O823" s="35">
        <v>0</v>
      </c>
      <c r="P823" s="35">
        <v>0</v>
      </c>
      <c r="Q823" s="762">
        <f>SUM(J823-L823-M823-N823-O823-P823)</f>
        <v>39.99624</v>
      </c>
      <c r="R823" s="771"/>
      <c r="S823" s="35">
        <v>1.0785056694820128</v>
      </c>
      <c r="T823" s="35">
        <v>0</v>
      </c>
      <c r="U823" s="35">
        <v>0</v>
      </c>
      <c r="V823" s="35">
        <v>0</v>
      </c>
      <c r="W823" s="35">
        <v>0</v>
      </c>
      <c r="X823" s="35">
        <v>0</v>
      </c>
      <c r="Y823" s="771"/>
      <c r="Z823" s="762">
        <f>Q823+S823+T823+U823+V823+W823+X823</f>
        <v>41.074745669482013</v>
      </c>
      <c r="AA823" s="778">
        <f>Z823/G823*1000</f>
        <v>1711.4477362284172</v>
      </c>
      <c r="AB823" s="762">
        <f>Z823-J823</f>
        <v>1.0785056694820128</v>
      </c>
      <c r="AC823" s="770">
        <f>AA823/I823-1</f>
        <v>2.696517646363783E-2</v>
      </c>
      <c r="AD823" s="769"/>
      <c r="AF823" s="763"/>
      <c r="AH823" s="763"/>
      <c r="AI823" s="763"/>
      <c r="AK823" s="763"/>
      <c r="AM823" s="777"/>
    </row>
    <row r="824" spans="1:39">
      <c r="A824" s="4">
        <v>368</v>
      </c>
      <c r="B824" s="256"/>
      <c r="C824" s="512" t="s">
        <v>898</v>
      </c>
      <c r="D824" s="256"/>
      <c r="E824" s="513" t="s">
        <v>777</v>
      </c>
      <c r="F824" s="256"/>
      <c r="G824" s="35">
        <v>5198226.8965517245</v>
      </c>
      <c r="H824" s="256"/>
      <c r="I824" s="784">
        <v>3.7999999999999999E-2</v>
      </c>
      <c r="J824" s="750">
        <f>G824*I824/1000</f>
        <v>197.53262206896551</v>
      </c>
      <c r="K824" s="256"/>
      <c r="L824" s="35">
        <v>0</v>
      </c>
      <c r="M824" s="35">
        <v>0</v>
      </c>
      <c r="N824" s="35">
        <v>0</v>
      </c>
      <c r="O824" s="35">
        <v>0</v>
      </c>
      <c r="P824" s="35">
        <v>0</v>
      </c>
      <c r="Q824" s="762">
        <f>SUM(J824-L824-M824-N824-O824-P824)</f>
        <v>197.53262206896551</v>
      </c>
      <c r="R824" s="771"/>
      <c r="S824" s="35">
        <v>5.3265020114147319</v>
      </c>
      <c r="T824" s="35">
        <v>0</v>
      </c>
      <c r="U824" s="35">
        <v>0</v>
      </c>
      <c r="V824" s="35">
        <v>0</v>
      </c>
      <c r="W824" s="35">
        <v>0</v>
      </c>
      <c r="X824" s="35">
        <v>0</v>
      </c>
      <c r="Y824" s="771"/>
      <c r="Z824" s="762">
        <f>Q824+S824+T824+U824+V824+W824+X824</f>
        <v>202.85912408038024</v>
      </c>
      <c r="AA824" s="773">
        <v>3.9E-2</v>
      </c>
      <c r="AB824" s="762">
        <f>Z824-J824</f>
        <v>5.3265020114147319</v>
      </c>
      <c r="AC824" s="770">
        <f>AA824/I824-1</f>
        <v>2.6315789473684292E-2</v>
      </c>
      <c r="AD824" s="769"/>
      <c r="AF824" s="763"/>
      <c r="AH824" s="763"/>
      <c r="AI824" s="763"/>
      <c r="AK824" s="763"/>
      <c r="AM824" s="776"/>
    </row>
    <row r="825" spans="1:39">
      <c r="A825" s="4"/>
      <c r="B825" s="256"/>
      <c r="C825" s="512" t="s">
        <v>902</v>
      </c>
      <c r="D825" s="256"/>
      <c r="E825" s="513"/>
      <c r="F825" s="256"/>
      <c r="G825" s="35"/>
      <c r="H825" s="256"/>
      <c r="I825" s="784"/>
      <c r="J825" s="750"/>
      <c r="K825" s="256"/>
      <c r="L825" s="762"/>
      <c r="M825" s="762"/>
      <c r="N825" s="762"/>
      <c r="O825" s="762"/>
      <c r="P825" s="762"/>
      <c r="Q825" s="762"/>
      <c r="R825" s="771"/>
      <c r="S825" s="35"/>
      <c r="T825" s="762"/>
      <c r="U825" s="762"/>
      <c r="V825" s="762"/>
      <c r="W825" s="762"/>
      <c r="X825" s="762"/>
      <c r="Y825" s="771"/>
      <c r="Z825" s="762"/>
      <c r="AA825" s="773"/>
      <c r="AB825" s="762"/>
      <c r="AC825" s="770"/>
      <c r="AD825" s="769"/>
      <c r="AF825" s="763"/>
      <c r="AH825" s="763"/>
      <c r="AI825" s="763"/>
      <c r="AK825" s="763"/>
      <c r="AM825" s="776"/>
    </row>
    <row r="826" spans="1:39">
      <c r="A826" s="4">
        <v>369</v>
      </c>
      <c r="B826" s="256"/>
      <c r="C826" s="519" t="s">
        <v>903</v>
      </c>
      <c r="D826" s="256"/>
      <c r="E826" s="513" t="s">
        <v>775</v>
      </c>
      <c r="F826" s="256"/>
      <c r="G826" s="35">
        <v>7333.3333333333339</v>
      </c>
      <c r="H826" s="256"/>
      <c r="I826" s="784">
        <v>2.3260000000000001</v>
      </c>
      <c r="J826" s="750">
        <f>(G826*I826*12/1000)</f>
        <v>204.68800000000002</v>
      </c>
      <c r="K826" s="256"/>
      <c r="L826" s="35">
        <v>0</v>
      </c>
      <c r="M826" s="35">
        <v>0</v>
      </c>
      <c r="N826" s="35">
        <v>0</v>
      </c>
      <c r="O826" s="35">
        <v>0</v>
      </c>
      <c r="P826" s="35">
        <v>0</v>
      </c>
      <c r="Q826" s="35">
        <f>SUM(J826-L826-M826-N826-O826-P826)</f>
        <v>204.68800000000002</v>
      </c>
      <c r="R826" s="771"/>
      <c r="S826" s="35">
        <v>5.5194480399891006</v>
      </c>
      <c r="T826" s="35">
        <v>0</v>
      </c>
      <c r="U826" s="35">
        <v>0</v>
      </c>
      <c r="V826" s="35">
        <v>0</v>
      </c>
      <c r="W826" s="35">
        <v>0</v>
      </c>
      <c r="X826" s="35">
        <v>0</v>
      </c>
      <c r="Y826" s="771"/>
      <c r="Z826" s="762">
        <f>Q826+S826+T826+U826+V826+W826+X826</f>
        <v>210.20744803998912</v>
      </c>
      <c r="AA826" s="773">
        <v>2.3844166666666671</v>
      </c>
      <c r="AB826" s="762">
        <f>Z826-J826</f>
        <v>5.5194480399891006</v>
      </c>
      <c r="AC826" s="770">
        <f>AA826/I826-1</f>
        <v>2.5114646030381271E-2</v>
      </c>
      <c r="AD826" s="769"/>
      <c r="AF826" s="763"/>
      <c r="AH826" s="763"/>
      <c r="AI826" s="763"/>
      <c r="AK826" s="763"/>
    </row>
    <row r="827" spans="1:39">
      <c r="A827" s="4">
        <v>370</v>
      </c>
      <c r="C827" s="519" t="s">
        <v>904</v>
      </c>
      <c r="E827" s="513" t="s">
        <v>777</v>
      </c>
      <c r="G827" s="35">
        <v>655235.89655172406</v>
      </c>
      <c r="I827" s="784">
        <v>8.9999999999999993E-3</v>
      </c>
      <c r="J827" s="35">
        <v>5.8971230689655147</v>
      </c>
      <c r="L827" s="35">
        <v>0</v>
      </c>
      <c r="M827" s="35">
        <v>0</v>
      </c>
      <c r="N827" s="35">
        <v>0</v>
      </c>
      <c r="O827" s="35">
        <v>5.8971230689655147</v>
      </c>
      <c r="P827" s="35">
        <v>0</v>
      </c>
      <c r="Q827" s="35">
        <v>0</v>
      </c>
      <c r="R827" s="35"/>
      <c r="S827" s="35">
        <v>0</v>
      </c>
      <c r="T827" s="35">
        <v>0</v>
      </c>
      <c r="U827" s="35">
        <v>0</v>
      </c>
      <c r="V827" s="35">
        <v>0</v>
      </c>
      <c r="W827" s="35">
        <v>7.2829167841791715</v>
      </c>
      <c r="X827" s="35">
        <v>0</v>
      </c>
      <c r="Y827" s="68"/>
      <c r="Z827" s="68">
        <f>V827+W827+X827</f>
        <v>7.2829167841791715</v>
      </c>
      <c r="AA827" s="773">
        <v>1.1114953900582371E-2</v>
      </c>
      <c r="AB827" s="762">
        <f>Z827-J827</f>
        <v>1.3857937152136568</v>
      </c>
      <c r="AC827" s="785">
        <f>AA827/I827-1</f>
        <v>0.23499487784248574</v>
      </c>
      <c r="AD827" s="782"/>
      <c r="AF827" s="763"/>
      <c r="AH827" s="763"/>
      <c r="AI827" s="763"/>
      <c r="AK827" s="763"/>
    </row>
    <row r="828" spans="1:39">
      <c r="A828" s="4">
        <v>371</v>
      </c>
      <c r="C828" s="519" t="s">
        <v>905</v>
      </c>
      <c r="E828" s="513" t="s">
        <v>777</v>
      </c>
      <c r="G828" s="35">
        <v>642043</v>
      </c>
      <c r="I828" s="784">
        <v>2.5999999999999999E-2</v>
      </c>
      <c r="J828" s="35">
        <v>16.693118000000002</v>
      </c>
      <c r="L828" s="35">
        <v>0</v>
      </c>
      <c r="M828" s="35">
        <v>0</v>
      </c>
      <c r="N828" s="35">
        <v>0</v>
      </c>
      <c r="O828" s="35">
        <v>5.7783869999999995</v>
      </c>
      <c r="P828" s="35">
        <v>10.914731000000003</v>
      </c>
      <c r="Q828" s="35">
        <v>0</v>
      </c>
      <c r="R828" s="35"/>
      <c r="S828" s="35">
        <v>0</v>
      </c>
      <c r="T828" s="35">
        <v>0</v>
      </c>
      <c r="U828" s="35">
        <v>0</v>
      </c>
      <c r="V828" s="35">
        <v>0</v>
      </c>
      <c r="W828" s="35">
        <v>7.136278347191606</v>
      </c>
      <c r="X828" s="35">
        <v>10.721589673932364</v>
      </c>
      <c r="Y828" s="68"/>
      <c r="Z828" s="68">
        <f>V828+W828+X828</f>
        <v>17.85786802112397</v>
      </c>
      <c r="AA828" s="773">
        <v>2.7814130862144702E-2</v>
      </c>
      <c r="AB828" s="762">
        <f>Z828-J828</f>
        <v>1.1647500211239681</v>
      </c>
      <c r="AC828" s="785">
        <f>AA828/I828-1</f>
        <v>6.9774263928642499E-2</v>
      </c>
      <c r="AD828" s="782"/>
      <c r="AF828" s="763"/>
      <c r="AH828" s="763"/>
      <c r="AI828" s="763"/>
      <c r="AK828" s="763"/>
    </row>
    <row r="829" spans="1:39">
      <c r="A829" s="4">
        <v>372</v>
      </c>
      <c r="B829" s="256"/>
      <c r="C829" s="519" t="s">
        <v>906</v>
      </c>
      <c r="D829" s="256"/>
      <c r="E829" s="513" t="s">
        <v>777</v>
      </c>
      <c r="F829" s="256"/>
      <c r="G829" s="35">
        <v>4542991</v>
      </c>
      <c r="H829" s="256"/>
      <c r="I829" s="783">
        <v>1.7286803034389036E-3</v>
      </c>
      <c r="J829" s="35">
        <v>41.728935447364961</v>
      </c>
      <c r="K829" s="256"/>
      <c r="L829" s="35">
        <v>0</v>
      </c>
      <c r="M829" s="35">
        <v>0</v>
      </c>
      <c r="N829" s="35">
        <v>0</v>
      </c>
      <c r="O829" s="35">
        <v>41.728935447364961</v>
      </c>
      <c r="P829" s="35">
        <v>0</v>
      </c>
      <c r="Q829" s="35">
        <v>0</v>
      </c>
      <c r="R829" s="35"/>
      <c r="S829" s="35">
        <v>0</v>
      </c>
      <c r="T829" s="35">
        <v>0</v>
      </c>
      <c r="U829" s="35">
        <v>0</v>
      </c>
      <c r="V829" s="35">
        <v>0</v>
      </c>
      <c r="W829" s="35">
        <v>50.878473061179172</v>
      </c>
      <c r="X829" s="35">
        <v>0</v>
      </c>
      <c r="Y829" s="771"/>
      <c r="Z829" s="68">
        <f>V829+W829+X829</f>
        <v>50.878473061179172</v>
      </c>
      <c r="AA829" s="783">
        <v>2.1094996964475935E-3</v>
      </c>
      <c r="AB829" s="762">
        <f>Z829-J829</f>
        <v>9.1495376138142106</v>
      </c>
      <c r="AC829" s="785">
        <f>AA829/I829-1</f>
        <v>0.22029486438360935</v>
      </c>
      <c r="AD829" s="782"/>
      <c r="AF829" s="763"/>
      <c r="AH829" s="763"/>
      <c r="AI829" s="763"/>
      <c r="AK829" s="763"/>
    </row>
    <row r="830" spans="1:39">
      <c r="A830" s="4">
        <v>373</v>
      </c>
      <c r="B830" s="256"/>
      <c r="C830" s="519" t="s">
        <v>907</v>
      </c>
      <c r="D830" s="256"/>
      <c r="E830" s="513" t="s">
        <v>777</v>
      </c>
      <c r="F830" s="256"/>
      <c r="G830" s="35">
        <v>5048908.75</v>
      </c>
      <c r="H830" s="256"/>
      <c r="I830" s="783">
        <v>4.9154748349439599E-3</v>
      </c>
      <c r="J830" s="35">
        <v>131.890024936407</v>
      </c>
      <c r="K830" s="256"/>
      <c r="L830" s="35">
        <v>0</v>
      </c>
      <c r="M830" s="35">
        <v>0</v>
      </c>
      <c r="N830" s="35">
        <v>0</v>
      </c>
      <c r="O830" s="35">
        <v>46.375964052842299</v>
      </c>
      <c r="P830" s="35">
        <v>85.514060883564696</v>
      </c>
      <c r="Q830" s="35">
        <v>0</v>
      </c>
      <c r="R830" s="35"/>
      <c r="S830" s="35">
        <v>0</v>
      </c>
      <c r="T830" s="35">
        <v>0</v>
      </c>
      <c r="U830" s="35">
        <v>0</v>
      </c>
      <c r="V830" s="35">
        <v>0</v>
      </c>
      <c r="W830" s="35">
        <v>56.54441486351763</v>
      </c>
      <c r="X830" s="35">
        <v>85.300245828337694</v>
      </c>
      <c r="Y830" s="771"/>
      <c r="Z830" s="68">
        <f>V830+W830+X830</f>
        <v>141.84466069185532</v>
      </c>
      <c r="AA830" s="783">
        <v>5.2788253676494023E-3</v>
      </c>
      <c r="AB830" s="762">
        <f>Z830-J830</f>
        <v>9.9546357554483222</v>
      </c>
      <c r="AC830" s="762">
        <f>V830</f>
        <v>0</v>
      </c>
      <c r="AD830" s="782"/>
      <c r="AF830" s="763"/>
      <c r="AH830" s="763"/>
      <c r="AI830" s="763"/>
      <c r="AK830" s="763"/>
    </row>
    <row r="831" spans="1:39">
      <c r="A831" s="4"/>
      <c r="B831" s="256"/>
      <c r="C831" s="512" t="s">
        <v>908</v>
      </c>
      <c r="D831" s="256"/>
      <c r="E831" s="513"/>
      <c r="F831" s="256"/>
      <c r="G831" s="35"/>
      <c r="H831" s="256"/>
      <c r="I831" s="256"/>
      <c r="J831" s="750"/>
      <c r="K831" s="256"/>
      <c r="L831" s="762"/>
      <c r="M831" s="762"/>
      <c r="N831" s="35"/>
      <c r="O831" s="35"/>
      <c r="P831" s="35"/>
      <c r="Q831" s="762"/>
      <c r="R831" s="35"/>
      <c r="S831" s="35"/>
      <c r="T831" s="762"/>
      <c r="U831" s="762"/>
      <c r="V831" s="762"/>
      <c r="W831" s="762"/>
      <c r="X831" s="762"/>
      <c r="Y831" s="771"/>
      <c r="Z831" s="771"/>
      <c r="AA831" s="771"/>
      <c r="AB831" s="762"/>
      <c r="AC831" s="770"/>
      <c r="AD831" s="769"/>
      <c r="AF831" s="763"/>
      <c r="AH831" s="763"/>
      <c r="AI831" s="763"/>
      <c r="AK831" s="763"/>
    </row>
    <row r="832" spans="1:39">
      <c r="A832" s="4">
        <v>374</v>
      </c>
      <c r="B832" s="256"/>
      <c r="C832" s="519" t="s">
        <v>903</v>
      </c>
      <c r="D832" s="256"/>
      <c r="E832" s="513" t="s">
        <v>775</v>
      </c>
      <c r="F832" s="256"/>
      <c r="G832" s="35">
        <v>0</v>
      </c>
      <c r="H832" s="256"/>
      <c r="I832" s="784">
        <v>0.84199999999999997</v>
      </c>
      <c r="J832" s="35">
        <v>0</v>
      </c>
      <c r="K832" s="256"/>
      <c r="L832" s="35">
        <v>0</v>
      </c>
      <c r="M832" s="35">
        <v>0</v>
      </c>
      <c r="N832" s="35">
        <v>0</v>
      </c>
      <c r="O832" s="35">
        <v>0</v>
      </c>
      <c r="P832" s="35">
        <v>0</v>
      </c>
      <c r="Q832" s="762">
        <f>SUM(J832-L832-M832-N832-O832-P832)</f>
        <v>0</v>
      </c>
      <c r="R832" s="771"/>
      <c r="S832" s="35">
        <v>0</v>
      </c>
      <c r="T832" s="762">
        <f t="shared" ref="T832:W836" si="197">M832</f>
        <v>0</v>
      </c>
      <c r="U832" s="762">
        <f t="shared" si="197"/>
        <v>0</v>
      </c>
      <c r="V832" s="762">
        <f t="shared" si="197"/>
        <v>0</v>
      </c>
      <c r="W832" s="762">
        <f t="shared" si="197"/>
        <v>0</v>
      </c>
      <c r="X832" s="35">
        <v>0</v>
      </c>
      <c r="Y832" s="771"/>
      <c r="Z832" s="771">
        <f>Q832</f>
        <v>0</v>
      </c>
      <c r="AA832" s="762">
        <f>T832</f>
        <v>0</v>
      </c>
      <c r="AB832" s="762">
        <f>Z832-J832</f>
        <v>0</v>
      </c>
      <c r="AC832" s="762"/>
      <c r="AD832" s="782"/>
      <c r="AF832" s="763"/>
      <c r="AH832" s="763"/>
      <c r="AI832" s="763"/>
      <c r="AK832" s="763"/>
    </row>
    <row r="833" spans="1:37">
      <c r="A833" s="4">
        <v>375</v>
      </c>
      <c r="B833" s="256"/>
      <c r="C833" s="519" t="s">
        <v>904</v>
      </c>
      <c r="D833" s="256"/>
      <c r="E833" s="513" t="s">
        <v>777</v>
      </c>
      <c r="F833" s="256"/>
      <c r="G833" s="35">
        <v>0</v>
      </c>
      <c r="H833" s="256"/>
      <c r="I833" s="784">
        <v>8.9999999999999993E-3</v>
      </c>
      <c r="J833" s="35">
        <v>0</v>
      </c>
      <c r="K833" s="256"/>
      <c r="L833" s="35">
        <v>0</v>
      </c>
      <c r="M833" s="35">
        <v>0</v>
      </c>
      <c r="N833" s="35">
        <v>0</v>
      </c>
      <c r="O833" s="35">
        <v>0</v>
      </c>
      <c r="P833" s="35">
        <v>0</v>
      </c>
      <c r="Q833" s="762">
        <f>SUM(J833-L833-M833-N833-O833-P833)</f>
        <v>0</v>
      </c>
      <c r="R833" s="771"/>
      <c r="S833" s="35">
        <v>0</v>
      </c>
      <c r="T833" s="762">
        <f t="shared" si="197"/>
        <v>0</v>
      </c>
      <c r="U833" s="762">
        <f t="shared" si="197"/>
        <v>0</v>
      </c>
      <c r="V833" s="762">
        <f t="shared" si="197"/>
        <v>0</v>
      </c>
      <c r="W833" s="762">
        <f t="shared" si="197"/>
        <v>0</v>
      </c>
      <c r="X833" s="35">
        <v>0</v>
      </c>
      <c r="Y833" s="771"/>
      <c r="Z833" s="771">
        <f>Q833</f>
        <v>0</v>
      </c>
      <c r="AA833" s="762">
        <f>T833</f>
        <v>0</v>
      </c>
      <c r="AB833" s="762">
        <f>Z833-J833</f>
        <v>0</v>
      </c>
      <c r="AC833" s="762"/>
      <c r="AD833" s="782"/>
      <c r="AF833" s="763"/>
      <c r="AH833" s="763"/>
      <c r="AI833" s="763"/>
      <c r="AK833" s="763"/>
    </row>
    <row r="834" spans="1:37">
      <c r="A834" s="4">
        <v>376</v>
      </c>
      <c r="B834" s="256"/>
      <c r="C834" s="519" t="s">
        <v>905</v>
      </c>
      <c r="D834" s="256"/>
      <c r="E834" s="513" t="s">
        <v>777</v>
      </c>
      <c r="F834" s="256"/>
      <c r="G834" s="35">
        <v>0</v>
      </c>
      <c r="H834" s="256"/>
      <c r="I834" s="784">
        <v>1.0999999999999999E-2</v>
      </c>
      <c r="J834" s="35">
        <v>0</v>
      </c>
      <c r="K834" s="256"/>
      <c r="L834" s="35">
        <v>0</v>
      </c>
      <c r="M834" s="35">
        <v>0</v>
      </c>
      <c r="N834" s="35">
        <v>0</v>
      </c>
      <c r="O834" s="35">
        <v>0</v>
      </c>
      <c r="P834" s="35">
        <v>0</v>
      </c>
      <c r="Q834" s="762">
        <f>SUM(J834-L834-M834-N834-O834-P834)</f>
        <v>0</v>
      </c>
      <c r="R834" s="771"/>
      <c r="S834" s="35">
        <v>0</v>
      </c>
      <c r="T834" s="762">
        <f t="shared" si="197"/>
        <v>0</v>
      </c>
      <c r="U834" s="762">
        <f t="shared" si="197"/>
        <v>0</v>
      </c>
      <c r="V834" s="762">
        <f t="shared" si="197"/>
        <v>0</v>
      </c>
      <c r="W834" s="762">
        <f t="shared" si="197"/>
        <v>0</v>
      </c>
      <c r="X834" s="35">
        <v>0</v>
      </c>
      <c r="Y834" s="771"/>
      <c r="Z834" s="771">
        <f>Q834</f>
        <v>0</v>
      </c>
      <c r="AA834" s="762">
        <f>T834</f>
        <v>0</v>
      </c>
      <c r="AB834" s="762">
        <f>Z834-J834</f>
        <v>0</v>
      </c>
      <c r="AC834" s="762"/>
      <c r="AD834" s="782"/>
      <c r="AF834" s="763"/>
      <c r="AH834" s="763"/>
      <c r="AI834" s="763"/>
      <c r="AK834" s="763"/>
    </row>
    <row r="835" spans="1:37">
      <c r="A835" s="4">
        <v>377</v>
      </c>
      <c r="B835" s="256"/>
      <c r="C835" s="519" t="s">
        <v>906</v>
      </c>
      <c r="D835" s="256"/>
      <c r="E835" s="513" t="s">
        <v>777</v>
      </c>
      <c r="F835" s="256"/>
      <c r="G835" s="35">
        <v>0</v>
      </c>
      <c r="H835" s="256"/>
      <c r="I835" s="783">
        <v>1.7286803034389036E-3</v>
      </c>
      <c r="J835" s="35">
        <v>0</v>
      </c>
      <c r="K835" s="256"/>
      <c r="L835" s="35">
        <v>0</v>
      </c>
      <c r="M835" s="35">
        <v>0</v>
      </c>
      <c r="N835" s="35">
        <v>0</v>
      </c>
      <c r="O835" s="35">
        <v>0</v>
      </c>
      <c r="P835" s="35">
        <v>0</v>
      </c>
      <c r="Q835" s="762">
        <f>SUM(J835-L835-M835-N835-O835-P835)</f>
        <v>0</v>
      </c>
      <c r="R835" s="771"/>
      <c r="S835" s="35">
        <v>0</v>
      </c>
      <c r="T835" s="762">
        <f t="shared" si="197"/>
        <v>0</v>
      </c>
      <c r="U835" s="762">
        <f t="shared" si="197"/>
        <v>0</v>
      </c>
      <c r="V835" s="762">
        <f t="shared" si="197"/>
        <v>0</v>
      </c>
      <c r="W835" s="762">
        <f t="shared" si="197"/>
        <v>0</v>
      </c>
      <c r="X835" s="35">
        <v>0</v>
      </c>
      <c r="Y835" s="771"/>
      <c r="Z835" s="771">
        <f>Q835</f>
        <v>0</v>
      </c>
      <c r="AA835" s="762">
        <f>T835</f>
        <v>0</v>
      </c>
      <c r="AB835" s="762">
        <f>Z835-J835</f>
        <v>0</v>
      </c>
      <c r="AC835" s="770"/>
      <c r="AD835" s="769"/>
      <c r="AF835" s="763"/>
      <c r="AH835" s="763"/>
      <c r="AI835" s="763"/>
      <c r="AK835" s="763"/>
    </row>
    <row r="836" spans="1:37">
      <c r="A836" s="4">
        <v>378</v>
      </c>
      <c r="B836" s="256"/>
      <c r="C836" s="519" t="s">
        <v>907</v>
      </c>
      <c r="D836" s="256"/>
      <c r="E836" s="513" t="s">
        <v>777</v>
      </c>
      <c r="F836" s="256"/>
      <c r="G836" s="35">
        <v>0</v>
      </c>
      <c r="H836" s="256"/>
      <c r="I836" s="783">
        <v>1.9998532104164505E-3</v>
      </c>
      <c r="J836" s="35">
        <v>0</v>
      </c>
      <c r="K836" s="256"/>
      <c r="L836" s="35">
        <v>0</v>
      </c>
      <c r="M836" s="35">
        <v>0</v>
      </c>
      <c r="N836" s="35">
        <v>0</v>
      </c>
      <c r="O836" s="35">
        <v>0</v>
      </c>
      <c r="P836" s="35">
        <v>0</v>
      </c>
      <c r="Q836" s="762">
        <f>SUM(J836-L836-M836-N836-O836-P836)</f>
        <v>0</v>
      </c>
      <c r="R836" s="771"/>
      <c r="S836" s="35">
        <v>0</v>
      </c>
      <c r="T836" s="762">
        <f t="shared" si="197"/>
        <v>0</v>
      </c>
      <c r="U836" s="762">
        <f t="shared" si="197"/>
        <v>0</v>
      </c>
      <c r="V836" s="762">
        <f t="shared" si="197"/>
        <v>0</v>
      </c>
      <c r="W836" s="762">
        <f t="shared" si="197"/>
        <v>0</v>
      </c>
      <c r="X836" s="35">
        <v>0</v>
      </c>
      <c r="Y836" s="771"/>
      <c r="Z836" s="771">
        <f>Q836</f>
        <v>0</v>
      </c>
      <c r="AA836" s="762">
        <f>T836</f>
        <v>0</v>
      </c>
      <c r="AB836" s="762">
        <f>Z836-J836</f>
        <v>0</v>
      </c>
      <c r="AC836" s="762"/>
      <c r="AD836" s="782"/>
      <c r="AF836" s="763"/>
      <c r="AH836" s="763"/>
      <c r="AI836" s="763"/>
      <c r="AK836" s="763"/>
    </row>
    <row r="837" spans="1:37">
      <c r="A837" s="4"/>
      <c r="B837" s="256"/>
      <c r="C837" s="736"/>
      <c r="D837" s="256"/>
      <c r="E837" s="36"/>
      <c r="F837" s="256"/>
      <c r="G837" s="35"/>
      <c r="H837" s="256"/>
      <c r="I837" s="256"/>
      <c r="J837" s="750"/>
      <c r="K837" s="256"/>
      <c r="L837" s="762"/>
      <c r="M837" s="762"/>
      <c r="N837" s="762"/>
      <c r="O837" s="762"/>
      <c r="P837" s="762"/>
      <c r="Q837" s="762"/>
      <c r="R837" s="771"/>
      <c r="S837" s="35"/>
      <c r="T837" s="762"/>
      <c r="U837" s="762"/>
      <c r="V837" s="762"/>
      <c r="W837" s="762"/>
      <c r="X837" s="762"/>
      <c r="Y837" s="771"/>
      <c r="Z837" s="771"/>
      <c r="AA837" s="771"/>
      <c r="AB837" s="762"/>
      <c r="AC837" s="770"/>
      <c r="AD837" s="769"/>
      <c r="AF837" s="763"/>
      <c r="AH837" s="763"/>
      <c r="AI837" s="763"/>
      <c r="AK837" s="763"/>
    </row>
    <row r="838" spans="1:37" ht="13.5" thickBot="1">
      <c r="A838" s="4">
        <v>379</v>
      </c>
      <c r="B838" s="256"/>
      <c r="C838" s="2" t="str">
        <f>"Total " &amp;C822</f>
        <v>Total Rate M16</v>
      </c>
      <c r="D838" s="256"/>
      <c r="E838" s="742"/>
      <c r="F838" s="256"/>
      <c r="G838" s="768">
        <f>SUM(G827:G836)</f>
        <v>10889178.646551725</v>
      </c>
      <c r="H838" s="256"/>
      <c r="I838" s="766">
        <f>J838/G838*100</f>
        <v>5.8629404865524299E-3</v>
      </c>
      <c r="J838" s="756">
        <f>SUM(J823:J836)</f>
        <v>638.42606352170299</v>
      </c>
      <c r="K838" s="750"/>
      <c r="L838" s="781">
        <f>SUM(L823:L836)</f>
        <v>0</v>
      </c>
      <c r="M838" s="781">
        <f>SUM(M823:M836)</f>
        <v>0</v>
      </c>
      <c r="N838" s="781">
        <f>SUM(N823:N836)</f>
        <v>0</v>
      </c>
      <c r="O838" s="781">
        <f>SUM(O823:O836)</f>
        <v>99.780409569172775</v>
      </c>
      <c r="P838" s="781">
        <f>SUM(P823:P836)</f>
        <v>96.428791883564699</v>
      </c>
      <c r="Q838" s="781">
        <f>J838-L838-M838-N838-O838-P838</f>
        <v>442.2168620689655</v>
      </c>
      <c r="R838" s="771"/>
      <c r="S838" s="781">
        <f t="shared" ref="S838:X838" si="198">SUM(S823:S836)</f>
        <v>11.924455720885845</v>
      </c>
      <c r="T838" s="781">
        <f t="shared" si="198"/>
        <v>0</v>
      </c>
      <c r="U838" s="781">
        <f t="shared" si="198"/>
        <v>0</v>
      </c>
      <c r="V838" s="781">
        <f t="shared" si="198"/>
        <v>0</v>
      </c>
      <c r="W838" s="781">
        <f t="shared" si="198"/>
        <v>121.84208305606758</v>
      </c>
      <c r="X838" s="781">
        <f t="shared" si="198"/>
        <v>96.021835502270051</v>
      </c>
      <c r="Y838" s="771"/>
      <c r="Z838" s="781">
        <f>SUM(Z823:Z836)</f>
        <v>672.00523634818899</v>
      </c>
      <c r="AA838" s="766">
        <f>Z838/G838*100</f>
        <v>6.1713124392627433E-3</v>
      </c>
      <c r="AB838" s="781">
        <f>SUM(AB823:AB836)</f>
        <v>33.579172826486001</v>
      </c>
      <c r="AC838" s="780">
        <f>AA838/I838-1</f>
        <v>5.2596807594689432E-2</v>
      </c>
      <c r="AD838" s="779"/>
      <c r="AF838" s="763"/>
      <c r="AH838" s="763"/>
      <c r="AI838" s="763"/>
      <c r="AK838" s="763"/>
    </row>
    <row r="839" spans="1:37" ht="13.5" thickTop="1">
      <c r="L839" s="2"/>
      <c r="M839" s="2"/>
      <c r="N839" s="2"/>
      <c r="O839" s="2"/>
      <c r="P839" s="504"/>
      <c r="Q839" s="504"/>
      <c r="T839" s="504"/>
      <c r="U839" s="504"/>
      <c r="V839" s="504"/>
      <c r="W839" s="504"/>
      <c r="X839" s="504"/>
      <c r="AB839" s="762"/>
      <c r="AC839" s="504"/>
      <c r="AF839" s="763"/>
      <c r="AH839" s="763"/>
      <c r="AI839" s="763"/>
      <c r="AK839" s="763"/>
    </row>
    <row r="840" spans="1:37">
      <c r="L840" s="2"/>
      <c r="M840" s="2"/>
      <c r="N840" s="2"/>
      <c r="O840" s="2"/>
      <c r="P840" s="504"/>
      <c r="Q840" s="504"/>
      <c r="T840" s="504"/>
      <c r="U840" s="504"/>
      <c r="V840" s="504"/>
      <c r="W840" s="504"/>
      <c r="X840" s="504"/>
      <c r="AB840" s="762"/>
      <c r="AC840" s="504"/>
      <c r="AF840" s="763"/>
      <c r="AH840" s="763"/>
      <c r="AI840" s="763"/>
      <c r="AK840" s="763"/>
    </row>
    <row r="841" spans="1:37">
      <c r="L841" s="2"/>
      <c r="M841" s="2"/>
      <c r="N841" s="2"/>
      <c r="O841" s="2"/>
      <c r="P841" s="504"/>
      <c r="Q841" s="504"/>
      <c r="T841" s="504"/>
      <c r="U841" s="504"/>
      <c r="V841" s="504"/>
      <c r="W841" s="504"/>
      <c r="X841" s="504"/>
      <c r="AB841" s="504"/>
      <c r="AC841" s="504"/>
      <c r="AF841" s="763"/>
      <c r="AH841" s="763"/>
      <c r="AI841" s="763"/>
      <c r="AK841" s="763"/>
    </row>
    <row r="842" spans="1:37">
      <c r="L842" s="2"/>
      <c r="M842" s="2"/>
      <c r="N842" s="2"/>
      <c r="O842" s="2"/>
      <c r="P842" s="504"/>
      <c r="Q842" s="504"/>
      <c r="T842" s="504"/>
      <c r="U842" s="504"/>
      <c r="V842" s="504"/>
      <c r="W842" s="504"/>
      <c r="X842" s="504"/>
      <c r="AB842" s="504"/>
      <c r="AC842" s="504"/>
      <c r="AF842" s="763"/>
      <c r="AH842" s="763"/>
      <c r="AI842" s="763"/>
      <c r="AK842" s="763"/>
    </row>
    <row r="843" spans="1:37">
      <c r="L843" s="2"/>
      <c r="M843" s="2"/>
      <c r="N843" s="2"/>
      <c r="O843" s="2"/>
      <c r="P843" s="504"/>
      <c r="Q843" s="504"/>
      <c r="T843" s="504"/>
      <c r="U843" s="504"/>
      <c r="V843" s="504"/>
      <c r="W843" s="504"/>
      <c r="X843" s="504"/>
      <c r="AB843" s="504"/>
      <c r="AC843" s="504"/>
      <c r="AF843" s="763"/>
      <c r="AH843" s="763"/>
      <c r="AI843" s="763"/>
      <c r="AK843" s="763"/>
    </row>
    <row r="844" spans="1:37">
      <c r="A844" s="1324" t="s">
        <v>724</v>
      </c>
      <c r="B844" s="1324"/>
      <c r="C844" s="1324"/>
      <c r="D844" s="1324"/>
      <c r="E844" s="1324"/>
      <c r="F844" s="1324"/>
      <c r="G844" s="1324"/>
      <c r="H844" s="1324"/>
      <c r="I844" s="1324"/>
      <c r="J844" s="1324"/>
      <c r="K844" s="1324"/>
      <c r="L844" s="1324"/>
      <c r="M844" s="1324"/>
      <c r="N844" s="1324"/>
      <c r="O844" s="1324"/>
      <c r="P844" s="1324"/>
      <c r="Q844" s="1324"/>
      <c r="R844" s="1324"/>
      <c r="S844" s="1324"/>
      <c r="T844" s="1324"/>
      <c r="U844" s="1324"/>
      <c r="V844" s="1324"/>
      <c r="W844" s="1324"/>
      <c r="X844" s="1324"/>
      <c r="Y844" s="1324"/>
      <c r="Z844" s="1324"/>
      <c r="AA844" s="1324"/>
      <c r="AB844" s="1324"/>
      <c r="AC844" s="1324"/>
      <c r="AD844" s="665"/>
      <c r="AF844" s="763"/>
      <c r="AH844" s="763"/>
      <c r="AI844" s="763"/>
      <c r="AK844" s="763"/>
    </row>
    <row r="845" spans="1:37">
      <c r="A845" s="385"/>
      <c r="B845" s="385"/>
      <c r="C845" s="385"/>
      <c r="D845" s="385"/>
      <c r="E845" s="447"/>
      <c r="F845" s="385"/>
      <c r="G845" s="447"/>
      <c r="H845" s="385"/>
      <c r="I845" s="385"/>
      <c r="J845" s="385"/>
      <c r="K845" s="385"/>
      <c r="L845" s="385"/>
      <c r="M845" s="385"/>
      <c r="N845" s="3"/>
      <c r="O845" s="3"/>
      <c r="P845" s="504"/>
      <c r="Q845" s="504"/>
      <c r="R845" s="385"/>
      <c r="S845" s="385"/>
      <c r="T845" s="504"/>
      <c r="U845" s="504"/>
      <c r="V845" s="504"/>
      <c r="W845" s="504"/>
      <c r="X845" s="504"/>
      <c r="Y845" s="385"/>
      <c r="Z845" s="385"/>
      <c r="AA845" s="385"/>
      <c r="AB845" s="504"/>
      <c r="AC845" s="504"/>
      <c r="AF845" s="763"/>
      <c r="AH845" s="763"/>
      <c r="AI845" s="763"/>
      <c r="AK845" s="763"/>
    </row>
    <row r="846" spans="1:37">
      <c r="A846" s="447"/>
      <c r="B846" s="447"/>
      <c r="C846" s="447"/>
      <c r="D846" s="447"/>
      <c r="E846" s="385"/>
      <c r="F846" s="447"/>
      <c r="G846" s="1313" t="str">
        <f>G8</f>
        <v>Current Approved Revenue</v>
      </c>
      <c r="H846" s="1313"/>
      <c r="I846" s="1313"/>
      <c r="J846" s="1313"/>
      <c r="K846" s="447"/>
      <c r="L846" s="1313" t="str">
        <f>L8</f>
        <v>Adjustments to 2023 Base Rates</v>
      </c>
      <c r="M846" s="1313"/>
      <c r="N846" s="1313"/>
      <c r="O846" s="1313"/>
      <c r="P846" s="1313"/>
      <c r="Q846" s="256"/>
      <c r="R846" s="447"/>
      <c r="S846" s="1313" t="str">
        <f>S8</f>
        <v>Adjustments to 2024 Base Rates</v>
      </c>
      <c r="T846" s="1313"/>
      <c r="U846" s="1313"/>
      <c r="V846" s="1313"/>
      <c r="W846" s="1313"/>
      <c r="X846" s="1313"/>
      <c r="Y846" s="447"/>
      <c r="Z846" s="1313" t="str">
        <f>Z8</f>
        <v>2024 Proposed Revenue</v>
      </c>
      <c r="AA846" s="1313"/>
      <c r="AB846" s="1313"/>
      <c r="AC846" s="1313"/>
      <c r="AD846" s="4"/>
      <c r="AF846" s="763"/>
      <c r="AH846" s="763"/>
      <c r="AI846" s="763"/>
      <c r="AK846" s="763"/>
    </row>
    <row r="847" spans="1:37" ht="38.25">
      <c r="A847" s="254" t="s">
        <v>1</v>
      </c>
      <c r="B847" s="254"/>
      <c r="C847" s="254"/>
      <c r="D847" s="254"/>
      <c r="E847" s="4" t="s">
        <v>670</v>
      </c>
      <c r="F847" s="254"/>
      <c r="G847" s="13" t="s">
        <v>684</v>
      </c>
      <c r="H847" s="254"/>
      <c r="I847" s="13" t="s">
        <v>196</v>
      </c>
      <c r="J847" s="13" t="s">
        <v>503</v>
      </c>
      <c r="K847" s="254"/>
      <c r="L847" s="13" t="s">
        <v>505</v>
      </c>
      <c r="M847" s="13" t="s">
        <v>685</v>
      </c>
      <c r="N847" s="254" t="s">
        <v>686</v>
      </c>
      <c r="O847" s="254" t="s">
        <v>508</v>
      </c>
      <c r="P847" s="254" t="s">
        <v>687</v>
      </c>
      <c r="Q847" s="254" t="s">
        <v>688</v>
      </c>
      <c r="R847" s="254"/>
      <c r="S847" s="254" t="s">
        <v>689</v>
      </c>
      <c r="T847" s="13" t="s">
        <v>505</v>
      </c>
      <c r="U847" s="13" t="s">
        <v>685</v>
      </c>
      <c r="V847" s="254" t="s">
        <v>686</v>
      </c>
      <c r="W847" s="254" t="s">
        <v>508</v>
      </c>
      <c r="X847" s="254" t="s">
        <v>687</v>
      </c>
      <c r="Y847" s="254"/>
      <c r="Z847" s="13" t="s">
        <v>690</v>
      </c>
      <c r="AA847" s="13" t="s">
        <v>691</v>
      </c>
      <c r="AB847" s="13" t="s">
        <v>692</v>
      </c>
      <c r="AC847" s="254" t="s">
        <v>693</v>
      </c>
      <c r="AD847" s="254"/>
      <c r="AF847" s="763"/>
      <c r="AH847" s="763"/>
      <c r="AI847" s="763"/>
      <c r="AK847" s="763"/>
    </row>
    <row r="848" spans="1:37">
      <c r="A848" s="255" t="s">
        <v>2</v>
      </c>
      <c r="B848" s="256"/>
      <c r="C848" s="449" t="s">
        <v>3</v>
      </c>
      <c r="D848" s="256"/>
      <c r="E848" s="255" t="s">
        <v>4</v>
      </c>
      <c r="F848" s="256"/>
      <c r="G848" s="255" t="s">
        <v>694</v>
      </c>
      <c r="H848" s="256"/>
      <c r="I848" s="255" t="s">
        <v>131</v>
      </c>
      <c r="J848" s="255" t="s">
        <v>20</v>
      </c>
      <c r="K848" s="256"/>
      <c r="L848" s="255" t="s">
        <v>20</v>
      </c>
      <c r="M848" s="255" t="s">
        <v>20</v>
      </c>
      <c r="N848" s="255" t="s">
        <v>20</v>
      </c>
      <c r="O848" s="255" t="s">
        <v>20</v>
      </c>
      <c r="P848" s="255" t="s">
        <v>20</v>
      </c>
      <c r="Q848" s="255" t="s">
        <v>20</v>
      </c>
      <c r="R848" s="256"/>
      <c r="S848" s="255" t="s">
        <v>20</v>
      </c>
      <c r="T848" s="255" t="s">
        <v>20</v>
      </c>
      <c r="U848" s="255" t="s">
        <v>20</v>
      </c>
      <c r="V848" s="255" t="s">
        <v>20</v>
      </c>
      <c r="W848" s="255" t="s">
        <v>20</v>
      </c>
      <c r="X848" s="255" t="s">
        <v>20</v>
      </c>
      <c r="Y848" s="256"/>
      <c r="Z848" s="255" t="s">
        <v>20</v>
      </c>
      <c r="AA848" s="255" t="s">
        <v>131</v>
      </c>
      <c r="AB848" s="255" t="s">
        <v>20</v>
      </c>
      <c r="AC848" s="255" t="s">
        <v>76</v>
      </c>
      <c r="AD848" s="4"/>
      <c r="AF848" s="763"/>
      <c r="AH848" s="763"/>
      <c r="AI848" s="763"/>
      <c r="AK848" s="763"/>
    </row>
    <row r="849" spans="1:39">
      <c r="A849" s="4"/>
      <c r="B849" s="256"/>
      <c r="C849" s="256"/>
      <c r="D849" s="256"/>
      <c r="E849" s="4"/>
      <c r="F849" s="256"/>
      <c r="G849" s="4" t="s">
        <v>8</v>
      </c>
      <c r="H849" s="4"/>
      <c r="I849" s="4" t="s">
        <v>9</v>
      </c>
      <c r="J849" s="4" t="s">
        <v>370</v>
      </c>
      <c r="K849" s="4"/>
      <c r="L849" s="132" t="s">
        <v>79</v>
      </c>
      <c r="M849" s="132" t="s">
        <v>115</v>
      </c>
      <c r="N849" s="132" t="s">
        <v>81</v>
      </c>
      <c r="O849" s="132" t="s">
        <v>82</v>
      </c>
      <c r="P849" s="4" t="s">
        <v>118</v>
      </c>
      <c r="Q849" s="4" t="s">
        <v>695</v>
      </c>
      <c r="R849" s="4"/>
      <c r="S849" s="4" t="s">
        <v>696</v>
      </c>
      <c r="T849" s="4" t="s">
        <v>517</v>
      </c>
      <c r="U849" s="4" t="s">
        <v>518</v>
      </c>
      <c r="V849" s="4" t="s">
        <v>519</v>
      </c>
      <c r="W849" s="4" t="s">
        <v>697</v>
      </c>
      <c r="X849" s="4" t="s">
        <v>698</v>
      </c>
      <c r="Y849" s="4"/>
      <c r="Z849" s="4" t="s">
        <v>725</v>
      </c>
      <c r="AA849" s="4" t="s">
        <v>700</v>
      </c>
      <c r="AB849" s="4" t="s">
        <v>701</v>
      </c>
      <c r="AC849" s="4" t="s">
        <v>702</v>
      </c>
      <c r="AD849" s="4"/>
      <c r="AF849" s="763"/>
      <c r="AH849" s="763"/>
      <c r="AI849" s="763"/>
      <c r="AK849" s="763"/>
    </row>
    <row r="850" spans="1:39">
      <c r="A850" s="4"/>
      <c r="B850" s="256"/>
      <c r="C850" s="9"/>
      <c r="D850" s="256"/>
      <c r="E850" s="742"/>
      <c r="F850" s="256"/>
      <c r="G850" s="35"/>
      <c r="H850" s="256"/>
      <c r="I850" s="256"/>
      <c r="J850" s="256"/>
      <c r="K850" s="256"/>
      <c r="L850" s="762"/>
      <c r="M850" s="762"/>
      <c r="N850" s="762"/>
      <c r="O850" s="762"/>
      <c r="P850" s="762"/>
      <c r="Q850" s="762"/>
      <c r="R850" s="771"/>
      <c r="S850" s="771"/>
      <c r="T850" s="762"/>
      <c r="U850" s="762"/>
      <c r="V850" s="762"/>
      <c r="W850" s="762"/>
      <c r="X850" s="762"/>
      <c r="Y850" s="771"/>
      <c r="Z850" s="771"/>
      <c r="AA850" s="771"/>
      <c r="AB850" s="762"/>
      <c r="AC850" s="504"/>
      <c r="AF850" s="763"/>
      <c r="AH850" s="763"/>
      <c r="AI850" s="763"/>
      <c r="AK850" s="763"/>
    </row>
    <row r="851" spans="1:39">
      <c r="A851" s="4"/>
      <c r="B851" s="256"/>
      <c r="C851" s="6" t="s">
        <v>909</v>
      </c>
      <c r="D851" s="256"/>
      <c r="E851" s="36"/>
      <c r="F851" s="256"/>
      <c r="G851" s="35"/>
      <c r="H851" s="256"/>
      <c r="I851" s="256"/>
      <c r="J851" s="256"/>
      <c r="K851" s="256"/>
      <c r="L851" s="762"/>
      <c r="M851" s="762"/>
      <c r="N851" s="762"/>
      <c r="O851" s="762"/>
      <c r="P851" s="762"/>
      <c r="Q851" s="762"/>
      <c r="R851" s="771"/>
      <c r="S851" s="771"/>
      <c r="T851" s="762"/>
      <c r="U851" s="762"/>
      <c r="V851" s="762"/>
      <c r="W851" s="762"/>
      <c r="X851" s="762"/>
      <c r="Y851" s="771"/>
      <c r="Z851" s="771"/>
      <c r="AA851" s="771"/>
      <c r="AB851" s="762"/>
      <c r="AC851" s="504"/>
    </row>
    <row r="852" spans="1:39">
      <c r="A852" s="4">
        <v>380</v>
      </c>
      <c r="B852" s="256"/>
      <c r="C852" s="512" t="s">
        <v>897</v>
      </c>
      <c r="D852" s="256"/>
      <c r="E852" s="513" t="s">
        <v>704</v>
      </c>
      <c r="F852" s="256"/>
      <c r="G852" s="35">
        <v>12</v>
      </c>
      <c r="H852" s="256"/>
      <c r="I852" s="778">
        <v>2135.348</v>
      </c>
      <c r="J852" s="750">
        <f>G852*I852/1000</f>
        <v>25.624175999999999</v>
      </c>
      <c r="K852" s="256"/>
      <c r="L852" s="35">
        <v>0</v>
      </c>
      <c r="M852" s="35">
        <v>0</v>
      </c>
      <c r="N852" s="35">
        <v>0</v>
      </c>
      <c r="O852" s="35">
        <v>0</v>
      </c>
      <c r="P852" s="35">
        <v>0</v>
      </c>
      <c r="Q852" s="762">
        <f>SUM(J852-L852-M852-N852-O852-P852)</f>
        <v>25.624175999999999</v>
      </c>
      <c r="R852" s="771"/>
      <c r="S852" s="35">
        <v>0.69096042757531251</v>
      </c>
      <c r="T852" s="35">
        <v>0</v>
      </c>
      <c r="U852" s="35">
        <v>0</v>
      </c>
      <c r="V852" s="35">
        <v>0</v>
      </c>
      <c r="W852" s="35">
        <v>0</v>
      </c>
      <c r="X852" s="35">
        <v>0</v>
      </c>
      <c r="Y852" s="771"/>
      <c r="Z852" s="771">
        <f>Q852+S852+T852+U852+V852+W852+X852</f>
        <v>26.315136427575311</v>
      </c>
      <c r="AA852" s="778">
        <f>Z852/G852*1000</f>
        <v>2192.9280356312761</v>
      </c>
      <c r="AB852" s="762">
        <f>Z852-J852</f>
        <v>0.69096042757531251</v>
      </c>
      <c r="AC852" s="770">
        <f>AA852/I852-1</f>
        <v>2.696517646363783E-2</v>
      </c>
      <c r="AD852" s="769"/>
      <c r="AF852" s="763"/>
      <c r="AH852" s="763"/>
      <c r="AI852" s="763"/>
      <c r="AK852" s="763"/>
      <c r="AM852" s="777"/>
    </row>
    <row r="853" spans="1:39">
      <c r="A853" s="4"/>
      <c r="B853" s="256"/>
      <c r="C853" s="512" t="s">
        <v>880</v>
      </c>
      <c r="D853" s="256"/>
      <c r="E853" s="36"/>
      <c r="F853" s="256"/>
      <c r="G853" s="35"/>
      <c r="H853" s="256"/>
      <c r="I853" s="774"/>
      <c r="J853" s="750"/>
      <c r="K853" s="256"/>
      <c r="L853" s="762"/>
      <c r="M853" s="762"/>
      <c r="N853" s="762"/>
      <c r="O853" s="762"/>
      <c r="P853" s="762"/>
      <c r="Q853" s="762"/>
      <c r="R853" s="771"/>
      <c r="S853" s="35"/>
      <c r="T853" s="762"/>
      <c r="U853" s="762"/>
      <c r="V853" s="762"/>
      <c r="W853" s="762"/>
      <c r="X853" s="762"/>
      <c r="Y853" s="771"/>
      <c r="Z853" s="771"/>
      <c r="AA853" s="35"/>
      <c r="AB853" s="762"/>
      <c r="AC853" s="770"/>
      <c r="AD853" s="769"/>
      <c r="AF853" s="763"/>
      <c r="AH853" s="763"/>
      <c r="AI853" s="763"/>
      <c r="AK853" s="763"/>
      <c r="AM853" s="776"/>
    </row>
    <row r="854" spans="1:39">
      <c r="A854" s="4">
        <v>381</v>
      </c>
      <c r="B854" s="256"/>
      <c r="C854" s="775" t="s">
        <v>910</v>
      </c>
      <c r="D854" s="256"/>
      <c r="E854" s="513" t="s">
        <v>840</v>
      </c>
      <c r="F854" s="256"/>
      <c r="G854" s="35">
        <v>8863</v>
      </c>
      <c r="H854" s="256"/>
      <c r="I854" s="774">
        <v>4.734</v>
      </c>
      <c r="J854" s="750">
        <f>(G854*I854*12/1000)</f>
        <v>503.489304</v>
      </c>
      <c r="K854" s="256"/>
      <c r="L854" s="35">
        <v>0</v>
      </c>
      <c r="M854" s="35">
        <v>0</v>
      </c>
      <c r="N854" s="35">
        <v>0</v>
      </c>
      <c r="O854" s="35">
        <v>0</v>
      </c>
      <c r="P854" s="35">
        <v>0</v>
      </c>
      <c r="Q854" s="762">
        <f>SUM(J854-L854-M854-N854-O854-P854)</f>
        <v>503.489304</v>
      </c>
      <c r="R854" s="771"/>
      <c r="S854" s="35">
        <v>13.576677929914183</v>
      </c>
      <c r="T854" s="35">
        <v>0</v>
      </c>
      <c r="U854" s="35">
        <v>0</v>
      </c>
      <c r="V854" s="35">
        <v>0</v>
      </c>
      <c r="W854" s="35">
        <v>0</v>
      </c>
      <c r="X854" s="35">
        <v>0</v>
      </c>
      <c r="Y854" s="771"/>
      <c r="Z854" s="771">
        <f>Q854+S854+T854+U854+V854+W854+X854</f>
        <v>517.06598192991419</v>
      </c>
      <c r="AA854" s="773">
        <v>4.8620000000000001</v>
      </c>
      <c r="AB854" s="762">
        <f>Z854-J854</f>
        <v>13.576677929914183</v>
      </c>
      <c r="AC854" s="770">
        <f>AA854/I854-1</f>
        <v>2.7038445289395918E-2</v>
      </c>
      <c r="AD854" s="769"/>
      <c r="AF854" s="763"/>
      <c r="AH854" s="763"/>
      <c r="AI854" s="763"/>
      <c r="AK854" s="763"/>
      <c r="AM854" s="776"/>
    </row>
    <row r="855" spans="1:39">
      <c r="A855" s="4">
        <v>382</v>
      </c>
      <c r="C855" s="775" t="s">
        <v>911</v>
      </c>
      <c r="E855" s="513" t="s">
        <v>840</v>
      </c>
      <c r="G855" s="35">
        <v>0</v>
      </c>
      <c r="I855" s="774">
        <v>2.9039999999999999</v>
      </c>
      <c r="J855" s="35">
        <v>0</v>
      </c>
      <c r="L855" s="35">
        <v>0</v>
      </c>
      <c r="M855" s="35">
        <v>0</v>
      </c>
      <c r="N855" s="35">
        <v>0</v>
      </c>
      <c r="O855" s="35">
        <v>0</v>
      </c>
      <c r="P855" s="35">
        <v>0</v>
      </c>
      <c r="Q855" s="762">
        <f>SUM(J855-L855-M855-N855-O855-P855)</f>
        <v>0</v>
      </c>
      <c r="R855" s="68"/>
      <c r="S855" s="35">
        <v>0</v>
      </c>
      <c r="T855" s="35">
        <v>0</v>
      </c>
      <c r="U855" s="35">
        <v>0</v>
      </c>
      <c r="V855" s="35">
        <v>0</v>
      </c>
      <c r="W855" s="35">
        <v>0</v>
      </c>
      <c r="X855" s="35">
        <v>0</v>
      </c>
      <c r="Y855" s="68"/>
      <c r="Z855" s="771">
        <f>Q855+S855+T855+U855+V855+W855+X855</f>
        <v>0</v>
      </c>
      <c r="AA855" s="773">
        <v>2.9823068724504043</v>
      </c>
      <c r="AB855" s="762">
        <f>Z855-J855</f>
        <v>0</v>
      </c>
      <c r="AC855" s="770">
        <f>AA855/I855-1</f>
        <v>2.696517646363783E-2</v>
      </c>
      <c r="AD855" s="769"/>
      <c r="AF855" s="763"/>
      <c r="AH855" s="763"/>
      <c r="AI855" s="763"/>
      <c r="AK855" s="763"/>
    </row>
    <row r="856" spans="1:39">
      <c r="A856" s="4">
        <v>383</v>
      </c>
      <c r="C856" s="775" t="s">
        <v>912</v>
      </c>
      <c r="E856" s="513" t="s">
        <v>840</v>
      </c>
      <c r="G856" s="35">
        <v>0</v>
      </c>
      <c r="I856" s="774">
        <v>2.9039999999999999</v>
      </c>
      <c r="J856" s="35">
        <v>0</v>
      </c>
      <c r="L856" s="35">
        <v>0</v>
      </c>
      <c r="M856" s="35">
        <v>0</v>
      </c>
      <c r="N856" s="35">
        <v>0</v>
      </c>
      <c r="O856" s="35">
        <v>0</v>
      </c>
      <c r="P856" s="35">
        <v>0</v>
      </c>
      <c r="Q856" s="762">
        <f>SUM(J856-L856-M856-N856-O856-P856)</f>
        <v>0</v>
      </c>
      <c r="R856" s="68"/>
      <c r="S856" s="35">
        <v>0</v>
      </c>
      <c r="T856" s="35">
        <v>0</v>
      </c>
      <c r="U856" s="35">
        <v>0</v>
      </c>
      <c r="V856" s="35">
        <v>0</v>
      </c>
      <c r="W856" s="35">
        <v>0</v>
      </c>
      <c r="X856" s="35">
        <v>0</v>
      </c>
      <c r="Y856" s="68"/>
      <c r="Z856" s="771">
        <f>Q856+S856+T856+U856+V856+W856+X856</f>
        <v>0</v>
      </c>
      <c r="AA856" s="773">
        <v>2.9823068724504043</v>
      </c>
      <c r="AB856" s="762">
        <f>Z856-J856</f>
        <v>0</v>
      </c>
      <c r="AC856" s="770">
        <f>AA856/I856-1</f>
        <v>2.696517646363783E-2</v>
      </c>
      <c r="AD856" s="769"/>
      <c r="AF856" s="763"/>
      <c r="AH856" s="763"/>
      <c r="AI856" s="763"/>
      <c r="AK856" s="763"/>
    </row>
    <row r="857" spans="1:39">
      <c r="A857" s="4"/>
      <c r="C857" s="512" t="s">
        <v>913</v>
      </c>
      <c r="E857" s="504"/>
      <c r="G857" s="35"/>
      <c r="J857" s="752"/>
      <c r="L857" s="762"/>
      <c r="M857" s="762"/>
      <c r="N857" s="35">
        <v>0</v>
      </c>
      <c r="O857" s="762"/>
      <c r="P857" s="762"/>
      <c r="Q857" s="762"/>
      <c r="R857" s="68"/>
      <c r="S857" s="35"/>
      <c r="T857" s="762"/>
      <c r="U857" s="762"/>
      <c r="V857" s="762"/>
      <c r="W857" s="762"/>
      <c r="X857" s="762"/>
      <c r="Y857" s="68"/>
      <c r="Z857" s="771"/>
      <c r="AA857" s="772"/>
      <c r="AB857" s="762"/>
      <c r="AC857" s="770"/>
      <c r="AD857" s="769"/>
      <c r="AF857" s="763"/>
      <c r="AH857" s="763"/>
      <c r="AI857" s="763"/>
      <c r="AK857" s="763"/>
    </row>
    <row r="858" spans="1:39">
      <c r="A858" s="4">
        <v>384</v>
      </c>
      <c r="C858" s="519" t="s">
        <v>914</v>
      </c>
      <c r="E858" s="513" t="s">
        <v>777</v>
      </c>
      <c r="G858" s="35">
        <v>1303506.0105505299</v>
      </c>
      <c r="I858" s="35">
        <v>0</v>
      </c>
      <c r="J858" s="35">
        <v>41.171305514776698</v>
      </c>
      <c r="L858" s="35">
        <v>0</v>
      </c>
      <c r="M858" s="35">
        <v>0</v>
      </c>
      <c r="N858" s="35">
        <v>0</v>
      </c>
      <c r="O858" s="35">
        <v>11.973151205783873</v>
      </c>
      <c r="P858" s="35">
        <v>29.198154308992827</v>
      </c>
      <c r="Q858" s="762">
        <f>SUM(J858-L858-M858-N858-O858-P858)</f>
        <v>0</v>
      </c>
      <c r="R858" s="68"/>
      <c r="S858" s="35">
        <v>0</v>
      </c>
      <c r="T858" s="35">
        <v>0</v>
      </c>
      <c r="U858" s="35">
        <v>0</v>
      </c>
      <c r="V858" s="35">
        <v>0</v>
      </c>
      <c r="W858" s="35">
        <v>14.61077492690648</v>
      </c>
      <c r="X858" s="35">
        <v>29.038100539070125</v>
      </c>
      <c r="Y858" s="68"/>
      <c r="Z858" s="771">
        <f>V858+W858+X858</f>
        <v>43.648875465976602</v>
      </c>
      <c r="AA858" s="35">
        <v>0</v>
      </c>
      <c r="AB858" s="762">
        <f>Z858-J858</f>
        <v>2.4775699511999036</v>
      </c>
      <c r="AC858" s="770"/>
      <c r="AD858" s="769"/>
      <c r="AF858" s="763"/>
      <c r="AH858" s="763"/>
      <c r="AI858" s="763"/>
      <c r="AK858" s="763"/>
    </row>
    <row r="859" spans="1:39">
      <c r="A859" s="4"/>
      <c r="C859" s="504"/>
      <c r="E859" s="36"/>
      <c r="G859" s="35"/>
      <c r="J859" s="752"/>
      <c r="L859" s="762"/>
      <c r="M859" s="762"/>
      <c r="N859" s="762"/>
      <c r="O859" s="762"/>
      <c r="P859" s="762"/>
      <c r="Q859" s="762"/>
      <c r="R859" s="68"/>
      <c r="S859" s="68"/>
      <c r="T859" s="762"/>
      <c r="U859" s="762"/>
      <c r="V859" s="762"/>
      <c r="W859" s="762"/>
      <c r="X859" s="762"/>
      <c r="Y859" s="68"/>
      <c r="Z859" s="68"/>
      <c r="AA859" s="68"/>
      <c r="AB859" s="762"/>
      <c r="AC859" s="770"/>
      <c r="AD859" s="769"/>
      <c r="AF859" s="763"/>
      <c r="AH859" s="763"/>
      <c r="AI859" s="763"/>
      <c r="AK859" s="763"/>
    </row>
    <row r="860" spans="1:39" ht="13.5" thickBot="1">
      <c r="A860" s="4">
        <v>385</v>
      </c>
      <c r="C860" s="504" t="s">
        <v>915</v>
      </c>
      <c r="E860" s="36"/>
      <c r="G860" s="768">
        <v>1303506.0105505299</v>
      </c>
      <c r="I860" s="767">
        <f>J860/G860*1000</f>
        <v>0.43750069497103389</v>
      </c>
      <c r="J860" s="758">
        <f>SUM(J852:J858)</f>
        <v>570.28478551477667</v>
      </c>
      <c r="K860" s="752"/>
      <c r="L860" s="760">
        <f t="shared" ref="L860:Q860" si="199">SUM(L852:L858)</f>
        <v>0</v>
      </c>
      <c r="M860" s="760">
        <f t="shared" si="199"/>
        <v>0</v>
      </c>
      <c r="N860" s="760">
        <f t="shared" si="199"/>
        <v>0</v>
      </c>
      <c r="O860" s="760">
        <f t="shared" si="199"/>
        <v>11.973151205783873</v>
      </c>
      <c r="P860" s="760">
        <f t="shared" si="199"/>
        <v>29.198154308992827</v>
      </c>
      <c r="Q860" s="760">
        <f t="shared" si="199"/>
        <v>529.11347999999998</v>
      </c>
      <c r="R860" s="68"/>
      <c r="S860" s="760">
        <f t="shared" ref="S860:X860" si="200">SUM(S852:S858)</f>
        <v>14.267638357489496</v>
      </c>
      <c r="T860" s="760">
        <f t="shared" si="200"/>
        <v>0</v>
      </c>
      <c r="U860" s="760">
        <f t="shared" si="200"/>
        <v>0</v>
      </c>
      <c r="V860" s="760">
        <f t="shared" si="200"/>
        <v>0</v>
      </c>
      <c r="W860" s="760">
        <f t="shared" si="200"/>
        <v>14.61077492690648</v>
      </c>
      <c r="X860" s="760">
        <f t="shared" si="200"/>
        <v>29.038100539070125</v>
      </c>
      <c r="Y860" s="68"/>
      <c r="Z860" s="760">
        <f>SUM(Z852:Z858)</f>
        <v>587.02999382346616</v>
      </c>
      <c r="AA860" s="766">
        <f>Z860/G860*1000</f>
        <v>0.45034697889543041</v>
      </c>
      <c r="AB860" s="760">
        <f>SUM(AB852:AB858)</f>
        <v>16.745208308689399</v>
      </c>
      <c r="AC860" s="765">
        <f>AA860/I860-1</f>
        <v>2.9362888041233992E-2</v>
      </c>
      <c r="AD860" s="764"/>
      <c r="AF860" s="763"/>
      <c r="AH860" s="763"/>
      <c r="AI860" s="763"/>
      <c r="AK860" s="763"/>
    </row>
    <row r="861" spans="1:39" ht="13.5" thickTop="1">
      <c r="A861" s="4"/>
      <c r="C861" s="504"/>
      <c r="E861" s="36"/>
      <c r="G861" s="35"/>
      <c r="L861" s="504"/>
      <c r="M861" s="504"/>
      <c r="N861" s="504"/>
      <c r="O861" s="504"/>
      <c r="P861" s="504"/>
      <c r="Q861" s="504"/>
      <c r="T861" s="504"/>
      <c r="U861" s="504"/>
      <c r="V861" s="504"/>
      <c r="W861" s="504"/>
      <c r="X861" s="504"/>
      <c r="AB861" s="762"/>
      <c r="AC861" s="504"/>
      <c r="AF861" s="763"/>
      <c r="AH861" s="763"/>
      <c r="AI861" s="763"/>
      <c r="AJ861" s="763"/>
      <c r="AK861" s="763"/>
    </row>
    <row r="862" spans="1:39">
      <c r="A862" s="4">
        <v>386</v>
      </c>
      <c r="C862" s="730" t="s">
        <v>916</v>
      </c>
      <c r="E862" s="36"/>
      <c r="G862" s="35"/>
      <c r="J862" s="35">
        <v>1196.9395495536583</v>
      </c>
      <c r="L862" s="762">
        <v>0</v>
      </c>
      <c r="M862" s="762">
        <v>0</v>
      </c>
      <c r="N862" s="762">
        <v>0</v>
      </c>
      <c r="O862" s="762">
        <v>0</v>
      </c>
      <c r="P862" s="762">
        <v>0</v>
      </c>
      <c r="Q862" s="762">
        <f>J862</f>
        <v>1196.9395495536583</v>
      </c>
      <c r="S862" s="68">
        <f>Z862-Q862</f>
        <v>12.998163194410154</v>
      </c>
      <c r="T862" s="762">
        <v>0</v>
      </c>
      <c r="U862" s="762">
        <v>0</v>
      </c>
      <c r="V862" s="762">
        <v>0</v>
      </c>
      <c r="W862" s="762">
        <v>0</v>
      </c>
      <c r="X862" s="762">
        <v>0</v>
      </c>
      <c r="Z862" s="68">
        <v>1209.9377127480684</v>
      </c>
      <c r="AB862" s="762">
        <f>Z862-J862</f>
        <v>12.998163194410154</v>
      </c>
      <c r="AC862" s="504"/>
    </row>
    <row r="863" spans="1:39">
      <c r="A863" s="4"/>
      <c r="C863" s="757" t="s">
        <v>917</v>
      </c>
      <c r="E863" s="36"/>
      <c r="G863" s="35"/>
      <c r="L863" s="504"/>
      <c r="M863" s="504"/>
      <c r="N863" s="504"/>
      <c r="O863" s="504"/>
      <c r="P863" s="504"/>
      <c r="Q863" s="504"/>
      <c r="T863" s="504"/>
      <c r="U863" s="504"/>
      <c r="V863" s="504"/>
      <c r="W863" s="504"/>
      <c r="X863" s="504"/>
      <c r="AB863" s="504"/>
      <c r="AC863" s="504"/>
    </row>
    <row r="864" spans="1:39" ht="13.5" thickBot="1">
      <c r="A864" s="4">
        <v>387</v>
      </c>
      <c r="C864" s="504" t="s">
        <v>533</v>
      </c>
      <c r="E864" s="36"/>
      <c r="G864" s="35"/>
      <c r="J864" s="758">
        <f>J729+J734+J737+J764+J799+J818+J820+J838+J860+J862</f>
        <v>166791.93719886799</v>
      </c>
      <c r="K864" s="752"/>
      <c r="L864" s="760">
        <f t="shared" ref="L864:Q864" si="201">L729+L734+L737+L764+L799+L818+L820+L838+L860+L862</f>
        <v>0</v>
      </c>
      <c r="M864" s="760">
        <f t="shared" si="201"/>
        <v>0</v>
      </c>
      <c r="N864" s="760">
        <f t="shared" si="201"/>
        <v>0</v>
      </c>
      <c r="O864" s="758">
        <f t="shared" si="201"/>
        <v>6290.4132729831172</v>
      </c>
      <c r="P864" s="758">
        <f t="shared" si="201"/>
        <v>16130.338134665028</v>
      </c>
      <c r="Q864" s="761">
        <f t="shared" si="201"/>
        <v>144371.18579121982</v>
      </c>
      <c r="R864" s="752"/>
      <c r="S864" s="758">
        <f t="shared" ref="S864:X864" si="202">S729+S734+S737+S764+S799+S818+S820+S838+S860+S862</f>
        <v>3442.9140658251235</v>
      </c>
      <c r="T864" s="760">
        <f t="shared" si="202"/>
        <v>0</v>
      </c>
      <c r="U864" s="760">
        <f t="shared" si="202"/>
        <v>0</v>
      </c>
      <c r="V864" s="760">
        <f t="shared" si="202"/>
        <v>0</v>
      </c>
      <c r="W864" s="758">
        <f t="shared" si="202"/>
        <v>7687.2236298008047</v>
      </c>
      <c r="X864" s="759">
        <f t="shared" si="202"/>
        <v>16044.616752677623</v>
      </c>
      <c r="Y864" s="752"/>
      <c r="Z864" s="758">
        <f>Z729+Z734+Z737+Z764+Z799+Z818+Z820+Z838+Z860+Z862</f>
        <v>171545.94023952342</v>
      </c>
      <c r="AA864" s="752"/>
      <c r="AB864" s="758">
        <f>AB729+AB734+AB737+AB764+AB799+AB818+AB838+AB860+AB862</f>
        <v>4754.0030406554088</v>
      </c>
      <c r="AC864" s="504"/>
    </row>
    <row r="865" spans="1:29" ht="13.5" thickTop="1">
      <c r="A865" s="4"/>
      <c r="E865" s="36"/>
      <c r="G865" s="35"/>
      <c r="L865" s="504"/>
      <c r="M865" s="504"/>
      <c r="N865" s="504"/>
      <c r="O865" s="504"/>
      <c r="P865" s="504"/>
      <c r="Q865" s="504"/>
      <c r="T865" s="504"/>
      <c r="U865" s="504"/>
      <c r="V865" s="504"/>
      <c r="W865" s="504"/>
      <c r="X865" s="504"/>
      <c r="AB865" s="504"/>
      <c r="AC865" s="504"/>
    </row>
    <row r="866" spans="1:29" ht="13.5" thickBot="1">
      <c r="A866" s="4">
        <v>388</v>
      </c>
      <c r="C866" s="757" t="s">
        <v>918</v>
      </c>
      <c r="E866" s="36"/>
      <c r="G866" s="35"/>
      <c r="J866" s="756">
        <f>J710+J864</f>
        <v>5949261.1989194425</v>
      </c>
      <c r="K866" s="750"/>
      <c r="L866" s="756">
        <f t="shared" ref="L866:Q866" si="203">L710+L864</f>
        <v>143871.4637834662</v>
      </c>
      <c r="M866" s="756">
        <f t="shared" si="203"/>
        <v>46925.204694014014</v>
      </c>
      <c r="N866" s="756">
        <f t="shared" si="203"/>
        <v>4279.0945088308627</v>
      </c>
      <c r="O866" s="756">
        <f t="shared" si="203"/>
        <v>44447.217232064511</v>
      </c>
      <c r="P866" s="756">
        <f t="shared" si="203"/>
        <v>36592.89998631717</v>
      </c>
      <c r="Q866" s="756">
        <f t="shared" si="203"/>
        <v>5675187.7158003505</v>
      </c>
      <c r="R866" s="750"/>
      <c r="S866" s="756">
        <f t="shared" ref="S866:X866" si="204">S710+S864</f>
        <v>70272.271262117269</v>
      </c>
      <c r="T866" s="756">
        <f t="shared" si="204"/>
        <v>183081.92719976377</v>
      </c>
      <c r="U866" s="756">
        <f t="shared" si="204"/>
        <v>46390.692841946395</v>
      </c>
      <c r="V866" s="756">
        <f t="shared" si="204"/>
        <v>3884.1941707516062</v>
      </c>
      <c r="W866" s="756">
        <f t="shared" si="204"/>
        <v>50562.222007935474</v>
      </c>
      <c r="X866" s="756">
        <f t="shared" si="204"/>
        <v>35305.778577559577</v>
      </c>
      <c r="Y866" s="750"/>
      <c r="Z866" s="756">
        <f>Z710+Z864</f>
        <v>6064684.8018604266</v>
      </c>
      <c r="AA866" s="750"/>
      <c r="AB866" s="756">
        <f>AB710+AB864</f>
        <v>115423.60294098376</v>
      </c>
      <c r="AC866" s="504"/>
    </row>
    <row r="867" spans="1:29" ht="13.5" thickTop="1">
      <c r="A867" s="4"/>
      <c r="B867" s="256"/>
      <c r="C867" s="9"/>
      <c r="D867" s="256"/>
      <c r="E867" s="742"/>
      <c r="F867" s="256"/>
      <c r="G867" s="35"/>
      <c r="H867" s="256"/>
      <c r="I867" s="256"/>
      <c r="J867" s="752"/>
      <c r="L867" s="752"/>
      <c r="M867" s="752"/>
      <c r="N867" s="522"/>
      <c r="O867" s="522"/>
      <c r="P867" s="522"/>
      <c r="Q867" s="522"/>
      <c r="R867" s="522"/>
      <c r="S867" s="522"/>
      <c r="T867" s="522"/>
      <c r="U867" s="522"/>
      <c r="V867" s="522"/>
      <c r="W867" s="522"/>
      <c r="X867" s="522"/>
      <c r="Y867" s="522"/>
      <c r="Z867" s="522"/>
      <c r="AB867" s="755"/>
      <c r="AC867" s="504"/>
    </row>
    <row r="868" spans="1:29">
      <c r="A868" s="553" t="s">
        <v>39</v>
      </c>
      <c r="G868" s="135"/>
      <c r="J868" s="752"/>
      <c r="L868" s="752"/>
      <c r="M868" s="752"/>
      <c r="N868" s="752"/>
      <c r="O868" s="752"/>
      <c r="P868" s="752"/>
      <c r="Q868" s="752"/>
      <c r="R868" s="752"/>
      <c r="S868" s="752"/>
      <c r="T868" s="752"/>
      <c r="U868" s="752"/>
      <c r="V868" s="752"/>
      <c r="W868" s="752"/>
      <c r="X868" s="752"/>
      <c r="Y868" s="752"/>
      <c r="Z868" s="752"/>
      <c r="AB868" s="754"/>
      <c r="AC868" s="504"/>
    </row>
    <row r="869" spans="1:29">
      <c r="A869" s="5" t="s">
        <v>40</v>
      </c>
      <c r="C869" s="2" t="s">
        <v>919</v>
      </c>
      <c r="G869" s="135"/>
      <c r="L869" s="504"/>
      <c r="M869" s="504"/>
      <c r="N869" s="504"/>
      <c r="O869" s="504"/>
      <c r="P869" s="504"/>
      <c r="Q869" s="753"/>
      <c r="T869" s="504"/>
      <c r="U869" s="504"/>
      <c r="V869" s="504"/>
      <c r="W869" s="504"/>
      <c r="X869" s="504"/>
      <c r="AB869" s="504"/>
      <c r="AC869" s="504"/>
    </row>
    <row r="870" spans="1:29">
      <c r="A870" s="5" t="s">
        <v>42</v>
      </c>
      <c r="C870" s="2" t="s">
        <v>536</v>
      </c>
      <c r="G870" s="135"/>
      <c r="L870" s="504"/>
      <c r="M870" s="504"/>
      <c r="N870" s="504"/>
      <c r="O870" s="504"/>
      <c r="P870" s="504"/>
      <c r="Q870" s="753"/>
      <c r="T870" s="504"/>
      <c r="U870" s="504"/>
      <c r="V870" s="504"/>
      <c r="W870" s="504"/>
      <c r="X870" s="504"/>
      <c r="AB870" s="504"/>
      <c r="AC870" s="504"/>
    </row>
    <row r="871" spans="1:29">
      <c r="A871" s="5" t="s">
        <v>44</v>
      </c>
      <c r="C871" s="2" t="s">
        <v>538</v>
      </c>
      <c r="G871" s="135"/>
      <c r="L871" s="504"/>
      <c r="M871" s="504"/>
      <c r="N871" s="504"/>
      <c r="O871" s="504"/>
      <c r="P871" s="504"/>
      <c r="Q871" s="504"/>
      <c r="T871" s="504"/>
      <c r="U871" s="504"/>
      <c r="V871" s="504"/>
      <c r="W871" s="504"/>
      <c r="X871" s="504"/>
      <c r="Z871" s="752"/>
      <c r="AB871" s="504"/>
      <c r="AC871" s="504"/>
    </row>
    <row r="872" spans="1:29">
      <c r="A872" s="5" t="s">
        <v>46</v>
      </c>
      <c r="B872" s="504"/>
      <c r="C872" s="12" t="s">
        <v>920</v>
      </c>
      <c r="G872" s="135"/>
      <c r="L872" s="504"/>
      <c r="M872" s="504"/>
      <c r="N872" s="504"/>
      <c r="O872" s="504"/>
      <c r="P872" s="504"/>
      <c r="Q872" s="504"/>
      <c r="T872" s="504"/>
      <c r="U872" s="504"/>
      <c r="V872" s="504"/>
      <c r="W872" s="504"/>
      <c r="X872" s="504"/>
      <c r="Z872" s="752"/>
      <c r="AB872" s="504"/>
      <c r="AC872" s="504"/>
    </row>
    <row r="873" spans="1:29">
      <c r="A873" s="5" t="s">
        <v>48</v>
      </c>
      <c r="B873" s="504"/>
      <c r="C873" s="2" t="s">
        <v>921</v>
      </c>
      <c r="G873" s="135"/>
      <c r="L873" s="504"/>
      <c r="M873" s="504"/>
      <c r="N873" s="504"/>
      <c r="O873" s="504"/>
      <c r="P873" s="504"/>
      <c r="Q873" s="504"/>
      <c r="T873" s="504"/>
      <c r="U873" s="504"/>
      <c r="V873" s="504"/>
      <c r="W873" s="504"/>
      <c r="X873" s="504"/>
      <c r="Z873" s="752"/>
      <c r="AB873" s="504"/>
      <c r="AC873" s="504"/>
    </row>
    <row r="874" spans="1:29">
      <c r="A874" s="5" t="s">
        <v>50</v>
      </c>
      <c r="B874" s="504"/>
      <c r="C874" s="2" t="s">
        <v>922</v>
      </c>
      <c r="G874" s="135"/>
      <c r="L874" s="504"/>
      <c r="M874" s="504"/>
      <c r="N874" s="504"/>
      <c r="O874" s="504"/>
      <c r="P874" s="504"/>
      <c r="Q874" s="504"/>
      <c r="T874" s="504"/>
      <c r="U874" s="504"/>
      <c r="V874" s="504"/>
      <c r="W874" s="504"/>
      <c r="X874" s="504"/>
      <c r="Z874" s="752"/>
      <c r="AB874" s="504"/>
      <c r="AC874" s="504"/>
    </row>
    <row r="875" spans="1:29">
      <c r="A875" s="5" t="s">
        <v>52</v>
      </c>
      <c r="C875" s="2" t="s">
        <v>923</v>
      </c>
      <c r="G875" s="135"/>
      <c r="L875" s="504"/>
      <c r="M875" s="504"/>
      <c r="N875" s="504"/>
      <c r="O875" s="504"/>
      <c r="P875" s="504"/>
      <c r="Q875" s="504"/>
      <c r="T875" s="504"/>
      <c r="U875" s="504"/>
      <c r="V875" s="504"/>
      <c r="W875" s="504"/>
      <c r="X875" s="504"/>
      <c r="AB875" s="504"/>
      <c r="AC875" s="504"/>
    </row>
    <row r="876" spans="1:29">
      <c r="A876" s="5" t="s">
        <v>54</v>
      </c>
      <c r="B876" s="11"/>
      <c r="C876" s="12" t="s">
        <v>924</v>
      </c>
      <c r="G876" s="135"/>
      <c r="L876" s="504"/>
      <c r="M876" s="504"/>
      <c r="N876" s="504"/>
      <c r="O876" s="504"/>
      <c r="P876" s="504"/>
      <c r="Q876" s="504"/>
      <c r="T876" s="504"/>
      <c r="U876" s="504"/>
      <c r="V876" s="504"/>
      <c r="W876" s="504"/>
      <c r="X876" s="504"/>
      <c r="AB876" s="504"/>
      <c r="AC876" s="504"/>
    </row>
    <row r="877" spans="1:29">
      <c r="B877" s="11"/>
      <c r="C877" s="7"/>
      <c r="G877" s="135"/>
      <c r="L877" s="504"/>
      <c r="M877" s="504"/>
      <c r="N877" s="504"/>
      <c r="O877" s="504"/>
      <c r="P877" s="504"/>
      <c r="Q877" s="504"/>
      <c r="T877" s="504"/>
      <c r="U877" s="504"/>
      <c r="V877" s="504"/>
      <c r="W877" s="504"/>
      <c r="X877" s="504"/>
      <c r="AB877" s="504"/>
      <c r="AC877" s="504"/>
    </row>
    <row r="878" spans="1:29">
      <c r="A878" s="4"/>
      <c r="B878" s="11"/>
      <c r="D878" s="256"/>
      <c r="E878" s="36"/>
      <c r="F878" s="256"/>
      <c r="G878" s="453"/>
      <c r="H878" s="256"/>
      <c r="I878" s="256"/>
      <c r="J878" s="256"/>
      <c r="K878" s="256"/>
      <c r="R878" s="256"/>
      <c r="S878" s="256"/>
      <c r="Y878" s="256"/>
      <c r="Z878" s="256"/>
      <c r="AA878" s="256"/>
    </row>
    <row r="879" spans="1:29">
      <c r="A879" s="4"/>
      <c r="B879" s="11"/>
      <c r="C879" s="7"/>
      <c r="D879" s="256"/>
      <c r="E879" s="36"/>
      <c r="F879" s="256"/>
      <c r="G879" s="453"/>
      <c r="H879" s="256"/>
      <c r="I879" s="256"/>
      <c r="J879" s="256"/>
      <c r="K879" s="256"/>
      <c r="R879" s="256"/>
      <c r="S879" s="256"/>
      <c r="W879" s="728"/>
      <c r="Y879" s="256"/>
      <c r="Z879" s="256"/>
      <c r="AA879" s="256"/>
    </row>
    <row r="880" spans="1:29">
      <c r="A880" s="4"/>
      <c r="B880" s="256"/>
      <c r="C880" s="7"/>
      <c r="D880" s="256"/>
      <c r="E880" s="36"/>
      <c r="F880" s="256"/>
      <c r="G880" s="24"/>
      <c r="H880" s="256"/>
      <c r="I880" s="256"/>
      <c r="J880" s="256"/>
      <c r="K880" s="256"/>
      <c r="L880" s="644"/>
      <c r="R880" s="256"/>
      <c r="S880" s="256"/>
      <c r="Y880" s="256"/>
      <c r="Z880" s="256"/>
      <c r="AA880" s="256"/>
    </row>
    <row r="881" spans="1:27">
      <c r="A881" s="4"/>
      <c r="B881" s="256"/>
      <c r="C881" s="7"/>
      <c r="D881" s="256"/>
      <c r="E881" s="36"/>
      <c r="F881" s="256"/>
      <c r="G881" s="453"/>
      <c r="H881" s="256"/>
      <c r="I881" s="256"/>
      <c r="J881" s="256"/>
      <c r="K881" s="256"/>
      <c r="L881" s="644"/>
      <c r="N881" s="751"/>
      <c r="R881" s="256"/>
      <c r="S881" s="256"/>
      <c r="Y881" s="256"/>
      <c r="Z881" s="256"/>
      <c r="AA881" s="256"/>
    </row>
    <row r="882" spans="1:27">
      <c r="A882" s="4"/>
      <c r="B882" s="256"/>
      <c r="D882" s="256"/>
      <c r="E882" s="742"/>
      <c r="F882" s="256"/>
      <c r="G882" s="453"/>
      <c r="H882" s="256"/>
      <c r="I882" s="750"/>
      <c r="J882" s="256"/>
      <c r="K882" s="256"/>
      <c r="M882" s="728"/>
      <c r="N882" s="746"/>
      <c r="P882" s="728"/>
      <c r="Q882" s="728"/>
      <c r="R882" s="256"/>
      <c r="S882" s="256"/>
      <c r="Y882" s="256"/>
      <c r="Z882" s="256"/>
      <c r="AA882" s="256"/>
    </row>
    <row r="883" spans="1:27">
      <c r="A883" s="4"/>
      <c r="B883" s="256"/>
      <c r="C883" s="6"/>
      <c r="D883" s="256"/>
      <c r="E883" s="134"/>
      <c r="F883" s="256"/>
      <c r="G883" s="749"/>
      <c r="H883" s="256"/>
      <c r="I883" s="256"/>
      <c r="J883" s="256"/>
      <c r="K883" s="256"/>
      <c r="M883" s="728"/>
      <c r="N883" s="746"/>
      <c r="R883" s="256"/>
      <c r="S883" s="256"/>
      <c r="Y883" s="256"/>
      <c r="Z883" s="256"/>
      <c r="AA883" s="256"/>
    </row>
    <row r="884" spans="1:27">
      <c r="A884" s="4"/>
      <c r="C884" s="7"/>
      <c r="E884" s="513"/>
      <c r="G884" s="24"/>
      <c r="M884" s="728"/>
      <c r="N884" s="746"/>
    </row>
    <row r="885" spans="1:27">
      <c r="C885" s="7"/>
      <c r="E885" s="36"/>
      <c r="G885" s="24"/>
      <c r="M885" s="728"/>
      <c r="N885" s="746"/>
    </row>
    <row r="886" spans="1:27">
      <c r="A886" s="4"/>
      <c r="B886" s="256"/>
      <c r="C886" s="9"/>
      <c r="D886" s="256"/>
      <c r="E886" s="318"/>
      <c r="F886" s="256"/>
      <c r="G886" s="24"/>
      <c r="H886" s="256"/>
      <c r="I886" s="256"/>
      <c r="J886" s="256"/>
      <c r="K886" s="256"/>
      <c r="N886" s="326"/>
      <c r="R886" s="256"/>
      <c r="S886" s="256"/>
      <c r="Y886" s="256"/>
      <c r="Z886" s="256"/>
      <c r="AA886" s="256"/>
    </row>
    <row r="887" spans="1:27">
      <c r="A887" s="4"/>
      <c r="B887" s="256"/>
      <c r="C887" s="9"/>
      <c r="D887" s="256"/>
      <c r="E887" s="742"/>
      <c r="F887" s="256"/>
      <c r="G887" s="24"/>
      <c r="H887" s="256"/>
      <c r="I887" s="256"/>
      <c r="J887" s="256"/>
      <c r="K887" s="256"/>
      <c r="L887" s="644"/>
      <c r="M887" s="644"/>
      <c r="N887" s="326"/>
      <c r="R887" s="256"/>
      <c r="S887" s="256"/>
      <c r="Y887" s="256"/>
      <c r="Z887" s="256"/>
      <c r="AA887" s="256"/>
    </row>
    <row r="888" spans="1:27">
      <c r="A888" s="4"/>
      <c r="B888" s="256"/>
      <c r="C888" s="9"/>
      <c r="D888" s="256"/>
      <c r="E888" s="318"/>
      <c r="F888" s="256"/>
      <c r="G888" s="24"/>
      <c r="H888" s="256"/>
      <c r="I888" s="256"/>
      <c r="J888" s="256"/>
      <c r="K888" s="256"/>
      <c r="M888" s="728"/>
      <c r="N888" s="746"/>
      <c r="P888" s="728"/>
      <c r="Q888" s="728"/>
      <c r="R888" s="256"/>
      <c r="S888" s="256"/>
      <c r="Y888" s="256"/>
      <c r="Z888" s="256"/>
      <c r="AA888" s="256"/>
    </row>
    <row r="889" spans="1:27">
      <c r="A889" s="4"/>
      <c r="B889" s="256"/>
      <c r="C889" s="7"/>
      <c r="D889" s="256"/>
      <c r="E889" s="36"/>
      <c r="F889" s="256"/>
      <c r="G889" s="453"/>
      <c r="H889" s="256"/>
      <c r="I889" s="256"/>
      <c r="J889" s="256"/>
      <c r="K889" s="256"/>
      <c r="M889" s="728"/>
      <c r="N889" s="746"/>
      <c r="R889" s="256"/>
      <c r="S889" s="256"/>
      <c r="Y889" s="256"/>
      <c r="Z889" s="256"/>
      <c r="AA889" s="256"/>
    </row>
    <row r="890" spans="1:27">
      <c r="E890" s="36"/>
      <c r="G890" s="24"/>
      <c r="M890" s="728"/>
      <c r="N890" s="746"/>
    </row>
    <row r="891" spans="1:27">
      <c r="C891" s="733"/>
      <c r="E891" s="36"/>
      <c r="G891" s="24"/>
      <c r="M891" s="728"/>
      <c r="N891" s="746"/>
    </row>
    <row r="892" spans="1:27">
      <c r="C892" s="320"/>
      <c r="E892" s="36"/>
      <c r="G892" s="24"/>
      <c r="N892" s="326"/>
    </row>
    <row r="893" spans="1:27">
      <c r="A893" s="4"/>
      <c r="C893" s="747"/>
      <c r="E893" s="36"/>
      <c r="G893" s="24"/>
      <c r="L893" s="644"/>
      <c r="M893" s="644"/>
      <c r="N893" s="326"/>
    </row>
    <row r="894" spans="1:27">
      <c r="C894" s="320"/>
      <c r="E894" s="36"/>
      <c r="G894" s="24"/>
      <c r="M894" s="728"/>
      <c r="N894" s="746"/>
      <c r="P894" s="728"/>
      <c r="Q894" s="728"/>
    </row>
    <row r="895" spans="1:27">
      <c r="A895" s="4"/>
      <c r="C895" s="747"/>
      <c r="E895" s="36"/>
      <c r="G895" s="24"/>
      <c r="M895" s="728"/>
      <c r="N895" s="748"/>
    </row>
    <row r="896" spans="1:27">
      <c r="A896" s="4"/>
      <c r="C896" s="747"/>
      <c r="E896" s="36"/>
      <c r="G896" s="24"/>
      <c r="M896" s="728"/>
      <c r="N896" s="748"/>
    </row>
    <row r="897" spans="1:27">
      <c r="A897" s="4"/>
      <c r="C897" s="747"/>
      <c r="E897" s="36"/>
      <c r="G897" s="24"/>
      <c r="M897" s="728"/>
      <c r="N897" s="748"/>
    </row>
    <row r="898" spans="1:27">
      <c r="A898" s="4"/>
      <c r="C898" s="747"/>
      <c r="E898" s="36"/>
      <c r="G898" s="24"/>
      <c r="N898" s="326"/>
    </row>
    <row r="899" spans="1:27">
      <c r="C899" s="320"/>
      <c r="E899" s="36"/>
      <c r="G899" s="24"/>
      <c r="L899" s="644"/>
      <c r="N899" s="326"/>
    </row>
    <row r="900" spans="1:27">
      <c r="A900" s="4"/>
      <c r="C900" s="747"/>
      <c r="E900" s="36"/>
      <c r="G900" s="24"/>
      <c r="L900" s="644"/>
      <c r="M900" s="728"/>
      <c r="N900" s="746"/>
    </row>
    <row r="901" spans="1:27">
      <c r="C901" s="733"/>
      <c r="E901" s="36"/>
      <c r="G901" s="24"/>
      <c r="M901" s="728"/>
      <c r="N901" s="746"/>
    </row>
    <row r="902" spans="1:27">
      <c r="A902" s="4"/>
      <c r="B902" s="256"/>
      <c r="C902" s="9"/>
      <c r="D902" s="256"/>
      <c r="E902" s="742"/>
      <c r="F902" s="256"/>
      <c r="G902" s="24"/>
      <c r="H902" s="256"/>
      <c r="I902" s="256"/>
      <c r="J902" s="256"/>
      <c r="K902" s="256"/>
      <c r="M902" s="728"/>
      <c r="N902" s="746"/>
      <c r="R902" s="256"/>
      <c r="S902" s="256"/>
      <c r="Y902" s="256"/>
      <c r="Z902" s="256"/>
      <c r="AA902" s="256"/>
    </row>
    <row r="903" spans="1:27">
      <c r="G903" s="135"/>
    </row>
    <row r="904" spans="1:27">
      <c r="A904" s="4"/>
      <c r="B904" s="256"/>
      <c r="C904" s="7"/>
      <c r="D904" s="256"/>
      <c r="E904" s="36"/>
      <c r="F904" s="256"/>
      <c r="G904" s="453"/>
      <c r="H904" s="256"/>
      <c r="I904" s="256"/>
      <c r="J904" s="256"/>
      <c r="K904" s="256"/>
      <c r="M904" s="728"/>
      <c r="R904" s="256"/>
      <c r="S904" s="256"/>
      <c r="Y904" s="256"/>
      <c r="Z904" s="256"/>
      <c r="AA904" s="256"/>
    </row>
    <row r="905" spans="1:27">
      <c r="A905" s="4"/>
      <c r="B905" s="256"/>
      <c r="C905" s="7"/>
      <c r="D905" s="256"/>
      <c r="E905" s="36"/>
      <c r="F905" s="256"/>
      <c r="G905" s="24"/>
      <c r="H905" s="256"/>
      <c r="I905" s="256"/>
      <c r="J905" s="256"/>
      <c r="K905" s="256"/>
      <c r="R905" s="256"/>
      <c r="S905" s="256"/>
      <c r="Y905" s="256"/>
      <c r="Z905" s="256"/>
      <c r="AA905" s="256"/>
    </row>
    <row r="906" spans="1:27">
      <c r="A906" s="4"/>
      <c r="B906" s="256"/>
      <c r="C906" s="7"/>
      <c r="D906" s="256"/>
      <c r="E906" s="36"/>
      <c r="F906" s="256"/>
      <c r="G906" s="453"/>
      <c r="H906" s="256"/>
      <c r="I906" s="256"/>
      <c r="J906" s="256"/>
      <c r="K906" s="256"/>
      <c r="R906" s="256"/>
      <c r="S906" s="256"/>
      <c r="Y906" s="256"/>
      <c r="Z906" s="256"/>
      <c r="AA906" s="256"/>
    </row>
    <row r="907" spans="1:27">
      <c r="A907" s="4"/>
      <c r="B907" s="256"/>
      <c r="C907" s="7"/>
      <c r="D907" s="256"/>
      <c r="E907" s="36"/>
      <c r="F907" s="256"/>
      <c r="G907" s="453"/>
      <c r="H907" s="256"/>
      <c r="I907" s="256"/>
      <c r="J907" s="256"/>
      <c r="K907" s="256"/>
      <c r="R907" s="256"/>
      <c r="S907" s="256"/>
      <c r="Y907" s="256"/>
      <c r="Z907" s="256"/>
      <c r="AA907" s="256"/>
    </row>
    <row r="908" spans="1:27">
      <c r="A908" s="4"/>
      <c r="B908" s="256"/>
      <c r="C908" s="268"/>
      <c r="D908" s="256"/>
      <c r="F908" s="256"/>
      <c r="G908" s="135"/>
      <c r="H908" s="256"/>
      <c r="I908" s="256"/>
      <c r="J908" s="256"/>
      <c r="K908" s="256"/>
      <c r="R908" s="256"/>
      <c r="S908" s="256"/>
      <c r="Y908" s="256"/>
      <c r="Z908" s="256"/>
      <c r="AA908" s="256"/>
    </row>
    <row r="909" spans="1:27">
      <c r="A909" s="4"/>
      <c r="B909" s="256"/>
      <c r="D909" s="256"/>
      <c r="E909" s="742"/>
      <c r="F909" s="256"/>
      <c r="G909" s="453"/>
      <c r="H909" s="256"/>
      <c r="I909" s="256"/>
      <c r="J909" s="256"/>
      <c r="K909" s="256"/>
      <c r="R909" s="256"/>
      <c r="S909" s="256"/>
      <c r="Y909" s="256"/>
      <c r="Z909" s="256"/>
      <c r="AA909" s="256"/>
    </row>
    <row r="910" spans="1:27">
      <c r="A910" s="4"/>
      <c r="B910" s="256"/>
      <c r="D910" s="256"/>
      <c r="E910" s="742"/>
      <c r="F910" s="256"/>
      <c r="G910" s="453"/>
      <c r="H910" s="256"/>
      <c r="I910" s="256"/>
      <c r="J910" s="256"/>
      <c r="K910" s="256"/>
      <c r="R910" s="256"/>
      <c r="S910" s="256"/>
      <c r="Y910" s="256"/>
      <c r="Z910" s="256"/>
      <c r="AA910" s="256"/>
    </row>
    <row r="911" spans="1:27">
      <c r="A911" s="734"/>
      <c r="B911" s="3"/>
      <c r="C911" s="3"/>
      <c r="D911" s="3"/>
      <c r="E911" s="3"/>
      <c r="F911" s="3"/>
      <c r="G911" s="3"/>
      <c r="H911" s="3"/>
      <c r="I911" s="3"/>
      <c r="J911" s="3"/>
      <c r="K911" s="3"/>
      <c r="R911" s="3"/>
      <c r="S911" s="3"/>
      <c r="Y911" s="3"/>
      <c r="Z911" s="3"/>
      <c r="AA911" s="3"/>
    </row>
    <row r="912" spans="1:27">
      <c r="A912" s="735"/>
      <c r="B912" s="734"/>
      <c r="C912" s="734"/>
      <c r="D912" s="734"/>
      <c r="E912" s="734"/>
      <c r="F912" s="734"/>
      <c r="G912" s="734"/>
      <c r="H912" s="734"/>
      <c r="I912" s="734"/>
      <c r="J912" s="734"/>
      <c r="K912" s="734"/>
      <c r="R912" s="734"/>
      <c r="S912" s="734"/>
      <c r="Y912" s="734"/>
      <c r="Z912" s="734"/>
      <c r="AA912" s="734"/>
    </row>
    <row r="913" spans="1:27">
      <c r="B913" s="385"/>
      <c r="D913" s="385"/>
      <c r="E913" s="447"/>
      <c r="F913" s="385"/>
      <c r="H913" s="385"/>
      <c r="I913" s="385"/>
      <c r="J913" s="385"/>
      <c r="K913" s="385"/>
      <c r="R913" s="385"/>
      <c r="S913" s="385"/>
      <c r="Y913" s="385"/>
      <c r="Z913" s="385"/>
      <c r="AA913" s="385"/>
    </row>
    <row r="914" spans="1:27">
      <c r="A914" s="447"/>
      <c r="B914" s="447"/>
      <c r="C914" s="447"/>
      <c r="D914" s="447"/>
      <c r="E914" s="385"/>
      <c r="F914" s="447"/>
      <c r="G914" s="385"/>
      <c r="H914" s="447"/>
      <c r="I914" s="447"/>
      <c r="J914" s="447"/>
      <c r="K914" s="447"/>
      <c r="R914" s="447"/>
      <c r="S914" s="447"/>
      <c r="Y914" s="447"/>
      <c r="Z914" s="447"/>
      <c r="AA914" s="447"/>
    </row>
    <row r="915" spans="1:27">
      <c r="A915" s="254"/>
      <c r="B915" s="254"/>
      <c r="C915" s="254"/>
      <c r="D915" s="254"/>
      <c r="E915" s="4"/>
      <c r="F915" s="254"/>
      <c r="G915" s="13"/>
      <c r="H915" s="254"/>
      <c r="I915" s="254"/>
      <c r="J915" s="254"/>
      <c r="K915" s="254"/>
      <c r="R915" s="254"/>
      <c r="S915" s="254"/>
      <c r="Y915" s="254"/>
      <c r="Z915" s="254"/>
      <c r="AA915" s="254"/>
    </row>
    <row r="916" spans="1:27">
      <c r="A916" s="4"/>
      <c r="B916" s="256"/>
      <c r="C916" s="256"/>
      <c r="D916" s="256"/>
      <c r="E916" s="4"/>
      <c r="F916" s="256"/>
      <c r="G916" s="4"/>
      <c r="H916" s="256"/>
      <c r="I916" s="256"/>
      <c r="J916" s="256"/>
      <c r="K916" s="256"/>
      <c r="R916" s="256"/>
      <c r="S916" s="256"/>
      <c r="Y916" s="256"/>
      <c r="Z916" s="256"/>
      <c r="AA916" s="256"/>
    </row>
    <row r="917" spans="1:27">
      <c r="A917" s="4"/>
      <c r="B917" s="256"/>
      <c r="C917" s="256"/>
      <c r="D917" s="256"/>
      <c r="E917" s="4"/>
      <c r="F917" s="256"/>
      <c r="G917" s="4"/>
      <c r="H917" s="256"/>
      <c r="I917" s="256"/>
      <c r="J917" s="256"/>
      <c r="K917" s="256"/>
      <c r="R917" s="256"/>
      <c r="S917" s="256"/>
      <c r="Y917" s="256"/>
      <c r="Z917" s="256"/>
      <c r="AA917" s="256"/>
    </row>
    <row r="918" spans="1:27">
      <c r="C918" s="671"/>
      <c r="G918" s="135"/>
    </row>
    <row r="919" spans="1:27">
      <c r="C919" s="6"/>
      <c r="G919" s="135"/>
    </row>
    <row r="920" spans="1:27">
      <c r="A920" s="4"/>
      <c r="C920" s="733"/>
      <c r="G920" s="135"/>
    </row>
    <row r="921" spans="1:27">
      <c r="A921" s="4"/>
      <c r="C921" s="732"/>
      <c r="E921" s="513"/>
      <c r="G921" s="24"/>
    </row>
    <row r="922" spans="1:27">
      <c r="A922" s="4"/>
      <c r="C922" s="732"/>
      <c r="E922" s="318"/>
      <c r="G922" s="24"/>
    </row>
    <row r="923" spans="1:27">
      <c r="G923" s="135"/>
    </row>
    <row r="924" spans="1:27">
      <c r="A924" s="4"/>
      <c r="C924" s="504"/>
      <c r="E924" s="268"/>
      <c r="G924" s="453"/>
    </row>
    <row r="925" spans="1:27">
      <c r="C925" s="525"/>
      <c r="G925" s="135"/>
    </row>
    <row r="926" spans="1:27">
      <c r="C926" s="6"/>
      <c r="G926" s="135"/>
    </row>
    <row r="927" spans="1:27">
      <c r="A927" s="4"/>
      <c r="C927" s="733"/>
      <c r="G927" s="135"/>
    </row>
    <row r="928" spans="1:27">
      <c r="A928" s="4"/>
      <c r="C928" s="745"/>
      <c r="E928" s="513"/>
      <c r="G928" s="744"/>
    </row>
    <row r="929" spans="1:7">
      <c r="A929" s="4"/>
      <c r="C929" s="512"/>
      <c r="E929" s="513"/>
      <c r="G929" s="135"/>
    </row>
    <row r="930" spans="1:7">
      <c r="A930" s="4"/>
      <c r="C930" s="512"/>
      <c r="E930" s="318"/>
      <c r="G930" s="744"/>
    </row>
    <row r="931" spans="1:7">
      <c r="A931" s="4"/>
      <c r="C931" s="504"/>
      <c r="G931" s="135"/>
    </row>
    <row r="932" spans="1:7">
      <c r="A932" s="4"/>
      <c r="C932" s="504"/>
      <c r="G932" s="453"/>
    </row>
    <row r="933" spans="1:7">
      <c r="A933" s="4"/>
      <c r="C933" s="504"/>
      <c r="G933" s="453"/>
    </row>
    <row r="934" spans="1:7">
      <c r="A934" s="4"/>
      <c r="C934" s="736"/>
      <c r="G934" s="453"/>
    </row>
    <row r="935" spans="1:7">
      <c r="A935" s="4"/>
      <c r="C935" s="512"/>
      <c r="E935" s="268"/>
      <c r="G935" s="24"/>
    </row>
    <row r="937" spans="1:7">
      <c r="C937" s="6"/>
      <c r="G937" s="135"/>
    </row>
    <row r="938" spans="1:7">
      <c r="C938" s="7"/>
      <c r="G938" s="135"/>
    </row>
    <row r="939" spans="1:7">
      <c r="A939" s="4"/>
      <c r="C939" s="9"/>
      <c r="E939" s="513"/>
      <c r="G939" s="24"/>
    </row>
    <row r="940" spans="1:7">
      <c r="A940" s="4"/>
      <c r="C940" s="743"/>
      <c r="E940" s="513"/>
      <c r="G940" s="24"/>
    </row>
    <row r="941" spans="1:7">
      <c r="A941" s="4"/>
      <c r="C941" s="9"/>
      <c r="E941" s="513"/>
      <c r="G941" s="24"/>
    </row>
    <row r="942" spans="1:7">
      <c r="A942" s="4"/>
      <c r="C942" s="743"/>
      <c r="E942" s="513"/>
      <c r="G942" s="24"/>
    </row>
    <row r="943" spans="1:7">
      <c r="A943" s="4"/>
      <c r="C943" s="519"/>
      <c r="E943" s="513"/>
      <c r="G943" s="24"/>
    </row>
    <row r="944" spans="1:7">
      <c r="A944" s="4"/>
      <c r="C944" s="9"/>
    </row>
    <row r="945" spans="1:7">
      <c r="A945" s="4"/>
      <c r="C945" s="743"/>
      <c r="E945" s="513"/>
      <c r="G945" s="24"/>
    </row>
    <row r="946" spans="1:7">
      <c r="A946" s="4"/>
      <c r="C946" s="7"/>
      <c r="G946" s="135"/>
    </row>
    <row r="947" spans="1:7">
      <c r="A947" s="4"/>
      <c r="C947" s="512"/>
      <c r="G947" s="135"/>
    </row>
    <row r="948" spans="1:7">
      <c r="A948" s="4"/>
      <c r="C948" s="9"/>
      <c r="E948" s="513"/>
      <c r="G948" s="24"/>
    </row>
    <row r="949" spans="1:7">
      <c r="A949" s="4"/>
      <c r="C949" s="9"/>
      <c r="E949" s="513"/>
      <c r="G949" s="24"/>
    </row>
    <row r="950" spans="1:7">
      <c r="A950" s="4"/>
      <c r="C950" s="9"/>
      <c r="E950" s="513"/>
      <c r="G950" s="24"/>
    </row>
    <row r="951" spans="1:7">
      <c r="A951" s="4"/>
      <c r="C951" s="9"/>
      <c r="E951" s="513"/>
      <c r="G951" s="24"/>
    </row>
    <row r="952" spans="1:7">
      <c r="A952" s="4"/>
      <c r="C952" s="9"/>
      <c r="E952" s="513"/>
      <c r="G952" s="24"/>
    </row>
    <row r="953" spans="1:7">
      <c r="A953" s="4"/>
      <c r="C953" s="543"/>
      <c r="E953" s="513"/>
      <c r="G953" s="24"/>
    </row>
    <row r="954" spans="1:7">
      <c r="C954" s="512"/>
      <c r="G954" s="135"/>
    </row>
    <row r="955" spans="1:7">
      <c r="A955" s="4"/>
      <c r="C955" s="9"/>
      <c r="E955" s="513"/>
      <c r="G955" s="24"/>
    </row>
    <row r="956" spans="1:7">
      <c r="A956" s="4"/>
      <c r="C956" s="9"/>
      <c r="E956" s="513"/>
      <c r="G956" s="24"/>
    </row>
    <row r="957" spans="1:7">
      <c r="C957" s="733"/>
      <c r="E957" s="268"/>
      <c r="G957" s="135"/>
    </row>
    <row r="958" spans="1:7">
      <c r="C958" s="512"/>
      <c r="E958" s="268"/>
      <c r="G958" s="135"/>
    </row>
    <row r="959" spans="1:7">
      <c r="A959" s="4"/>
      <c r="C959" s="9"/>
      <c r="E959" s="513"/>
      <c r="G959" s="24"/>
    </row>
    <row r="960" spans="1:7">
      <c r="A960" s="4"/>
      <c r="C960" s="9"/>
      <c r="E960" s="513"/>
      <c r="G960" s="24"/>
    </row>
    <row r="961" spans="1:27">
      <c r="G961" s="135"/>
    </row>
    <row r="962" spans="1:27">
      <c r="A962" s="4"/>
      <c r="C962" s="12"/>
      <c r="E962" s="13"/>
      <c r="G962" s="453"/>
    </row>
    <row r="963" spans="1:27">
      <c r="G963" s="135"/>
    </row>
    <row r="964" spans="1:27">
      <c r="A964" s="4"/>
      <c r="B964" s="256"/>
      <c r="D964" s="256"/>
      <c r="E964" s="742"/>
      <c r="F964" s="256"/>
      <c r="G964" s="453"/>
      <c r="H964" s="256"/>
      <c r="I964" s="256"/>
      <c r="J964" s="256"/>
      <c r="K964" s="256"/>
      <c r="R964" s="256"/>
      <c r="S964" s="256"/>
      <c r="Y964" s="256"/>
      <c r="Z964" s="256"/>
      <c r="AA964" s="256"/>
    </row>
    <row r="965" spans="1:27">
      <c r="A965" s="4"/>
      <c r="B965" s="256"/>
      <c r="D965" s="256"/>
      <c r="E965" s="742"/>
      <c r="F965" s="256"/>
      <c r="G965" s="453"/>
      <c r="H965" s="256"/>
      <c r="I965" s="256"/>
      <c r="J965" s="256"/>
      <c r="K965" s="256"/>
      <c r="R965" s="256"/>
      <c r="S965" s="256"/>
      <c r="Y965" s="256"/>
      <c r="Z965" s="256"/>
      <c r="AA965" s="256"/>
    </row>
    <row r="966" spans="1:27">
      <c r="A966" s="734"/>
      <c r="B966" s="3"/>
      <c r="C966" s="3"/>
      <c r="D966" s="3"/>
      <c r="E966" s="3"/>
      <c r="F966" s="3"/>
      <c r="G966" s="3"/>
      <c r="H966" s="3"/>
      <c r="I966" s="3"/>
      <c r="J966" s="3"/>
      <c r="K966" s="3"/>
      <c r="R966" s="3"/>
      <c r="S966" s="3"/>
      <c r="Y966" s="3"/>
      <c r="Z966" s="3"/>
      <c r="AA966" s="3"/>
    </row>
    <row r="967" spans="1:27">
      <c r="A967" s="735"/>
      <c r="B967" s="734"/>
      <c r="C967" s="734"/>
      <c r="D967" s="734"/>
      <c r="E967" s="734"/>
      <c r="F967" s="734"/>
      <c r="G967" s="734"/>
      <c r="H967" s="734"/>
      <c r="I967" s="734"/>
      <c r="J967" s="734"/>
      <c r="K967" s="734"/>
      <c r="R967" s="734"/>
      <c r="S967" s="734"/>
      <c r="Y967" s="734"/>
      <c r="Z967" s="734"/>
      <c r="AA967" s="734"/>
    </row>
    <row r="968" spans="1:27">
      <c r="B968" s="4"/>
      <c r="C968" s="4"/>
      <c r="D968" s="4"/>
      <c r="E968" s="447"/>
      <c r="F968" s="4"/>
      <c r="G968" s="447"/>
      <c r="H968" s="4"/>
      <c r="I968" s="4"/>
      <c r="J968" s="4"/>
      <c r="K968" s="4"/>
      <c r="R968" s="4"/>
      <c r="S968" s="4"/>
      <c r="Y968" s="4"/>
      <c r="Z968" s="4"/>
      <c r="AA968" s="4"/>
    </row>
    <row r="969" spans="1:27">
      <c r="A969" s="447"/>
      <c r="B969" s="447"/>
      <c r="C969" s="447"/>
      <c r="D969" s="447"/>
      <c r="E969" s="4"/>
      <c r="F969" s="447"/>
      <c r="G969" s="4"/>
      <c r="H969" s="447"/>
      <c r="I969" s="447"/>
      <c r="J969" s="447"/>
      <c r="K969" s="447"/>
      <c r="R969" s="447"/>
      <c r="S969" s="447"/>
      <c r="Y969" s="447"/>
      <c r="Z969" s="447"/>
      <c r="AA969" s="447"/>
    </row>
    <row r="970" spans="1:27">
      <c r="A970" s="254"/>
      <c r="B970" s="254"/>
      <c r="C970" s="254"/>
      <c r="D970" s="254"/>
      <c r="E970" s="4"/>
      <c r="F970" s="254"/>
      <c r="G970" s="13"/>
      <c r="H970" s="254"/>
      <c r="I970" s="254"/>
      <c r="J970" s="254"/>
      <c r="K970" s="254"/>
      <c r="R970" s="254"/>
      <c r="S970" s="254"/>
      <c r="Y970" s="254"/>
      <c r="Z970" s="254"/>
      <c r="AA970" s="254"/>
    </row>
    <row r="971" spans="1:27">
      <c r="A971" s="4"/>
      <c r="B971" s="256"/>
      <c r="C971" s="256"/>
      <c r="D971" s="256"/>
      <c r="E971" s="4"/>
      <c r="F971" s="256"/>
      <c r="G971" s="4"/>
      <c r="H971" s="256"/>
      <c r="I971" s="256"/>
      <c r="J971" s="256"/>
      <c r="K971" s="256"/>
      <c r="R971" s="256"/>
      <c r="S971" s="256"/>
      <c r="Y971" s="256"/>
      <c r="Z971" s="256"/>
      <c r="AA971" s="256"/>
    </row>
    <row r="972" spans="1:27">
      <c r="A972" s="4"/>
      <c r="B972" s="256"/>
      <c r="C972" s="256"/>
      <c r="D972" s="256"/>
      <c r="E972" s="4"/>
      <c r="F972" s="256"/>
      <c r="G972" s="4"/>
      <c r="H972" s="256"/>
      <c r="I972" s="256"/>
      <c r="J972" s="256"/>
      <c r="K972" s="256"/>
      <c r="R972" s="256"/>
      <c r="S972" s="256"/>
      <c r="Y972" s="256"/>
      <c r="Z972" s="256"/>
      <c r="AA972" s="256"/>
    </row>
    <row r="973" spans="1:27">
      <c r="G973" s="135"/>
    </row>
    <row r="974" spans="1:27">
      <c r="C974" s="6"/>
      <c r="G974" s="135"/>
    </row>
    <row r="975" spans="1:27">
      <c r="C975" s="7"/>
      <c r="G975" s="135"/>
    </row>
    <row r="976" spans="1:27">
      <c r="A976" s="4"/>
      <c r="C976" s="741"/>
      <c r="E976" s="513"/>
      <c r="G976" s="35"/>
    </row>
    <row r="977" spans="1:7">
      <c r="A977" s="4"/>
      <c r="C977" s="741"/>
      <c r="E977" s="513"/>
      <c r="G977" s="24"/>
    </row>
    <row r="978" spans="1:7">
      <c r="A978" s="4"/>
      <c r="C978" s="9"/>
      <c r="E978" s="513"/>
      <c r="G978" s="24"/>
    </row>
    <row r="979" spans="1:7">
      <c r="A979" s="4"/>
      <c r="C979" s="543"/>
      <c r="E979" s="513"/>
      <c r="G979" s="24"/>
    </row>
    <row r="980" spans="1:7">
      <c r="A980" s="4"/>
      <c r="C980" s="9"/>
      <c r="E980" s="513"/>
      <c r="G980" s="24"/>
    </row>
    <row r="981" spans="1:7">
      <c r="G981" s="135"/>
    </row>
    <row r="982" spans="1:7">
      <c r="C982" s="7"/>
      <c r="G982" s="135"/>
    </row>
    <row r="983" spans="1:7">
      <c r="C983" s="519"/>
      <c r="G983" s="135"/>
    </row>
    <row r="984" spans="1:7">
      <c r="C984" s="731"/>
      <c r="G984" s="135"/>
    </row>
    <row r="985" spans="1:7">
      <c r="A985" s="4"/>
      <c r="C985" s="740"/>
      <c r="E985" s="513"/>
      <c r="G985" s="24"/>
    </row>
    <row r="986" spans="1:7">
      <c r="C986" s="731"/>
      <c r="E986" s="268"/>
      <c r="G986" s="135"/>
    </row>
    <row r="987" spans="1:7">
      <c r="A987" s="4"/>
      <c r="C987" s="740"/>
      <c r="E987" s="513"/>
      <c r="G987" s="24"/>
    </row>
    <row r="988" spans="1:7">
      <c r="A988" s="4"/>
      <c r="C988" s="740"/>
      <c r="E988" s="513"/>
      <c r="G988" s="24"/>
    </row>
    <row r="989" spans="1:7">
      <c r="A989" s="4"/>
      <c r="C989" s="740"/>
      <c r="E989" s="513"/>
      <c r="G989" s="24"/>
    </row>
    <row r="990" spans="1:7">
      <c r="A990" s="4"/>
      <c r="C990" s="740"/>
      <c r="E990" s="513"/>
      <c r="G990" s="24"/>
    </row>
    <row r="991" spans="1:7">
      <c r="C991" s="268"/>
      <c r="E991" s="268"/>
      <c r="G991" s="135"/>
    </row>
    <row r="992" spans="1:7">
      <c r="C992" s="519"/>
      <c r="E992" s="513"/>
      <c r="G992" s="135"/>
    </row>
    <row r="993" spans="1:27">
      <c r="C993" s="731"/>
      <c r="E993" s="268"/>
      <c r="G993" s="135"/>
    </row>
    <row r="994" spans="1:27">
      <c r="A994" s="4"/>
      <c r="C994" s="740"/>
      <c r="E994" s="513"/>
      <c r="G994" s="24"/>
    </row>
    <row r="995" spans="1:27">
      <c r="A995" s="4"/>
      <c r="C995" s="740"/>
      <c r="E995" s="513"/>
      <c r="G995" s="24"/>
    </row>
    <row r="996" spans="1:27">
      <c r="G996" s="135"/>
    </row>
    <row r="997" spans="1:27">
      <c r="A997" s="4"/>
      <c r="E997" s="513"/>
      <c r="G997" s="24"/>
    </row>
    <row r="998" spans="1:27">
      <c r="A998" s="4"/>
      <c r="G998" s="135"/>
    </row>
    <row r="999" spans="1:27">
      <c r="G999" s="135"/>
    </row>
    <row r="1000" spans="1:27">
      <c r="A1000" s="4"/>
      <c r="G1000" s="739"/>
    </row>
    <row r="1001" spans="1:27">
      <c r="G1001" s="135"/>
    </row>
    <row r="1002" spans="1:27">
      <c r="G1002" s="135"/>
    </row>
    <row r="1003" spans="1:27">
      <c r="G1003" s="135"/>
    </row>
    <row r="1004" spans="1:27">
      <c r="A1004" s="734"/>
      <c r="B1004" s="3"/>
      <c r="C1004" s="3"/>
      <c r="D1004" s="3"/>
      <c r="E1004" s="3"/>
      <c r="F1004" s="3"/>
      <c r="G1004" s="3"/>
      <c r="H1004" s="3"/>
      <c r="I1004" s="3"/>
      <c r="J1004" s="3"/>
      <c r="K1004" s="3"/>
      <c r="R1004" s="3"/>
      <c r="S1004" s="3"/>
      <c r="Y1004" s="3"/>
      <c r="Z1004" s="3"/>
      <c r="AA1004" s="3"/>
    </row>
    <row r="1005" spans="1:27">
      <c r="A1005" s="735"/>
      <c r="B1005" s="734"/>
      <c r="C1005" s="734"/>
      <c r="D1005" s="734"/>
      <c r="E1005" s="734"/>
      <c r="F1005" s="734"/>
      <c r="G1005" s="734"/>
      <c r="H1005" s="734"/>
      <c r="I1005" s="734"/>
      <c r="J1005" s="734"/>
      <c r="K1005" s="734"/>
      <c r="R1005" s="734"/>
      <c r="S1005" s="734"/>
      <c r="Y1005" s="734"/>
      <c r="Z1005" s="734"/>
      <c r="AA1005" s="734"/>
    </row>
    <row r="1006" spans="1:27">
      <c r="A1006" s="4"/>
      <c r="B1006" s="4"/>
      <c r="C1006" s="4"/>
      <c r="D1006" s="4"/>
      <c r="E1006" s="447"/>
      <c r="F1006" s="4"/>
      <c r="G1006" s="447"/>
      <c r="H1006" s="4"/>
      <c r="I1006" s="4"/>
      <c r="J1006" s="4"/>
      <c r="K1006" s="4"/>
      <c r="R1006" s="4"/>
      <c r="S1006" s="4"/>
      <c r="Y1006" s="4"/>
      <c r="Z1006" s="4"/>
      <c r="AA1006" s="4"/>
    </row>
    <row r="1007" spans="1:27">
      <c r="A1007" s="447"/>
      <c r="B1007" s="447"/>
      <c r="C1007" s="447"/>
      <c r="D1007" s="447"/>
      <c r="E1007" s="4"/>
      <c r="F1007" s="447"/>
      <c r="G1007" s="4"/>
      <c r="H1007" s="447"/>
      <c r="I1007" s="447"/>
      <c r="J1007" s="447"/>
      <c r="K1007" s="447"/>
      <c r="R1007" s="447"/>
      <c r="S1007" s="447"/>
      <c r="Y1007" s="447"/>
      <c r="Z1007" s="447"/>
      <c r="AA1007" s="447"/>
    </row>
    <row r="1008" spans="1:27">
      <c r="A1008" s="254"/>
      <c r="B1008" s="254"/>
      <c r="C1008" s="254"/>
      <c r="D1008" s="254"/>
      <c r="E1008" s="4"/>
      <c r="F1008" s="254"/>
      <c r="G1008" s="13"/>
      <c r="H1008" s="254"/>
      <c r="I1008" s="254"/>
      <c r="J1008" s="254"/>
      <c r="K1008" s="254"/>
      <c r="R1008" s="254"/>
      <c r="S1008" s="254"/>
      <c r="Y1008" s="254"/>
      <c r="Z1008" s="254"/>
      <c r="AA1008" s="254"/>
    </row>
    <row r="1009" spans="1:27">
      <c r="A1009" s="4"/>
      <c r="B1009" s="256"/>
      <c r="C1009" s="256"/>
      <c r="D1009" s="256"/>
      <c r="E1009" s="4"/>
      <c r="F1009" s="256"/>
      <c r="G1009" s="4"/>
      <c r="H1009" s="256"/>
      <c r="I1009" s="256"/>
      <c r="J1009" s="256"/>
      <c r="K1009" s="256"/>
      <c r="R1009" s="256"/>
      <c r="S1009" s="256"/>
      <c r="Y1009" s="256"/>
      <c r="Z1009" s="256"/>
      <c r="AA1009" s="256"/>
    </row>
    <row r="1010" spans="1:27">
      <c r="A1010" s="4"/>
      <c r="B1010" s="256"/>
      <c r="C1010" s="256"/>
      <c r="D1010" s="256"/>
      <c r="E1010" s="4"/>
      <c r="F1010" s="256"/>
      <c r="G1010" s="4"/>
      <c r="H1010" s="256"/>
      <c r="I1010" s="256"/>
      <c r="J1010" s="256"/>
      <c r="K1010" s="256"/>
      <c r="R1010" s="256"/>
      <c r="S1010" s="256"/>
      <c r="Y1010" s="256"/>
      <c r="Z1010" s="256"/>
      <c r="AA1010" s="256"/>
    </row>
    <row r="1011" spans="1:27">
      <c r="G1011" s="135"/>
    </row>
    <row r="1012" spans="1:27">
      <c r="C1012" s="553"/>
      <c r="E1012" s="738"/>
      <c r="G1012" s="135"/>
    </row>
    <row r="1013" spans="1:27">
      <c r="A1013" s="4"/>
      <c r="C1013" s="512"/>
      <c r="E1013" s="36"/>
      <c r="G1013" s="24"/>
    </row>
    <row r="1014" spans="1:27">
      <c r="A1014" s="4"/>
      <c r="C1014" s="512"/>
      <c r="E1014" s="36"/>
      <c r="G1014" s="24"/>
    </row>
    <row r="1015" spans="1:27">
      <c r="A1015" s="4"/>
      <c r="C1015" s="512"/>
      <c r="E1015" s="36"/>
      <c r="G1015" s="24"/>
    </row>
    <row r="1016" spans="1:27">
      <c r="A1016" s="4"/>
      <c r="C1016" s="512"/>
      <c r="E1016" s="1"/>
      <c r="G1016" s="24"/>
    </row>
    <row r="1017" spans="1:27">
      <c r="A1017" s="4"/>
      <c r="C1017" s="512"/>
      <c r="E1017" s="1"/>
      <c r="G1017" s="24"/>
    </row>
    <row r="1018" spans="1:27">
      <c r="A1018" s="4"/>
      <c r="C1018" s="512"/>
      <c r="E1018" s="1"/>
      <c r="G1018" s="24"/>
    </row>
    <row r="1019" spans="1:27">
      <c r="C1019" s="7"/>
    </row>
    <row r="1020" spans="1:27">
      <c r="A1020" s="4"/>
      <c r="C1020" s="737"/>
      <c r="E1020" s="558"/>
      <c r="G1020" s="453"/>
    </row>
    <row r="1021" spans="1:27">
      <c r="C1021" s="7"/>
      <c r="G1021" s="135"/>
    </row>
    <row r="1022" spans="1:27">
      <c r="A1022" s="4"/>
      <c r="C1022" s="512"/>
      <c r="E1022" s="36"/>
      <c r="G1022" s="24"/>
    </row>
    <row r="1023" spans="1:27">
      <c r="A1023" s="4"/>
    </row>
    <row r="1024" spans="1:27">
      <c r="G1024" s="135"/>
    </row>
    <row r="1025" spans="1:7">
      <c r="G1025" s="135"/>
    </row>
    <row r="1026" spans="1:7">
      <c r="C1026" s="6"/>
      <c r="G1026" s="135"/>
    </row>
    <row r="1027" spans="1:7">
      <c r="A1027" s="4"/>
      <c r="C1027" s="512"/>
      <c r="E1027" s="36"/>
      <c r="G1027" s="24"/>
    </row>
    <row r="1028" spans="1:7">
      <c r="A1028" s="4"/>
      <c r="C1028" s="512"/>
      <c r="E1028" s="1"/>
      <c r="G1028" s="24"/>
    </row>
    <row r="1029" spans="1:7">
      <c r="C1029" s="512"/>
      <c r="G1029" s="135"/>
    </row>
    <row r="1030" spans="1:7">
      <c r="A1030" s="4"/>
      <c r="C1030" s="519"/>
      <c r="E1030" s="513"/>
      <c r="G1030" s="24"/>
    </row>
    <row r="1031" spans="1:7">
      <c r="A1031" s="4"/>
      <c r="C1031" s="519"/>
      <c r="E1031" s="1"/>
      <c r="G1031" s="24"/>
    </row>
    <row r="1032" spans="1:7">
      <c r="A1032" s="4"/>
      <c r="C1032" s="519"/>
      <c r="E1032" s="1"/>
      <c r="G1032" s="24"/>
    </row>
    <row r="1033" spans="1:7">
      <c r="A1033" s="4"/>
      <c r="C1033" s="519"/>
      <c r="E1033" s="1"/>
      <c r="G1033" s="24"/>
    </row>
    <row r="1034" spans="1:7">
      <c r="A1034" s="4"/>
      <c r="C1034" s="519"/>
      <c r="E1034" s="1"/>
      <c r="G1034" s="24"/>
    </row>
    <row r="1035" spans="1:7">
      <c r="C1035" s="512"/>
      <c r="G1035" s="135"/>
    </row>
    <row r="1036" spans="1:7">
      <c r="A1036" s="4"/>
      <c r="C1036" s="519"/>
      <c r="E1036" s="513"/>
      <c r="G1036" s="24"/>
    </row>
    <row r="1037" spans="1:7">
      <c r="A1037" s="4"/>
      <c r="C1037" s="519"/>
      <c r="E1037" s="1"/>
      <c r="G1037" s="24"/>
    </row>
    <row r="1038" spans="1:7">
      <c r="A1038" s="4"/>
      <c r="C1038" s="519"/>
      <c r="E1038" s="1"/>
      <c r="G1038" s="24"/>
    </row>
    <row r="1039" spans="1:7">
      <c r="C1039" s="736"/>
      <c r="G1039" s="135"/>
    </row>
    <row r="1040" spans="1:7">
      <c r="A1040" s="4"/>
      <c r="G1040" s="453"/>
    </row>
    <row r="1041" spans="1:27">
      <c r="A1041" s="4"/>
      <c r="C1041" s="504"/>
      <c r="G1041" s="24"/>
    </row>
    <row r="1042" spans="1:27">
      <c r="A1042" s="2"/>
    </row>
    <row r="1043" spans="1:27">
      <c r="G1043" s="135"/>
    </row>
    <row r="1044" spans="1:27">
      <c r="G1044" s="135"/>
    </row>
    <row r="1045" spans="1:27">
      <c r="G1045" s="135"/>
    </row>
    <row r="1046" spans="1:27">
      <c r="A1046" s="734"/>
      <c r="B1046" s="3"/>
      <c r="C1046" s="3"/>
      <c r="D1046" s="3"/>
      <c r="E1046" s="3"/>
      <c r="F1046" s="3"/>
      <c r="G1046" s="3"/>
      <c r="H1046" s="3"/>
      <c r="I1046" s="3"/>
      <c r="J1046" s="3"/>
      <c r="K1046" s="3"/>
      <c r="R1046" s="3"/>
      <c r="S1046" s="3"/>
      <c r="Y1046" s="3"/>
      <c r="Z1046" s="3"/>
      <c r="AA1046" s="3"/>
    </row>
    <row r="1047" spans="1:27">
      <c r="A1047" s="735"/>
      <c r="B1047" s="734"/>
      <c r="C1047" s="734"/>
      <c r="D1047" s="734"/>
      <c r="E1047" s="734"/>
      <c r="F1047" s="734"/>
      <c r="G1047" s="734"/>
      <c r="H1047" s="734"/>
      <c r="I1047" s="734"/>
      <c r="J1047" s="734"/>
      <c r="K1047" s="734"/>
      <c r="R1047" s="734"/>
      <c r="S1047" s="734"/>
      <c r="Y1047" s="734"/>
      <c r="Z1047" s="734"/>
      <c r="AA1047" s="734"/>
    </row>
    <row r="1048" spans="1:27">
      <c r="A1048" s="4"/>
      <c r="B1048" s="4"/>
      <c r="C1048" s="4"/>
      <c r="D1048" s="4"/>
      <c r="E1048" s="447"/>
      <c r="F1048" s="4"/>
      <c r="G1048" s="447"/>
      <c r="H1048" s="4"/>
      <c r="I1048" s="4"/>
      <c r="J1048" s="4"/>
      <c r="K1048" s="4"/>
      <c r="R1048" s="4"/>
      <c r="S1048" s="4"/>
      <c r="Y1048" s="4"/>
      <c r="Z1048" s="4"/>
      <c r="AA1048" s="4"/>
    </row>
    <row r="1049" spans="1:27">
      <c r="A1049" s="447"/>
      <c r="B1049" s="447"/>
      <c r="C1049" s="447"/>
      <c r="D1049" s="447"/>
      <c r="E1049" s="4"/>
      <c r="F1049" s="447"/>
      <c r="G1049" s="4"/>
      <c r="H1049" s="447"/>
      <c r="I1049" s="447"/>
      <c r="J1049" s="447"/>
      <c r="K1049" s="447"/>
      <c r="R1049" s="447"/>
      <c r="S1049" s="447"/>
      <c r="Y1049" s="447"/>
      <c r="Z1049" s="447"/>
      <c r="AA1049" s="447"/>
    </row>
    <row r="1050" spans="1:27">
      <c r="A1050" s="254"/>
      <c r="B1050" s="254"/>
      <c r="C1050" s="254"/>
      <c r="D1050" s="254"/>
      <c r="E1050" s="4"/>
      <c r="F1050" s="254"/>
      <c r="G1050" s="13"/>
      <c r="H1050" s="254"/>
      <c r="I1050" s="254"/>
      <c r="J1050" s="254"/>
      <c r="K1050" s="254"/>
      <c r="R1050" s="254"/>
      <c r="S1050" s="254"/>
      <c r="Y1050" s="254"/>
      <c r="Z1050" s="254"/>
      <c r="AA1050" s="254"/>
    </row>
    <row r="1051" spans="1:27">
      <c r="A1051" s="4"/>
      <c r="B1051" s="256"/>
      <c r="C1051" s="256"/>
      <c r="D1051" s="256"/>
      <c r="E1051" s="4"/>
      <c r="F1051" s="256"/>
      <c r="G1051" s="4"/>
      <c r="H1051" s="256"/>
      <c r="I1051" s="256"/>
      <c r="J1051" s="256"/>
      <c r="K1051" s="256"/>
      <c r="R1051" s="256"/>
      <c r="S1051" s="256"/>
      <c r="Y1051" s="256"/>
      <c r="Z1051" s="256"/>
      <c r="AA1051" s="256"/>
    </row>
    <row r="1052" spans="1:27">
      <c r="A1052" s="4"/>
      <c r="B1052" s="256"/>
      <c r="C1052" s="256"/>
      <c r="D1052" s="256"/>
      <c r="E1052" s="4"/>
      <c r="F1052" s="256"/>
      <c r="G1052" s="4"/>
      <c r="H1052" s="256"/>
      <c r="I1052" s="256"/>
      <c r="J1052" s="256"/>
      <c r="K1052" s="256"/>
      <c r="R1052" s="256"/>
      <c r="S1052" s="256"/>
      <c r="Y1052" s="256"/>
      <c r="Z1052" s="256"/>
      <c r="AA1052" s="256"/>
    </row>
    <row r="1053" spans="1:27">
      <c r="G1053" s="135"/>
    </row>
    <row r="1054" spans="1:27">
      <c r="C1054" s="6"/>
      <c r="G1054" s="135"/>
    </row>
    <row r="1055" spans="1:27">
      <c r="A1055" s="4"/>
      <c r="C1055" s="512"/>
      <c r="E1055" s="513"/>
      <c r="G1055" s="24"/>
    </row>
    <row r="1056" spans="1:27">
      <c r="A1056" s="4"/>
      <c r="C1056" s="733"/>
      <c r="E1056" s="268"/>
      <c r="G1056" s="24"/>
    </row>
    <row r="1057" spans="1:27">
      <c r="A1057" s="4"/>
      <c r="C1057" s="732"/>
      <c r="E1057" s="513"/>
      <c r="G1057" s="24"/>
    </row>
    <row r="1058" spans="1:27">
      <c r="A1058" s="4"/>
      <c r="C1058" s="732"/>
      <c r="E1058" s="513"/>
      <c r="G1058" s="24"/>
    </row>
    <row r="1059" spans="1:27">
      <c r="A1059" s="4"/>
      <c r="C1059" s="732"/>
      <c r="E1059" s="513"/>
      <c r="G1059" s="24"/>
    </row>
    <row r="1060" spans="1:27">
      <c r="A1060" s="4"/>
      <c r="C1060" s="512"/>
      <c r="E1060" s="268"/>
      <c r="G1060" s="24"/>
    </row>
    <row r="1061" spans="1:27">
      <c r="A1061" s="4"/>
      <c r="C1061" s="731"/>
      <c r="E1061" s="513"/>
      <c r="G1061" s="24"/>
    </row>
    <row r="1062" spans="1:27">
      <c r="A1062" s="4"/>
      <c r="C1062" s="268"/>
      <c r="G1062" s="24"/>
    </row>
    <row r="1063" spans="1:27">
      <c r="A1063" s="4"/>
      <c r="C1063" s="504"/>
      <c r="G1063" s="453"/>
    </row>
    <row r="1064" spans="1:27">
      <c r="A1064" s="4"/>
      <c r="C1064" s="268"/>
      <c r="G1064" s="135"/>
    </row>
    <row r="1065" spans="1:27">
      <c r="A1065" s="4"/>
      <c r="C1065" s="730"/>
      <c r="G1065" s="135"/>
    </row>
    <row r="1066" spans="1:27">
      <c r="A1066" s="4"/>
      <c r="C1066" s="647"/>
      <c r="G1066" s="135"/>
    </row>
    <row r="1067" spans="1:27">
      <c r="A1067" s="4"/>
      <c r="C1067" s="268"/>
      <c r="G1067" s="135"/>
    </row>
    <row r="1068" spans="1:27">
      <c r="A1068" s="4"/>
    </row>
    <row r="1069" spans="1:27">
      <c r="A1069" s="4"/>
      <c r="C1069" s="647"/>
      <c r="G1069" s="729"/>
    </row>
    <row r="1070" spans="1:27">
      <c r="A1070" s="4"/>
    </row>
    <row r="1071" spans="1:27">
      <c r="A1071" s="4"/>
    </row>
    <row r="1072" spans="1:27">
      <c r="B1072" s="6"/>
      <c r="D1072" s="6"/>
      <c r="F1072" s="6"/>
      <c r="H1072" s="6"/>
      <c r="I1072" s="6"/>
      <c r="J1072" s="6"/>
      <c r="K1072" s="6"/>
      <c r="R1072" s="6"/>
      <c r="S1072" s="6"/>
      <c r="Y1072" s="6"/>
      <c r="Z1072" s="6"/>
      <c r="AA1072" s="6"/>
    </row>
    <row r="1073" spans="2:27">
      <c r="B1073" s="11"/>
      <c r="C1073" s="11"/>
      <c r="D1073" s="11"/>
      <c r="F1073" s="11"/>
      <c r="H1073" s="11"/>
      <c r="I1073" s="11"/>
      <c r="J1073" s="11"/>
      <c r="K1073" s="11"/>
      <c r="R1073" s="11"/>
      <c r="S1073" s="11"/>
      <c r="Y1073" s="11"/>
      <c r="Z1073" s="11"/>
      <c r="AA1073" s="11"/>
    </row>
    <row r="1074" spans="2:27">
      <c r="C1074" s="11"/>
    </row>
    <row r="1075" spans="2:27">
      <c r="C1075" s="11"/>
    </row>
    <row r="1076" spans="2:27">
      <c r="C1076" s="11"/>
    </row>
    <row r="1077" spans="2:27">
      <c r="C1077" s="11"/>
    </row>
    <row r="1085" spans="2:27">
      <c r="G1085" s="326"/>
    </row>
    <row r="1086" spans="2:27">
      <c r="G1086" s="268"/>
    </row>
    <row r="1087" spans="2:27">
      <c r="G1087" s="268"/>
    </row>
    <row r="1088" spans="2:27">
      <c r="G1088" s="268"/>
    </row>
  </sheetData>
  <mergeCells count="85">
    <mergeCell ref="A805:AC805"/>
    <mergeCell ref="G807:J807"/>
    <mergeCell ref="L807:P807"/>
    <mergeCell ref="S807:X807"/>
    <mergeCell ref="Z807:AC807"/>
    <mergeCell ref="A844:AC844"/>
    <mergeCell ref="G846:J846"/>
    <mergeCell ref="L846:P846"/>
    <mergeCell ref="S846:X846"/>
    <mergeCell ref="Z846:AC846"/>
    <mergeCell ref="A716:AC716"/>
    <mergeCell ref="G718:J718"/>
    <mergeCell ref="L718:P718"/>
    <mergeCell ref="S718:X718"/>
    <mergeCell ref="Z718:AC718"/>
    <mergeCell ref="A770:AC770"/>
    <mergeCell ref="G772:J772"/>
    <mergeCell ref="L772:P772"/>
    <mergeCell ref="S772:X772"/>
    <mergeCell ref="Z772:AC772"/>
    <mergeCell ref="A575:AC575"/>
    <mergeCell ref="G577:J577"/>
    <mergeCell ref="L577:P577"/>
    <mergeCell ref="S577:X577"/>
    <mergeCell ref="Z577:AC577"/>
    <mergeCell ref="A630:AC630"/>
    <mergeCell ref="G632:J632"/>
    <mergeCell ref="L632:P632"/>
    <mergeCell ref="S632:X632"/>
    <mergeCell ref="Z632:AC632"/>
    <mergeCell ref="A468:AC468"/>
    <mergeCell ref="G470:J470"/>
    <mergeCell ref="L470:P470"/>
    <mergeCell ref="S470:X470"/>
    <mergeCell ref="Z470:AC470"/>
    <mergeCell ref="A525:AC525"/>
    <mergeCell ref="G527:J527"/>
    <mergeCell ref="L527:P527"/>
    <mergeCell ref="S527:X527"/>
    <mergeCell ref="Z527:AC527"/>
    <mergeCell ref="A346:AC346"/>
    <mergeCell ref="G348:J348"/>
    <mergeCell ref="L348:P348"/>
    <mergeCell ref="S348:X348"/>
    <mergeCell ref="Z348:AC348"/>
    <mergeCell ref="A413:AC413"/>
    <mergeCell ref="G415:J415"/>
    <mergeCell ref="L415:P415"/>
    <mergeCell ref="S415:X415"/>
    <mergeCell ref="Z415:AC415"/>
    <mergeCell ref="A221:AC221"/>
    <mergeCell ref="G223:J223"/>
    <mergeCell ref="L223:P223"/>
    <mergeCell ref="S223:X223"/>
    <mergeCell ref="Z223:AC223"/>
    <mergeCell ref="A275:AC275"/>
    <mergeCell ref="G277:J277"/>
    <mergeCell ref="L277:P277"/>
    <mergeCell ref="S277:X277"/>
    <mergeCell ref="Z277:AC277"/>
    <mergeCell ref="A113:AC113"/>
    <mergeCell ref="G115:J115"/>
    <mergeCell ref="L115:P115"/>
    <mergeCell ref="S115:X115"/>
    <mergeCell ref="Z115:AC115"/>
    <mergeCell ref="A154:AC154"/>
    <mergeCell ref="G156:J156"/>
    <mergeCell ref="L156:P156"/>
    <mergeCell ref="S156:X156"/>
    <mergeCell ref="Z156:AC156"/>
    <mergeCell ref="A6:AC6"/>
    <mergeCell ref="G8:J8"/>
    <mergeCell ref="L8:P8"/>
    <mergeCell ref="S8:X8"/>
    <mergeCell ref="Z8:AC8"/>
    <mergeCell ref="A63:AC63"/>
    <mergeCell ref="G65:J65"/>
    <mergeCell ref="L65:P65"/>
    <mergeCell ref="S65:X65"/>
    <mergeCell ref="Z65:AC65"/>
    <mergeCell ref="A675:AC675"/>
    <mergeCell ref="G677:J677"/>
    <mergeCell ref="L677:P677"/>
    <mergeCell ref="S677:X677"/>
    <mergeCell ref="Z677:AC677"/>
  </mergeCells>
  <printOptions horizontalCentered="1"/>
  <pageMargins left="0.7" right="0.7" top="0.75" bottom="0.75" header="0.3" footer="0.3"/>
  <pageSetup scale="45" fitToHeight="0" orientation="landscape" r:id="rId1"/>
  <headerFooter>
    <oddHeader>&amp;R&amp;10Updated: 2024-03-15
EB-2022-0200
Rate Order
Working Papers
Schedule 19
Page &amp;P of 51</oddHeader>
  </headerFooter>
  <rowBreaks count="17" manualBreakCount="17">
    <brk id="57" max="28" man="1"/>
    <brk id="107" max="28" man="1"/>
    <brk id="148" max="28" man="1"/>
    <brk id="215" max="28" man="1"/>
    <brk id="269" max="28" man="1"/>
    <brk id="340" max="28" man="1"/>
    <brk id="407" max="28" man="1"/>
    <brk id="462" max="28" man="1"/>
    <brk id="519" max="28" man="1"/>
    <brk id="569" max="28" man="1"/>
    <brk id="624" max="28" man="1"/>
    <brk id="669" max="28" man="1"/>
    <brk id="710" max="28" man="1"/>
    <brk id="764" max="28" man="1"/>
    <brk id="799" max="28" man="1"/>
    <brk id="838" max="28" man="1"/>
    <brk id="879" max="30" man="1"/>
  </rowBreaks>
  <colBreaks count="1" manualBreakCount="1">
    <brk id="3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83CCB-A293-4AAB-B655-DC70322F29BF}">
  <sheetPr>
    <pageSetUpPr fitToPage="1"/>
  </sheetPr>
  <dimension ref="A1:AM1095"/>
  <sheetViews>
    <sheetView view="pageLayout" topLeftCell="A368" zoomScaleNormal="100" zoomScaleSheetLayoutView="80" workbookViewId="0">
      <selection activeCell="A326" sqref="A326"/>
    </sheetView>
  </sheetViews>
  <sheetFormatPr defaultColWidth="8" defaultRowHeight="12.75"/>
  <cols>
    <col min="1" max="1" width="4" style="1" customWidth="1"/>
    <col min="2" max="2" width="3" style="2" customWidth="1"/>
    <col min="3" max="3" width="42.125" style="2" customWidth="1"/>
    <col min="4" max="4" width="1.375" style="2" customWidth="1"/>
    <col min="5" max="5" width="9.25" style="2" customWidth="1"/>
    <col min="6" max="6" width="1.375" style="2" customWidth="1"/>
    <col min="7" max="7" width="11" style="2" bestFit="1" customWidth="1"/>
    <col min="8" max="8" width="1.75" style="2" bestFit="1" customWidth="1"/>
    <col min="9" max="9" width="9.5" style="2" customWidth="1"/>
    <col min="10" max="10" width="11.75" style="2" bestFit="1" customWidth="1"/>
    <col min="11" max="11" width="1.375" style="2" customWidth="1"/>
    <col min="12" max="12" width="10" style="268" bestFit="1" customWidth="1"/>
    <col min="13" max="13" width="8.25" style="268" customWidth="1"/>
    <col min="14" max="14" width="14.5" style="268" bestFit="1" customWidth="1"/>
    <col min="15" max="15" width="1.375" style="2" customWidth="1"/>
    <col min="16" max="16" width="13" style="2" bestFit="1" customWidth="1"/>
    <col min="17" max="17" width="10" style="268" bestFit="1" customWidth="1"/>
    <col min="18" max="18" width="9.125" style="268" bestFit="1" customWidth="1"/>
    <col min="19" max="19" width="1.375" style="2" customWidth="1"/>
    <col min="20" max="20" width="10.5" style="2" customWidth="1"/>
    <col min="21" max="21" width="10" style="2" customWidth="1"/>
    <col min="22" max="22" width="11" style="268" customWidth="1"/>
    <col min="23" max="23" width="10.875" style="268" bestFit="1" customWidth="1"/>
    <col min="24" max="24" width="9.25" style="268" customWidth="1"/>
    <col min="25" max="25" width="8" style="268"/>
    <col min="26" max="26" width="10" style="728" customWidth="1"/>
    <col min="27" max="27" width="5.375" style="728" bestFit="1" customWidth="1"/>
    <col min="28" max="28" width="10.375" style="728" bestFit="1" customWidth="1"/>
    <col min="29" max="29" width="5.375" style="728" bestFit="1" customWidth="1"/>
    <col min="30" max="30" width="8.625" style="728" bestFit="1" customWidth="1"/>
    <col min="31" max="31" width="5.375" style="268" bestFit="1" customWidth="1"/>
    <col min="32" max="32" width="9.75" style="935" bestFit="1" customWidth="1"/>
    <col min="33" max="16384" width="8" style="268"/>
  </cols>
  <sheetData>
    <row r="1" spans="1:32">
      <c r="L1" s="2"/>
      <c r="M1" s="2"/>
      <c r="N1" s="504"/>
      <c r="Q1" s="504"/>
      <c r="R1" s="504"/>
      <c r="V1" s="504"/>
      <c r="W1" s="504"/>
    </row>
    <row r="2" spans="1:32">
      <c r="L2" s="2"/>
      <c r="M2" s="2"/>
      <c r="N2" s="504"/>
      <c r="Q2" s="504"/>
      <c r="R2" s="504"/>
      <c r="V2" s="504"/>
      <c r="W2" s="504"/>
    </row>
    <row r="3" spans="1:32">
      <c r="L3" s="2"/>
      <c r="M3" s="2"/>
      <c r="N3" s="504"/>
      <c r="Q3" s="504"/>
      <c r="R3" s="504"/>
      <c r="V3" s="504"/>
      <c r="W3" s="504"/>
    </row>
    <row r="4" spans="1:32">
      <c r="L4" s="2"/>
      <c r="M4" s="2"/>
      <c r="N4" s="504"/>
      <c r="Q4" s="504"/>
      <c r="R4" s="504"/>
      <c r="V4" s="504"/>
      <c r="W4" s="504"/>
    </row>
    <row r="5" spans="1:32">
      <c r="L5" s="2"/>
      <c r="M5" s="2"/>
      <c r="N5" s="504"/>
      <c r="Q5" s="504"/>
      <c r="R5" s="504"/>
      <c r="V5" s="504"/>
      <c r="W5" s="504"/>
    </row>
    <row r="6" spans="1:32">
      <c r="A6" s="1324" t="s">
        <v>681</v>
      </c>
      <c r="B6" s="1324"/>
      <c r="C6" s="1324"/>
      <c r="D6" s="1324"/>
      <c r="E6" s="1324"/>
      <c r="F6" s="1324"/>
      <c r="G6" s="1324"/>
      <c r="H6" s="1324"/>
      <c r="I6" s="1324"/>
      <c r="J6" s="1324"/>
      <c r="K6" s="1324"/>
      <c r="L6" s="1324"/>
      <c r="M6" s="1324"/>
      <c r="N6" s="1324"/>
      <c r="O6" s="1324"/>
      <c r="P6" s="1324"/>
      <c r="Q6" s="1324"/>
      <c r="R6" s="1324"/>
      <c r="S6" s="1324"/>
      <c r="T6" s="1324"/>
      <c r="U6" s="1324"/>
      <c r="V6" s="1324"/>
      <c r="W6" s="1324"/>
      <c r="X6" s="665"/>
    </row>
    <row r="7" spans="1:32" ht="15" customHeight="1">
      <c r="A7" s="1324" t="s">
        <v>925</v>
      </c>
      <c r="B7" s="1324"/>
      <c r="C7" s="1324"/>
      <c r="D7" s="1324"/>
      <c r="E7" s="1324"/>
      <c r="F7" s="1324"/>
      <c r="G7" s="1324"/>
      <c r="H7" s="1324"/>
      <c r="I7" s="1324"/>
      <c r="J7" s="1324"/>
      <c r="K7" s="1324"/>
      <c r="L7" s="1324"/>
      <c r="M7" s="1324"/>
      <c r="N7" s="1324"/>
      <c r="O7" s="1324"/>
      <c r="P7" s="1324"/>
      <c r="Q7" s="1324"/>
      <c r="R7" s="1324"/>
      <c r="S7" s="1324"/>
      <c r="T7" s="1324"/>
      <c r="U7" s="1324"/>
      <c r="V7" s="1324"/>
      <c r="W7" s="1324"/>
      <c r="X7" s="644"/>
      <c r="Y7" s="644"/>
    </row>
    <row r="8" spans="1:32" ht="11.45" customHeight="1">
      <c r="A8" s="385"/>
      <c r="B8" s="385"/>
      <c r="C8" s="385"/>
      <c r="D8" s="385"/>
      <c r="E8" s="447"/>
      <c r="F8" s="385"/>
      <c r="G8" s="447"/>
      <c r="H8" s="385"/>
      <c r="I8" s="385"/>
      <c r="J8" s="385"/>
      <c r="K8" s="385"/>
      <c r="L8" s="385"/>
      <c r="M8" s="385"/>
      <c r="N8" s="504"/>
      <c r="O8" s="385"/>
      <c r="P8" s="385"/>
      <c r="Q8" s="504"/>
      <c r="R8" s="504"/>
      <c r="S8" s="385"/>
      <c r="T8" s="385"/>
      <c r="U8" s="385"/>
      <c r="V8" s="504"/>
      <c r="W8" s="504"/>
    </row>
    <row r="9" spans="1:32" ht="26.45" customHeight="1">
      <c r="A9" s="447"/>
      <c r="B9" s="447"/>
      <c r="C9" s="447"/>
      <c r="D9" s="447"/>
      <c r="E9" s="385"/>
      <c r="F9" s="1313" t="s">
        <v>682</v>
      </c>
      <c r="G9" s="1313"/>
      <c r="H9" s="1313"/>
      <c r="I9" s="1313"/>
      <c r="J9" s="1313"/>
      <c r="K9" s="447"/>
      <c r="L9" s="1325" t="s">
        <v>496</v>
      </c>
      <c r="M9" s="1325"/>
      <c r="N9" s="256"/>
      <c r="O9" s="447"/>
      <c r="P9" s="449"/>
      <c r="Q9" s="1325" t="s">
        <v>497</v>
      </c>
      <c r="R9" s="1325"/>
      <c r="S9" s="447"/>
      <c r="T9" s="1313" t="s">
        <v>926</v>
      </c>
      <c r="U9" s="1313"/>
      <c r="V9" s="1313"/>
      <c r="W9" s="1313"/>
      <c r="X9" s="4"/>
    </row>
    <row r="10" spans="1:32" ht="38.25">
      <c r="A10" s="254" t="s">
        <v>1</v>
      </c>
      <c r="B10" s="254"/>
      <c r="C10" s="254"/>
      <c r="D10" s="254"/>
      <c r="E10" s="4" t="s">
        <v>670</v>
      </c>
      <c r="F10" s="254"/>
      <c r="G10" s="13" t="s">
        <v>684</v>
      </c>
      <c r="H10" s="254"/>
      <c r="I10" s="13" t="s">
        <v>196</v>
      </c>
      <c r="J10" s="13" t="s">
        <v>503</v>
      </c>
      <c r="K10" s="254"/>
      <c r="L10" s="13" t="s">
        <v>505</v>
      </c>
      <c r="M10" s="13" t="s">
        <v>685</v>
      </c>
      <c r="N10" s="254" t="s">
        <v>688</v>
      </c>
      <c r="O10" s="254"/>
      <c r="P10" s="254" t="s">
        <v>689</v>
      </c>
      <c r="Q10" s="13" t="s">
        <v>505</v>
      </c>
      <c r="R10" s="13" t="s">
        <v>685</v>
      </c>
      <c r="S10" s="254"/>
      <c r="T10" s="13" t="s">
        <v>690</v>
      </c>
      <c r="U10" s="13" t="s">
        <v>691</v>
      </c>
      <c r="V10" s="13" t="s">
        <v>692</v>
      </c>
      <c r="W10" s="254" t="s">
        <v>693</v>
      </c>
      <c r="X10" s="254"/>
    </row>
    <row r="11" spans="1:32" ht="14.25">
      <c r="A11" s="255" t="s">
        <v>2</v>
      </c>
      <c r="B11" s="256"/>
      <c r="C11" s="449" t="s">
        <v>3</v>
      </c>
      <c r="D11" s="256"/>
      <c r="E11" s="255" t="s">
        <v>4</v>
      </c>
      <c r="F11" s="256"/>
      <c r="G11" s="255" t="s">
        <v>694</v>
      </c>
      <c r="H11" s="256"/>
      <c r="I11" s="255" t="s">
        <v>77</v>
      </c>
      <c r="J11" s="255" t="s">
        <v>20</v>
      </c>
      <c r="K11" s="256"/>
      <c r="L11" s="255" t="s">
        <v>20</v>
      </c>
      <c r="M11" s="255" t="s">
        <v>20</v>
      </c>
      <c r="N11" s="255" t="s">
        <v>20</v>
      </c>
      <c r="O11" s="256"/>
      <c r="P11" s="255" t="s">
        <v>20</v>
      </c>
      <c r="Q11" s="255" t="s">
        <v>20</v>
      </c>
      <c r="R11" s="255" t="s">
        <v>20</v>
      </c>
      <c r="S11" s="256"/>
      <c r="T11" s="255" t="s">
        <v>20</v>
      </c>
      <c r="U11" s="255" t="s">
        <v>77</v>
      </c>
      <c r="V11" s="255" t="s">
        <v>20</v>
      </c>
      <c r="W11" s="255" t="s">
        <v>76</v>
      </c>
      <c r="X11" s="4"/>
      <c r="Z11" s="1326"/>
      <c r="AA11" s="1326"/>
      <c r="AB11" s="1326"/>
      <c r="AC11" s="1326"/>
      <c r="AD11" s="1326"/>
    </row>
    <row r="12" spans="1:32">
      <c r="A12" s="4"/>
      <c r="B12" s="256"/>
      <c r="C12" s="256"/>
      <c r="D12" s="256"/>
      <c r="E12" s="4"/>
      <c r="F12" s="256"/>
      <c r="G12" s="4" t="s">
        <v>8</v>
      </c>
      <c r="H12" s="4"/>
      <c r="I12" s="4" t="s">
        <v>9</v>
      </c>
      <c r="J12" s="4" t="s">
        <v>370</v>
      </c>
      <c r="K12" s="4"/>
      <c r="L12" s="132" t="s">
        <v>79</v>
      </c>
      <c r="M12" s="132" t="s">
        <v>115</v>
      </c>
      <c r="N12" s="4" t="s">
        <v>927</v>
      </c>
      <c r="O12" s="4"/>
      <c r="P12" s="4" t="s">
        <v>928</v>
      </c>
      <c r="Q12" s="4" t="s">
        <v>118</v>
      </c>
      <c r="R12" s="4" t="s">
        <v>84</v>
      </c>
      <c r="S12" s="4"/>
      <c r="T12" s="4" t="s">
        <v>929</v>
      </c>
      <c r="U12" s="4" t="s">
        <v>517</v>
      </c>
      <c r="V12" s="4" t="s">
        <v>930</v>
      </c>
      <c r="W12" s="4" t="s">
        <v>931</v>
      </c>
      <c r="X12" s="4"/>
    </row>
    <row r="13" spans="1:32">
      <c r="A13" s="4"/>
      <c r="B13" s="256"/>
      <c r="C13" s="6" t="s">
        <v>11</v>
      </c>
      <c r="D13" s="256"/>
      <c r="E13" s="934"/>
      <c r="F13" s="256"/>
      <c r="G13" s="934"/>
      <c r="H13" s="256"/>
      <c r="I13" s="753"/>
      <c r="J13" s="753"/>
      <c r="K13" s="256"/>
      <c r="L13" s="753"/>
      <c r="M13" s="753"/>
      <c r="N13" s="753"/>
      <c r="O13" s="256"/>
      <c r="P13" s="256"/>
      <c r="Q13" s="753"/>
      <c r="R13" s="753"/>
      <c r="S13" s="256"/>
      <c r="T13" s="256"/>
      <c r="U13" s="256"/>
      <c r="V13" s="504"/>
      <c r="W13" s="504"/>
    </row>
    <row r="14" spans="1:32">
      <c r="A14" s="4"/>
      <c r="B14" s="256"/>
      <c r="C14" s="6" t="s">
        <v>162</v>
      </c>
      <c r="D14" s="256"/>
      <c r="E14" s="934"/>
      <c r="F14" s="256"/>
      <c r="G14" s="934"/>
      <c r="H14" s="256"/>
      <c r="I14" s="753"/>
      <c r="J14" s="753"/>
      <c r="K14" s="256"/>
      <c r="L14" s="753"/>
      <c r="M14" s="753"/>
      <c r="N14" s="753"/>
      <c r="O14" s="256"/>
      <c r="P14" s="256"/>
      <c r="Q14" s="753"/>
      <c r="R14" s="753"/>
      <c r="S14" s="256"/>
      <c r="T14" s="256"/>
      <c r="U14" s="256"/>
      <c r="V14" s="504"/>
      <c r="W14" s="504"/>
    </row>
    <row r="15" spans="1:32">
      <c r="A15" s="4">
        <v>1</v>
      </c>
      <c r="B15" s="256"/>
      <c r="C15" s="7" t="s">
        <v>703</v>
      </c>
      <c r="D15" s="256"/>
      <c r="E15" s="929" t="s">
        <v>704</v>
      </c>
      <c r="F15" s="256"/>
      <c r="G15" s="828">
        <v>25957058</v>
      </c>
      <c r="H15" s="256"/>
      <c r="I15" s="778">
        <v>21.878786989991127</v>
      </c>
      <c r="J15" s="828">
        <f>G15*I15/1000</f>
        <v>567908.94286884507</v>
      </c>
      <c r="K15" s="256"/>
      <c r="L15" s="762">
        <v>0</v>
      </c>
      <c r="M15" s="762">
        <v>0</v>
      </c>
      <c r="N15" s="753">
        <f>J15-L15-M15</f>
        <v>567908.94286884507</v>
      </c>
      <c r="O15" s="256"/>
      <c r="P15" s="828">
        <v>15313.764859736431</v>
      </c>
      <c r="Q15" s="828">
        <v>58464.788364658962</v>
      </c>
      <c r="R15" s="762">
        <v>0</v>
      </c>
      <c r="S15" s="256"/>
      <c r="T15" s="750">
        <f>N15+P15+Q15+R15</f>
        <v>641687.49609324045</v>
      </c>
      <c r="U15" s="811">
        <f>T15/G15*1000</f>
        <v>24.721118090241212</v>
      </c>
      <c r="V15" s="753">
        <f>T15-J15</f>
        <v>73778.553224395378</v>
      </c>
      <c r="W15" s="770">
        <f>U15/I15-1</f>
        <v>0.12991264559366855</v>
      </c>
      <c r="X15" s="769"/>
      <c r="Z15" s="938"/>
      <c r="AB15" s="938"/>
      <c r="AD15" s="938"/>
      <c r="AF15" s="954"/>
    </row>
    <row r="16" spans="1:32">
      <c r="A16" s="4"/>
      <c r="B16" s="256"/>
      <c r="C16" s="512" t="s">
        <v>705</v>
      </c>
      <c r="D16" s="256"/>
      <c r="E16" s="930"/>
      <c r="F16" s="256"/>
      <c r="G16" s="828"/>
      <c r="H16" s="256"/>
      <c r="I16" s="932"/>
      <c r="J16" s="753"/>
      <c r="K16" s="256"/>
      <c r="L16" s="762"/>
      <c r="M16" s="762"/>
      <c r="N16" s="753"/>
      <c r="O16" s="256"/>
      <c r="P16" s="256"/>
      <c r="Q16" s="753"/>
      <c r="R16" s="762"/>
      <c r="S16" s="256"/>
      <c r="T16" s="750"/>
      <c r="U16" s="811"/>
      <c r="V16" s="753"/>
      <c r="W16" s="4"/>
      <c r="X16" s="769"/>
    </row>
    <row r="17" spans="1:32">
      <c r="A17" s="4">
        <f>MAX(A$14:A16)+1</f>
        <v>2</v>
      </c>
      <c r="B17" s="256"/>
      <c r="C17" s="9" t="s">
        <v>706</v>
      </c>
      <c r="D17" s="256"/>
      <c r="E17" s="929" t="s">
        <v>674</v>
      </c>
      <c r="F17" s="256"/>
      <c r="G17" s="828">
        <v>712504.72543658817</v>
      </c>
      <c r="H17" s="256"/>
      <c r="I17" s="861">
        <v>9.5616692595911292</v>
      </c>
      <c r="J17" s="828">
        <f>G17*I17/100</f>
        <v>68127.345305204435</v>
      </c>
      <c r="K17" s="256"/>
      <c r="L17" s="828">
        <v>6370.5021444180629</v>
      </c>
      <c r="M17" s="762">
        <v>0</v>
      </c>
      <c r="N17" s="753">
        <f>J17-L17-M17</f>
        <v>61756.843160786375</v>
      </c>
      <c r="O17" s="256"/>
      <c r="P17" s="828">
        <v>1665.2841736678092</v>
      </c>
      <c r="Q17" s="828">
        <v>1489.3069266303887</v>
      </c>
      <c r="R17" s="762">
        <v>0</v>
      </c>
      <c r="S17" s="256"/>
      <c r="T17" s="750">
        <f>N17+P17+Q17+R17</f>
        <v>64911.434261084571</v>
      </c>
      <c r="U17" s="792">
        <f>T17/G17*100</f>
        <v>9.1103163170335488</v>
      </c>
      <c r="V17" s="847">
        <f>T17-J17</f>
        <v>-3215.9110441198645</v>
      </c>
      <c r="W17" s="770"/>
      <c r="X17" s="769"/>
      <c r="Z17" s="938"/>
      <c r="AB17" s="938"/>
      <c r="AD17" s="938"/>
      <c r="AF17" s="971"/>
    </row>
    <row r="18" spans="1:32">
      <c r="A18" s="4">
        <f>MAX(A$14:A17)+1</f>
        <v>3</v>
      </c>
      <c r="B18" s="256"/>
      <c r="C18" s="9" t="s">
        <v>707</v>
      </c>
      <c r="D18" s="256"/>
      <c r="E18" s="929" t="s">
        <v>674</v>
      </c>
      <c r="F18" s="256"/>
      <c r="G18" s="828">
        <v>1022924.1636396735</v>
      </c>
      <c r="H18" s="256"/>
      <c r="I18" s="861">
        <v>8.8860279917706571</v>
      </c>
      <c r="J18" s="828">
        <f>G18*I18/100</f>
        <v>90897.327515607278</v>
      </c>
      <c r="K18" s="256"/>
      <c r="L18" s="828">
        <v>9145.9612061528078</v>
      </c>
      <c r="M18" s="762">
        <v>0</v>
      </c>
      <c r="N18" s="753">
        <f>J18-L18-M18</f>
        <v>81751.366309454475</v>
      </c>
      <c r="O18" s="256"/>
      <c r="P18" s="828">
        <v>2204.4400186779385</v>
      </c>
      <c r="Q18" s="828">
        <v>2138.1585103069574</v>
      </c>
      <c r="R18" s="762">
        <v>0</v>
      </c>
      <c r="S18" s="256"/>
      <c r="T18" s="750">
        <f>N18+P18+Q18+R18</f>
        <v>86093.964838439366</v>
      </c>
      <c r="U18" s="792">
        <f>T18/G18*100</f>
        <v>8.4164562632001818</v>
      </c>
      <c r="V18" s="847">
        <f>T18-J18</f>
        <v>-4803.3626771679119</v>
      </c>
      <c r="W18" s="770"/>
      <c r="X18" s="769"/>
      <c r="Z18" s="938"/>
      <c r="AB18" s="938"/>
      <c r="AD18" s="938"/>
      <c r="AF18" s="971"/>
    </row>
    <row r="19" spans="1:32">
      <c r="A19" s="4">
        <f>MAX(A$14:A18)+1</f>
        <v>4</v>
      </c>
      <c r="B19" s="256"/>
      <c r="C19" s="9" t="s">
        <v>708</v>
      </c>
      <c r="D19" s="256"/>
      <c r="E19" s="929" t="s">
        <v>674</v>
      </c>
      <c r="F19" s="256"/>
      <c r="G19" s="828">
        <v>1109755.6772268531</v>
      </c>
      <c r="H19" s="256"/>
      <c r="I19" s="861">
        <v>8.3569694314837264</v>
      </c>
      <c r="J19" s="828">
        <f>G19*I19/100</f>
        <v>92741.942710003335</v>
      </c>
      <c r="K19" s="256"/>
      <c r="L19" s="828">
        <v>9922.3214515831023</v>
      </c>
      <c r="M19" s="762">
        <v>0</v>
      </c>
      <c r="N19" s="753">
        <f>J19-L19-M19</f>
        <v>82819.621258420229</v>
      </c>
      <c r="O19" s="256"/>
      <c r="P19" s="828">
        <v>2233.2457018849527</v>
      </c>
      <c r="Q19" s="828">
        <v>2319.6573411476188</v>
      </c>
      <c r="R19" s="762">
        <v>0</v>
      </c>
      <c r="S19" s="256"/>
      <c r="T19" s="750">
        <f>N19+P19+Q19+R19</f>
        <v>87372.524301452795</v>
      </c>
      <c r="U19" s="792">
        <f>T19/G19*100</f>
        <v>7.8731315454755144</v>
      </c>
      <c r="V19" s="847">
        <f>T19-J19</f>
        <v>-5369.4184085505403</v>
      </c>
      <c r="W19" s="770"/>
      <c r="X19" s="769"/>
      <c r="Z19" s="938"/>
      <c r="AB19" s="938"/>
      <c r="AD19" s="938"/>
      <c r="AF19" s="971"/>
    </row>
    <row r="20" spans="1:32">
      <c r="A20" s="4">
        <f>MAX(A$14:A19)+1</f>
        <v>5</v>
      </c>
      <c r="B20" s="256"/>
      <c r="C20" s="9" t="s">
        <v>709</v>
      </c>
      <c r="D20" s="256"/>
      <c r="E20" s="929" t="s">
        <v>674</v>
      </c>
      <c r="F20" s="256"/>
      <c r="G20" s="828">
        <v>2166403.060431628</v>
      </c>
      <c r="H20" s="256"/>
      <c r="I20" s="861">
        <v>7.9625807490111589</v>
      </c>
      <c r="J20" s="828">
        <f>G20*I20/100</f>
        <v>172501.59303591738</v>
      </c>
      <c r="K20" s="256"/>
      <c r="L20" s="828">
        <v>19369.80184053785</v>
      </c>
      <c r="M20" s="762">
        <v>0</v>
      </c>
      <c r="N20" s="753">
        <f>J20-L20-M20</f>
        <v>153131.79119537954</v>
      </c>
      <c r="O20" s="256"/>
      <c r="P20" s="828">
        <v>4129.2257717763423</v>
      </c>
      <c r="Q20" s="828">
        <v>4528.3055235838492</v>
      </c>
      <c r="R20" s="762">
        <v>0</v>
      </c>
      <c r="S20" s="256"/>
      <c r="T20" s="750">
        <f>N20+P20+Q20+R20</f>
        <v>161789.32249073972</v>
      </c>
      <c r="U20" s="792">
        <f>T20/G20*100</f>
        <v>7.4681081025848108</v>
      </c>
      <c r="V20" s="847">
        <f>T20-J20</f>
        <v>-10712.270545177656</v>
      </c>
      <c r="W20" s="770"/>
      <c r="X20" s="769"/>
      <c r="Z20" s="938"/>
      <c r="AB20" s="938"/>
      <c r="AD20" s="938"/>
      <c r="AF20" s="971"/>
    </row>
    <row r="21" spans="1:32">
      <c r="A21" s="4">
        <f>MAX(A$14:A20)+1</f>
        <v>6</v>
      </c>
      <c r="B21" s="256"/>
      <c r="C21" s="512" t="s">
        <v>705</v>
      </c>
      <c r="D21" s="256"/>
      <c r="E21" s="930"/>
      <c r="F21" s="256"/>
      <c r="G21" s="852">
        <f>SUM(G17:G20)</f>
        <v>5011587.6267347429</v>
      </c>
      <c r="H21" s="256"/>
      <c r="I21" s="931">
        <f>J21/G21*100</f>
        <v>8.4657445936580533</v>
      </c>
      <c r="J21" s="842">
        <f>SUM(J17:J20)</f>
        <v>424268.20856673241</v>
      </c>
      <c r="K21" s="256"/>
      <c r="L21" s="830">
        <f>SUM(L17:L20)</f>
        <v>44808.586642691822</v>
      </c>
      <c r="M21" s="805">
        <v>0</v>
      </c>
      <c r="N21" s="842">
        <f>SUM(N17:N20)</f>
        <v>379459.62192404061</v>
      </c>
      <c r="O21" s="256"/>
      <c r="P21" s="808">
        <f>SUM(P17:P20)</f>
        <v>10232.195666007043</v>
      </c>
      <c r="Q21" s="842">
        <f>SUM(Q17:Q20)</f>
        <v>10475.428301668813</v>
      </c>
      <c r="R21" s="805">
        <f>SUM(R17:R20)</f>
        <v>0</v>
      </c>
      <c r="S21" s="256"/>
      <c r="T21" s="808">
        <f>SUM(T17:T20)</f>
        <v>400167.24589171645</v>
      </c>
      <c r="U21" s="806">
        <f>T21/G21*100</f>
        <v>7.9848398490927313</v>
      </c>
      <c r="V21" s="851">
        <f>SUM(V17:V20)</f>
        <v>-24100.962675015973</v>
      </c>
      <c r="W21" s="816">
        <f>U21/I21-1</f>
        <v>-5.6805959504800385E-2</v>
      </c>
      <c r="X21" s="785"/>
      <c r="Z21" s="938"/>
      <c r="AB21" s="938"/>
      <c r="AD21" s="938"/>
      <c r="AF21" s="971"/>
    </row>
    <row r="22" spans="1:32">
      <c r="A22" s="4"/>
      <c r="B22" s="256"/>
      <c r="C22" s="7"/>
      <c r="D22" s="256"/>
      <c r="E22" s="930"/>
      <c r="F22" s="256"/>
      <c r="G22" s="828"/>
      <c r="H22" s="256"/>
      <c r="I22" s="753"/>
      <c r="J22" s="753"/>
      <c r="K22" s="256"/>
      <c r="L22" s="762"/>
      <c r="M22" s="762"/>
      <c r="N22" s="753"/>
      <c r="O22" s="256"/>
      <c r="P22" s="256"/>
      <c r="Q22" s="753"/>
      <c r="R22" s="762"/>
      <c r="S22" s="256"/>
      <c r="T22" s="256"/>
      <c r="U22" s="256"/>
      <c r="V22" s="504"/>
      <c r="W22" s="770"/>
      <c r="X22" s="769"/>
    </row>
    <row r="23" spans="1:32">
      <c r="A23" s="4">
        <f>MAX(A$14:A22)+1</f>
        <v>7</v>
      </c>
      <c r="B23" s="256"/>
      <c r="C23" s="7" t="s">
        <v>710</v>
      </c>
      <c r="D23" s="256"/>
      <c r="E23" s="930"/>
      <c r="F23" s="256"/>
      <c r="G23" s="852">
        <f>G21</f>
        <v>5011587.6267347429</v>
      </c>
      <c r="H23" s="256"/>
      <c r="I23" s="931">
        <f>J23/G23*100</f>
        <v>19.797661446498982</v>
      </c>
      <c r="J23" s="842">
        <f>J15+J21</f>
        <v>992177.15143557754</v>
      </c>
      <c r="K23" s="753"/>
      <c r="L23" s="842">
        <f>L15+L21</f>
        <v>44808.586642691822</v>
      </c>
      <c r="M23" s="805">
        <f>M15+M21</f>
        <v>0</v>
      </c>
      <c r="N23" s="842">
        <f>N15+N21</f>
        <v>947368.56479288568</v>
      </c>
      <c r="O23" s="753"/>
      <c r="P23" s="842">
        <f>P15+P21</f>
        <v>25545.960525743474</v>
      </c>
      <c r="Q23" s="842">
        <f>Q15+Q21</f>
        <v>68940.216666327775</v>
      </c>
      <c r="R23" s="805">
        <f>R15+R21</f>
        <v>0</v>
      </c>
      <c r="S23" s="753"/>
      <c r="T23" s="842">
        <f>T15+T21</f>
        <v>1041854.7419849569</v>
      </c>
      <c r="U23" s="902">
        <f>T23/G23*100</f>
        <v>20.788915999933707</v>
      </c>
      <c r="V23" s="805">
        <f>V15+V21</f>
        <v>49677.590549379405</v>
      </c>
      <c r="W23" s="804">
        <f>U23/I23-1</f>
        <v>5.0069274904689154E-2</v>
      </c>
      <c r="X23" s="769"/>
      <c r="Y23" s="782"/>
      <c r="Z23" s="955"/>
      <c r="AB23" s="955"/>
      <c r="AD23" s="955"/>
    </row>
    <row r="24" spans="1:32">
      <c r="E24" s="930"/>
      <c r="G24" s="828"/>
      <c r="I24" s="753"/>
      <c r="J24" s="753"/>
      <c r="L24" s="762"/>
      <c r="M24" s="762"/>
      <c r="N24" s="762"/>
      <c r="O24" s="68"/>
      <c r="P24" s="68"/>
      <c r="Q24" s="762"/>
      <c r="R24" s="762"/>
      <c r="S24" s="68"/>
      <c r="T24" s="68"/>
      <c r="U24" s="68"/>
      <c r="V24" s="762"/>
      <c r="W24" s="770"/>
      <c r="X24" s="769"/>
      <c r="Y24" s="782"/>
    </row>
    <row r="25" spans="1:32">
      <c r="A25" s="4">
        <f>MAX(A$14:A24)+1</f>
        <v>8</v>
      </c>
      <c r="B25" s="256"/>
      <c r="C25" s="9" t="s">
        <v>711</v>
      </c>
      <c r="D25" s="256"/>
      <c r="E25" s="929" t="s">
        <v>674</v>
      </c>
      <c r="F25" s="256"/>
      <c r="G25" s="828">
        <v>5011587.6267347429</v>
      </c>
      <c r="H25" s="256"/>
      <c r="I25" s="861">
        <v>0.69423121843054436</v>
      </c>
      <c r="J25" s="828">
        <f>G25*I25/100</f>
        <v>34792.005843795007</v>
      </c>
      <c r="K25" s="256"/>
      <c r="L25" s="762">
        <v>0</v>
      </c>
      <c r="M25" s="828">
        <v>15787.788096522025</v>
      </c>
      <c r="N25" s="762">
        <f>J25-L25-M25</f>
        <v>19004.217747272982</v>
      </c>
      <c r="O25" s="771"/>
      <c r="P25" s="828">
        <v>512.45208510861266</v>
      </c>
      <c r="Q25" s="762">
        <v>0</v>
      </c>
      <c r="R25" s="828">
        <v>15733.138523330314</v>
      </c>
      <c r="S25" s="771"/>
      <c r="T25" s="771">
        <f>N25+P25+Q25+R25</f>
        <v>35249.80835571191</v>
      </c>
      <c r="U25" s="821">
        <f>T25/G25*100</f>
        <v>0.70336609835312047</v>
      </c>
      <c r="V25" s="762">
        <f>T25-J25</f>
        <v>457.80251191690331</v>
      </c>
      <c r="W25" s="785">
        <f>U25/I25-1</f>
        <v>1.31582672747379E-2</v>
      </c>
      <c r="X25" s="785"/>
      <c r="Y25" s="782"/>
      <c r="Z25" s="938"/>
      <c r="AB25" s="938"/>
      <c r="AD25" s="938"/>
      <c r="AF25" s="971"/>
    </row>
    <row r="26" spans="1:32">
      <c r="A26" s="4"/>
      <c r="B26" s="256"/>
      <c r="C26" s="9"/>
      <c r="D26" s="256"/>
      <c r="E26" s="929"/>
      <c r="F26" s="256"/>
      <c r="G26" s="828"/>
      <c r="H26" s="256"/>
      <c r="I26" s="861"/>
      <c r="J26" s="828"/>
      <c r="K26" s="256"/>
      <c r="L26" s="762"/>
      <c r="M26" s="828"/>
      <c r="N26" s="762"/>
      <c r="O26" s="771"/>
      <c r="P26" s="828"/>
      <c r="Q26" s="762"/>
      <c r="R26" s="828"/>
      <c r="S26" s="771"/>
      <c r="T26" s="771"/>
      <c r="U26" s="821"/>
      <c r="V26" s="762"/>
      <c r="W26" s="785"/>
      <c r="X26" s="785"/>
      <c r="Y26" s="782"/>
      <c r="Z26" s="938"/>
      <c r="AB26" s="938"/>
      <c r="AD26" s="938"/>
      <c r="AF26" s="971"/>
    </row>
    <row r="27" spans="1:32">
      <c r="A27" s="4"/>
      <c r="B27" s="256"/>
      <c r="C27" s="7" t="s">
        <v>712</v>
      </c>
      <c r="D27" s="256"/>
      <c r="E27" s="929"/>
      <c r="F27" s="256"/>
      <c r="G27" s="828"/>
      <c r="H27" s="256"/>
      <c r="I27" s="861"/>
      <c r="J27" s="828"/>
      <c r="K27" s="256"/>
      <c r="L27" s="762"/>
      <c r="M27" s="828"/>
      <c r="N27" s="762"/>
      <c r="O27" s="771"/>
      <c r="P27" s="828"/>
      <c r="Q27" s="762"/>
      <c r="R27" s="828"/>
      <c r="S27" s="771"/>
      <c r="T27" s="771"/>
      <c r="U27" s="821"/>
      <c r="V27" s="762"/>
      <c r="W27" s="785"/>
      <c r="X27" s="785"/>
      <c r="Y27" s="782"/>
      <c r="Z27" s="938"/>
      <c r="AB27" s="938"/>
      <c r="AD27" s="938"/>
      <c r="AF27" s="971"/>
    </row>
    <row r="28" spans="1:32">
      <c r="A28" s="4">
        <f>MAX(A$14:A25)+1</f>
        <v>9</v>
      </c>
      <c r="B28" s="256"/>
      <c r="C28" s="9" t="s">
        <v>713</v>
      </c>
      <c r="D28" s="256"/>
      <c r="E28" s="929" t="s">
        <v>674</v>
      </c>
      <c r="F28" s="256"/>
      <c r="G28" s="828">
        <v>4941365.8225043351</v>
      </c>
      <c r="H28" s="256"/>
      <c r="I28" s="861">
        <v>7.5247902377075362E-2</v>
      </c>
      <c r="J28" s="828">
        <f>G28*I28/100</f>
        <v>3718.274130212229</v>
      </c>
      <c r="K28" s="256"/>
      <c r="L28" s="762">
        <v>0</v>
      </c>
      <c r="M28" s="762">
        <v>0</v>
      </c>
      <c r="N28" s="762">
        <f>J28-L28-M28</f>
        <v>3718.274130212229</v>
      </c>
      <c r="O28" s="771"/>
      <c r="P28" s="828">
        <v>100.26391806135234</v>
      </c>
      <c r="Q28" s="762">
        <v>0</v>
      </c>
      <c r="R28" s="762">
        <v>0</v>
      </c>
      <c r="S28" s="771"/>
      <c r="T28" s="771">
        <f>N28+P28+Q28+R28</f>
        <v>3818.5380482735814</v>
      </c>
      <c r="U28" s="821">
        <f>T28/G28*100</f>
        <v>7.7276975343191792E-2</v>
      </c>
      <c r="V28" s="762">
        <f>T28-J28</f>
        <v>100.26391806135234</v>
      </c>
      <c r="W28" s="770"/>
      <c r="X28" s="769"/>
      <c r="Y28" s="782"/>
      <c r="Z28" s="938"/>
      <c r="AB28" s="938"/>
      <c r="AD28" s="938"/>
      <c r="AF28" s="971"/>
    </row>
    <row r="29" spans="1:32">
      <c r="A29" s="4">
        <f>MAX(A$14:A28)+1</f>
        <v>10</v>
      </c>
      <c r="B29" s="256"/>
      <c r="C29" s="9" t="s">
        <v>714</v>
      </c>
      <c r="D29" s="256"/>
      <c r="E29" s="929" t="s">
        <v>674</v>
      </c>
      <c r="F29" s="256"/>
      <c r="G29" s="828">
        <v>70111.872093691025</v>
      </c>
      <c r="H29" s="256"/>
      <c r="I29" s="861">
        <v>0.59779333782231125</v>
      </c>
      <c r="J29" s="828">
        <f>G29*I29/100</f>
        <v>419.12410039858514</v>
      </c>
      <c r="K29" s="256"/>
      <c r="L29" s="762">
        <v>0</v>
      </c>
      <c r="M29" s="762">
        <v>0</v>
      </c>
      <c r="N29" s="762">
        <f>J29-L29-M29</f>
        <v>419.12410039858514</v>
      </c>
      <c r="O29" s="771"/>
      <c r="P29" s="828">
        <v>11.301755327411286</v>
      </c>
      <c r="Q29" s="762">
        <v>0</v>
      </c>
      <c r="R29" s="762">
        <v>0</v>
      </c>
      <c r="S29" s="771"/>
      <c r="T29" s="771">
        <f>N29+P29+Q29+R29</f>
        <v>430.42585572599643</v>
      </c>
      <c r="U29" s="821">
        <f>T29/G29*100</f>
        <v>0.61391294066547686</v>
      </c>
      <c r="V29" s="762">
        <f>T29-J29</f>
        <v>11.301755327411286</v>
      </c>
      <c r="W29" s="770"/>
      <c r="X29" s="769"/>
      <c r="Y29" s="782"/>
      <c r="Z29" s="938"/>
      <c r="AB29" s="938"/>
      <c r="AD29" s="938"/>
      <c r="AF29" s="971"/>
    </row>
    <row r="30" spans="1:32">
      <c r="A30" s="4">
        <v>11</v>
      </c>
      <c r="B30" s="256"/>
      <c r="C30" s="7" t="s">
        <v>712</v>
      </c>
      <c r="D30" s="256"/>
      <c r="E30" s="929"/>
      <c r="F30" s="256"/>
      <c r="G30" s="830">
        <f>SUM(G28:G29)</f>
        <v>5011477.6945980266</v>
      </c>
      <c r="H30" s="256"/>
      <c r="I30" s="891">
        <f>J30/G30*100</f>
        <v>8.2558448480586855E-2</v>
      </c>
      <c r="J30" s="830">
        <f>SUM(J28:J29)</f>
        <v>4137.3982306108137</v>
      </c>
      <c r="K30" s="828"/>
      <c r="L30" s="420">
        <f>SUM(L28:L29)</f>
        <v>0</v>
      </c>
      <c r="M30" s="420">
        <f>SUM(M28:M29)</f>
        <v>0</v>
      </c>
      <c r="N30" s="830">
        <f>SUM(N28:N29)</f>
        <v>4137.3982306108137</v>
      </c>
      <c r="O30" s="828"/>
      <c r="P30" s="830">
        <f>SUM(P28:P29)</f>
        <v>111.56567338876363</v>
      </c>
      <c r="Q30" s="420">
        <f>SUM(Q28:Q29)</f>
        <v>0</v>
      </c>
      <c r="R30" s="420">
        <f>SUM(R28:R29)</f>
        <v>0</v>
      </c>
      <c r="S30" s="828"/>
      <c r="T30" s="830">
        <f>SUM(T28:T29)</f>
        <v>4248.9639039995782</v>
      </c>
      <c r="U30" s="902">
        <f>T30/G30*100</f>
        <v>8.4784651612430054E-2</v>
      </c>
      <c r="V30" s="805">
        <f>V28+V29</f>
        <v>111.56567338876363</v>
      </c>
      <c r="W30" s="804">
        <f>U30/I30-1</f>
        <v>2.6965176463638052E-2</v>
      </c>
      <c r="X30" s="769"/>
      <c r="Y30" s="782"/>
      <c r="Z30" s="938"/>
      <c r="AB30" s="938"/>
      <c r="AD30" s="938"/>
      <c r="AF30" s="971"/>
    </row>
    <row r="31" spans="1:32">
      <c r="E31" s="752"/>
      <c r="G31" s="744"/>
      <c r="I31" s="753"/>
      <c r="J31" s="828"/>
      <c r="L31" s="762"/>
      <c r="M31" s="35"/>
      <c r="N31" s="762"/>
      <c r="O31" s="68"/>
      <c r="P31" s="828"/>
      <c r="Q31" s="762"/>
      <c r="R31" s="762"/>
      <c r="S31" s="68"/>
      <c r="T31" s="771"/>
      <c r="U31" s="821"/>
      <c r="V31" s="762"/>
      <c r="W31" s="770"/>
      <c r="X31" s="769"/>
      <c r="Y31" s="782"/>
      <c r="Z31" s="938"/>
      <c r="AB31" s="938"/>
      <c r="AD31" s="938"/>
      <c r="AF31" s="971"/>
    </row>
    <row r="32" spans="1:32">
      <c r="A32" s="4">
        <f>MAX(A$14:A31)+1</f>
        <v>12</v>
      </c>
      <c r="B32" s="256"/>
      <c r="C32" s="7" t="s">
        <v>715</v>
      </c>
      <c r="D32" s="256"/>
      <c r="E32" s="929" t="s">
        <v>674</v>
      </c>
      <c r="F32" s="256"/>
      <c r="G32" s="828">
        <v>4926335.0754972538</v>
      </c>
      <c r="H32" s="256"/>
      <c r="I32" s="861">
        <v>8.4952403136659735E-2</v>
      </c>
      <c r="J32" s="828">
        <f>G32*I32/100</f>
        <v>4185.0400331990977</v>
      </c>
      <c r="K32" s="256"/>
      <c r="L32" s="762">
        <v>0</v>
      </c>
      <c r="M32" s="762">
        <v>0</v>
      </c>
      <c r="N32" s="762">
        <f>J32-L32-M32</f>
        <v>4185.0400331990977</v>
      </c>
      <c r="O32" s="771"/>
      <c r="P32" s="828">
        <v>112.85034300260213</v>
      </c>
      <c r="Q32" s="762">
        <v>0</v>
      </c>
      <c r="R32" s="762">
        <v>0</v>
      </c>
      <c r="S32" s="771"/>
      <c r="T32" s="771">
        <f>N32+P32+Q32+R32</f>
        <v>4297.8903762016998</v>
      </c>
      <c r="U32" s="821">
        <f>T32/G32*100</f>
        <v>8.724315967824986E-2</v>
      </c>
      <c r="V32" s="762">
        <f>T32-J32</f>
        <v>112.85034300260213</v>
      </c>
      <c r="W32" s="770">
        <f>U32/I32-1</f>
        <v>2.696517646363783E-2</v>
      </c>
      <c r="X32" s="769"/>
      <c r="Y32" s="782"/>
      <c r="Z32" s="938"/>
      <c r="AB32" s="938"/>
      <c r="AD32" s="938"/>
      <c r="AF32" s="971"/>
    </row>
    <row r="33" spans="1:32">
      <c r="A33" s="4"/>
      <c r="B33" s="256"/>
      <c r="C33" s="7"/>
      <c r="D33" s="256"/>
      <c r="E33" s="930"/>
      <c r="F33" s="256"/>
      <c r="G33" s="828"/>
      <c r="H33" s="256"/>
      <c r="I33" s="753"/>
      <c r="J33" s="753"/>
      <c r="K33" s="256"/>
      <c r="L33" s="762"/>
      <c r="M33" s="762"/>
      <c r="N33" s="762"/>
      <c r="O33" s="771"/>
      <c r="P33" s="771"/>
      <c r="Q33" s="762"/>
      <c r="R33" s="762"/>
      <c r="S33" s="771"/>
      <c r="T33" s="771"/>
      <c r="U33" s="821"/>
      <c r="V33" s="762"/>
      <c r="W33" s="770"/>
      <c r="X33" s="769"/>
      <c r="Y33" s="782"/>
    </row>
    <row r="34" spans="1:32" ht="13.5" thickBot="1">
      <c r="A34" s="4">
        <f>MAX(A$14:A33)+1</f>
        <v>13</v>
      </c>
      <c r="B34" s="256"/>
      <c r="C34" s="7" t="s">
        <v>716</v>
      </c>
      <c r="D34" s="256"/>
      <c r="E34" s="930"/>
      <c r="F34" s="256"/>
      <c r="G34" s="819">
        <f>G21</f>
        <v>5011587.6267347429</v>
      </c>
      <c r="H34" s="256"/>
      <c r="I34" s="919">
        <f>J34/G34*100</f>
        <v>20.657956572889812</v>
      </c>
      <c r="J34" s="839">
        <f>J23+J25+J30+J32</f>
        <v>1035291.5955431825</v>
      </c>
      <c r="K34" s="753"/>
      <c r="L34" s="839">
        <f>L23+L25+L30+L32</f>
        <v>44808.586642691822</v>
      </c>
      <c r="M34" s="839">
        <f>M23+M25+M30+M32</f>
        <v>15787.788096522025</v>
      </c>
      <c r="N34" s="839">
        <f>N23+N25+N30+N32</f>
        <v>974695.22080396849</v>
      </c>
      <c r="O34" s="753"/>
      <c r="P34" s="839">
        <f>P23+P25+P30+P32</f>
        <v>26282.828627243453</v>
      </c>
      <c r="Q34" s="839">
        <f>Q23+Q25+Q30+Q32</f>
        <v>68940.216666327775</v>
      </c>
      <c r="R34" s="839">
        <f>R23+R25+R30+R32</f>
        <v>15733.138523330314</v>
      </c>
      <c r="S34" s="753"/>
      <c r="T34" s="839">
        <f>T23+T25+T30+T32</f>
        <v>1085651.40462087</v>
      </c>
      <c r="U34" s="901">
        <f>T34/G34*100</f>
        <v>21.662823948829505</v>
      </c>
      <c r="V34" s="799">
        <f>V23+V25+V30+V32</f>
        <v>50359.809077687678</v>
      </c>
      <c r="W34" s="798">
        <f>U34/I34-1</f>
        <v>4.8643115905201206E-2</v>
      </c>
      <c r="X34" s="769"/>
      <c r="Y34" s="782"/>
      <c r="Z34" s="938"/>
      <c r="AB34" s="938"/>
      <c r="AD34" s="938"/>
      <c r="AF34" s="971"/>
    </row>
    <row r="35" spans="1:32" ht="13.5" thickTop="1">
      <c r="A35" s="4"/>
      <c r="B35" s="256"/>
      <c r="D35" s="256"/>
      <c r="E35" s="742"/>
      <c r="F35" s="256"/>
      <c r="G35" s="453"/>
      <c r="H35" s="256"/>
      <c r="I35" s="504"/>
      <c r="J35" s="504"/>
      <c r="K35" s="256"/>
      <c r="L35" s="504"/>
      <c r="M35" s="504"/>
      <c r="N35" s="504"/>
      <c r="O35" s="256"/>
      <c r="P35" s="256"/>
      <c r="Q35" s="504"/>
      <c r="R35" s="504"/>
      <c r="S35" s="256"/>
      <c r="T35" s="256"/>
      <c r="U35" s="256"/>
      <c r="V35" s="753"/>
      <c r="W35" s="504"/>
    </row>
    <row r="36" spans="1:32">
      <c r="A36" s="4"/>
      <c r="B36" s="256"/>
      <c r="C36" s="6" t="s">
        <v>163</v>
      </c>
      <c r="D36" s="256"/>
      <c r="E36" s="134"/>
      <c r="F36" s="256"/>
      <c r="G36" s="749"/>
      <c r="H36" s="256"/>
      <c r="I36" s="504"/>
      <c r="J36" s="504"/>
      <c r="K36" s="256"/>
      <c r="L36" s="504"/>
      <c r="M36" s="504"/>
      <c r="N36" s="504"/>
      <c r="O36" s="256"/>
      <c r="P36" s="256"/>
      <c r="Q36" s="504"/>
      <c r="R36" s="504"/>
      <c r="S36" s="256"/>
      <c r="T36" s="256"/>
      <c r="U36" s="256"/>
      <c r="V36" s="753"/>
      <c r="W36" s="504"/>
    </row>
    <row r="37" spans="1:32">
      <c r="A37" s="4">
        <v>14</v>
      </c>
      <c r="B37" s="256"/>
      <c r="C37" s="7" t="s">
        <v>703</v>
      </c>
      <c r="D37" s="256"/>
      <c r="E37" s="929" t="s">
        <v>704</v>
      </c>
      <c r="F37" s="256"/>
      <c r="G37" s="828">
        <v>2075693</v>
      </c>
      <c r="H37" s="256"/>
      <c r="I37" s="778">
        <v>76.575754464968981</v>
      </c>
      <c r="J37" s="828">
        <f>G37*I37/1000</f>
        <v>158947.75751265488</v>
      </c>
      <c r="K37" s="256"/>
      <c r="L37" s="762">
        <v>0</v>
      </c>
      <c r="M37" s="762">
        <v>0</v>
      </c>
      <c r="N37" s="753">
        <f>J37-L37-M37</f>
        <v>158947.75751265488</v>
      </c>
      <c r="O37" s="256"/>
      <c r="P37" s="828">
        <v>4286.0543298282428</v>
      </c>
      <c r="Q37" s="35">
        <v>0</v>
      </c>
      <c r="R37" s="762">
        <v>0</v>
      </c>
      <c r="S37" s="256"/>
      <c r="T37" s="750">
        <f>N37+P37+Q37+R37</f>
        <v>163233.81184248312</v>
      </c>
      <c r="U37" s="811">
        <f>T37/G37*1000</f>
        <v>78.640633196953075</v>
      </c>
      <c r="V37" s="753">
        <f>T37-J37</f>
        <v>4286.0543298282428</v>
      </c>
      <c r="W37" s="770">
        <f>U37/I37-1</f>
        <v>2.696517646363783E-2</v>
      </c>
      <c r="X37" s="769"/>
      <c r="Z37" s="938"/>
      <c r="AB37" s="938"/>
      <c r="AD37" s="938"/>
      <c r="AF37" s="954"/>
    </row>
    <row r="38" spans="1:32">
      <c r="A38" s="4"/>
      <c r="B38" s="256"/>
      <c r="C38" s="512" t="s">
        <v>705</v>
      </c>
      <c r="D38" s="256"/>
      <c r="E38" s="930"/>
      <c r="F38" s="256"/>
      <c r="G38" s="828"/>
      <c r="H38" s="256"/>
      <c r="I38" s="932"/>
      <c r="J38" s="753"/>
      <c r="K38" s="256"/>
      <c r="L38" s="762"/>
      <c r="M38" s="762"/>
      <c r="N38" s="753"/>
      <c r="O38" s="256"/>
      <c r="P38" s="256"/>
      <c r="Q38" s="753"/>
      <c r="R38" s="762"/>
      <c r="S38" s="256"/>
      <c r="T38" s="750"/>
      <c r="U38" s="811"/>
      <c r="V38" s="753"/>
      <c r="W38" s="770"/>
      <c r="X38" s="769"/>
    </row>
    <row r="39" spans="1:32">
      <c r="A39" s="4">
        <v>15</v>
      </c>
      <c r="B39" s="256"/>
      <c r="C39" s="9" t="s">
        <v>932</v>
      </c>
      <c r="D39" s="256"/>
      <c r="E39" s="929" t="s">
        <v>674</v>
      </c>
      <c r="F39" s="256"/>
      <c r="G39" s="828">
        <v>581366.01608913206</v>
      </c>
      <c r="H39" s="256"/>
      <c r="I39" s="861">
        <v>9.0446162464862105</v>
      </c>
      <c r="J39" s="828">
        <f t="shared" ref="J39:J44" si="0">G39*I39/100</f>
        <v>52582.325142747279</v>
      </c>
      <c r="K39" s="256"/>
      <c r="L39" s="828">
        <v>2833.9180250907939</v>
      </c>
      <c r="M39" s="762">
        <v>0</v>
      </c>
      <c r="N39" s="753">
        <f t="shared" ref="N39:N44" si="1">J39-L39-M39</f>
        <v>49748.407117656483</v>
      </c>
      <c r="O39" s="256"/>
      <c r="P39" s="828">
        <v>1341.474576712506</v>
      </c>
      <c r="Q39" s="828">
        <v>3808.985339477259</v>
      </c>
      <c r="R39" s="762">
        <v>0</v>
      </c>
      <c r="S39" s="256"/>
      <c r="T39" s="750">
        <f t="shared" ref="T39:T44" si="2">N39+P39+Q39+R39</f>
        <v>54898.867033846247</v>
      </c>
      <c r="U39" s="792">
        <f t="shared" ref="U39:U45" si="3">T39/G39*100</f>
        <v>9.4430815552571676</v>
      </c>
      <c r="V39" s="753">
        <f t="shared" ref="V39:V44" si="4">T39-J39</f>
        <v>2316.5418910989683</v>
      </c>
      <c r="W39" s="770"/>
      <c r="X39" s="769"/>
      <c r="Z39" s="938"/>
      <c r="AB39" s="938"/>
      <c r="AD39" s="938"/>
      <c r="AF39" s="971"/>
    </row>
    <row r="40" spans="1:32">
      <c r="A40" s="4">
        <v>16</v>
      </c>
      <c r="B40" s="256"/>
      <c r="C40" s="9" t="s">
        <v>933</v>
      </c>
      <c r="D40" s="256"/>
      <c r="E40" s="929" t="s">
        <v>674</v>
      </c>
      <c r="F40" s="256"/>
      <c r="G40" s="828">
        <v>654833.14152139914</v>
      </c>
      <c r="H40" s="256"/>
      <c r="I40" s="861">
        <v>6.7083965162988495</v>
      </c>
      <c r="J40" s="828">
        <f t="shared" si="0"/>
        <v>43928.803653391849</v>
      </c>
      <c r="K40" s="256"/>
      <c r="L40" s="828">
        <v>3192.0397681102345</v>
      </c>
      <c r="M40" s="762">
        <v>0</v>
      </c>
      <c r="N40" s="753">
        <f t="shared" si="1"/>
        <v>40736.763885281616</v>
      </c>
      <c r="O40" s="256"/>
      <c r="P40" s="828">
        <v>1098.474026724165</v>
      </c>
      <c r="Q40" s="828">
        <v>4290.3261746149965</v>
      </c>
      <c r="R40" s="762">
        <v>0</v>
      </c>
      <c r="S40" s="256"/>
      <c r="T40" s="750">
        <f t="shared" si="2"/>
        <v>46125.564086620776</v>
      </c>
      <c r="U40" s="792">
        <f t="shared" si="3"/>
        <v>7.0438652477874699</v>
      </c>
      <c r="V40" s="753">
        <f t="shared" si="4"/>
        <v>2196.7604332289266</v>
      </c>
      <c r="W40" s="770"/>
      <c r="X40" s="769"/>
      <c r="Z40" s="938"/>
      <c r="AB40" s="938"/>
      <c r="AD40" s="938"/>
      <c r="AF40" s="971"/>
    </row>
    <row r="41" spans="1:32">
      <c r="A41" s="4">
        <v>17</v>
      </c>
      <c r="C41" s="9" t="s">
        <v>934</v>
      </c>
      <c r="E41" s="929" t="s">
        <v>674</v>
      </c>
      <c r="G41" s="828">
        <v>1156632.1092895225</v>
      </c>
      <c r="H41" s="256"/>
      <c r="I41" s="861">
        <v>5.0723881424537325</v>
      </c>
      <c r="J41" s="828">
        <f t="shared" si="0"/>
        <v>58668.869963414239</v>
      </c>
      <c r="K41" s="256"/>
      <c r="L41" s="828">
        <v>5638.1014579493876</v>
      </c>
      <c r="M41" s="762">
        <v>0</v>
      </c>
      <c r="N41" s="753">
        <f t="shared" si="1"/>
        <v>53030.768505464854</v>
      </c>
      <c r="O41" s="256"/>
      <c r="P41" s="828">
        <v>1429.9840307521881</v>
      </c>
      <c r="Q41" s="828">
        <v>7578.0052936169677</v>
      </c>
      <c r="R41" s="762">
        <v>0</v>
      </c>
      <c r="S41" s="256"/>
      <c r="T41" s="750">
        <f t="shared" si="2"/>
        <v>62038.757829834009</v>
      </c>
      <c r="U41" s="792">
        <f t="shared" si="3"/>
        <v>5.3637416194456318</v>
      </c>
      <c r="V41" s="753">
        <f t="shared" si="4"/>
        <v>3369.8878664197691</v>
      </c>
      <c r="W41" s="770"/>
      <c r="X41" s="769"/>
      <c r="Z41" s="938"/>
      <c r="AB41" s="938"/>
      <c r="AD41" s="938"/>
      <c r="AF41" s="971"/>
    </row>
    <row r="42" spans="1:32">
      <c r="A42" s="4">
        <v>18</v>
      </c>
      <c r="C42" s="9" t="s">
        <v>935</v>
      </c>
      <c r="E42" s="929" t="s">
        <v>674</v>
      </c>
      <c r="G42" s="828">
        <v>751680.94105884049</v>
      </c>
      <c r="H42" s="256"/>
      <c r="I42" s="861">
        <v>4.0212930499762454</v>
      </c>
      <c r="J42" s="828">
        <f t="shared" si="0"/>
        <v>30227.293440795191</v>
      </c>
      <c r="K42" s="256"/>
      <c r="L42" s="828">
        <v>3664.1325929468626</v>
      </c>
      <c r="M42" s="762">
        <v>0</v>
      </c>
      <c r="N42" s="753">
        <f t="shared" si="1"/>
        <v>26563.160847848329</v>
      </c>
      <c r="O42" s="256"/>
      <c r="P42" s="828">
        <v>716.28031969422591</v>
      </c>
      <c r="Q42" s="828">
        <v>4924.8521675175298</v>
      </c>
      <c r="R42" s="762">
        <v>0</v>
      </c>
      <c r="S42" s="256"/>
      <c r="T42" s="750">
        <f t="shared" si="2"/>
        <v>32204.293335060083</v>
      </c>
      <c r="U42" s="792">
        <f t="shared" si="3"/>
        <v>4.2843035623194252</v>
      </c>
      <c r="V42" s="753">
        <f t="shared" si="4"/>
        <v>1976.9998942648926</v>
      </c>
      <c r="W42" s="770"/>
      <c r="X42" s="769"/>
      <c r="Z42" s="938"/>
      <c r="AB42" s="938"/>
      <c r="AD42" s="938"/>
      <c r="AF42" s="971"/>
    </row>
    <row r="43" spans="1:32">
      <c r="A43" s="4">
        <v>19</v>
      </c>
      <c r="C43" s="9" t="s">
        <v>936</v>
      </c>
      <c r="E43" s="929" t="s">
        <v>674</v>
      </c>
      <c r="G43" s="828">
        <v>714347.32692564209</v>
      </c>
      <c r="H43" s="256"/>
      <c r="I43" s="861">
        <v>3.5542254378272298</v>
      </c>
      <c r="J43" s="828">
        <f t="shared" si="0"/>
        <v>25389.514408030016</v>
      </c>
      <c r="K43" s="256"/>
      <c r="L43" s="828">
        <v>3482.1467198379078</v>
      </c>
      <c r="M43" s="762">
        <v>0</v>
      </c>
      <c r="N43" s="753">
        <f t="shared" si="1"/>
        <v>21907.367688192109</v>
      </c>
      <c r="O43" s="256"/>
      <c r="P43" s="828">
        <v>590.7360355658966</v>
      </c>
      <c r="Q43" s="828">
        <v>4680.2503418730603</v>
      </c>
      <c r="R43" s="762">
        <v>0</v>
      </c>
      <c r="S43" s="256"/>
      <c r="T43" s="750">
        <f t="shared" si="2"/>
        <v>27178.354065631065</v>
      </c>
      <c r="U43" s="792">
        <f t="shared" si="3"/>
        <v>3.8046413895883617</v>
      </c>
      <c r="V43" s="753">
        <f t="shared" si="4"/>
        <v>1788.8396576010491</v>
      </c>
      <c r="W43" s="770"/>
      <c r="X43" s="769"/>
      <c r="Z43" s="938"/>
      <c r="AB43" s="938"/>
      <c r="AD43" s="938"/>
      <c r="AF43" s="971"/>
    </row>
    <row r="44" spans="1:32">
      <c r="A44" s="4">
        <v>20</v>
      </c>
      <c r="C44" s="9" t="s">
        <v>937</v>
      </c>
      <c r="E44" s="929" t="s">
        <v>674</v>
      </c>
      <c r="G44" s="828">
        <v>940380.33721585828</v>
      </c>
      <c r="H44" s="256"/>
      <c r="I44" s="861">
        <v>3.4369345798365516</v>
      </c>
      <c r="J44" s="828">
        <f t="shared" si="0"/>
        <v>32320.256991755403</v>
      </c>
      <c r="K44" s="256"/>
      <c r="L44" s="828">
        <v>4583.9638271329604</v>
      </c>
      <c r="M44" s="762">
        <v>0</v>
      </c>
      <c r="N44" s="753">
        <f t="shared" si="1"/>
        <v>27736.293164622442</v>
      </c>
      <c r="O44" s="256"/>
      <c r="P44" s="828">
        <v>747.91403963123594</v>
      </c>
      <c r="Q44" s="828">
        <v>6161.1701043060748</v>
      </c>
      <c r="R44" s="762">
        <v>0</v>
      </c>
      <c r="S44" s="256"/>
      <c r="T44" s="750">
        <f t="shared" si="2"/>
        <v>34645.37730855975</v>
      </c>
      <c r="U44" s="792">
        <f t="shared" si="3"/>
        <v>3.6841877629143926</v>
      </c>
      <c r="V44" s="753">
        <f t="shared" si="4"/>
        <v>2325.1203168043467</v>
      </c>
      <c r="W44" s="770"/>
      <c r="X44" s="769"/>
      <c r="Z44" s="938"/>
      <c r="AB44" s="938"/>
      <c r="AD44" s="938"/>
      <c r="AF44" s="971"/>
    </row>
    <row r="45" spans="1:32">
      <c r="A45" s="4">
        <v>21</v>
      </c>
      <c r="B45" s="256"/>
      <c r="C45" s="512" t="s">
        <v>705</v>
      </c>
      <c r="D45" s="256"/>
      <c r="E45" s="930"/>
      <c r="F45" s="256"/>
      <c r="G45" s="852">
        <f>SUM(G39:G44)</f>
        <v>4799239.8721003952</v>
      </c>
      <c r="H45" s="256"/>
      <c r="I45" s="931">
        <f>J45/G45*100</f>
        <v>5.0657410356472425</v>
      </c>
      <c r="J45" s="842">
        <f>SUM(J39:J44)</f>
        <v>243117.06360013396</v>
      </c>
      <c r="K45" s="256"/>
      <c r="L45" s="830">
        <f>SUM(L39:L44)</f>
        <v>23394.302391068148</v>
      </c>
      <c r="M45" s="805">
        <f>SUM(M39:M44)</f>
        <v>0</v>
      </c>
      <c r="N45" s="842">
        <f>SUM(N39:N44)</f>
        <v>219722.76120906585</v>
      </c>
      <c r="O45" s="256"/>
      <c r="P45" s="808">
        <f>SUM(P39:P44)</f>
        <v>5924.8630290802175</v>
      </c>
      <c r="Q45" s="842">
        <f>SUM(Q39:Q44)</f>
        <v>31443.589421405886</v>
      </c>
      <c r="R45" s="805">
        <f>SUM(R39:R44)</f>
        <v>0</v>
      </c>
      <c r="S45" s="256"/>
      <c r="T45" s="808">
        <f>SUM(T39:T44)</f>
        <v>257091.21365955196</v>
      </c>
      <c r="U45" s="806">
        <f t="shared" si="3"/>
        <v>5.3569152722311326</v>
      </c>
      <c r="V45" s="842">
        <f>SUM(V39:V44)</f>
        <v>13974.150059417952</v>
      </c>
      <c r="W45" s="816">
        <f>U45/I45-1</f>
        <v>5.7479100201711653E-2</v>
      </c>
      <c r="X45" s="785"/>
      <c r="Z45" s="938"/>
      <c r="AB45" s="938"/>
      <c r="AD45" s="938"/>
      <c r="AF45" s="971"/>
    </row>
    <row r="46" spans="1:32">
      <c r="A46" s="4"/>
      <c r="B46" s="256"/>
      <c r="C46" s="7"/>
      <c r="D46" s="256"/>
      <c r="E46" s="930"/>
      <c r="F46" s="256"/>
      <c r="G46" s="828"/>
      <c r="H46" s="256"/>
      <c r="I46" s="753"/>
      <c r="J46" s="753"/>
      <c r="K46" s="256"/>
      <c r="L46" s="762"/>
      <c r="M46" s="762"/>
      <c r="N46" s="753"/>
      <c r="O46" s="256"/>
      <c r="P46" s="256"/>
      <c r="Q46" s="753"/>
      <c r="R46" s="762"/>
      <c r="S46" s="256"/>
      <c r="T46" s="256"/>
      <c r="U46" s="792"/>
      <c r="V46" s="842"/>
      <c r="W46" s="770"/>
      <c r="X46" s="769"/>
    </row>
    <row r="47" spans="1:32">
      <c r="A47" s="4">
        <v>22</v>
      </c>
      <c r="B47" s="256"/>
      <c r="C47" s="7" t="s">
        <v>710</v>
      </c>
      <c r="D47" s="256"/>
      <c r="E47" s="930"/>
      <c r="F47" s="256"/>
      <c r="G47" s="852">
        <f>G45</f>
        <v>4799239.8721003952</v>
      </c>
      <c r="H47" s="256"/>
      <c r="I47" s="931">
        <f>J47/G47*100</f>
        <v>8.3776771286246312</v>
      </c>
      <c r="J47" s="842">
        <f>J37+J45</f>
        <v>402064.82111278886</v>
      </c>
      <c r="K47" s="753"/>
      <c r="L47" s="842">
        <f>L37+L45</f>
        <v>23394.302391068148</v>
      </c>
      <c r="M47" s="805">
        <f>M37+M45</f>
        <v>0</v>
      </c>
      <c r="N47" s="842">
        <f>N37+N45</f>
        <v>378670.51872172073</v>
      </c>
      <c r="O47" s="753"/>
      <c r="P47" s="842">
        <f>P37+P45</f>
        <v>10210.91735890846</v>
      </c>
      <c r="Q47" s="842">
        <f>Q37+Q45</f>
        <v>31443.589421405886</v>
      </c>
      <c r="R47" s="805">
        <f>R37+R45</f>
        <v>0</v>
      </c>
      <c r="S47" s="753"/>
      <c r="T47" s="842">
        <f>T37+T45</f>
        <v>420325.02550203505</v>
      </c>
      <c r="U47" s="806">
        <f>T47/G47*100</f>
        <v>8.7581583063919464</v>
      </c>
      <c r="V47" s="842">
        <f>V37+V45</f>
        <v>18260.204389246195</v>
      </c>
      <c r="W47" s="804">
        <f>U47/I47-1</f>
        <v>4.5416070818401044E-2</v>
      </c>
      <c r="X47" s="769"/>
    </row>
    <row r="48" spans="1:32">
      <c r="A48" s="4"/>
      <c r="B48" s="256"/>
      <c r="D48" s="256"/>
      <c r="E48" s="930"/>
      <c r="F48" s="256"/>
      <c r="G48" s="828"/>
      <c r="I48" s="753"/>
      <c r="J48" s="753"/>
      <c r="L48" s="762"/>
      <c r="M48" s="762"/>
      <c r="N48" s="762"/>
      <c r="O48" s="68"/>
      <c r="P48" s="68"/>
      <c r="Q48" s="762"/>
      <c r="R48" s="762"/>
      <c r="S48" s="68"/>
      <c r="T48" s="68"/>
      <c r="U48" s="68"/>
      <c r="V48" s="762"/>
      <c r="W48" s="770"/>
      <c r="X48" s="769"/>
      <c r="AD48" s="938"/>
      <c r="AF48" s="938"/>
    </row>
    <row r="49" spans="1:32">
      <c r="A49" s="4">
        <v>23</v>
      </c>
      <c r="B49" s="256"/>
      <c r="C49" s="9" t="s">
        <v>711</v>
      </c>
      <c r="D49" s="256"/>
      <c r="E49" s="929" t="s">
        <v>674</v>
      </c>
      <c r="F49" s="256"/>
      <c r="G49" s="828">
        <v>4799239.8721003952</v>
      </c>
      <c r="H49" s="256"/>
      <c r="I49" s="861">
        <v>0.64387089445584067</v>
      </c>
      <c r="J49" s="828">
        <f>G49*I49/100</f>
        <v>30900.908691574157</v>
      </c>
      <c r="K49" s="256"/>
      <c r="L49" s="762">
        <v>0</v>
      </c>
      <c r="M49" s="828">
        <v>14219.390273088122</v>
      </c>
      <c r="N49" s="762">
        <f>J49-L49-M49</f>
        <v>16681.518418486034</v>
      </c>
      <c r="O49" s="771"/>
      <c r="P49" s="828">
        <v>449.82008783590209</v>
      </c>
      <c r="Q49" s="762">
        <v>0</v>
      </c>
      <c r="R49" s="828">
        <v>14170.169723336643</v>
      </c>
      <c r="S49" s="771"/>
      <c r="T49" s="771">
        <f>N49+P49+Q49+R49</f>
        <v>31301.508229658579</v>
      </c>
      <c r="U49" s="792">
        <f>T49/G49*100</f>
        <v>0.65221804001972972</v>
      </c>
      <c r="V49" s="762">
        <f>T49-J49</f>
        <v>400.59953808442151</v>
      </c>
      <c r="W49" s="785">
        <f>U49/I49-1</f>
        <v>1.2964005106867793E-2</v>
      </c>
      <c r="X49" s="785"/>
      <c r="Z49" s="938"/>
      <c r="AB49" s="938"/>
      <c r="AD49" s="938"/>
      <c r="AF49" s="938"/>
    </row>
    <row r="50" spans="1:32">
      <c r="A50" s="4"/>
      <c r="B50" s="256"/>
      <c r="C50" s="9"/>
      <c r="D50" s="256"/>
      <c r="E50" s="929"/>
      <c r="F50" s="256"/>
      <c r="G50" s="828"/>
      <c r="H50" s="256"/>
      <c r="I50" s="861"/>
      <c r="J50" s="828"/>
      <c r="K50" s="256"/>
      <c r="L50" s="762"/>
      <c r="M50" s="828"/>
      <c r="N50" s="762"/>
      <c r="O50" s="771"/>
      <c r="P50" s="828"/>
      <c r="Q50" s="762"/>
      <c r="R50" s="828"/>
      <c r="S50" s="771"/>
      <c r="T50" s="771"/>
      <c r="U50" s="792"/>
      <c r="V50" s="762"/>
      <c r="W50" s="785"/>
      <c r="X50" s="785"/>
      <c r="Z50" s="938"/>
      <c r="AB50" s="938"/>
      <c r="AD50" s="938"/>
      <c r="AF50" s="938"/>
    </row>
    <row r="51" spans="1:32">
      <c r="A51" s="4"/>
      <c r="B51" s="256"/>
      <c r="C51" s="7" t="s">
        <v>712</v>
      </c>
      <c r="D51" s="256"/>
      <c r="E51" s="929"/>
      <c r="F51" s="256"/>
      <c r="G51" s="828"/>
      <c r="H51" s="256"/>
      <c r="I51" s="861"/>
      <c r="J51" s="828"/>
      <c r="K51" s="256"/>
      <c r="L51" s="762"/>
      <c r="M51" s="828"/>
      <c r="N51" s="762"/>
      <c r="O51" s="771"/>
      <c r="P51" s="828"/>
      <c r="Q51" s="762"/>
      <c r="R51" s="828"/>
      <c r="S51" s="771"/>
      <c r="T51" s="771"/>
      <c r="U51" s="792"/>
      <c r="V51" s="762"/>
      <c r="W51" s="785"/>
      <c r="X51" s="785"/>
      <c r="Z51" s="938"/>
      <c r="AB51" s="938"/>
      <c r="AD51" s="938"/>
      <c r="AF51" s="938"/>
    </row>
    <row r="52" spans="1:32">
      <c r="A52" s="1">
        <v>24</v>
      </c>
      <c r="C52" s="9" t="s">
        <v>713</v>
      </c>
      <c r="E52" s="929" t="s">
        <v>674</v>
      </c>
      <c r="G52" s="828">
        <v>3151717.8705886342</v>
      </c>
      <c r="H52" s="256"/>
      <c r="I52" s="861">
        <v>7.524787423334324E-2</v>
      </c>
      <c r="J52" s="828">
        <f>G52*I52/100</f>
        <v>2371.6006994503391</v>
      </c>
      <c r="K52" s="256"/>
      <c r="L52" s="762">
        <v>0</v>
      </c>
      <c r="M52" s="762">
        <v>0</v>
      </c>
      <c r="N52" s="762">
        <f>J52-L52-M52</f>
        <v>2371.6006994503391</v>
      </c>
      <c r="O52" s="771"/>
      <c r="P52" s="828">
        <v>63.950631361965407</v>
      </c>
      <c r="Q52" s="762">
        <v>0</v>
      </c>
      <c r="R52" s="762">
        <v>0</v>
      </c>
      <c r="S52" s="771"/>
      <c r="T52" s="771">
        <f>N52+P52+Q52+R52</f>
        <v>2435.5513308123045</v>
      </c>
      <c r="U52" s="792">
        <f>T52/G52*100</f>
        <v>7.7276946440558963E-2</v>
      </c>
      <c r="V52" s="762">
        <f>T52-J52</f>
        <v>63.950631361965407</v>
      </c>
      <c r="W52" s="770"/>
      <c r="X52" s="769"/>
      <c r="Z52" s="938"/>
      <c r="AB52" s="938"/>
      <c r="AD52" s="938"/>
      <c r="AF52" s="938"/>
    </row>
    <row r="53" spans="1:32">
      <c r="A53" s="4">
        <v>25</v>
      </c>
      <c r="B53" s="256"/>
      <c r="C53" s="9" t="s">
        <v>714</v>
      </c>
      <c r="D53" s="256"/>
      <c r="E53" s="929" t="s">
        <v>674</v>
      </c>
      <c r="F53" s="256"/>
      <c r="G53" s="828">
        <v>1595783.9460776143</v>
      </c>
      <c r="H53" s="256"/>
      <c r="I53" s="861">
        <v>0.59779658373614264</v>
      </c>
      <c r="J53" s="828">
        <f>G53*I53/100</f>
        <v>9539.541913461786</v>
      </c>
      <c r="K53" s="256"/>
      <c r="L53" s="762">
        <v>0</v>
      </c>
      <c r="M53" s="762">
        <v>0</v>
      </c>
      <c r="N53" s="762">
        <f>J53-L53-M53</f>
        <v>9539.541913461786</v>
      </c>
      <c r="O53" s="771"/>
      <c r="P53" s="828">
        <v>257.23543107876685</v>
      </c>
      <c r="Q53" s="762">
        <v>0</v>
      </c>
      <c r="R53" s="762">
        <v>0</v>
      </c>
      <c r="S53" s="771"/>
      <c r="T53" s="771">
        <f>N53+P53+Q53+R53</f>
        <v>9796.7773445405528</v>
      </c>
      <c r="U53" s="792">
        <f>T53/G53*100</f>
        <v>0.61391627410594751</v>
      </c>
      <c r="V53" s="762">
        <f>T53-J53</f>
        <v>257.23543107876685</v>
      </c>
      <c r="W53" s="770"/>
      <c r="X53" s="769"/>
      <c r="Z53" s="938"/>
      <c r="AB53" s="938"/>
      <c r="AD53" s="938"/>
      <c r="AF53" s="938"/>
    </row>
    <row r="54" spans="1:32">
      <c r="A54" s="4">
        <v>26</v>
      </c>
      <c r="B54" s="256"/>
      <c r="C54" s="7" t="s">
        <v>712</v>
      </c>
      <c r="D54" s="256"/>
      <c r="E54" s="929"/>
      <c r="F54" s="256"/>
      <c r="G54" s="830">
        <f>SUM(G52:G53)</f>
        <v>4747501.8166662483</v>
      </c>
      <c r="H54" s="828"/>
      <c r="I54" s="891">
        <f>J54/G54*100</f>
        <v>0.25089285002688572</v>
      </c>
      <c r="J54" s="830">
        <f>SUM(J52:J53)</f>
        <v>11911.142612912125</v>
      </c>
      <c r="K54" s="828"/>
      <c r="L54" s="420">
        <f>SUM(L52:L53)</f>
        <v>0</v>
      </c>
      <c r="M54" s="420">
        <f>SUM(M52:M53)</f>
        <v>0</v>
      </c>
      <c r="N54" s="830">
        <f>SUM(N52:N53)</f>
        <v>11911.142612912125</v>
      </c>
      <c r="O54" s="828"/>
      <c r="P54" s="830">
        <f>SUM(P52:P53)</f>
        <v>321.18606244073226</v>
      </c>
      <c r="Q54" s="420">
        <f>SUM(Q52:Q53)</f>
        <v>0</v>
      </c>
      <c r="R54" s="420">
        <f>SUM(R52:R53)</f>
        <v>0</v>
      </c>
      <c r="S54" s="828"/>
      <c r="T54" s="807">
        <f>SUM(T52:T53)</f>
        <v>12232.328675352857</v>
      </c>
      <c r="U54" s="806">
        <f>T54/G54*100</f>
        <v>0.25765822000132571</v>
      </c>
      <c r="V54" s="805">
        <f>SUM(V52:V53)</f>
        <v>321.18606244073226</v>
      </c>
      <c r="W54" s="804">
        <f>U54/I54-1</f>
        <v>2.696517646363783E-2</v>
      </c>
      <c r="X54" s="769"/>
      <c r="Z54" s="938"/>
      <c r="AB54" s="938"/>
      <c r="AD54" s="938"/>
      <c r="AF54" s="938"/>
    </row>
    <row r="55" spans="1:32">
      <c r="A55" s="4"/>
      <c r="B55" s="256"/>
      <c r="D55" s="256"/>
      <c r="E55" s="752"/>
      <c r="F55" s="256"/>
      <c r="G55" s="744"/>
      <c r="I55" s="753"/>
      <c r="J55" s="828"/>
      <c r="L55" s="762"/>
      <c r="M55" s="35"/>
      <c r="N55" s="973"/>
      <c r="O55" s="68"/>
      <c r="P55" s="828"/>
      <c r="Q55" s="762"/>
      <c r="R55" s="762"/>
      <c r="S55" s="68"/>
      <c r="T55" s="828"/>
      <c r="U55" s="821"/>
      <c r="V55" s="762"/>
      <c r="W55" s="770"/>
      <c r="X55" s="769"/>
      <c r="Z55" s="938"/>
      <c r="AB55" s="938"/>
      <c r="AD55" s="938"/>
      <c r="AF55" s="938"/>
    </row>
    <row r="56" spans="1:32">
      <c r="A56" s="4">
        <v>27</v>
      </c>
      <c r="B56" s="256"/>
      <c r="C56" s="7" t="s">
        <v>715</v>
      </c>
      <c r="D56" s="256"/>
      <c r="E56" s="929" t="s">
        <v>674</v>
      </c>
      <c r="F56" s="256"/>
      <c r="G56" s="828">
        <v>2974410.3609594423</v>
      </c>
      <c r="H56" s="256"/>
      <c r="I56" s="861">
        <v>0.10826510133681916</v>
      </c>
      <c r="J56" s="828">
        <f>G56*I56/100</f>
        <v>3220.2483914655891</v>
      </c>
      <c r="K56" s="256"/>
      <c r="L56" s="762">
        <v>0</v>
      </c>
      <c r="M56" s="762">
        <v>0</v>
      </c>
      <c r="N56" s="828">
        <f>J56-L56-M56</f>
        <v>3220.2483914655891</v>
      </c>
      <c r="O56" s="771"/>
      <c r="P56" s="828">
        <v>86.834566132615691</v>
      </c>
      <c r="Q56" s="762">
        <v>0</v>
      </c>
      <c r="R56" s="762">
        <v>0</v>
      </c>
      <c r="S56" s="771"/>
      <c r="T56" s="828">
        <f>N56+P56+Q56+R56</f>
        <v>3307.0829575982048</v>
      </c>
      <c r="U56" s="792">
        <f>T56/G56*100</f>
        <v>0.11118448889922013</v>
      </c>
      <c r="V56" s="762">
        <f>T56-J56</f>
        <v>86.834566132615691</v>
      </c>
      <c r="W56" s="770">
        <f>U56/I56-1</f>
        <v>2.696517646363783E-2</v>
      </c>
      <c r="X56" s="769"/>
      <c r="Z56" s="938"/>
      <c r="AB56" s="938"/>
      <c r="AD56" s="938"/>
      <c r="AF56" s="938"/>
    </row>
    <row r="57" spans="1:32">
      <c r="A57" s="4"/>
      <c r="B57" s="256"/>
      <c r="C57" s="7"/>
      <c r="D57" s="256"/>
      <c r="E57" s="930"/>
      <c r="F57" s="256"/>
      <c r="G57" s="828"/>
      <c r="H57" s="256"/>
      <c r="I57" s="753"/>
      <c r="J57" s="753"/>
      <c r="K57" s="256"/>
      <c r="L57" s="762"/>
      <c r="M57" s="762"/>
      <c r="N57" s="762"/>
      <c r="O57" s="771"/>
      <c r="P57" s="771"/>
      <c r="Q57" s="762"/>
      <c r="R57" s="762"/>
      <c r="S57" s="771"/>
      <c r="T57" s="771"/>
      <c r="U57" s="792"/>
      <c r="V57" s="762"/>
      <c r="W57" s="770"/>
      <c r="X57" s="769"/>
      <c r="AD57" s="938"/>
      <c r="AF57" s="938"/>
    </row>
    <row r="58" spans="1:32" ht="13.5" thickBot="1">
      <c r="A58" s="4">
        <v>28</v>
      </c>
      <c r="B58" s="256"/>
      <c r="C58" s="7" t="s">
        <v>723</v>
      </c>
      <c r="D58" s="256"/>
      <c r="E58" s="742"/>
      <c r="F58" s="256"/>
      <c r="G58" s="819">
        <f>G45</f>
        <v>4799239.8721003952</v>
      </c>
      <c r="H58" s="256"/>
      <c r="I58" s="919">
        <f>J58/G58*100</f>
        <v>9.33683526455264</v>
      </c>
      <c r="J58" s="839">
        <f>J47+J49+J54+J56</f>
        <v>448097.12080874073</v>
      </c>
      <c r="K58" s="753"/>
      <c r="L58" s="839">
        <f>L47+L49+L54+L56</f>
        <v>23394.302391068148</v>
      </c>
      <c r="M58" s="839">
        <f>M47+M49+M54+M56</f>
        <v>14219.390273088122</v>
      </c>
      <c r="N58" s="839">
        <f>N47+N49+N54+N56</f>
        <v>410483.42814458447</v>
      </c>
      <c r="O58" s="753"/>
      <c r="P58" s="839">
        <f>P47+P49+P54+P56</f>
        <v>11068.75807531771</v>
      </c>
      <c r="Q58" s="839">
        <f>Q47+Q49+Q54+Q56</f>
        <v>31443.589421405886</v>
      </c>
      <c r="R58" s="839">
        <f>R47+R49+R54+R56</f>
        <v>14170.169723336643</v>
      </c>
      <c r="S58" s="753"/>
      <c r="T58" s="839">
        <f>T47+T49+T54+T56</f>
        <v>467165.94536464469</v>
      </c>
      <c r="U58" s="803">
        <f>T58/G58*100</f>
        <v>9.7341653639868753</v>
      </c>
      <c r="V58" s="799">
        <f>V47+V49+V54+V56</f>
        <v>19068.824555903964</v>
      </c>
      <c r="W58" s="798">
        <f>U58/I58-1</f>
        <v>4.2555115108724451E-2</v>
      </c>
      <c r="X58" s="769"/>
      <c r="Z58" s="938"/>
      <c r="AB58" s="938"/>
      <c r="AD58" s="938"/>
      <c r="AF58" s="971"/>
    </row>
    <row r="59" spans="1:32" ht="13.5" thickTop="1">
      <c r="L59" s="2"/>
      <c r="M59" s="2"/>
      <c r="N59" s="504"/>
      <c r="Q59" s="504"/>
      <c r="R59" s="504"/>
      <c r="V59" s="753"/>
      <c r="W59" s="504"/>
      <c r="Z59" s="938"/>
      <c r="AB59" s="938"/>
      <c r="AD59" s="938"/>
      <c r="AF59" s="971"/>
    </row>
    <row r="60" spans="1:32">
      <c r="L60" s="2"/>
      <c r="M60" s="2"/>
      <c r="N60" s="504"/>
      <c r="Q60" s="504"/>
      <c r="R60" s="504"/>
      <c r="V60" s="753"/>
      <c r="W60" s="504"/>
      <c r="Z60" s="938"/>
      <c r="AB60" s="938"/>
      <c r="AD60" s="938"/>
      <c r="AF60" s="971"/>
    </row>
    <row r="61" spans="1:32">
      <c r="L61" s="2"/>
      <c r="M61" s="2"/>
      <c r="N61" s="504"/>
      <c r="Q61" s="504"/>
      <c r="R61" s="504"/>
      <c r="V61" s="753"/>
      <c r="W61" s="504"/>
      <c r="Z61" s="938"/>
      <c r="AB61" s="938"/>
      <c r="AD61" s="938"/>
      <c r="AF61" s="971"/>
    </row>
    <row r="62" spans="1:32">
      <c r="L62" s="2"/>
      <c r="M62" s="2"/>
      <c r="N62" s="504"/>
      <c r="Q62" s="504"/>
      <c r="R62" s="504"/>
      <c r="V62" s="753"/>
      <c r="W62" s="504"/>
      <c r="Z62" s="938"/>
      <c r="AB62" s="938"/>
      <c r="AD62" s="938"/>
      <c r="AF62" s="971"/>
    </row>
    <row r="63" spans="1:32">
      <c r="L63" s="2"/>
      <c r="M63" s="2"/>
      <c r="N63" s="504"/>
      <c r="Q63" s="504"/>
      <c r="R63" s="504"/>
      <c r="V63" s="504"/>
      <c r="W63" s="504"/>
      <c r="X63" s="665"/>
      <c r="Z63" s="938"/>
      <c r="AB63" s="938"/>
      <c r="AD63" s="938"/>
      <c r="AF63" s="971"/>
    </row>
    <row r="64" spans="1:32">
      <c r="A64" s="1324" t="s">
        <v>724</v>
      </c>
      <c r="B64" s="1324"/>
      <c r="C64" s="1324"/>
      <c r="D64" s="1324"/>
      <c r="E64" s="1324"/>
      <c r="F64" s="1324"/>
      <c r="G64" s="1324"/>
      <c r="H64" s="1324"/>
      <c r="I64" s="1324"/>
      <c r="J64" s="1324"/>
      <c r="K64" s="1324"/>
      <c r="L64" s="1324"/>
      <c r="M64" s="1324"/>
      <c r="N64" s="1324"/>
      <c r="O64" s="1324"/>
      <c r="P64" s="1324"/>
      <c r="Q64" s="1324"/>
      <c r="R64" s="1324"/>
      <c r="S64" s="1324"/>
      <c r="T64" s="1324"/>
      <c r="U64" s="1324"/>
      <c r="V64" s="1324"/>
      <c r="W64" s="1324"/>
      <c r="X64" s="644"/>
      <c r="Y64" s="644"/>
      <c r="Z64" s="938"/>
      <c r="AB64" s="938"/>
      <c r="AD64" s="938"/>
      <c r="AF64" s="971"/>
    </row>
    <row r="65" spans="1:32">
      <c r="A65" s="1324" t="s">
        <v>938</v>
      </c>
      <c r="B65" s="1324"/>
      <c r="C65" s="1324"/>
      <c r="D65" s="1324"/>
      <c r="E65" s="1324"/>
      <c r="F65" s="1324"/>
      <c r="G65" s="1324"/>
      <c r="H65" s="1324"/>
      <c r="I65" s="1324"/>
      <c r="J65" s="1324"/>
      <c r="K65" s="1324"/>
      <c r="L65" s="1324"/>
      <c r="M65" s="1324"/>
      <c r="N65" s="1324"/>
      <c r="O65" s="1324"/>
      <c r="P65" s="1324"/>
      <c r="Q65" s="1324"/>
      <c r="R65" s="1324"/>
      <c r="S65" s="1324"/>
      <c r="T65" s="1324"/>
      <c r="U65" s="1324"/>
      <c r="V65" s="1324"/>
      <c r="W65" s="1324"/>
      <c r="Z65" s="938"/>
      <c r="AB65" s="938"/>
      <c r="AD65" s="938"/>
      <c r="AF65" s="971"/>
    </row>
    <row r="66" spans="1:32">
      <c r="A66" s="385"/>
      <c r="B66" s="385"/>
      <c r="C66" s="385"/>
      <c r="D66" s="385"/>
      <c r="E66" s="447"/>
      <c r="F66" s="385"/>
      <c r="G66" s="447"/>
      <c r="H66" s="385"/>
      <c r="I66" s="385"/>
      <c r="J66" s="385"/>
      <c r="K66" s="385"/>
      <c r="L66" s="385"/>
      <c r="M66" s="385"/>
      <c r="N66" s="504"/>
      <c r="O66" s="385"/>
      <c r="P66" s="385"/>
      <c r="Q66" s="504"/>
      <c r="R66" s="504"/>
      <c r="S66" s="385"/>
      <c r="T66" s="385"/>
      <c r="U66" s="385"/>
      <c r="V66" s="504"/>
      <c r="W66" s="504"/>
      <c r="X66" s="4"/>
      <c r="Z66" s="938"/>
      <c r="AB66" s="938"/>
      <c r="AD66" s="938"/>
      <c r="AF66" s="971"/>
    </row>
    <row r="67" spans="1:32" ht="26.45" customHeight="1">
      <c r="A67" s="447"/>
      <c r="B67" s="447"/>
      <c r="C67" s="447"/>
      <c r="D67" s="447"/>
      <c r="E67" s="385"/>
      <c r="F67" s="1313" t="s">
        <v>682</v>
      </c>
      <c r="G67" s="1313"/>
      <c r="H67" s="1313"/>
      <c r="I67" s="1313"/>
      <c r="J67" s="1313"/>
      <c r="K67" s="447"/>
      <c r="L67" s="1325" t="s">
        <v>496</v>
      </c>
      <c r="M67" s="1325"/>
      <c r="N67" s="256"/>
      <c r="O67" s="447"/>
      <c r="P67" s="449"/>
      <c r="Q67" s="1325" t="s">
        <v>497</v>
      </c>
      <c r="R67" s="1325"/>
      <c r="S67" s="447"/>
      <c r="T67" s="1313" t="s">
        <v>926</v>
      </c>
      <c r="U67" s="1313"/>
      <c r="V67" s="1313"/>
      <c r="W67" s="1313"/>
      <c r="X67" s="254"/>
      <c r="Z67" s="938"/>
      <c r="AB67" s="938"/>
      <c r="AD67" s="938"/>
      <c r="AF67" s="971"/>
    </row>
    <row r="68" spans="1:32" ht="38.25">
      <c r="A68" s="254" t="s">
        <v>1</v>
      </c>
      <c r="B68" s="254"/>
      <c r="C68" s="254"/>
      <c r="D68" s="254"/>
      <c r="E68" s="4" t="s">
        <v>670</v>
      </c>
      <c r="F68" s="254"/>
      <c r="G68" s="13" t="s">
        <v>684</v>
      </c>
      <c r="H68" s="254"/>
      <c r="I68" s="13" t="s">
        <v>196</v>
      </c>
      <c r="J68" s="13" t="s">
        <v>503</v>
      </c>
      <c r="K68" s="254"/>
      <c r="L68" s="13" t="s">
        <v>505</v>
      </c>
      <c r="M68" s="13" t="s">
        <v>685</v>
      </c>
      <c r="N68" s="254" t="s">
        <v>688</v>
      </c>
      <c r="O68" s="254"/>
      <c r="P68" s="254" t="s">
        <v>689</v>
      </c>
      <c r="Q68" s="13" t="s">
        <v>505</v>
      </c>
      <c r="R68" s="13" t="s">
        <v>685</v>
      </c>
      <c r="S68" s="254"/>
      <c r="T68" s="13" t="s">
        <v>690</v>
      </c>
      <c r="U68" s="13" t="s">
        <v>691</v>
      </c>
      <c r="V68" s="13" t="s">
        <v>692</v>
      </c>
      <c r="W68" s="254" t="s">
        <v>693</v>
      </c>
      <c r="X68" s="4"/>
      <c r="Z68" s="938"/>
      <c r="AB68" s="938"/>
      <c r="AD68" s="938"/>
      <c r="AF68" s="971"/>
    </row>
    <row r="69" spans="1:32" ht="14.25">
      <c r="A69" s="255" t="s">
        <v>2</v>
      </c>
      <c r="B69" s="256"/>
      <c r="C69" s="449" t="s">
        <v>3</v>
      </c>
      <c r="D69" s="256"/>
      <c r="E69" s="255" t="s">
        <v>4</v>
      </c>
      <c r="F69" s="256"/>
      <c r="G69" s="255" t="s">
        <v>694</v>
      </c>
      <c r="H69" s="256"/>
      <c r="I69" s="255" t="s">
        <v>77</v>
      </c>
      <c r="J69" s="255" t="s">
        <v>20</v>
      </c>
      <c r="K69" s="256"/>
      <c r="L69" s="255" t="s">
        <v>20</v>
      </c>
      <c r="M69" s="255" t="s">
        <v>20</v>
      </c>
      <c r="N69" s="255" t="s">
        <v>20</v>
      </c>
      <c r="O69" s="256"/>
      <c r="P69" s="255" t="s">
        <v>20</v>
      </c>
      <c r="Q69" s="255" t="s">
        <v>20</v>
      </c>
      <c r="R69" s="255" t="s">
        <v>20</v>
      </c>
      <c r="S69" s="256"/>
      <c r="T69" s="255" t="s">
        <v>20</v>
      </c>
      <c r="U69" s="255" t="s">
        <v>77</v>
      </c>
      <c r="V69" s="255" t="s">
        <v>20</v>
      </c>
      <c r="W69" s="255" t="s">
        <v>76</v>
      </c>
      <c r="X69" s="4"/>
      <c r="Z69" s="938"/>
      <c r="AB69" s="938"/>
      <c r="AD69" s="938"/>
      <c r="AF69" s="971"/>
    </row>
    <row r="70" spans="1:32">
      <c r="A70" s="4"/>
      <c r="B70" s="256"/>
      <c r="C70" s="256"/>
      <c r="D70" s="256"/>
      <c r="E70" s="4"/>
      <c r="F70" s="256"/>
      <c r="G70" s="4" t="s">
        <v>8</v>
      </c>
      <c r="H70" s="4"/>
      <c r="I70" s="4" t="s">
        <v>9</v>
      </c>
      <c r="J70" s="4" t="s">
        <v>370</v>
      </c>
      <c r="K70" s="4"/>
      <c r="L70" s="132" t="s">
        <v>79</v>
      </c>
      <c r="M70" s="132" t="s">
        <v>115</v>
      </c>
      <c r="N70" s="4" t="s">
        <v>927</v>
      </c>
      <c r="O70" s="4"/>
      <c r="P70" s="4" t="s">
        <v>928</v>
      </c>
      <c r="Q70" s="4" t="s">
        <v>118</v>
      </c>
      <c r="R70" s="4" t="s">
        <v>84</v>
      </c>
      <c r="S70" s="4"/>
      <c r="T70" s="4" t="s">
        <v>929</v>
      </c>
      <c r="U70" s="4" t="s">
        <v>517</v>
      </c>
      <c r="V70" s="4" t="s">
        <v>930</v>
      </c>
      <c r="W70" s="4" t="s">
        <v>931</v>
      </c>
      <c r="Z70" s="938"/>
      <c r="AB70" s="938"/>
      <c r="AD70" s="938"/>
      <c r="AF70" s="971"/>
    </row>
    <row r="71" spans="1:32">
      <c r="A71" s="4"/>
      <c r="B71" s="256"/>
      <c r="C71" s="7"/>
      <c r="D71" s="256"/>
      <c r="E71" s="36"/>
      <c r="F71" s="256"/>
      <c r="G71" s="453"/>
      <c r="H71" s="256"/>
      <c r="I71" s="504"/>
      <c r="J71" s="504"/>
      <c r="K71" s="256"/>
      <c r="L71" s="504"/>
      <c r="M71" s="504"/>
      <c r="N71" s="504"/>
      <c r="O71" s="256"/>
      <c r="P71" s="256"/>
      <c r="Q71" s="504"/>
      <c r="R71" s="504"/>
      <c r="S71" s="256"/>
      <c r="T71" s="256"/>
      <c r="U71" s="256"/>
      <c r="V71" s="504"/>
      <c r="W71" s="504"/>
    </row>
    <row r="72" spans="1:32">
      <c r="C72" s="6" t="s">
        <v>164</v>
      </c>
      <c r="G72" s="12"/>
      <c r="I72" s="504"/>
      <c r="J72" s="828"/>
      <c r="L72" s="504"/>
      <c r="M72" s="504"/>
      <c r="N72" s="504"/>
      <c r="Q72" s="504"/>
      <c r="R72" s="504"/>
      <c r="V72" s="504"/>
      <c r="W72" s="504"/>
    </row>
    <row r="73" spans="1:32">
      <c r="A73" s="4">
        <v>29</v>
      </c>
      <c r="B73" s="256"/>
      <c r="C73" s="7" t="s">
        <v>703</v>
      </c>
      <c r="D73" s="256"/>
      <c r="E73" s="929" t="s">
        <v>704</v>
      </c>
      <c r="F73" s="256"/>
      <c r="G73" s="35">
        <v>168</v>
      </c>
      <c r="H73" s="256"/>
      <c r="I73" s="778">
        <v>133.47154003244088</v>
      </c>
      <c r="J73" s="828">
        <f>G73*I73/1000</f>
        <v>22.423218725450067</v>
      </c>
      <c r="K73" s="256"/>
      <c r="L73" s="762">
        <v>0</v>
      </c>
      <c r="M73" s="762">
        <v>0</v>
      </c>
      <c r="N73" s="762">
        <f>J73-L73-M73</f>
        <v>22.423218725450067</v>
      </c>
      <c r="O73" s="771"/>
      <c r="P73" s="35">
        <v>0.60464604981450876</v>
      </c>
      <c r="Q73" s="762">
        <v>0</v>
      </c>
      <c r="R73" s="762">
        <v>0</v>
      </c>
      <c r="S73" s="771"/>
      <c r="T73" s="771">
        <f>N73+P73+Q73+R73</f>
        <v>23.027864775264575</v>
      </c>
      <c r="U73" s="915">
        <f>T73/G73*1000</f>
        <v>137.07062366228914</v>
      </c>
      <c r="V73" s="762">
        <f>T73-J73</f>
        <v>0.60464604981450876</v>
      </c>
      <c r="W73" s="770">
        <f>U73/I73-1</f>
        <v>2.6965176463637608E-2</v>
      </c>
      <c r="X73" s="769"/>
      <c r="Z73" s="938"/>
      <c r="AB73" s="938"/>
      <c r="AD73" s="938"/>
      <c r="AF73" s="954"/>
    </row>
    <row r="74" spans="1:32">
      <c r="A74" s="4">
        <v>30</v>
      </c>
      <c r="B74" s="256"/>
      <c r="C74" s="512" t="s">
        <v>726</v>
      </c>
      <c r="D74" s="256"/>
      <c r="E74" s="513" t="s">
        <v>675</v>
      </c>
      <c r="F74" s="256"/>
      <c r="G74" s="35">
        <v>4503.3599999999997</v>
      </c>
      <c r="H74" s="256"/>
      <c r="I74" s="861">
        <v>39.612916581984031</v>
      </c>
      <c r="J74" s="828">
        <f>G74*I74/100</f>
        <v>1783.9122401864358</v>
      </c>
      <c r="K74" s="256"/>
      <c r="L74" s="762">
        <v>0</v>
      </c>
      <c r="M74" s="762">
        <v>0</v>
      </c>
      <c r="N74" s="762">
        <f>J74-L74-M74</f>
        <v>1783.9122401864358</v>
      </c>
      <c r="O74" s="771"/>
      <c r="P74" s="35">
        <v>48.103508352270637</v>
      </c>
      <c r="Q74" s="762">
        <v>0</v>
      </c>
      <c r="R74" s="762">
        <v>0</v>
      </c>
      <c r="S74" s="771"/>
      <c r="T74" s="771">
        <f>N74+P74+Q74+R74</f>
        <v>1832.0157485387065</v>
      </c>
      <c r="U74" s="821">
        <f>T74/G74*100</f>
        <v>40.681085867856595</v>
      </c>
      <c r="V74" s="762">
        <f>T74-J74</f>
        <v>48.103508352270637</v>
      </c>
      <c r="W74" s="770">
        <f>U74/I74-1</f>
        <v>2.696517646363783E-2</v>
      </c>
      <c r="X74" s="769"/>
      <c r="Z74" s="938"/>
      <c r="AB74" s="938"/>
      <c r="AD74" s="938"/>
      <c r="AF74" s="971"/>
    </row>
    <row r="75" spans="1:32">
      <c r="A75" s="4">
        <v>31</v>
      </c>
      <c r="B75" s="256"/>
      <c r="C75" s="512" t="s">
        <v>705</v>
      </c>
      <c r="D75" s="256"/>
      <c r="E75" s="513" t="s">
        <v>674</v>
      </c>
      <c r="F75" s="256"/>
      <c r="G75" s="35">
        <v>27429.148000000001</v>
      </c>
      <c r="H75" s="256"/>
      <c r="I75" s="35">
        <v>0</v>
      </c>
      <c r="J75" s="35">
        <f>G75*I75/100</f>
        <v>0</v>
      </c>
      <c r="K75" s="256"/>
      <c r="L75" s="762">
        <v>0</v>
      </c>
      <c r="M75" s="762">
        <v>0</v>
      </c>
      <c r="N75" s="762">
        <f>J75-L75-M75</f>
        <v>0</v>
      </c>
      <c r="O75" s="771"/>
      <c r="P75" s="35">
        <v>0</v>
      </c>
      <c r="Q75" s="35">
        <v>272.41532868845394</v>
      </c>
      <c r="R75" s="762">
        <v>0</v>
      </c>
      <c r="S75" s="771"/>
      <c r="T75" s="771">
        <f>N75+P75+Q75+R75</f>
        <v>272.41532868845394</v>
      </c>
      <c r="U75" s="821">
        <f>T75/G75*100</f>
        <v>0.99316000879230337</v>
      </c>
      <c r="V75" s="762">
        <f>T75-J75</f>
        <v>272.41532868845394</v>
      </c>
      <c r="W75" s="834" t="str">
        <f>IFERROR(U75/I75-1,"-")</f>
        <v>-</v>
      </c>
      <c r="X75" s="769"/>
      <c r="Z75" s="938"/>
      <c r="AB75" s="938"/>
      <c r="AD75" s="938"/>
      <c r="AF75" s="971"/>
    </row>
    <row r="76" spans="1:32">
      <c r="A76" s="4"/>
      <c r="B76" s="256"/>
      <c r="C76" s="447"/>
      <c r="D76" s="256"/>
      <c r="E76" s="742"/>
      <c r="F76" s="256"/>
      <c r="G76" s="742"/>
      <c r="H76" s="256"/>
      <c r="I76" s="504"/>
      <c r="J76" s="504"/>
      <c r="K76" s="256"/>
      <c r="L76" s="762"/>
      <c r="M76" s="762"/>
      <c r="N76" s="762"/>
      <c r="O76" s="771"/>
      <c r="P76" s="771"/>
      <c r="Q76" s="762"/>
      <c r="R76" s="762"/>
      <c r="S76" s="771"/>
      <c r="T76" s="771"/>
      <c r="U76" s="771"/>
      <c r="V76" s="762"/>
      <c r="W76" s="762"/>
      <c r="X76" s="782"/>
      <c r="Z76" s="938"/>
      <c r="AB76" s="938"/>
      <c r="AD76" s="938"/>
      <c r="AF76" s="971"/>
    </row>
    <row r="77" spans="1:32">
      <c r="A77" s="4">
        <v>32</v>
      </c>
      <c r="C77" s="7" t="s">
        <v>710</v>
      </c>
      <c r="G77" s="416">
        <f>G75</f>
        <v>27429.148000000001</v>
      </c>
      <c r="I77" s="914">
        <f>J77/G77*100</f>
        <v>6.5854595954343385</v>
      </c>
      <c r="J77" s="842">
        <f>SUM(J73:J76)</f>
        <v>1806.335458911886</v>
      </c>
      <c r="L77" s="805">
        <f>SUM(L73:L76)</f>
        <v>0</v>
      </c>
      <c r="M77" s="805">
        <f>SUM(M73:M76)</f>
        <v>0</v>
      </c>
      <c r="N77" s="805">
        <f>SUM(N73:N76)</f>
        <v>1806.335458911886</v>
      </c>
      <c r="O77" s="68"/>
      <c r="P77" s="416">
        <f>SUM(P73:P76)</f>
        <v>48.708154402085142</v>
      </c>
      <c r="Q77" s="416">
        <f>SUM(Q73:Q76)</f>
        <v>272.41532868845394</v>
      </c>
      <c r="R77" s="416">
        <f>SUM(R73:R76)</f>
        <v>0</v>
      </c>
      <c r="S77" s="68"/>
      <c r="T77" s="416">
        <f>SUM(T73:T76)</f>
        <v>2127.4589420024249</v>
      </c>
      <c r="U77" s="912">
        <f>T77/G77*100</f>
        <v>7.7561976843116849</v>
      </c>
      <c r="V77" s="805">
        <f>SUM(V73:V76)</f>
        <v>321.12348309053908</v>
      </c>
      <c r="W77" s="804">
        <f>U77/I77-1</f>
        <v>0.17777621620957373</v>
      </c>
      <c r="X77" s="769"/>
      <c r="Z77" s="938"/>
      <c r="AB77" s="938"/>
      <c r="AD77" s="938"/>
      <c r="AF77" s="971"/>
    </row>
    <row r="78" spans="1:32">
      <c r="A78" s="4"/>
      <c r="I78" s="504"/>
      <c r="J78" s="504"/>
      <c r="L78" s="762"/>
      <c r="M78" s="762"/>
      <c r="N78" s="762"/>
      <c r="O78" s="68"/>
      <c r="P78" s="68"/>
      <c r="Q78" s="762"/>
      <c r="R78" s="762"/>
      <c r="S78" s="68"/>
      <c r="T78" s="68"/>
      <c r="U78" s="68"/>
      <c r="V78" s="762"/>
      <c r="W78" s="762"/>
      <c r="X78" s="782"/>
      <c r="Z78" s="938"/>
      <c r="AB78" s="938"/>
      <c r="AD78" s="938"/>
      <c r="AF78" s="971"/>
    </row>
    <row r="79" spans="1:32">
      <c r="A79" s="4">
        <v>33</v>
      </c>
      <c r="C79" s="9" t="s">
        <v>711</v>
      </c>
      <c r="E79" s="513" t="s">
        <v>674</v>
      </c>
      <c r="G79" s="828">
        <v>27429.148000000001</v>
      </c>
      <c r="I79" s="861">
        <v>0.59184692740476641</v>
      </c>
      <c r="J79" s="828">
        <f>G79*I79/100</f>
        <v>162.33856965130596</v>
      </c>
      <c r="L79" s="762">
        <v>0</v>
      </c>
      <c r="M79" s="762">
        <v>0</v>
      </c>
      <c r="N79" s="762">
        <f>J79-L79-M79</f>
        <v>162.33856965130596</v>
      </c>
      <c r="O79" s="68"/>
      <c r="P79" s="828">
        <v>4.3774881775020162</v>
      </c>
      <c r="Q79" s="762">
        <v>0</v>
      </c>
      <c r="R79" s="762">
        <v>0</v>
      </c>
      <c r="S79" s="68"/>
      <c r="T79" s="68">
        <f>N79+P79+Q79+R79</f>
        <v>166.71605782880798</v>
      </c>
      <c r="U79" s="911">
        <f>T79/G79*100</f>
        <v>0.60780618424169786</v>
      </c>
      <c r="V79" s="762">
        <f>T79-J79</f>
        <v>4.3774881775020162</v>
      </c>
      <c r="W79" s="770">
        <f>U79/I79-1</f>
        <v>2.6965176463638052E-2</v>
      </c>
      <c r="X79" s="769"/>
      <c r="Z79" s="938"/>
      <c r="AB79" s="938"/>
      <c r="AD79" s="938"/>
      <c r="AF79" s="971"/>
    </row>
    <row r="80" spans="1:32">
      <c r="A80" s="4"/>
      <c r="C80" s="9"/>
      <c r="E80" s="513"/>
      <c r="G80" s="828"/>
      <c r="I80" s="861"/>
      <c r="J80" s="828"/>
      <c r="L80" s="762"/>
      <c r="M80" s="762"/>
      <c r="N80" s="762"/>
      <c r="O80" s="68"/>
      <c r="P80" s="828"/>
      <c r="Q80" s="762"/>
      <c r="R80" s="762"/>
      <c r="S80" s="68"/>
      <c r="T80" s="68"/>
      <c r="U80" s="911"/>
      <c r="V80" s="762"/>
      <c r="W80" s="770"/>
      <c r="X80" s="769"/>
      <c r="Z80" s="938"/>
      <c r="AB80" s="938"/>
      <c r="AD80" s="938"/>
      <c r="AF80" s="971"/>
    </row>
    <row r="81" spans="1:32">
      <c r="A81" s="4"/>
      <c r="C81" s="7" t="s">
        <v>712</v>
      </c>
      <c r="E81" s="513"/>
      <c r="G81" s="828"/>
      <c r="I81" s="861"/>
      <c r="J81" s="828"/>
      <c r="L81" s="762"/>
      <c r="M81" s="762"/>
      <c r="N81" s="762"/>
      <c r="O81" s="68"/>
      <c r="P81" s="828"/>
      <c r="Q81" s="762"/>
      <c r="R81" s="762"/>
      <c r="S81" s="68"/>
      <c r="T81" s="68"/>
      <c r="U81" s="911"/>
      <c r="V81" s="762"/>
      <c r="W81" s="770"/>
      <c r="X81" s="769"/>
      <c r="Z81" s="938"/>
      <c r="AB81" s="938"/>
      <c r="AD81" s="938"/>
      <c r="AF81" s="971"/>
    </row>
    <row r="82" spans="1:32">
      <c r="A82" s="4">
        <v>34</v>
      </c>
      <c r="B82" s="734"/>
      <c r="C82" s="9" t="s">
        <v>713</v>
      </c>
      <c r="D82" s="734"/>
      <c r="E82" s="513" t="s">
        <v>674</v>
      </c>
      <c r="F82" s="734"/>
      <c r="G82" s="828">
        <v>14756.638999999999</v>
      </c>
      <c r="H82" s="734"/>
      <c r="I82" s="861">
        <v>7.5293512685939687E-2</v>
      </c>
      <c r="J82" s="828">
        <f>G82*I82/100</f>
        <v>11.110791857483322</v>
      </c>
      <c r="K82" s="734"/>
      <c r="L82" s="762">
        <v>0</v>
      </c>
      <c r="M82" s="762">
        <v>0</v>
      </c>
      <c r="N82" s="762">
        <f>J82-L82-M82</f>
        <v>11.110791857483322</v>
      </c>
      <c r="O82" s="790"/>
      <c r="P82" s="828">
        <v>0.29960446308778899</v>
      </c>
      <c r="Q82" s="762">
        <v>0</v>
      </c>
      <c r="R82" s="762">
        <v>0</v>
      </c>
      <c r="S82" s="790"/>
      <c r="T82" s="68">
        <f>N82+P82+Q82+R82</f>
        <v>11.410396320571111</v>
      </c>
      <c r="U82" s="911">
        <f>T82/G82*100</f>
        <v>7.7323815542083216E-2</v>
      </c>
      <c r="V82" s="762">
        <f>T82-J82</f>
        <v>0.29960446308778899</v>
      </c>
      <c r="W82" s="770"/>
      <c r="X82" s="769"/>
      <c r="Z82" s="938"/>
      <c r="AB82" s="938"/>
      <c r="AD82" s="938"/>
      <c r="AF82" s="971"/>
    </row>
    <row r="83" spans="1:32">
      <c r="A83" s="4">
        <v>35</v>
      </c>
      <c r="B83" s="385"/>
      <c r="C83" s="9" t="s">
        <v>714</v>
      </c>
      <c r="D83" s="385"/>
      <c r="E83" s="513" t="s">
        <v>674</v>
      </c>
      <c r="F83" s="385"/>
      <c r="G83" s="828">
        <v>10804.124</v>
      </c>
      <c r="H83" s="385"/>
      <c r="I83" s="861">
        <v>0.59778431317670411</v>
      </c>
      <c r="J83" s="828">
        <f>G83*I83/100</f>
        <v>64.585358448159454</v>
      </c>
      <c r="K83" s="385"/>
      <c r="L83" s="762">
        <v>0</v>
      </c>
      <c r="M83" s="762">
        <v>0</v>
      </c>
      <c r="N83" s="762">
        <f>J83-L83-M83</f>
        <v>64.585358448159454</v>
      </c>
      <c r="O83" s="789"/>
      <c r="P83" s="828">
        <v>1.7415555875219155</v>
      </c>
      <c r="Q83" s="762">
        <v>0</v>
      </c>
      <c r="R83" s="762">
        <v>0</v>
      </c>
      <c r="S83" s="789"/>
      <c r="T83" s="68">
        <f>N83+P83+Q83+R83</f>
        <v>66.326914035681369</v>
      </c>
      <c r="U83" s="911">
        <f>T83/G83*100</f>
        <v>0.61390367266870838</v>
      </c>
      <c r="V83" s="762">
        <f>T83-J83</f>
        <v>1.7415555875219155</v>
      </c>
      <c r="W83" s="770"/>
      <c r="X83" s="769"/>
      <c r="Z83" s="938"/>
      <c r="AB83" s="938"/>
      <c r="AD83" s="938"/>
      <c r="AF83" s="971"/>
    </row>
    <row r="84" spans="1:32">
      <c r="A84" s="4">
        <v>36</v>
      </c>
      <c r="B84" s="447"/>
      <c r="C84" s="7" t="s">
        <v>712</v>
      </c>
      <c r="D84" s="447"/>
      <c r="E84" s="385"/>
      <c r="F84" s="447"/>
      <c r="G84" s="830">
        <f>SUM(G82:G83)</f>
        <v>25560.762999999999</v>
      </c>
      <c r="H84" s="447"/>
      <c r="I84" s="891">
        <f>J84/G84*100</f>
        <v>0.29614198255992119</v>
      </c>
      <c r="J84" s="830">
        <f>SUM(J82:J83)</f>
        <v>75.696150305642774</v>
      </c>
      <c r="K84" s="828"/>
      <c r="L84" s="420">
        <f>SUM(L82:L83)</f>
        <v>0</v>
      </c>
      <c r="M84" s="420">
        <f>SUM(M82:M83)</f>
        <v>0</v>
      </c>
      <c r="N84" s="805">
        <f>SUM(N82:N83)</f>
        <v>75.696150305642774</v>
      </c>
      <c r="O84" s="828"/>
      <c r="P84" s="830">
        <f>SUM(P82:P83)</f>
        <v>2.0411600506097045</v>
      </c>
      <c r="Q84" s="420">
        <f>SUM(Q82:Q83)</f>
        <v>0</v>
      </c>
      <c r="R84" s="420">
        <f>SUM(R82:R83)</f>
        <v>0</v>
      </c>
      <c r="S84" s="828"/>
      <c r="T84" s="416">
        <f>SUM(T82:T83)</f>
        <v>77.737310356252479</v>
      </c>
      <c r="U84" s="912">
        <f>T84/G84*100</f>
        <v>0.30412750337794092</v>
      </c>
      <c r="V84" s="805">
        <f>SUM(V82:V83)</f>
        <v>2.0411600506097045</v>
      </c>
      <c r="W84" s="804">
        <f>U84/I84-1</f>
        <v>2.6965176463637386E-2</v>
      </c>
      <c r="X84" s="769"/>
      <c r="Z84" s="938"/>
      <c r="AB84" s="938"/>
      <c r="AD84" s="938"/>
      <c r="AF84" s="971"/>
    </row>
    <row r="85" spans="1:32">
      <c r="A85" s="4"/>
      <c r="B85" s="447"/>
      <c r="D85" s="447"/>
      <c r="E85" s="385"/>
      <c r="F85" s="447"/>
      <c r="G85" s="828"/>
      <c r="H85" s="447"/>
      <c r="I85" s="861"/>
      <c r="J85" s="828"/>
      <c r="K85" s="447"/>
      <c r="L85" s="762"/>
      <c r="M85" s="762"/>
      <c r="N85" s="762"/>
      <c r="O85" s="787"/>
      <c r="P85" s="828"/>
      <c r="Q85" s="762"/>
      <c r="R85" s="762"/>
      <c r="S85" s="787"/>
      <c r="T85" s="68"/>
      <c r="U85" s="911"/>
      <c r="V85" s="762"/>
      <c r="W85" s="770"/>
      <c r="X85" s="769"/>
      <c r="Z85" s="938"/>
      <c r="AB85" s="938"/>
      <c r="AD85" s="938"/>
      <c r="AF85" s="971"/>
    </row>
    <row r="86" spans="1:32">
      <c r="A86" s="4">
        <v>37</v>
      </c>
      <c r="B86" s="254"/>
      <c r="C86" s="7" t="s">
        <v>715</v>
      </c>
      <c r="D86" s="254"/>
      <c r="E86" s="513" t="s">
        <v>674</v>
      </c>
      <c r="F86" s="254"/>
      <c r="G86" s="828">
        <v>14756.638999999999</v>
      </c>
      <c r="H86" s="254"/>
      <c r="I86" s="861">
        <v>0.10861891731194913</v>
      </c>
      <c r="J86" s="828">
        <f>G86*I86/100</f>
        <v>16.028501513432836</v>
      </c>
      <c r="K86" s="254"/>
      <c r="L86" s="762">
        <v>0</v>
      </c>
      <c r="M86" s="762">
        <v>0</v>
      </c>
      <c r="N86" s="762">
        <f>J86-L86-M86</f>
        <v>16.028501513432836</v>
      </c>
      <c r="O86" s="786"/>
      <c r="P86" s="828">
        <v>0.43221137175740409</v>
      </c>
      <c r="Q86" s="762">
        <v>0</v>
      </c>
      <c r="R86" s="762">
        <v>0</v>
      </c>
      <c r="S86" s="786"/>
      <c r="T86" s="68">
        <f>N86+P86+Q86+R86</f>
        <v>16.46071288519024</v>
      </c>
      <c r="U86" s="911">
        <f>T86/G86*100</f>
        <v>0.11154784558455515</v>
      </c>
      <c r="V86" s="762">
        <f>T86-J86</f>
        <v>0.43221137175740409</v>
      </c>
      <c r="W86" s="770">
        <f>U86/I86-1</f>
        <v>2.6965176463638052E-2</v>
      </c>
      <c r="X86" s="769"/>
      <c r="Z86" s="938"/>
      <c r="AB86" s="938"/>
      <c r="AD86" s="938"/>
      <c r="AF86" s="971"/>
    </row>
    <row r="87" spans="1:32">
      <c r="A87" s="4"/>
      <c r="B87" s="256"/>
      <c r="C87" s="7"/>
      <c r="D87" s="256"/>
      <c r="E87" s="4"/>
      <c r="F87" s="256"/>
      <c r="G87" s="4"/>
      <c r="H87" s="256"/>
      <c r="I87" s="504"/>
      <c r="J87" s="504"/>
      <c r="K87" s="256"/>
      <c r="L87" s="762"/>
      <c r="M87" s="762"/>
      <c r="N87" s="762"/>
      <c r="O87" s="771"/>
      <c r="P87" s="828"/>
      <c r="Q87" s="762"/>
      <c r="R87" s="762"/>
      <c r="S87" s="771"/>
      <c r="T87" s="771"/>
      <c r="U87" s="771"/>
      <c r="V87" s="762"/>
      <c r="W87" s="762"/>
      <c r="X87" s="782"/>
      <c r="AB87" s="938"/>
      <c r="AD87" s="938"/>
    </row>
    <row r="88" spans="1:32" ht="13.5" thickBot="1">
      <c r="A88" s="4">
        <v>38</v>
      </c>
      <c r="B88" s="256"/>
      <c r="C88" s="7" t="s">
        <v>727</v>
      </c>
      <c r="D88" s="256"/>
      <c r="E88" s="4"/>
      <c r="F88" s="256"/>
      <c r="G88" s="458">
        <f>G75</f>
        <v>27429.148000000001</v>
      </c>
      <c r="H88" s="256"/>
      <c r="I88" s="908">
        <f>J88/G88*100</f>
        <v>7.5117122864416626</v>
      </c>
      <c r="J88" s="839">
        <f>J77+J79+J84+J86</f>
        <v>2060.3986803822677</v>
      </c>
      <c r="K88" s="256"/>
      <c r="L88" s="799">
        <f>L77+L79+L84+L86</f>
        <v>0</v>
      </c>
      <c r="M88" s="799">
        <f>M77+M79+M84+M86</f>
        <v>0</v>
      </c>
      <c r="N88" s="799">
        <f>N77+N79+N84+N86</f>
        <v>2060.3986803822677</v>
      </c>
      <c r="O88" s="771"/>
      <c r="P88" s="846">
        <f>P77+P79+P84+P86</f>
        <v>55.559014001954267</v>
      </c>
      <c r="Q88" s="846">
        <f>Q77+Q79+Q84+Q86</f>
        <v>272.41532868845394</v>
      </c>
      <c r="R88" s="768">
        <f>R77+R79+R84+R86</f>
        <v>0</v>
      </c>
      <c r="S88" s="771"/>
      <c r="T88" s="781">
        <f>T77+T79+T84+T86</f>
        <v>2388.373023072676</v>
      </c>
      <c r="U88" s="901">
        <f>T88/G88*100</f>
        <v>8.7074269425819413</v>
      </c>
      <c r="V88" s="799">
        <f>V77+V79+V84+V86</f>
        <v>327.97434269040821</v>
      </c>
      <c r="W88" s="798">
        <f>U88/I88-1</f>
        <v>0.15918003919006529</v>
      </c>
      <c r="X88" s="769"/>
      <c r="Z88" s="938"/>
      <c r="AB88" s="938"/>
      <c r="AD88" s="938"/>
      <c r="AF88" s="971"/>
    </row>
    <row r="89" spans="1:32" ht="13.5" thickTop="1">
      <c r="A89" s="4"/>
      <c r="B89" s="256"/>
      <c r="C89" s="256"/>
      <c r="D89" s="256"/>
      <c r="E89" s="860"/>
      <c r="F89" s="256"/>
      <c r="G89" s="860"/>
      <c r="H89" s="256"/>
      <c r="I89" s="504"/>
      <c r="J89" s="504"/>
      <c r="K89" s="256"/>
      <c r="L89" s="504"/>
      <c r="M89" s="504"/>
      <c r="N89" s="504"/>
      <c r="O89" s="256"/>
      <c r="P89" s="256"/>
      <c r="Q89" s="504"/>
      <c r="R89" s="504"/>
      <c r="S89" s="256"/>
      <c r="T89" s="256"/>
      <c r="U89" s="256"/>
      <c r="V89" s="762"/>
      <c r="W89" s="504"/>
    </row>
    <row r="90" spans="1:32">
      <c r="A90" s="4"/>
      <c r="B90" s="504"/>
      <c r="C90" s="504"/>
      <c r="D90" s="504"/>
      <c r="E90" s="504"/>
      <c r="F90" s="504"/>
      <c r="G90" s="504"/>
      <c r="H90" s="504"/>
      <c r="I90" s="504"/>
      <c r="J90" s="504"/>
      <c r="K90" s="504"/>
      <c r="L90" s="504"/>
      <c r="M90" s="504"/>
      <c r="N90" s="504"/>
      <c r="O90" s="504"/>
      <c r="P90" s="504"/>
      <c r="Q90" s="504"/>
      <c r="R90" s="504"/>
      <c r="S90" s="504"/>
      <c r="T90" s="504"/>
      <c r="U90" s="504"/>
      <c r="V90" s="504"/>
      <c r="W90" s="504"/>
    </row>
    <row r="91" spans="1:32">
      <c r="A91" s="4"/>
      <c r="B91" s="256"/>
      <c r="C91" s="6" t="s">
        <v>165</v>
      </c>
      <c r="D91" s="256"/>
      <c r="E91" s="134"/>
      <c r="F91" s="256"/>
      <c r="G91" s="134"/>
      <c r="H91" s="256"/>
      <c r="I91" s="861"/>
      <c r="J91" s="504"/>
      <c r="K91" s="256"/>
      <c r="L91" s="504"/>
      <c r="M91" s="504"/>
      <c r="N91" s="504"/>
      <c r="O91" s="256"/>
      <c r="P91" s="256"/>
      <c r="Q91" s="504"/>
      <c r="R91" s="504"/>
      <c r="S91" s="256"/>
      <c r="T91" s="256"/>
      <c r="U91" s="256"/>
      <c r="V91" s="504"/>
      <c r="W91" s="504"/>
    </row>
    <row r="92" spans="1:32">
      <c r="A92" s="4">
        <v>39</v>
      </c>
      <c r="B92" s="256"/>
      <c r="C92" s="7" t="s">
        <v>703</v>
      </c>
      <c r="D92" s="256"/>
      <c r="E92" s="36" t="s">
        <v>704</v>
      </c>
      <c r="F92" s="256"/>
      <c r="G92" s="828">
        <v>4992</v>
      </c>
      <c r="H92" s="256"/>
      <c r="I92" s="778">
        <v>642.54715571555448</v>
      </c>
      <c r="J92" s="753">
        <f>G92*I92/1000</f>
        <v>3207.5954013320479</v>
      </c>
      <c r="K92" s="256"/>
      <c r="L92" s="762">
        <v>0</v>
      </c>
      <c r="M92" s="762">
        <v>0</v>
      </c>
      <c r="N92" s="762">
        <f>J92-L92-M92</f>
        <v>3207.5954013320479</v>
      </c>
      <c r="O92" s="771"/>
      <c r="P92" s="828">
        <v>86.493376020871892</v>
      </c>
      <c r="Q92" s="762">
        <v>0</v>
      </c>
      <c r="R92" s="762">
        <v>0</v>
      </c>
      <c r="S92" s="771"/>
      <c r="T92" s="771">
        <f>N92+P92+Q92+R92</f>
        <v>3294.0887773529198</v>
      </c>
      <c r="U92" s="915">
        <f>T92/G92*1000</f>
        <v>659.87355315563298</v>
      </c>
      <c r="V92" s="762">
        <f>T92-J92</f>
        <v>86.493376020871892</v>
      </c>
      <c r="W92" s="770">
        <f>U92/I92-1</f>
        <v>2.696517646363783E-2</v>
      </c>
      <c r="X92" s="769"/>
      <c r="Y92" s="782"/>
      <c r="Z92" s="938"/>
      <c r="AB92" s="938"/>
      <c r="AD92" s="938"/>
      <c r="AF92" s="954"/>
    </row>
    <row r="93" spans="1:32">
      <c r="A93" s="4">
        <v>40</v>
      </c>
      <c r="B93" s="256"/>
      <c r="C93" s="512" t="s">
        <v>726</v>
      </c>
      <c r="D93" s="256"/>
      <c r="E93" s="36" t="s">
        <v>675</v>
      </c>
      <c r="F93" s="256"/>
      <c r="G93" s="828">
        <v>75653.868000000002</v>
      </c>
      <c r="H93" s="256"/>
      <c r="I93" s="861">
        <v>25.39395049703483</v>
      </c>
      <c r="J93" s="753">
        <f>G93*I93/100</f>
        <v>19211.505789012077</v>
      </c>
      <c r="K93" s="256"/>
      <c r="L93" s="762">
        <v>0</v>
      </c>
      <c r="M93" s="762">
        <v>0</v>
      </c>
      <c r="N93" s="762">
        <f>J93-L93-M93</f>
        <v>19211.505789012077</v>
      </c>
      <c r="O93" s="771"/>
      <c r="P93" s="828">
        <v>518.04164373291133</v>
      </c>
      <c r="Q93" s="762">
        <v>0</v>
      </c>
      <c r="R93" s="762">
        <v>0</v>
      </c>
      <c r="S93" s="771"/>
      <c r="T93" s="771">
        <f>N93+P93+Q93+R93</f>
        <v>19729.547432744988</v>
      </c>
      <c r="U93" s="821">
        <f>T93/G93*100</f>
        <v>26.07870285329626</v>
      </c>
      <c r="V93" s="762">
        <f>T93-J93</f>
        <v>518.04164373291133</v>
      </c>
      <c r="W93" s="770">
        <f>U93/I93-1</f>
        <v>2.6965176463638052E-2</v>
      </c>
      <c r="X93" s="769"/>
      <c r="Y93" s="782"/>
      <c r="Z93" s="938"/>
      <c r="AB93" s="938"/>
      <c r="AD93" s="938"/>
      <c r="AF93" s="971"/>
    </row>
    <row r="94" spans="1:32">
      <c r="A94" s="4"/>
      <c r="B94" s="256"/>
      <c r="C94" s="512" t="s">
        <v>705</v>
      </c>
      <c r="D94" s="256"/>
      <c r="E94" s="36"/>
      <c r="F94" s="256"/>
      <c r="G94" s="828"/>
      <c r="H94" s="256"/>
      <c r="I94" s="861"/>
      <c r="J94" s="753"/>
      <c r="K94" s="256"/>
      <c r="L94" s="762"/>
      <c r="M94" s="762"/>
      <c r="N94" s="762"/>
      <c r="O94" s="771"/>
      <c r="P94" s="828"/>
      <c r="Q94" s="762"/>
      <c r="R94" s="762"/>
      <c r="S94" s="771"/>
      <c r="T94" s="771"/>
      <c r="U94" s="821"/>
      <c r="V94" s="762"/>
      <c r="W94" s="770"/>
      <c r="X94" s="769"/>
      <c r="Y94" s="782"/>
      <c r="Z94" s="938"/>
      <c r="AB94" s="938"/>
      <c r="AD94" s="938"/>
      <c r="AF94" s="971"/>
    </row>
    <row r="95" spans="1:32">
      <c r="A95" s="4">
        <v>41</v>
      </c>
      <c r="B95" s="256"/>
      <c r="C95" s="9" t="s">
        <v>728</v>
      </c>
      <c r="D95" s="256"/>
      <c r="E95" s="36" t="s">
        <v>674</v>
      </c>
      <c r="F95" s="256"/>
      <c r="G95" s="828">
        <v>897522.08799999999</v>
      </c>
      <c r="H95" s="256"/>
      <c r="I95" s="861">
        <v>0.69304834130493465</v>
      </c>
      <c r="J95" s="753">
        <f>G95*I95/100</f>
        <v>6220.2619437294161</v>
      </c>
      <c r="K95" s="256"/>
      <c r="L95" s="828">
        <v>2114.1338090707973</v>
      </c>
      <c r="M95" s="762">
        <v>0</v>
      </c>
      <c r="N95" s="762">
        <f>J95-L95-M95</f>
        <v>4106.1281346586184</v>
      </c>
      <c r="O95" s="771"/>
      <c r="P95" s="828">
        <v>110.72246973337769</v>
      </c>
      <c r="Q95" s="828">
        <v>2012.7953581963834</v>
      </c>
      <c r="R95" s="762">
        <v>0</v>
      </c>
      <c r="S95" s="771"/>
      <c r="T95" s="771">
        <f>N95+P95+Q95+R95</f>
        <v>6229.6459625883799</v>
      </c>
      <c r="U95" s="821">
        <f>T95/G95*100</f>
        <v>0.69409388870531952</v>
      </c>
      <c r="V95" s="762">
        <f>T95-J95</f>
        <v>9.3840188589638274</v>
      </c>
      <c r="W95" s="770"/>
      <c r="X95" s="769"/>
      <c r="Y95" s="782"/>
      <c r="Z95" s="938"/>
      <c r="AB95" s="938"/>
      <c r="AD95" s="938"/>
      <c r="AF95" s="971"/>
    </row>
    <row r="96" spans="1:32">
      <c r="A96" s="4">
        <v>42</v>
      </c>
      <c r="B96" s="256"/>
      <c r="C96" s="9" t="s">
        <v>729</v>
      </c>
      <c r="D96" s="256"/>
      <c r="E96" s="36" t="s">
        <v>674</v>
      </c>
      <c r="F96" s="256"/>
      <c r="G96" s="828">
        <v>170759.079</v>
      </c>
      <c r="H96" s="256"/>
      <c r="I96" s="861">
        <v>0.52507311963522729</v>
      </c>
      <c r="J96" s="753">
        <f>G96*I96/100</f>
        <v>896.61002316568226</v>
      </c>
      <c r="K96" s="256"/>
      <c r="L96" s="828">
        <v>402.22691669254067</v>
      </c>
      <c r="M96" s="762">
        <v>0</v>
      </c>
      <c r="N96" s="762">
        <f>J96-L96-M96</f>
        <v>494.38310647314159</v>
      </c>
      <c r="O96" s="771"/>
      <c r="P96" s="828">
        <v>13.331127706689699</v>
      </c>
      <c r="Q96" s="828">
        <v>382.94665521489594</v>
      </c>
      <c r="R96" s="762">
        <v>0</v>
      </c>
      <c r="S96" s="771"/>
      <c r="T96" s="771">
        <f>N96+P96+Q96+R96</f>
        <v>890.66088939472729</v>
      </c>
      <c r="U96" s="821">
        <f>T96/G96*100</f>
        <v>0.52158918554176981</v>
      </c>
      <c r="V96" s="762">
        <f>T96-J96</f>
        <v>-5.9491337709549725</v>
      </c>
      <c r="W96" s="785"/>
      <c r="X96" s="769"/>
      <c r="Y96" s="782"/>
      <c r="Z96" s="938"/>
      <c r="AB96" s="938"/>
      <c r="AD96" s="938"/>
      <c r="AF96" s="971"/>
    </row>
    <row r="97" spans="1:32">
      <c r="A97" s="4">
        <v>43</v>
      </c>
      <c r="C97" s="512" t="s">
        <v>705</v>
      </c>
      <c r="E97" s="36"/>
      <c r="G97" s="830">
        <f>SUM(G95:G96)</f>
        <v>1068281.1669999999</v>
      </c>
      <c r="I97" s="914">
        <f>J97/G97*100</f>
        <v>0.66619839296437755</v>
      </c>
      <c r="J97" s="842">
        <f>SUM(J95:J96)</f>
        <v>7116.871966895098</v>
      </c>
      <c r="L97" s="830">
        <f>SUM(L95:L96)</f>
        <v>2516.360725763338</v>
      </c>
      <c r="M97" s="805">
        <f>SUM(M95:M96)</f>
        <v>0</v>
      </c>
      <c r="N97" s="805">
        <f>SUM(N95:N96)</f>
        <v>4600.5112411317596</v>
      </c>
      <c r="O97" s="68"/>
      <c r="P97" s="830">
        <f>SUM(P95:P96)</f>
        <v>124.05359744006739</v>
      </c>
      <c r="Q97" s="830">
        <f>SUM(Q95:Q96)</f>
        <v>2395.7420134112795</v>
      </c>
      <c r="R97" s="420">
        <f>SUM(R95:R96)</f>
        <v>0</v>
      </c>
      <c r="S97" s="68"/>
      <c r="T97" s="416">
        <f>SUM(T95:T96)</f>
        <v>7120.3068519831068</v>
      </c>
      <c r="U97" s="912">
        <f>T97/G97*100</f>
        <v>0.66651992676971972</v>
      </c>
      <c r="V97" s="805">
        <f>V95+V96</f>
        <v>3.4348850880088548</v>
      </c>
      <c r="W97" s="804">
        <f>U97/I97-1</f>
        <v>4.8263971924544791E-4</v>
      </c>
      <c r="X97" s="769"/>
      <c r="Y97" s="782"/>
      <c r="Z97" s="938"/>
      <c r="AB97" s="938"/>
      <c r="AD97" s="938"/>
      <c r="AF97" s="971"/>
    </row>
    <row r="98" spans="1:32">
      <c r="A98" s="4"/>
      <c r="B98" s="256"/>
      <c r="C98" s="7"/>
      <c r="D98" s="256"/>
      <c r="E98" s="742"/>
      <c r="F98" s="256"/>
      <c r="G98" s="35"/>
      <c r="H98" s="256"/>
      <c r="I98" s="504"/>
      <c r="J98" s="504"/>
      <c r="K98" s="256"/>
      <c r="L98" s="762"/>
      <c r="M98" s="762"/>
      <c r="N98" s="805"/>
      <c r="O98" s="771"/>
      <c r="P98" s="771"/>
      <c r="Q98" s="762"/>
      <c r="R98" s="762"/>
      <c r="S98" s="771"/>
      <c r="T98" s="68"/>
      <c r="U98" s="821"/>
      <c r="V98" s="762"/>
      <c r="W98" s="770"/>
      <c r="X98" s="769"/>
      <c r="Y98" s="782"/>
      <c r="Z98" s="938"/>
      <c r="AB98" s="938"/>
      <c r="AD98" s="938"/>
      <c r="AF98" s="971"/>
    </row>
    <row r="99" spans="1:32">
      <c r="A99" s="4">
        <v>44</v>
      </c>
      <c r="B99" s="256"/>
      <c r="C99" s="7" t="s">
        <v>710</v>
      </c>
      <c r="D99" s="256"/>
      <c r="E99" s="742"/>
      <c r="F99" s="256"/>
      <c r="G99" s="420">
        <f>G97</f>
        <v>1068281.1669999999</v>
      </c>
      <c r="H99" s="256"/>
      <c r="I99" s="914">
        <f>J99/G99*100</f>
        <v>2.7648126794356589</v>
      </c>
      <c r="J99" s="842">
        <f>J92+J93+J97</f>
        <v>29535.973157239223</v>
      </c>
      <c r="K99" s="753"/>
      <c r="L99" s="842">
        <f>L92+L93+L97</f>
        <v>2516.360725763338</v>
      </c>
      <c r="M99" s="805">
        <f>M92+M93+M97</f>
        <v>0</v>
      </c>
      <c r="N99" s="805">
        <f>N92+N93+N97</f>
        <v>27019.612431475885</v>
      </c>
      <c r="O99" s="753"/>
      <c r="P99" s="842">
        <f>P92+P93+P97</f>
        <v>728.58861719385061</v>
      </c>
      <c r="Q99" s="842">
        <f>Q92+Q93+Q97</f>
        <v>2395.7420134112795</v>
      </c>
      <c r="R99" s="805">
        <f>R92+R93+R97</f>
        <v>0</v>
      </c>
      <c r="S99" s="753"/>
      <c r="T99" s="416">
        <f>T92+T93+T97</f>
        <v>30143.943062081016</v>
      </c>
      <c r="U99" s="902">
        <f>T99/G99*100</f>
        <v>2.8217237178048107</v>
      </c>
      <c r="V99" s="805">
        <f>V92+V93+V97</f>
        <v>607.96990484179207</v>
      </c>
      <c r="W99" s="804">
        <f>U99/I99-1</f>
        <v>2.0584048529742827E-2</v>
      </c>
      <c r="X99" s="769"/>
      <c r="Y99" s="782"/>
      <c r="Z99" s="938"/>
      <c r="AB99" s="938"/>
      <c r="AD99" s="938"/>
      <c r="AF99" s="971"/>
    </row>
    <row r="100" spans="1:32">
      <c r="A100" s="4"/>
      <c r="B100" s="256"/>
      <c r="C100" s="9"/>
      <c r="D100" s="256"/>
      <c r="E100" s="742"/>
      <c r="F100" s="256"/>
      <c r="G100" s="35"/>
      <c r="H100" s="256"/>
      <c r="I100" s="504"/>
      <c r="J100" s="504"/>
      <c r="K100" s="256"/>
      <c r="L100" s="762"/>
      <c r="M100" s="762"/>
      <c r="N100" s="762"/>
      <c r="O100" s="771"/>
      <c r="P100" s="771"/>
      <c r="Q100" s="762"/>
      <c r="R100" s="762"/>
      <c r="S100" s="771"/>
      <c r="T100" s="771"/>
      <c r="U100" s="771"/>
      <c r="V100" s="762"/>
      <c r="W100" s="762"/>
      <c r="X100" s="782"/>
      <c r="Y100" s="782"/>
      <c r="Z100" s="938"/>
      <c r="AB100" s="938"/>
      <c r="AD100" s="938"/>
      <c r="AF100" s="971"/>
    </row>
    <row r="101" spans="1:32">
      <c r="A101" s="4">
        <v>45</v>
      </c>
      <c r="B101" s="256"/>
      <c r="C101" s="9" t="s">
        <v>730</v>
      </c>
      <c r="D101" s="256"/>
      <c r="E101" s="513" t="s">
        <v>674</v>
      </c>
      <c r="F101" s="256"/>
      <c r="G101" s="828">
        <v>1068281.1669999999</v>
      </c>
      <c r="H101" s="256"/>
      <c r="I101" s="861">
        <v>0.14286191415012728</v>
      </c>
      <c r="J101" s="753">
        <f>G101*I101/100</f>
        <v>1526.1669236815176</v>
      </c>
      <c r="K101" s="256"/>
      <c r="L101" s="762">
        <v>0</v>
      </c>
      <c r="M101" s="828">
        <v>730.61878451440805</v>
      </c>
      <c r="N101" s="762">
        <f>J101-L101-M101</f>
        <v>795.54813916710953</v>
      </c>
      <c r="O101" s="771"/>
      <c r="P101" s="828">
        <v>21.452095957959841</v>
      </c>
      <c r="Q101" s="762">
        <v>0</v>
      </c>
      <c r="R101" s="828">
        <v>728.08974089566607</v>
      </c>
      <c r="S101" s="771"/>
      <c r="T101" s="771">
        <f>N101+P101+Q101+R101</f>
        <v>1545.0899760207353</v>
      </c>
      <c r="U101" s="821">
        <f>T101/G101*100</f>
        <v>0.14463326919445127</v>
      </c>
      <c r="V101" s="762">
        <f>T101-J101</f>
        <v>18.923052339217747</v>
      </c>
      <c r="W101" s="785">
        <f>U101/I101-1</f>
        <v>1.2399071193058164E-2</v>
      </c>
      <c r="X101" s="785"/>
      <c r="Y101" s="782"/>
      <c r="Z101" s="938"/>
      <c r="AB101" s="938"/>
      <c r="AD101" s="938"/>
      <c r="AF101" s="971"/>
    </row>
    <row r="102" spans="1:32">
      <c r="A102" s="4"/>
      <c r="B102" s="256"/>
      <c r="C102" s="9"/>
      <c r="D102" s="256"/>
      <c r="E102" s="513"/>
      <c r="F102" s="256"/>
      <c r="G102" s="828"/>
      <c r="H102" s="256"/>
      <c r="I102" s="861"/>
      <c r="J102" s="753"/>
      <c r="K102" s="256"/>
      <c r="L102" s="762"/>
      <c r="M102" s="828"/>
      <c r="N102" s="762"/>
      <c r="O102" s="771"/>
      <c r="P102" s="828"/>
      <c r="Q102" s="762"/>
      <c r="R102" s="828"/>
      <c r="S102" s="771"/>
      <c r="T102" s="771"/>
      <c r="U102" s="821"/>
      <c r="V102" s="762"/>
      <c r="W102" s="785"/>
      <c r="X102" s="785"/>
      <c r="Y102" s="782"/>
      <c r="Z102" s="938"/>
      <c r="AB102" s="938"/>
      <c r="AD102" s="938"/>
      <c r="AF102" s="971"/>
    </row>
    <row r="103" spans="1:32">
      <c r="A103" s="4"/>
      <c r="B103" s="256"/>
      <c r="C103" s="7" t="s">
        <v>712</v>
      </c>
      <c r="D103" s="256"/>
      <c r="E103" s="513"/>
      <c r="F103" s="256"/>
      <c r="G103" s="828"/>
      <c r="H103" s="256"/>
      <c r="I103" s="861"/>
      <c r="J103" s="753"/>
      <c r="K103" s="256"/>
      <c r="L103" s="762"/>
      <c r="M103" s="828"/>
      <c r="N103" s="762"/>
      <c r="O103" s="771"/>
      <c r="P103" s="828"/>
      <c r="Q103" s="762"/>
      <c r="R103" s="828"/>
      <c r="S103" s="771"/>
      <c r="T103" s="771"/>
      <c r="U103" s="821"/>
      <c r="V103" s="762"/>
      <c r="W103" s="785"/>
      <c r="X103" s="785"/>
      <c r="Y103" s="782"/>
      <c r="Z103" s="938"/>
      <c r="AB103" s="938"/>
      <c r="AD103" s="938"/>
      <c r="AF103" s="971"/>
    </row>
    <row r="104" spans="1:32">
      <c r="A104" s="4">
        <v>46</v>
      </c>
      <c r="B104" s="256"/>
      <c r="C104" s="9" t="s">
        <v>731</v>
      </c>
      <c r="D104" s="256"/>
      <c r="E104" s="513" t="s">
        <v>674</v>
      </c>
      <c r="F104" s="256"/>
      <c r="G104" s="828">
        <v>113376.269</v>
      </c>
      <c r="H104" s="256"/>
      <c r="I104" s="861">
        <v>7.5247899388025202E-2</v>
      </c>
      <c r="J104" s="753">
        <f>G104*I104/100</f>
        <v>85.313260827016805</v>
      </c>
      <c r="K104" s="256"/>
      <c r="L104" s="762">
        <v>0</v>
      </c>
      <c r="M104" s="762">
        <v>0</v>
      </c>
      <c r="N104" s="762">
        <f>J104-L104-M104</f>
        <v>85.313260827016805</v>
      </c>
      <c r="O104" s="771"/>
      <c r="P104" s="828">
        <v>2.3004871328888754</v>
      </c>
      <c r="Q104" s="762">
        <v>0</v>
      </c>
      <c r="R104" s="762">
        <v>0</v>
      </c>
      <c r="S104" s="771"/>
      <c r="T104" s="771">
        <f>N104+P104+Q104+R104</f>
        <v>87.61374795990568</v>
      </c>
      <c r="U104" s="821">
        <f>T104/G104*100</f>
        <v>7.7276972273541369E-2</v>
      </c>
      <c r="V104" s="762">
        <f>T104-J104</f>
        <v>2.3004871328888754</v>
      </c>
      <c r="W104" s="770"/>
      <c r="X104" s="769"/>
      <c r="Y104" s="782"/>
      <c r="Z104" s="938"/>
      <c r="AB104" s="938"/>
      <c r="AD104" s="938"/>
      <c r="AF104" s="971"/>
    </row>
    <row r="105" spans="1:32">
      <c r="A105" s="4">
        <v>47</v>
      </c>
      <c r="B105" s="256"/>
      <c r="C105" s="9" t="s">
        <v>732</v>
      </c>
      <c r="D105" s="256"/>
      <c r="E105" s="513" t="s">
        <v>674</v>
      </c>
      <c r="F105" s="256"/>
      <c r="G105" s="828">
        <v>927920.70200000005</v>
      </c>
      <c r="H105" s="256"/>
      <c r="I105" s="861">
        <v>0.59779647671694514</v>
      </c>
      <c r="J105" s="753">
        <f>G105*I105/100</f>
        <v>5547.077263283144</v>
      </c>
      <c r="K105" s="256"/>
      <c r="L105" s="762">
        <v>0</v>
      </c>
      <c r="M105" s="762">
        <v>0</v>
      </c>
      <c r="N105" s="762">
        <f>J105-L105-M105</f>
        <v>5547.077263283144</v>
      </c>
      <c r="O105" s="771"/>
      <c r="P105" s="828">
        <v>149.57791726186315</v>
      </c>
      <c r="Q105" s="762">
        <v>0</v>
      </c>
      <c r="R105" s="762">
        <v>0</v>
      </c>
      <c r="S105" s="771"/>
      <c r="T105" s="771">
        <f>N105+P105+Q105+R105</f>
        <v>5696.6551805450072</v>
      </c>
      <c r="U105" s="821">
        <f>T105/G105*100</f>
        <v>0.61391616420095851</v>
      </c>
      <c r="V105" s="762">
        <f>T105-J105</f>
        <v>149.57791726186315</v>
      </c>
      <c r="W105" s="770"/>
      <c r="X105" s="769"/>
      <c r="Y105" s="782"/>
      <c r="Z105" s="938"/>
      <c r="AB105" s="938"/>
      <c r="AD105" s="938"/>
      <c r="AF105" s="971"/>
    </row>
    <row r="106" spans="1:32">
      <c r="A106" s="4">
        <v>48</v>
      </c>
      <c r="B106" s="256"/>
      <c r="C106" s="7" t="s">
        <v>712</v>
      </c>
      <c r="D106" s="256"/>
      <c r="E106" s="513"/>
      <c r="F106" s="256"/>
      <c r="G106" s="830">
        <f>SUM(G104:G105)</f>
        <v>1041296.971</v>
      </c>
      <c r="H106" s="922"/>
      <c r="I106" s="891">
        <f>J106/G106*100</f>
        <v>0.54090146048356846</v>
      </c>
      <c r="J106" s="842">
        <f>SUM(J104:J105)</f>
        <v>5632.3905241101611</v>
      </c>
      <c r="K106" s="753"/>
      <c r="L106" s="805">
        <f>SUM(L104:L105)</f>
        <v>0</v>
      </c>
      <c r="M106" s="805">
        <f>SUM(M104:M105)</f>
        <v>0</v>
      </c>
      <c r="N106" s="805">
        <f>SUM(N104:N105)</f>
        <v>5632.3905241101611</v>
      </c>
      <c r="O106" s="842"/>
      <c r="P106" s="842">
        <f>SUM(P104:P105)</f>
        <v>151.87840439475201</v>
      </c>
      <c r="Q106" s="805">
        <f>SUM(Q104:Q105)</f>
        <v>0</v>
      </c>
      <c r="R106" s="805">
        <f>SUM(R104:R105)</f>
        <v>0</v>
      </c>
      <c r="S106" s="753"/>
      <c r="T106" s="807">
        <f>SUM(T104:T105)</f>
        <v>5784.2689285049128</v>
      </c>
      <c r="U106" s="902">
        <f>T106/G106*100</f>
        <v>0.55548696381494733</v>
      </c>
      <c r="V106" s="805">
        <f>SUM(V104:V105)</f>
        <v>151.87840439475201</v>
      </c>
      <c r="W106" s="804">
        <f>U106/I106-1</f>
        <v>2.696517646363783E-2</v>
      </c>
      <c r="X106" s="769"/>
      <c r="Y106" s="782"/>
      <c r="Z106" s="938"/>
      <c r="AB106" s="938"/>
      <c r="AD106" s="938"/>
      <c r="AF106" s="971"/>
    </row>
    <row r="107" spans="1:32">
      <c r="A107" s="4"/>
      <c r="E107" s="385"/>
      <c r="G107" s="828"/>
      <c r="I107" s="861"/>
      <c r="J107" s="753"/>
      <c r="L107" s="762"/>
      <c r="M107" s="762"/>
      <c r="N107" s="762"/>
      <c r="O107" s="68"/>
      <c r="P107" s="828"/>
      <c r="Q107" s="762"/>
      <c r="R107" s="762"/>
      <c r="S107" s="68"/>
      <c r="T107" s="771"/>
      <c r="U107" s="821"/>
      <c r="V107" s="762"/>
      <c r="W107" s="770"/>
      <c r="X107" s="769"/>
      <c r="Y107" s="782"/>
      <c r="Z107" s="938"/>
      <c r="AB107" s="938"/>
      <c r="AD107" s="938"/>
      <c r="AF107" s="971"/>
    </row>
    <row r="108" spans="1:32">
      <c r="A108" s="4">
        <v>49</v>
      </c>
      <c r="B108" s="256"/>
      <c r="C108" s="7" t="s">
        <v>715</v>
      </c>
      <c r="D108" s="256"/>
      <c r="E108" s="513" t="s">
        <v>674</v>
      </c>
      <c r="F108" s="256"/>
      <c r="G108" s="828">
        <v>102196.917</v>
      </c>
      <c r="H108" s="256"/>
      <c r="I108" s="861">
        <v>4.6924289518859012E-2</v>
      </c>
      <c r="J108" s="753">
        <f>G108*I108/100</f>
        <v>47.95517721242804</v>
      </c>
      <c r="K108" s="256"/>
      <c r="L108" s="762">
        <v>0</v>
      </c>
      <c r="M108" s="762">
        <v>0</v>
      </c>
      <c r="N108" s="762">
        <f>J108-L108-M108</f>
        <v>47.95517721242804</v>
      </c>
      <c r="O108" s="771"/>
      <c r="P108" s="828">
        <v>1.2931198158781427</v>
      </c>
      <c r="Q108" s="762">
        <v>0</v>
      </c>
      <c r="R108" s="762">
        <v>0</v>
      </c>
      <c r="S108" s="771"/>
      <c r="T108" s="771">
        <f>N108+P108+Q108+R108</f>
        <v>49.248297028306183</v>
      </c>
      <c r="U108" s="821">
        <f>T108/G108*100</f>
        <v>4.8189611266165867E-2</v>
      </c>
      <c r="V108" s="762">
        <f>T108-J108</f>
        <v>1.2931198158781427</v>
      </c>
      <c r="W108" s="770">
        <f>U108/I108-1</f>
        <v>2.6965176463637608E-2</v>
      </c>
      <c r="X108" s="769"/>
      <c r="Y108" s="782"/>
      <c r="Z108" s="938"/>
      <c r="AB108" s="938"/>
      <c r="AD108" s="938"/>
      <c r="AF108" s="971"/>
    </row>
    <row r="109" spans="1:32">
      <c r="A109" s="4"/>
      <c r="B109" s="256"/>
      <c r="C109" s="7"/>
      <c r="D109" s="256"/>
      <c r="E109" s="36"/>
      <c r="F109" s="256"/>
      <c r="G109" s="35"/>
      <c r="H109" s="256"/>
      <c r="I109" s="861"/>
      <c r="J109" s="504"/>
      <c r="K109" s="256"/>
      <c r="L109" s="762"/>
      <c r="M109" s="762"/>
      <c r="N109" s="762"/>
      <c r="O109" s="771"/>
      <c r="P109" s="771"/>
      <c r="Q109" s="762"/>
      <c r="R109" s="762"/>
      <c r="S109" s="771"/>
      <c r="T109" s="771"/>
      <c r="U109" s="821"/>
      <c r="V109" s="762"/>
      <c r="W109" s="770"/>
      <c r="X109" s="769"/>
      <c r="Y109" s="782"/>
      <c r="AD109" s="938"/>
      <c r="AF109" s="971"/>
    </row>
    <row r="110" spans="1:32" ht="13.5" thickBot="1">
      <c r="A110" s="4">
        <v>50</v>
      </c>
      <c r="B110" s="256"/>
      <c r="C110" s="7" t="s">
        <v>733</v>
      </c>
      <c r="D110" s="256"/>
      <c r="E110" s="36"/>
      <c r="F110" s="256"/>
      <c r="G110" s="926">
        <f>G97</f>
        <v>1068281.1669999999</v>
      </c>
      <c r="I110" s="908">
        <f>J110/G110*100</f>
        <v>3.4394021833620259</v>
      </c>
      <c r="J110" s="839">
        <f>J99+J101+J104+J105+J108</f>
        <v>36742.485782243326</v>
      </c>
      <c r="K110" s="753"/>
      <c r="L110" s="839">
        <f>L99+L101+L104+L105+L108</f>
        <v>2516.360725763338</v>
      </c>
      <c r="M110" s="839">
        <f>M99+M101+M104+M105+M108</f>
        <v>730.61878451440805</v>
      </c>
      <c r="N110" s="839">
        <f>N99+N101+N104+N105+N108</f>
        <v>33495.506271965583</v>
      </c>
      <c r="O110" s="753"/>
      <c r="P110" s="839">
        <f>P99+P101+P104+P105+P108</f>
        <v>903.21223736244065</v>
      </c>
      <c r="Q110" s="839">
        <f>Q99+Q101+Q104+Q105+Q108</f>
        <v>2395.7420134112795</v>
      </c>
      <c r="R110" s="839">
        <f>R99+R101+R104+R105+R108</f>
        <v>728.08974089566607</v>
      </c>
      <c r="S110" s="753"/>
      <c r="T110" s="781">
        <f>T99+T101+T106+T108</f>
        <v>37522.550263634977</v>
      </c>
      <c r="U110" s="901">
        <f>T110/G110*100</f>
        <v>3.5124227050644037</v>
      </c>
      <c r="V110" s="799">
        <f>SUM(V99+V101+V104+V105+V108)</f>
        <v>780.06448139164002</v>
      </c>
      <c r="W110" s="798">
        <f>U110/I110-1</f>
        <v>2.1230585377776334E-2</v>
      </c>
      <c r="X110" s="769"/>
      <c r="Y110" s="782"/>
      <c r="Z110" s="938"/>
      <c r="AB110" s="938"/>
      <c r="AD110" s="938"/>
      <c r="AF110" s="971"/>
    </row>
    <row r="111" spans="1:32" ht="13.5" thickTop="1">
      <c r="L111" s="2"/>
      <c r="M111" s="2"/>
      <c r="N111" s="762"/>
      <c r="Q111" s="504"/>
      <c r="R111" s="504"/>
      <c r="V111" s="753"/>
      <c r="W111" s="504"/>
      <c r="Z111" s="938"/>
      <c r="AB111" s="938"/>
      <c r="AD111" s="938"/>
      <c r="AF111" s="971"/>
    </row>
    <row r="112" spans="1:32">
      <c r="L112" s="2"/>
      <c r="M112" s="2"/>
      <c r="N112" s="504"/>
      <c r="Q112" s="504"/>
      <c r="R112" s="504"/>
      <c r="V112" s="753"/>
      <c r="W112" s="504"/>
      <c r="Z112" s="938"/>
      <c r="AB112" s="938"/>
      <c r="AD112" s="938"/>
      <c r="AF112" s="971"/>
    </row>
    <row r="113" spans="1:32">
      <c r="L113" s="2"/>
      <c r="M113" s="2"/>
      <c r="N113" s="504"/>
      <c r="Q113" s="504"/>
      <c r="R113" s="504"/>
      <c r="V113" s="753"/>
      <c r="W113" s="504"/>
      <c r="Z113" s="938"/>
      <c r="AB113" s="938"/>
      <c r="AD113" s="938"/>
      <c r="AF113" s="971"/>
    </row>
    <row r="114" spans="1:32">
      <c r="L114" s="2"/>
      <c r="M114" s="2"/>
      <c r="N114" s="504"/>
      <c r="Q114" s="504"/>
      <c r="R114" s="504"/>
      <c r="V114" s="753"/>
      <c r="W114" s="504"/>
      <c r="Z114" s="938"/>
      <c r="AB114" s="938"/>
      <c r="AD114" s="938"/>
      <c r="AF114" s="971"/>
    </row>
    <row r="115" spans="1:32">
      <c r="L115" s="2"/>
      <c r="M115" s="2"/>
      <c r="N115" s="504"/>
      <c r="Q115" s="504"/>
      <c r="R115" s="504"/>
      <c r="V115" s="504"/>
      <c r="W115" s="504"/>
      <c r="X115" s="665"/>
      <c r="Z115" s="938"/>
      <c r="AB115" s="938"/>
      <c r="AD115" s="938"/>
      <c r="AF115" s="971"/>
    </row>
    <row r="116" spans="1:32">
      <c r="A116" s="1324" t="s">
        <v>724</v>
      </c>
      <c r="B116" s="1324"/>
      <c r="C116" s="1324"/>
      <c r="D116" s="1324"/>
      <c r="E116" s="1324"/>
      <c r="F116" s="1324"/>
      <c r="G116" s="1324"/>
      <c r="H116" s="1324"/>
      <c r="I116" s="1324"/>
      <c r="J116" s="1324"/>
      <c r="K116" s="1324"/>
      <c r="L116" s="1324"/>
      <c r="M116" s="1324"/>
      <c r="N116" s="1324"/>
      <c r="O116" s="1324"/>
      <c r="P116" s="1324"/>
      <c r="Q116" s="1324"/>
      <c r="R116" s="1324"/>
      <c r="S116" s="1324"/>
      <c r="T116" s="1324"/>
      <c r="U116" s="1324"/>
      <c r="V116" s="1324"/>
      <c r="W116" s="1324"/>
      <c r="X116" s="644"/>
      <c r="Y116" s="644"/>
      <c r="Z116" s="938"/>
      <c r="AB116" s="938"/>
      <c r="AD116" s="938"/>
      <c r="AF116" s="971"/>
    </row>
    <row r="117" spans="1:32">
      <c r="A117" s="1324" t="s">
        <v>938</v>
      </c>
      <c r="B117" s="1324"/>
      <c r="C117" s="1324"/>
      <c r="D117" s="1324"/>
      <c r="E117" s="1324"/>
      <c r="F117" s="1324"/>
      <c r="G117" s="1324"/>
      <c r="H117" s="1324"/>
      <c r="I117" s="1324"/>
      <c r="J117" s="1324"/>
      <c r="K117" s="1324"/>
      <c r="L117" s="1324"/>
      <c r="M117" s="1324"/>
      <c r="N117" s="1324"/>
      <c r="O117" s="1324"/>
      <c r="P117" s="1324"/>
      <c r="Q117" s="1324"/>
      <c r="R117" s="1324"/>
      <c r="S117" s="1324"/>
      <c r="T117" s="1324"/>
      <c r="U117" s="1324"/>
      <c r="V117" s="1324"/>
      <c r="W117" s="1324"/>
      <c r="Z117" s="938"/>
      <c r="AB117" s="938"/>
      <c r="AD117" s="938"/>
      <c r="AF117" s="971"/>
    </row>
    <row r="118" spans="1:32">
      <c r="A118" s="385"/>
      <c r="B118" s="385"/>
      <c r="C118" s="385"/>
      <c r="D118" s="385"/>
      <c r="E118" s="447"/>
      <c r="F118" s="385"/>
      <c r="G118" s="447"/>
      <c r="H118" s="385"/>
      <c r="I118" s="385"/>
      <c r="J118" s="385"/>
      <c r="K118" s="385"/>
      <c r="L118" s="385"/>
      <c r="M118" s="385"/>
      <c r="N118" s="504"/>
      <c r="O118" s="385"/>
      <c r="P118" s="385"/>
      <c r="Q118" s="504"/>
      <c r="R118" s="504"/>
      <c r="S118" s="385"/>
      <c r="T118" s="385"/>
      <c r="U118" s="385"/>
      <c r="V118" s="504"/>
      <c r="W118" s="504"/>
      <c r="X118" s="4"/>
      <c r="Z118" s="938"/>
      <c r="AB118" s="938"/>
      <c r="AD118" s="938"/>
      <c r="AF118" s="971"/>
    </row>
    <row r="119" spans="1:32" ht="26.45" customHeight="1">
      <c r="A119" s="447"/>
      <c r="B119" s="447"/>
      <c r="C119" s="447"/>
      <c r="D119" s="447"/>
      <c r="E119" s="385"/>
      <c r="F119" s="1313" t="s">
        <v>682</v>
      </c>
      <c r="G119" s="1313"/>
      <c r="H119" s="1313"/>
      <c r="I119" s="1313"/>
      <c r="J119" s="1313"/>
      <c r="K119" s="447"/>
      <c r="L119" s="1325" t="s">
        <v>496</v>
      </c>
      <c r="M119" s="1325"/>
      <c r="N119" s="256"/>
      <c r="O119" s="447"/>
      <c r="P119" s="449"/>
      <c r="Q119" s="1325" t="s">
        <v>497</v>
      </c>
      <c r="R119" s="1325"/>
      <c r="S119" s="447"/>
      <c r="T119" s="1313" t="s">
        <v>926</v>
      </c>
      <c r="U119" s="1313"/>
      <c r="V119" s="1313"/>
      <c r="W119" s="1313"/>
      <c r="X119" s="254"/>
      <c r="Z119" s="938"/>
      <c r="AB119" s="938"/>
      <c r="AD119" s="938"/>
      <c r="AF119" s="971"/>
    </row>
    <row r="120" spans="1:32" ht="38.25">
      <c r="A120" s="254" t="s">
        <v>1</v>
      </c>
      <c r="B120" s="254"/>
      <c r="C120" s="254"/>
      <c r="D120" s="254"/>
      <c r="E120" s="4" t="s">
        <v>670</v>
      </c>
      <c r="F120" s="254"/>
      <c r="G120" s="13" t="s">
        <v>684</v>
      </c>
      <c r="H120" s="254"/>
      <c r="I120" s="13" t="s">
        <v>196</v>
      </c>
      <c r="J120" s="13" t="s">
        <v>503</v>
      </c>
      <c r="K120" s="254"/>
      <c r="L120" s="13" t="s">
        <v>505</v>
      </c>
      <c r="M120" s="13" t="s">
        <v>685</v>
      </c>
      <c r="N120" s="254" t="s">
        <v>688</v>
      </c>
      <c r="O120" s="254"/>
      <c r="P120" s="254" t="s">
        <v>689</v>
      </c>
      <c r="Q120" s="13" t="s">
        <v>505</v>
      </c>
      <c r="R120" s="13" t="s">
        <v>685</v>
      </c>
      <c r="S120" s="254"/>
      <c r="T120" s="13" t="s">
        <v>690</v>
      </c>
      <c r="U120" s="13" t="s">
        <v>691</v>
      </c>
      <c r="V120" s="13" t="s">
        <v>692</v>
      </c>
      <c r="W120" s="254" t="s">
        <v>693</v>
      </c>
      <c r="X120" s="4"/>
      <c r="Z120" s="938"/>
      <c r="AB120" s="938"/>
      <c r="AD120" s="938"/>
      <c r="AF120" s="971"/>
    </row>
    <row r="121" spans="1:32" ht="14.25">
      <c r="A121" s="255" t="s">
        <v>2</v>
      </c>
      <c r="B121" s="256"/>
      <c r="C121" s="449" t="s">
        <v>3</v>
      </c>
      <c r="D121" s="256"/>
      <c r="E121" s="255" t="s">
        <v>4</v>
      </c>
      <c r="F121" s="256"/>
      <c r="G121" s="255" t="s">
        <v>694</v>
      </c>
      <c r="H121" s="256"/>
      <c r="I121" s="255" t="s">
        <v>77</v>
      </c>
      <c r="J121" s="255" t="s">
        <v>20</v>
      </c>
      <c r="K121" s="256"/>
      <c r="L121" s="255" t="s">
        <v>20</v>
      </c>
      <c r="M121" s="255" t="s">
        <v>20</v>
      </c>
      <c r="N121" s="255" t="s">
        <v>20</v>
      </c>
      <c r="O121" s="256"/>
      <c r="P121" s="255" t="s">
        <v>20</v>
      </c>
      <c r="Q121" s="255" t="s">
        <v>20</v>
      </c>
      <c r="R121" s="255" t="s">
        <v>20</v>
      </c>
      <c r="S121" s="256"/>
      <c r="T121" s="255" t="s">
        <v>20</v>
      </c>
      <c r="U121" s="255" t="s">
        <v>77</v>
      </c>
      <c r="V121" s="255" t="s">
        <v>20</v>
      </c>
      <c r="W121" s="255" t="s">
        <v>76</v>
      </c>
      <c r="X121" s="4"/>
      <c r="Z121" s="938"/>
      <c r="AB121" s="938"/>
      <c r="AD121" s="938"/>
      <c r="AF121" s="971"/>
    </row>
    <row r="122" spans="1:32">
      <c r="A122" s="4"/>
      <c r="B122" s="256"/>
      <c r="C122" s="256"/>
      <c r="D122" s="256"/>
      <c r="E122" s="4"/>
      <c r="F122" s="256"/>
      <c r="G122" s="4" t="s">
        <v>8</v>
      </c>
      <c r="H122" s="4"/>
      <c r="I122" s="4" t="s">
        <v>9</v>
      </c>
      <c r="J122" s="4" t="s">
        <v>370</v>
      </c>
      <c r="K122" s="4"/>
      <c r="L122" s="132" t="s">
        <v>79</v>
      </c>
      <c r="M122" s="132" t="s">
        <v>115</v>
      </c>
      <c r="N122" s="4" t="s">
        <v>927</v>
      </c>
      <c r="O122" s="4"/>
      <c r="P122" s="4" t="s">
        <v>928</v>
      </c>
      <c r="Q122" s="4" t="s">
        <v>118</v>
      </c>
      <c r="R122" s="4" t="s">
        <v>84</v>
      </c>
      <c r="S122" s="4"/>
      <c r="T122" s="4" t="s">
        <v>929</v>
      </c>
      <c r="U122" s="4" t="s">
        <v>517</v>
      </c>
      <c r="V122" s="4" t="s">
        <v>930</v>
      </c>
      <c r="W122" s="4" t="s">
        <v>931</v>
      </c>
      <c r="X122" s="769"/>
      <c r="Z122" s="938"/>
      <c r="AB122" s="938"/>
      <c r="AD122" s="938"/>
      <c r="AF122" s="971"/>
    </row>
    <row r="123" spans="1:32">
      <c r="I123" s="504"/>
      <c r="J123" s="504"/>
      <c r="L123" s="762"/>
      <c r="M123" s="762"/>
      <c r="N123" s="762"/>
      <c r="O123" s="68"/>
      <c r="P123" s="68"/>
      <c r="Q123" s="762"/>
      <c r="R123" s="762"/>
      <c r="S123" s="68"/>
      <c r="T123" s="68"/>
      <c r="U123" s="68"/>
      <c r="V123" s="762"/>
      <c r="W123" s="762"/>
      <c r="X123" s="782"/>
      <c r="Y123" s="782"/>
      <c r="AD123" s="938"/>
      <c r="AF123" s="971"/>
    </row>
    <row r="124" spans="1:32">
      <c r="A124" s="4"/>
      <c r="B124" s="256"/>
      <c r="C124" s="6" t="s">
        <v>166</v>
      </c>
      <c r="D124" s="256"/>
      <c r="E124" s="134"/>
      <c r="F124" s="256"/>
      <c r="G124" s="749"/>
      <c r="H124" s="256"/>
      <c r="I124" s="504"/>
      <c r="J124" s="504"/>
      <c r="K124" s="256"/>
      <c r="L124" s="504"/>
      <c r="M124" s="504"/>
      <c r="N124" s="504"/>
      <c r="O124" s="256"/>
      <c r="P124" s="256"/>
      <c r="Q124" s="504"/>
      <c r="R124" s="504"/>
      <c r="S124" s="256"/>
      <c r="T124" s="256"/>
      <c r="U124" s="256"/>
      <c r="V124" s="504"/>
      <c r="W124" s="504"/>
      <c r="AD124" s="938"/>
      <c r="AF124" s="971"/>
    </row>
    <row r="125" spans="1:32">
      <c r="A125" s="4">
        <v>51</v>
      </c>
      <c r="B125" s="256"/>
      <c r="C125" s="7" t="s">
        <v>703</v>
      </c>
      <c r="D125" s="256"/>
      <c r="E125" s="36" t="s">
        <v>704</v>
      </c>
      <c r="F125" s="256"/>
      <c r="G125" s="828">
        <v>264</v>
      </c>
      <c r="H125" s="256"/>
      <c r="I125" s="778">
        <v>681.10851778541416</v>
      </c>
      <c r="J125" s="753">
        <f>G125*I125/1000</f>
        <v>179.81264869534934</v>
      </c>
      <c r="K125" s="256"/>
      <c r="L125" s="762">
        <v>0</v>
      </c>
      <c r="M125" s="762">
        <v>0</v>
      </c>
      <c r="N125" s="762">
        <f>J125-L125-M125</f>
        <v>179.81264869534934</v>
      </c>
      <c r="O125" s="771"/>
      <c r="P125" s="828">
        <v>4.8486798024642042</v>
      </c>
      <c r="Q125" s="762">
        <v>0</v>
      </c>
      <c r="R125" s="762">
        <v>0</v>
      </c>
      <c r="S125" s="771"/>
      <c r="T125" s="771">
        <f>N125+P125+Q125+R125</f>
        <v>184.66132849781354</v>
      </c>
      <c r="U125" s="915">
        <f>T125/G125*1000</f>
        <v>699.47472915838455</v>
      </c>
      <c r="V125" s="762">
        <f>T125-J125</f>
        <v>4.8486798024642042</v>
      </c>
      <c r="W125" s="770">
        <f>U125/I125-1</f>
        <v>2.6965176463637608E-2</v>
      </c>
      <c r="X125" s="769"/>
      <c r="Z125" s="938"/>
      <c r="AB125" s="938"/>
      <c r="AD125" s="938"/>
      <c r="AF125" s="971"/>
    </row>
    <row r="126" spans="1:32">
      <c r="A126" s="4">
        <v>52</v>
      </c>
      <c r="B126" s="256"/>
      <c r="C126" s="512" t="s">
        <v>726</v>
      </c>
      <c r="D126" s="256"/>
      <c r="E126" s="36" t="s">
        <v>675</v>
      </c>
      <c r="F126" s="256"/>
      <c r="G126" s="828">
        <v>14480.82</v>
      </c>
      <c r="H126" s="256"/>
      <c r="I126" s="861">
        <v>27.124262553809189</v>
      </c>
      <c r="J126" s="753">
        <f>G126*I126/100</f>
        <v>3927.8156367445113</v>
      </c>
      <c r="K126" s="256"/>
      <c r="L126" s="762">
        <v>0</v>
      </c>
      <c r="M126" s="762">
        <v>0</v>
      </c>
      <c r="N126" s="762">
        <f>J126-L126-M126</f>
        <v>3927.8156367445113</v>
      </c>
      <c r="O126" s="771"/>
      <c r="P126" s="828">
        <v>105.91424176145165</v>
      </c>
      <c r="Q126" s="762">
        <v>0</v>
      </c>
      <c r="R126" s="762">
        <v>0</v>
      </c>
      <c r="S126" s="771"/>
      <c r="T126" s="771">
        <f>N126+P126+Q126+R126</f>
        <v>4033.7298785059629</v>
      </c>
      <c r="U126" s="821">
        <f>T126/G126*100</f>
        <v>27.855673080018693</v>
      </c>
      <c r="V126" s="762">
        <f>T126-J126</f>
        <v>105.91424176145165</v>
      </c>
      <c r="W126" s="770">
        <f>U126/I126-1</f>
        <v>2.6965176463637608E-2</v>
      </c>
      <c r="X126" s="769"/>
      <c r="Z126" s="938"/>
      <c r="AB126" s="938"/>
      <c r="AD126" s="938"/>
      <c r="AF126" s="971"/>
    </row>
    <row r="127" spans="1:32">
      <c r="A127" s="4"/>
      <c r="B127" s="256"/>
      <c r="C127" s="512" t="s">
        <v>705</v>
      </c>
      <c r="D127" s="256"/>
      <c r="E127" s="36"/>
      <c r="F127" s="256"/>
      <c r="G127" s="828"/>
      <c r="H127" s="256"/>
      <c r="I127" s="861"/>
      <c r="J127" s="753"/>
      <c r="K127" s="256"/>
      <c r="L127" s="762"/>
      <c r="M127" s="762"/>
      <c r="N127" s="762">
        <f>J127-L127-M127</f>
        <v>0</v>
      </c>
      <c r="O127" s="771"/>
      <c r="P127" s="828"/>
      <c r="Q127" s="762"/>
      <c r="R127" s="762"/>
      <c r="S127" s="771"/>
      <c r="T127" s="771"/>
      <c r="U127" s="821"/>
      <c r="V127" s="762"/>
      <c r="W127" s="770"/>
      <c r="X127" s="769"/>
      <c r="Z127" s="938"/>
      <c r="AB127" s="938"/>
      <c r="AD127" s="938"/>
      <c r="AF127" s="971"/>
    </row>
    <row r="128" spans="1:32">
      <c r="A128" s="4">
        <v>53</v>
      </c>
      <c r="B128" s="256"/>
      <c r="C128" s="9" t="s">
        <v>728</v>
      </c>
      <c r="D128" s="256"/>
      <c r="E128" s="36" t="s">
        <v>674</v>
      </c>
      <c r="F128" s="256"/>
      <c r="G128" s="828">
        <v>144905.005</v>
      </c>
      <c r="H128" s="256"/>
      <c r="I128" s="861">
        <v>0.38296585731431254</v>
      </c>
      <c r="J128" s="753">
        <f>G128*I128/100</f>
        <v>554.93669468959752</v>
      </c>
      <c r="K128" s="256"/>
      <c r="L128" s="828">
        <v>544.43090637781029</v>
      </c>
      <c r="M128" s="762">
        <v>0</v>
      </c>
      <c r="N128" s="762">
        <f>J128-L128-M128</f>
        <v>10.505788311787228</v>
      </c>
      <c r="O128" s="771"/>
      <c r="P128" s="828">
        <v>0.28329043571696566</v>
      </c>
      <c r="Q128" s="828">
        <v>397.08018050127538</v>
      </c>
      <c r="R128" s="762">
        <v>0</v>
      </c>
      <c r="S128" s="771"/>
      <c r="T128" s="771">
        <f>N128+P128+Q128+R128</f>
        <v>407.8692592487796</v>
      </c>
      <c r="U128" s="821">
        <f>T128/G128*100</f>
        <v>0.28147354830758231</v>
      </c>
      <c r="V128" s="762">
        <f>T128-J128</f>
        <v>-147.06743544081792</v>
      </c>
      <c r="W128" s="785"/>
      <c r="X128" s="785"/>
      <c r="Z128" s="938"/>
      <c r="AB128" s="938"/>
      <c r="AD128" s="938"/>
      <c r="AF128" s="971"/>
    </row>
    <row r="129" spans="1:32">
      <c r="A129" s="4">
        <v>54</v>
      </c>
      <c r="B129" s="256"/>
      <c r="C129" s="9" t="s">
        <v>729</v>
      </c>
      <c r="D129" s="256"/>
      <c r="E129" s="36" t="s">
        <v>674</v>
      </c>
      <c r="F129" s="256"/>
      <c r="G129" s="828">
        <v>236967.948</v>
      </c>
      <c r="H129" s="256"/>
      <c r="I129" s="861">
        <v>0.280481905953193</v>
      </c>
      <c r="J129" s="753">
        <f>G129*I129/100</f>
        <v>664.65221704857129</v>
      </c>
      <c r="K129" s="256"/>
      <c r="L129" s="828">
        <v>890.3258704703112</v>
      </c>
      <c r="M129" s="762">
        <v>0</v>
      </c>
      <c r="N129" s="762">
        <f>J129-L129-M129</f>
        <v>-225.67365342173991</v>
      </c>
      <c r="O129" s="771"/>
      <c r="P129" s="928">
        <v>-6.0853298877110547</v>
      </c>
      <c r="Q129" s="828">
        <v>649.35835421872991</v>
      </c>
      <c r="R129" s="762">
        <v>0</v>
      </c>
      <c r="S129" s="771"/>
      <c r="T129" s="771">
        <f>N129+P129+Q129+R129</f>
        <v>417.59937090927895</v>
      </c>
      <c r="U129" s="821">
        <f>T129/G129*100</f>
        <v>0.1762260991133193</v>
      </c>
      <c r="V129" s="762">
        <f>T129-J129</f>
        <v>-247.05284613929234</v>
      </c>
      <c r="W129" s="785"/>
      <c r="X129" s="785"/>
      <c r="Z129" s="938"/>
      <c r="AB129" s="938"/>
      <c r="AD129" s="938"/>
      <c r="AF129" s="971"/>
    </row>
    <row r="130" spans="1:32">
      <c r="A130" s="4">
        <v>55</v>
      </c>
      <c r="B130" s="256"/>
      <c r="C130" s="512" t="s">
        <v>705</v>
      </c>
      <c r="D130" s="256"/>
      <c r="E130" s="36"/>
      <c r="G130" s="830">
        <f>SUM(G128:G129)</f>
        <v>381872.95299999998</v>
      </c>
      <c r="I130" s="914">
        <f>J130/G130*100</f>
        <v>0.31937033040885954</v>
      </c>
      <c r="J130" s="842">
        <f>SUM(J128:J129)</f>
        <v>1219.5889117381689</v>
      </c>
      <c r="L130" s="830">
        <f>SUM(L128:L129)</f>
        <v>1434.7567768481215</v>
      </c>
      <c r="M130" s="805">
        <f>SUM(M128:M129)</f>
        <v>0</v>
      </c>
      <c r="N130" s="805">
        <f>SUM(N128:N129)</f>
        <v>-215.16786510995269</v>
      </c>
      <c r="O130" s="68"/>
      <c r="P130" s="927">
        <f>SUM(P128:P129)</f>
        <v>-5.802039451994089</v>
      </c>
      <c r="Q130" s="830">
        <f>SUM(Q128:Q129)</f>
        <v>1046.4385347200052</v>
      </c>
      <c r="R130" s="420">
        <f>SUM(R128:R129)</f>
        <v>0</v>
      </c>
      <c r="S130" s="68"/>
      <c r="T130" s="416">
        <f>SUM(T128:T129)</f>
        <v>825.46863015805855</v>
      </c>
      <c r="U130" s="912">
        <f>T130/G130*100</f>
        <v>0.21616315679682574</v>
      </c>
      <c r="V130" s="805">
        <f>SUM(V128:V129)</f>
        <v>-394.12028158011026</v>
      </c>
      <c r="W130" s="816">
        <f>U130/I130-1</f>
        <v>-0.32315830177433025</v>
      </c>
      <c r="X130" s="785"/>
      <c r="Z130" s="938"/>
      <c r="AB130" s="938"/>
      <c r="AD130" s="938"/>
      <c r="AF130" s="971"/>
    </row>
    <row r="131" spans="1:32">
      <c r="A131" s="4"/>
      <c r="B131" s="256"/>
      <c r="C131" s="7"/>
      <c r="D131" s="256"/>
      <c r="E131" s="742"/>
      <c r="F131" s="256"/>
      <c r="G131" s="35"/>
      <c r="H131" s="256"/>
      <c r="I131" s="504"/>
      <c r="J131" s="504"/>
      <c r="K131" s="256"/>
      <c r="L131" s="762"/>
      <c r="M131" s="762"/>
      <c r="N131" s="762"/>
      <c r="O131" s="771"/>
      <c r="P131" s="771"/>
      <c r="Q131" s="762"/>
      <c r="R131" s="762"/>
      <c r="S131" s="771"/>
      <c r="T131" s="771"/>
      <c r="U131" s="821"/>
      <c r="V131" s="762"/>
      <c r="W131" s="770"/>
      <c r="X131" s="769"/>
      <c r="Z131" s="938"/>
      <c r="AB131" s="938"/>
      <c r="AD131" s="938"/>
    </row>
    <row r="132" spans="1:32">
      <c r="A132" s="4">
        <v>56</v>
      </c>
      <c r="B132" s="256"/>
      <c r="C132" s="7" t="s">
        <v>710</v>
      </c>
      <c r="D132" s="256"/>
      <c r="E132" s="742"/>
      <c r="F132" s="256"/>
      <c r="G132" s="420">
        <f>G130</f>
        <v>381872.95299999998</v>
      </c>
      <c r="H132" s="256"/>
      <c r="I132" s="914">
        <f>J132/G132*100</f>
        <v>1.3950234378547439</v>
      </c>
      <c r="J132" s="842">
        <f>J125+J126+J130</f>
        <v>5327.2171971780299</v>
      </c>
      <c r="K132" s="753"/>
      <c r="L132" s="842">
        <f>L125+L126+L130</f>
        <v>1434.7567768481215</v>
      </c>
      <c r="M132" s="805">
        <f>M125+M126+M130</f>
        <v>0</v>
      </c>
      <c r="N132" s="842">
        <f>N125+N126+N130</f>
        <v>3892.4604203299077</v>
      </c>
      <c r="O132" s="753"/>
      <c r="P132" s="842">
        <f>P125+P126+P130</f>
        <v>104.96088211192176</v>
      </c>
      <c r="Q132" s="842">
        <f>Q125+Q126+Q130</f>
        <v>1046.4385347200052</v>
      </c>
      <c r="R132" s="805">
        <f>R125+R126+R130</f>
        <v>0</v>
      </c>
      <c r="S132" s="753"/>
      <c r="T132" s="842">
        <f>T125+T126+T130</f>
        <v>5043.8598371618355</v>
      </c>
      <c r="U132" s="902">
        <f>T132/G132*100</f>
        <v>1.3208214400986487</v>
      </c>
      <c r="V132" s="805">
        <f>V125+V126+V130</f>
        <v>-283.35736001619443</v>
      </c>
      <c r="W132" s="816">
        <f>U132/I132-1</f>
        <v>-5.3190502569765097E-2</v>
      </c>
      <c r="X132" s="785"/>
      <c r="Z132" s="938"/>
      <c r="AB132" s="938"/>
      <c r="AD132" s="938"/>
    </row>
    <row r="133" spans="1:32">
      <c r="A133" s="4"/>
      <c r="E133" s="742"/>
      <c r="F133" s="256"/>
      <c r="G133" s="35"/>
      <c r="H133" s="256"/>
      <c r="I133" s="504"/>
      <c r="J133" s="504"/>
      <c r="K133" s="256"/>
      <c r="L133" s="762"/>
      <c r="M133" s="762"/>
      <c r="N133" s="762"/>
      <c r="O133" s="771"/>
      <c r="P133" s="771"/>
      <c r="Q133" s="762"/>
      <c r="R133" s="762"/>
      <c r="S133" s="771"/>
      <c r="T133" s="771"/>
      <c r="U133" s="771"/>
      <c r="V133" s="762"/>
      <c r="W133" s="762"/>
      <c r="X133" s="782"/>
      <c r="Z133" s="938"/>
      <c r="AB133" s="938"/>
      <c r="AD133" s="938"/>
    </row>
    <row r="134" spans="1:32">
      <c r="A134" s="4">
        <v>57</v>
      </c>
      <c r="B134" s="256"/>
      <c r="C134" s="9" t="s">
        <v>711</v>
      </c>
      <c r="D134" s="256"/>
      <c r="E134" s="513" t="s">
        <v>674</v>
      </c>
      <c r="F134" s="256"/>
      <c r="G134" s="828">
        <v>381872.95299999998</v>
      </c>
      <c r="H134" s="256"/>
      <c r="I134" s="861">
        <v>4.6909807282995541E-2</v>
      </c>
      <c r="J134" s="753">
        <f>G134*I134/100</f>
        <v>179.13586631818413</v>
      </c>
      <c r="K134" s="256"/>
      <c r="L134" s="762">
        <v>0</v>
      </c>
      <c r="M134" s="828">
        <v>88.058747902106859</v>
      </c>
      <c r="N134" s="762">
        <f>J134-L134-M134</f>
        <v>91.077118416077269</v>
      </c>
      <c r="O134" s="771"/>
      <c r="P134" s="828">
        <v>2.4559105698891557</v>
      </c>
      <c r="Q134" s="762">
        <v>0</v>
      </c>
      <c r="R134" s="828">
        <v>87.753931739182406</v>
      </c>
      <c r="S134" s="771"/>
      <c r="T134" s="453">
        <f>N134+P134+Q134+R134</f>
        <v>181.28696072514884</v>
      </c>
      <c r="U134" s="821">
        <f>T134/G134*100</f>
        <v>4.7473108346887519E-2</v>
      </c>
      <c r="V134" s="827">
        <f>T134-J134</f>
        <v>2.1510944069647167</v>
      </c>
      <c r="W134" s="785">
        <f>U134/I134-1</f>
        <v>1.2008172629951686E-2</v>
      </c>
      <c r="X134" s="785"/>
      <c r="Z134" s="938"/>
      <c r="AB134" s="938"/>
      <c r="AD134" s="938"/>
      <c r="AF134" s="971"/>
    </row>
    <row r="135" spans="1:32">
      <c r="A135" s="4"/>
      <c r="B135" s="256"/>
      <c r="C135" s="9"/>
      <c r="D135" s="256"/>
      <c r="E135" s="513"/>
      <c r="F135" s="256"/>
      <c r="G135" s="828"/>
      <c r="H135" s="256"/>
      <c r="I135" s="861"/>
      <c r="J135" s="753"/>
      <c r="K135" s="256"/>
      <c r="L135" s="762"/>
      <c r="M135" s="828"/>
      <c r="N135" s="762"/>
      <c r="O135" s="771"/>
      <c r="P135" s="828"/>
      <c r="Q135" s="762"/>
      <c r="R135" s="828"/>
      <c r="S135" s="771"/>
      <c r="T135" s="453"/>
      <c r="U135" s="823"/>
      <c r="V135" s="827"/>
      <c r="W135" s="785"/>
      <c r="X135" s="785"/>
      <c r="Z135" s="938"/>
      <c r="AB135" s="938"/>
      <c r="AD135" s="938"/>
      <c r="AF135" s="971"/>
    </row>
    <row r="136" spans="1:32">
      <c r="A136" s="4"/>
      <c r="B136" s="256"/>
      <c r="C136" s="7" t="s">
        <v>712</v>
      </c>
      <c r="D136" s="256"/>
      <c r="E136" s="513"/>
      <c r="F136" s="256"/>
      <c r="G136" s="828"/>
      <c r="H136" s="256"/>
      <c r="I136" s="861"/>
      <c r="J136" s="753"/>
      <c r="K136" s="256"/>
      <c r="L136" s="762"/>
      <c r="M136" s="828"/>
      <c r="N136" s="762"/>
      <c r="O136" s="771"/>
      <c r="P136" s="828"/>
      <c r="Q136" s="762"/>
      <c r="R136" s="828"/>
      <c r="S136" s="771"/>
      <c r="T136" s="453"/>
      <c r="U136" s="823"/>
      <c r="V136" s="827"/>
      <c r="W136" s="785"/>
      <c r="X136" s="785"/>
      <c r="Z136" s="938"/>
      <c r="AB136" s="938"/>
      <c r="AD136" s="938"/>
      <c r="AF136" s="971"/>
    </row>
    <row r="137" spans="1:32">
      <c r="A137" s="4">
        <v>58</v>
      </c>
      <c r="B137" s="256"/>
      <c r="C137" s="9" t="s">
        <v>713</v>
      </c>
      <c r="D137" s="256"/>
      <c r="E137" s="513" t="s">
        <v>674</v>
      </c>
      <c r="F137" s="256"/>
      <c r="G137" s="828">
        <v>1651.1379999999999</v>
      </c>
      <c r="H137" s="256"/>
      <c r="I137" s="861">
        <v>7.5276437371493948E-2</v>
      </c>
      <c r="J137" s="753">
        <f>G137*I137/100</f>
        <v>1.2429178624869377</v>
      </c>
      <c r="K137" s="256"/>
      <c r="L137" s="762">
        <v>0</v>
      </c>
      <c r="M137" s="762">
        <v>0</v>
      </c>
      <c r="N137" s="762">
        <f>J137-L137-M137</f>
        <v>1.2429178624869377</v>
      </c>
      <c r="O137" s="771"/>
      <c r="P137" s="828">
        <v>3.3515499491767908E-2</v>
      </c>
      <c r="Q137" s="762">
        <v>0</v>
      </c>
      <c r="R137" s="762">
        <v>0</v>
      </c>
      <c r="S137" s="771"/>
      <c r="T137" s="453">
        <f>N137+P137+Q137+R137</f>
        <v>1.2764333619787056</v>
      </c>
      <c r="U137" s="821">
        <f>T137/G137*100</f>
        <v>7.7306279788770263E-2</v>
      </c>
      <c r="V137" s="827">
        <f>T137-J137</f>
        <v>3.3515499491767908E-2</v>
      </c>
      <c r="W137" s="785"/>
      <c r="X137" s="785"/>
      <c r="Z137" s="938"/>
      <c r="AB137" s="938"/>
      <c r="AD137" s="938"/>
      <c r="AF137" s="971"/>
    </row>
    <row r="138" spans="1:32">
      <c r="A138" s="4">
        <v>59</v>
      </c>
      <c r="B138" s="256"/>
      <c r="C138" s="9" t="s">
        <v>714</v>
      </c>
      <c r="D138" s="256"/>
      <c r="E138" s="513" t="s">
        <v>674</v>
      </c>
      <c r="F138" s="256"/>
      <c r="G138" s="828">
        <v>241077.16699999999</v>
      </c>
      <c r="H138" s="256"/>
      <c r="I138" s="861">
        <v>0.59779714040281651</v>
      </c>
      <c r="J138" s="753">
        <f>G138*I138/100</f>
        <v>1441.1524104901223</v>
      </c>
      <c r="K138" s="256"/>
      <c r="L138" s="762">
        <v>0</v>
      </c>
      <c r="M138" s="762">
        <v>0</v>
      </c>
      <c r="N138" s="762">
        <f>J138-L138-M138</f>
        <v>1441.1524104901223</v>
      </c>
      <c r="O138" s="771"/>
      <c r="P138" s="828">
        <v>38.860929059863111</v>
      </c>
      <c r="Q138" s="762">
        <v>0</v>
      </c>
      <c r="R138" s="762">
        <v>0</v>
      </c>
      <c r="S138" s="771"/>
      <c r="T138" s="453">
        <f>N138+P138+Q138+R138</f>
        <v>1480.0133395499854</v>
      </c>
      <c r="U138" s="821">
        <f>T138/G138*100</f>
        <v>0.61391684578323658</v>
      </c>
      <c r="V138" s="827">
        <f>T138-J138</f>
        <v>38.860929059863111</v>
      </c>
      <c r="W138" s="785"/>
      <c r="X138" s="785"/>
      <c r="Z138" s="938"/>
      <c r="AB138" s="938"/>
      <c r="AD138" s="938"/>
      <c r="AF138" s="971"/>
    </row>
    <row r="139" spans="1:32">
      <c r="A139" s="4">
        <v>60</v>
      </c>
      <c r="B139" s="256"/>
      <c r="C139" s="7" t="s">
        <v>712</v>
      </c>
      <c r="D139" s="256"/>
      <c r="E139" s="513"/>
      <c r="F139" s="256"/>
      <c r="G139" s="830">
        <f>SUM(G137:G138)</f>
        <v>242728.30499999999</v>
      </c>
      <c r="H139" s="922"/>
      <c r="I139" s="891">
        <f>J139/G139*100</f>
        <v>0.59424273916163561</v>
      </c>
      <c r="J139" s="842">
        <f>SUM(J137:J138)</f>
        <v>1442.3953283526093</v>
      </c>
      <c r="K139" s="753"/>
      <c r="L139" s="805">
        <f>SUM(L137:L138)</f>
        <v>0</v>
      </c>
      <c r="M139" s="805">
        <f>SUM(M137:M138)</f>
        <v>0</v>
      </c>
      <c r="N139" s="805">
        <f>SUM(N137:N138)</f>
        <v>1442.3953283526093</v>
      </c>
      <c r="O139" s="753"/>
      <c r="P139" s="842">
        <f>SUM(P137:P138)</f>
        <v>38.894444559354881</v>
      </c>
      <c r="Q139" s="805">
        <f>SUM(Q137:Q138)</f>
        <v>0</v>
      </c>
      <c r="R139" s="805">
        <f>SUM(R137:R138)</f>
        <v>0</v>
      </c>
      <c r="S139" s="753"/>
      <c r="T139" s="137">
        <f>SUM(T137:T138)</f>
        <v>1481.2897729119641</v>
      </c>
      <c r="U139" s="902">
        <f>T139/G139*100</f>
        <v>0.61026659948536455</v>
      </c>
      <c r="V139" s="893">
        <f>SUM(V137:V138)</f>
        <v>38.894444559354881</v>
      </c>
      <c r="W139" s="816">
        <f>U139/I139-1</f>
        <v>2.6965176463637608E-2</v>
      </c>
      <c r="X139" s="785"/>
      <c r="Z139" s="938"/>
      <c r="AB139" s="938"/>
      <c r="AD139" s="938"/>
      <c r="AF139" s="971"/>
    </row>
    <row r="140" spans="1:32">
      <c r="A140" s="4"/>
      <c r="B140" s="256"/>
      <c r="D140" s="256"/>
      <c r="E140" s="385"/>
      <c r="G140" s="828"/>
      <c r="I140" s="861"/>
      <c r="J140" s="753"/>
      <c r="L140" s="762"/>
      <c r="M140" s="762"/>
      <c r="N140" s="762"/>
      <c r="O140" s="68"/>
      <c r="P140" s="828"/>
      <c r="Q140" s="762"/>
      <c r="R140" s="762"/>
      <c r="S140" s="68"/>
      <c r="T140" s="453"/>
      <c r="U140" s="823"/>
      <c r="V140" s="827"/>
      <c r="W140" s="785"/>
      <c r="X140" s="785"/>
      <c r="Z140" s="938"/>
      <c r="AB140" s="938"/>
      <c r="AD140" s="938"/>
      <c r="AF140" s="971"/>
    </row>
    <row r="141" spans="1:32">
      <c r="A141" s="4">
        <v>61</v>
      </c>
      <c r="B141" s="256"/>
      <c r="C141" s="7" t="s">
        <v>715</v>
      </c>
      <c r="D141" s="256"/>
      <c r="E141" s="513" t="s">
        <v>674</v>
      </c>
      <c r="F141" s="256"/>
      <c r="G141" s="828">
        <v>1651.1379999999999</v>
      </c>
      <c r="H141" s="256"/>
      <c r="I141" s="861">
        <v>4.6924289518859012E-2</v>
      </c>
      <c r="J141" s="753">
        <f>G141*I141/100</f>
        <v>0.7747847754758983</v>
      </c>
      <c r="K141" s="256"/>
      <c r="L141" s="762">
        <v>0</v>
      </c>
      <c r="M141" s="762">
        <v>0</v>
      </c>
      <c r="N141" s="762">
        <f>J141-L141-M141</f>
        <v>0.7747847754758983</v>
      </c>
      <c r="O141" s="771"/>
      <c r="P141" s="828">
        <v>2.0892208192047623E-2</v>
      </c>
      <c r="Q141" s="762">
        <v>0</v>
      </c>
      <c r="R141" s="762">
        <v>0</v>
      </c>
      <c r="S141" s="771"/>
      <c r="T141" s="453">
        <f>N141+P141+Q141+R141</f>
        <v>0.79567698366794593</v>
      </c>
      <c r="U141" s="821">
        <f>T141/G141*100</f>
        <v>4.8189611266165881E-2</v>
      </c>
      <c r="V141" s="827">
        <f>T141-J141</f>
        <v>2.0892208192047623E-2</v>
      </c>
      <c r="W141" s="785">
        <f>U141/I141-1</f>
        <v>2.696517646363783E-2</v>
      </c>
      <c r="X141" s="785"/>
      <c r="Z141" s="938"/>
      <c r="AB141" s="938"/>
      <c r="AD141" s="938"/>
      <c r="AF141" s="971"/>
    </row>
    <row r="142" spans="1:32">
      <c r="A142" s="4"/>
      <c r="B142" s="256"/>
      <c r="C142" s="7"/>
      <c r="D142" s="256"/>
      <c r="E142" s="36"/>
      <c r="F142" s="256"/>
      <c r="G142" s="35"/>
      <c r="H142" s="256"/>
      <c r="I142" s="861"/>
      <c r="J142" s="504"/>
      <c r="K142" s="256"/>
      <c r="L142" s="762"/>
      <c r="M142" s="762"/>
      <c r="N142" s="762"/>
      <c r="O142" s="771"/>
      <c r="P142" s="771"/>
      <c r="Q142" s="762"/>
      <c r="R142" s="762"/>
      <c r="S142" s="771"/>
      <c r="T142" s="453"/>
      <c r="U142" s="823"/>
      <c r="V142" s="827"/>
      <c r="W142" s="834"/>
      <c r="X142" s="833"/>
    </row>
    <row r="143" spans="1:32" ht="13.5" thickBot="1">
      <c r="A143" s="4">
        <v>62</v>
      </c>
      <c r="C143" s="7" t="s">
        <v>734</v>
      </c>
      <c r="E143" s="36"/>
      <c r="F143" s="256"/>
      <c r="G143" s="926">
        <f>G130</f>
        <v>381872.95299999998</v>
      </c>
      <c r="I143" s="908">
        <f>J143/G143*100</f>
        <v>1.8198521581664098</v>
      </c>
      <c r="J143" s="839">
        <f>J132+J134+J139+J141</f>
        <v>6949.5231766242996</v>
      </c>
      <c r="K143" s="753"/>
      <c r="L143" s="839">
        <f>L132+L134+L139+L141</f>
        <v>1434.7567768481215</v>
      </c>
      <c r="M143" s="839">
        <f>M132+M134+M139+M141</f>
        <v>88.058747902106859</v>
      </c>
      <c r="N143" s="839">
        <f>N132+N134+N139+N141</f>
        <v>5426.7076518740705</v>
      </c>
      <c r="O143" s="753"/>
      <c r="P143" s="839">
        <f>P132+P134+P139+P141</f>
        <v>146.33212944935784</v>
      </c>
      <c r="Q143" s="839">
        <f>Q132+Q134+Q139+Q141</f>
        <v>1046.4385347200052</v>
      </c>
      <c r="R143" s="839">
        <f>R132+R134+R139+R141</f>
        <v>87.753931739182406</v>
      </c>
      <c r="S143" s="753"/>
      <c r="T143" s="972">
        <f>T132+T134+T139+T141</f>
        <v>6707.2322477826165</v>
      </c>
      <c r="U143" s="901">
        <f>T143/G143*100</f>
        <v>1.7564041116529709</v>
      </c>
      <c r="V143" s="918">
        <f>V132+V134+V139+V141</f>
        <v>-242.29092884168278</v>
      </c>
      <c r="W143" s="815">
        <f>U143/I143-1</f>
        <v>-3.486439611521297E-2</v>
      </c>
      <c r="X143" s="833"/>
      <c r="Z143" s="938"/>
      <c r="AB143" s="938"/>
      <c r="AD143" s="938"/>
      <c r="AF143" s="971"/>
    </row>
    <row r="144" spans="1:32" ht="13.5" thickTop="1">
      <c r="A144" s="4"/>
      <c r="B144" s="256"/>
      <c r="C144" s="7"/>
      <c r="D144" s="256"/>
      <c r="E144" s="36"/>
      <c r="F144" s="256"/>
      <c r="G144" s="35"/>
      <c r="H144" s="256"/>
      <c r="I144" s="504"/>
      <c r="J144" s="504"/>
      <c r="K144" s="256"/>
      <c r="L144" s="504"/>
      <c r="M144" s="504"/>
      <c r="N144" s="504"/>
      <c r="O144" s="256"/>
      <c r="P144" s="256"/>
      <c r="Q144" s="504"/>
      <c r="R144" s="504"/>
      <c r="S144" s="256"/>
      <c r="T144" s="888"/>
      <c r="U144" s="888"/>
      <c r="V144" s="925"/>
      <c r="W144" s="666"/>
      <c r="X144" s="326"/>
    </row>
    <row r="145" spans="1:32">
      <c r="A145" s="4"/>
      <c r="B145" s="256"/>
      <c r="C145" s="6" t="s">
        <v>167</v>
      </c>
      <c r="D145" s="256"/>
      <c r="E145" s="36"/>
      <c r="F145" s="256"/>
      <c r="G145" s="828"/>
      <c r="H145" s="256"/>
      <c r="I145" s="504"/>
      <c r="J145" s="504"/>
      <c r="K145" s="256"/>
      <c r="L145" s="504"/>
      <c r="M145" s="504"/>
      <c r="N145" s="504"/>
      <c r="O145" s="256"/>
      <c r="P145" s="256"/>
      <c r="Q145" s="504"/>
      <c r="R145" s="504"/>
      <c r="S145" s="256"/>
      <c r="T145" s="888"/>
      <c r="U145" s="888"/>
      <c r="V145" s="925"/>
      <c r="W145" s="666"/>
      <c r="X145" s="326"/>
    </row>
    <row r="146" spans="1:32">
      <c r="A146" s="4">
        <v>63</v>
      </c>
      <c r="B146" s="256"/>
      <c r="C146" s="7" t="s">
        <v>703</v>
      </c>
      <c r="D146" s="256"/>
      <c r="E146" s="36" t="s">
        <v>704</v>
      </c>
      <c r="F146" s="256"/>
      <c r="G146" s="828">
        <v>48</v>
      </c>
      <c r="H146" s="256"/>
      <c r="I146" s="778">
        <v>546.96967474977816</v>
      </c>
      <c r="J146" s="753">
        <f>G146*I146/1000</f>
        <v>26.254544387989348</v>
      </c>
      <c r="K146" s="256"/>
      <c r="L146" s="762">
        <v>0</v>
      </c>
      <c r="M146" s="762">
        <v>0</v>
      </c>
      <c r="N146" s="762">
        <f>J146-L146-M146</f>
        <v>26.254544387989348</v>
      </c>
      <c r="O146" s="771"/>
      <c r="P146" s="828">
        <v>0.70795842239454387</v>
      </c>
      <c r="Q146" s="762">
        <v>0</v>
      </c>
      <c r="R146" s="762">
        <v>0</v>
      </c>
      <c r="S146" s="771"/>
      <c r="T146" s="453">
        <f>N146+P146+Q146+R146</f>
        <v>26.962502810383892</v>
      </c>
      <c r="U146" s="924">
        <f>T146/G146*1000</f>
        <v>561.71880854966435</v>
      </c>
      <c r="V146" s="827">
        <f>T146-J146</f>
        <v>0.70795842239454387</v>
      </c>
      <c r="W146" s="834">
        <f>U146/I146-1</f>
        <v>2.6965176463637608E-2</v>
      </c>
      <c r="X146" s="833"/>
      <c r="Z146" s="938"/>
      <c r="AB146" s="938"/>
      <c r="AD146" s="938"/>
      <c r="AF146" s="954"/>
    </row>
    <row r="147" spans="1:32">
      <c r="A147" s="4">
        <v>64</v>
      </c>
      <c r="C147" s="512" t="s">
        <v>726</v>
      </c>
      <c r="E147" s="36" t="s">
        <v>675</v>
      </c>
      <c r="G147" s="828">
        <v>111124.284</v>
      </c>
      <c r="I147" s="861">
        <v>11.212672899678186</v>
      </c>
      <c r="J147" s="753">
        <f>G147*I147/100</f>
        <v>12460.002477029422</v>
      </c>
      <c r="L147" s="828">
        <v>166.42587763804715</v>
      </c>
      <c r="M147" s="762">
        <v>0</v>
      </c>
      <c r="N147" s="762">
        <f>J147-L147-M147</f>
        <v>12293.576599391376</v>
      </c>
      <c r="O147" s="68"/>
      <c r="P147" s="828">
        <v>331.49846237183738</v>
      </c>
      <c r="Q147" s="828">
        <v>174.66061005879783</v>
      </c>
      <c r="R147" s="762">
        <v>0</v>
      </c>
      <c r="S147" s="68"/>
      <c r="T147" s="453">
        <f>N147+P147+Q147+R147</f>
        <v>12799.735671822011</v>
      </c>
      <c r="U147" s="923">
        <f>T147/G147*100</f>
        <v>11.518396529620844</v>
      </c>
      <c r="V147" s="827">
        <f>T147-J147</f>
        <v>339.73319479258862</v>
      </c>
      <c r="W147" s="834">
        <f>U147/I147-1</f>
        <v>2.7265901063735942E-2</v>
      </c>
      <c r="X147" s="833"/>
      <c r="Z147" s="938"/>
      <c r="AB147" s="938"/>
      <c r="AD147" s="938"/>
      <c r="AF147" s="971"/>
    </row>
    <row r="148" spans="1:32">
      <c r="A148" s="4">
        <v>65</v>
      </c>
      <c r="B148" s="256"/>
      <c r="C148" s="7" t="s">
        <v>710</v>
      </c>
      <c r="D148" s="256"/>
      <c r="E148" s="36" t="s">
        <v>674</v>
      </c>
      <c r="F148" s="256"/>
      <c r="G148" s="830">
        <v>824970.7141199999</v>
      </c>
      <c r="H148" s="922"/>
      <c r="I148" s="914">
        <f>J148/G148*100</f>
        <v>1.5135394272433731</v>
      </c>
      <c r="J148" s="842">
        <f>SUM(J146:J147)</f>
        <v>12486.257021417412</v>
      </c>
      <c r="K148" s="256"/>
      <c r="L148" s="830">
        <f>SUM(L146:L147)</f>
        <v>166.42587763804715</v>
      </c>
      <c r="M148" s="805">
        <f>SUM(M146:M147)</f>
        <v>0</v>
      </c>
      <c r="N148" s="805">
        <f>SUM(N146:N147)</f>
        <v>12319.831143779365</v>
      </c>
      <c r="O148" s="771"/>
      <c r="P148" s="830">
        <f>SUM(P146:P147)</f>
        <v>332.20642079423192</v>
      </c>
      <c r="Q148" s="830">
        <f>SUM(Q146:Q147)</f>
        <v>174.66061005879783</v>
      </c>
      <c r="R148" s="420">
        <f>SUM(R146:R147)</f>
        <v>0</v>
      </c>
      <c r="S148" s="771"/>
      <c r="T148" s="137">
        <f>SUM(T146:T147)</f>
        <v>12826.698174632395</v>
      </c>
      <c r="U148" s="890">
        <f>T148/G148*100</f>
        <v>1.5548064864720312</v>
      </c>
      <c r="V148" s="893">
        <f>SUM(V146:V147)</f>
        <v>340.44115321498316</v>
      </c>
      <c r="W148" s="921">
        <f>U148/I148-1</f>
        <v>2.7265268737543424E-2</v>
      </c>
      <c r="X148" s="833"/>
    </row>
    <row r="149" spans="1:32">
      <c r="A149" s="4"/>
      <c r="G149" s="752"/>
      <c r="H149" s="752"/>
      <c r="I149" s="753"/>
      <c r="J149" s="753"/>
      <c r="K149" s="752"/>
      <c r="L149" s="762"/>
      <c r="M149" s="762"/>
      <c r="N149" s="762"/>
      <c r="O149" s="68"/>
      <c r="P149" s="68"/>
      <c r="Q149" s="762"/>
      <c r="R149" s="762"/>
      <c r="S149" s="68"/>
      <c r="T149" s="136"/>
      <c r="U149" s="136"/>
      <c r="V149" s="827"/>
      <c r="W149" s="827"/>
      <c r="X149" s="866"/>
    </row>
    <row r="150" spans="1:32">
      <c r="A150" s="4">
        <v>66</v>
      </c>
      <c r="C150" s="7" t="s">
        <v>735</v>
      </c>
      <c r="E150" s="36" t="s">
        <v>674</v>
      </c>
      <c r="G150" s="828">
        <v>2835</v>
      </c>
      <c r="H150" s="752"/>
      <c r="I150" s="35">
        <v>0</v>
      </c>
      <c r="J150" s="762">
        <f>G150*I150/100</f>
        <v>0</v>
      </c>
      <c r="K150" s="752"/>
      <c r="L150" s="762">
        <v>0</v>
      </c>
      <c r="M150" s="762">
        <v>0</v>
      </c>
      <c r="N150" s="762">
        <f>J150-L150-M150</f>
        <v>0</v>
      </c>
      <c r="O150" s="68"/>
      <c r="P150" s="136">
        <v>0</v>
      </c>
      <c r="Q150" s="827">
        <v>0</v>
      </c>
      <c r="R150" s="827">
        <v>0</v>
      </c>
      <c r="S150" s="68"/>
      <c r="T150" s="136">
        <f>N150+P150+Q150+R150</f>
        <v>0</v>
      </c>
      <c r="U150" s="136">
        <f>IFERROR(T150/G150*100,"-")</f>
        <v>0</v>
      </c>
      <c r="V150" s="827">
        <f>T150-J150</f>
        <v>0</v>
      </c>
      <c r="W150" s="834"/>
      <c r="X150" s="833"/>
    </row>
    <row r="151" spans="1:32">
      <c r="A151" s="4"/>
      <c r="B151" s="734"/>
      <c r="C151" s="7"/>
      <c r="D151" s="734"/>
      <c r="E151" s="734"/>
      <c r="F151" s="734"/>
      <c r="G151" s="838"/>
      <c r="H151" s="838"/>
      <c r="I151" s="753"/>
      <c r="J151" s="753"/>
      <c r="K151" s="838"/>
      <c r="L151" s="762"/>
      <c r="M151" s="762"/>
      <c r="N151" s="762"/>
      <c r="O151" s="790"/>
      <c r="P151" s="136"/>
      <c r="Q151" s="827"/>
      <c r="R151" s="827"/>
      <c r="S151" s="790"/>
      <c r="T151" s="906"/>
      <c r="U151" s="920"/>
      <c r="V151" s="827"/>
      <c r="W151" s="834"/>
      <c r="X151" s="833"/>
    </row>
    <row r="152" spans="1:32" ht="13.5" thickBot="1">
      <c r="A152" s="4">
        <v>67</v>
      </c>
      <c r="B152" s="385"/>
      <c r="C152" s="7" t="s">
        <v>736</v>
      </c>
      <c r="D152" s="385"/>
      <c r="E152" s="447"/>
      <c r="F152" s="385"/>
      <c r="G152" s="846">
        <f>G148</f>
        <v>824970.7141199999</v>
      </c>
      <c r="H152" s="822"/>
      <c r="I152" s="919">
        <f>J152/G152*100</f>
        <v>1.5135394272433731</v>
      </c>
      <c r="J152" s="839">
        <f>J148+J150</f>
        <v>12486.257021417412</v>
      </c>
      <c r="K152" s="822"/>
      <c r="L152" s="799">
        <f>L148+L150</f>
        <v>166.42587763804715</v>
      </c>
      <c r="M152" s="799">
        <f>M148+M150</f>
        <v>0</v>
      </c>
      <c r="N152" s="799">
        <f>N148+N150</f>
        <v>12319.831143779365</v>
      </c>
      <c r="O152" s="762"/>
      <c r="P152" s="839">
        <f>P148+P150</f>
        <v>332.20642079423192</v>
      </c>
      <c r="Q152" s="839">
        <f>Q148+Q150</f>
        <v>174.66061005879783</v>
      </c>
      <c r="R152" s="799">
        <f>R148+R150</f>
        <v>0</v>
      </c>
      <c r="S152" s="789"/>
      <c r="T152" s="458">
        <f>T148+T150</f>
        <v>12826.698174632395</v>
      </c>
      <c r="U152" s="901">
        <f>T152/G152*100</f>
        <v>1.5548064864720312</v>
      </c>
      <c r="V152" s="918">
        <f>V148+V150</f>
        <v>340.44115321498316</v>
      </c>
      <c r="W152" s="917">
        <f>U152/I152-1</f>
        <v>2.7265268737543424E-2</v>
      </c>
      <c r="X152" s="833"/>
      <c r="Z152" s="938"/>
      <c r="AB152" s="938"/>
      <c r="AD152" s="938"/>
      <c r="AF152" s="971"/>
    </row>
    <row r="153" spans="1:32" ht="13.5" thickTop="1">
      <c r="A153" s="4"/>
      <c r="B153" s="385"/>
      <c r="C153" s="7"/>
      <c r="D153" s="385"/>
      <c r="E153" s="447"/>
      <c r="F153" s="385"/>
      <c r="G153" s="828"/>
      <c r="H153" s="822"/>
      <c r="I153" s="932"/>
      <c r="J153" s="753"/>
      <c r="K153" s="822"/>
      <c r="L153" s="762"/>
      <c r="M153" s="762"/>
      <c r="N153" s="762"/>
      <c r="O153" s="762"/>
      <c r="P153" s="753"/>
      <c r="Q153" s="753"/>
      <c r="R153" s="762"/>
      <c r="S153" s="789"/>
      <c r="T153" s="453"/>
      <c r="U153" s="821"/>
      <c r="V153" s="827"/>
      <c r="W153" s="834"/>
      <c r="X153" s="833"/>
      <c r="Z153" s="938"/>
      <c r="AB153" s="938"/>
      <c r="AD153" s="938"/>
      <c r="AF153" s="971"/>
    </row>
    <row r="154" spans="1:32">
      <c r="L154" s="2"/>
      <c r="M154" s="2"/>
      <c r="N154" s="504"/>
      <c r="Q154" s="504"/>
      <c r="R154" s="504"/>
      <c r="V154" s="762"/>
      <c r="W154" s="504"/>
      <c r="Z154" s="938"/>
      <c r="AB154" s="938"/>
      <c r="AD154" s="938"/>
      <c r="AF154" s="971"/>
    </row>
    <row r="155" spans="1:32">
      <c r="L155" s="2"/>
      <c r="M155" s="2"/>
      <c r="N155" s="504"/>
      <c r="Q155" s="504"/>
      <c r="R155" s="504"/>
      <c r="V155" s="762"/>
      <c r="W155" s="504"/>
      <c r="Z155" s="938"/>
      <c r="AB155" s="938"/>
      <c r="AD155" s="938"/>
      <c r="AF155" s="971"/>
    </row>
    <row r="156" spans="1:32">
      <c r="L156" s="2"/>
      <c r="M156" s="2"/>
      <c r="N156" s="504"/>
      <c r="Q156" s="504"/>
      <c r="R156" s="504"/>
      <c r="V156" s="504"/>
      <c r="W156" s="504"/>
      <c r="Z156" s="938"/>
      <c r="AB156" s="938"/>
      <c r="AD156" s="938"/>
      <c r="AF156" s="971"/>
    </row>
    <row r="157" spans="1:32">
      <c r="L157" s="2"/>
      <c r="M157" s="2"/>
      <c r="N157" s="504"/>
      <c r="Q157" s="504"/>
      <c r="R157" s="504"/>
      <c r="V157" s="504"/>
      <c r="W157" s="504"/>
      <c r="X157" s="665"/>
      <c r="Z157" s="938"/>
      <c r="AB157" s="938"/>
      <c r="AD157" s="938"/>
      <c r="AF157" s="971"/>
    </row>
    <row r="158" spans="1:32">
      <c r="A158" s="1324" t="s">
        <v>724</v>
      </c>
      <c r="B158" s="1324"/>
      <c r="C158" s="1324"/>
      <c r="D158" s="1324"/>
      <c r="E158" s="1324"/>
      <c r="F158" s="1324"/>
      <c r="G158" s="1324"/>
      <c r="H158" s="1324"/>
      <c r="I158" s="1324"/>
      <c r="J158" s="1324"/>
      <c r="K158" s="1324"/>
      <c r="L158" s="1324"/>
      <c r="M158" s="1324"/>
      <c r="N158" s="1324"/>
      <c r="O158" s="1324"/>
      <c r="P158" s="1324"/>
      <c r="Q158" s="1324"/>
      <c r="R158" s="1324"/>
      <c r="S158" s="1324"/>
      <c r="T158" s="1324"/>
      <c r="U158" s="1324"/>
      <c r="V158" s="1324"/>
      <c r="W158" s="1324"/>
      <c r="X158" s="644"/>
      <c r="Y158" s="644"/>
      <c r="Z158" s="938"/>
      <c r="AB158" s="938"/>
      <c r="AD158" s="938"/>
      <c r="AF158" s="971"/>
    </row>
    <row r="159" spans="1:32">
      <c r="A159" s="1324" t="s">
        <v>938</v>
      </c>
      <c r="B159" s="1324"/>
      <c r="C159" s="1324"/>
      <c r="D159" s="1324"/>
      <c r="E159" s="1324"/>
      <c r="F159" s="1324"/>
      <c r="G159" s="1324"/>
      <c r="H159" s="1324"/>
      <c r="I159" s="1324"/>
      <c r="J159" s="1324"/>
      <c r="K159" s="1324"/>
      <c r="L159" s="1324"/>
      <c r="M159" s="1324"/>
      <c r="N159" s="1324"/>
      <c r="O159" s="1324"/>
      <c r="P159" s="1324"/>
      <c r="Q159" s="1324"/>
      <c r="R159" s="1324"/>
      <c r="S159" s="1324"/>
      <c r="T159" s="1324"/>
      <c r="U159" s="1324"/>
      <c r="V159" s="1324"/>
      <c r="W159" s="1324"/>
      <c r="Z159" s="938"/>
      <c r="AB159" s="938"/>
      <c r="AD159" s="938"/>
      <c r="AF159" s="971"/>
    </row>
    <row r="160" spans="1:32">
      <c r="A160" s="385"/>
      <c r="B160" s="385"/>
      <c r="C160" s="385"/>
      <c r="D160" s="385"/>
      <c r="E160" s="447"/>
      <c r="F160" s="385"/>
      <c r="G160" s="447"/>
      <c r="H160" s="385"/>
      <c r="I160" s="385"/>
      <c r="J160" s="385"/>
      <c r="K160" s="385"/>
      <c r="L160" s="385"/>
      <c r="M160" s="385"/>
      <c r="N160" s="504"/>
      <c r="O160" s="385"/>
      <c r="P160" s="385"/>
      <c r="Q160" s="504"/>
      <c r="R160" s="504"/>
      <c r="S160" s="385"/>
      <c r="T160" s="385"/>
      <c r="U160" s="385"/>
      <c r="V160" s="504"/>
      <c r="W160" s="504"/>
      <c r="X160" s="4"/>
      <c r="Z160" s="938"/>
      <c r="AB160" s="938"/>
      <c r="AD160" s="938"/>
      <c r="AF160" s="971"/>
    </row>
    <row r="161" spans="1:32" ht="26.45" customHeight="1">
      <c r="A161" s="447"/>
      <c r="B161" s="447"/>
      <c r="C161" s="447"/>
      <c r="D161" s="447"/>
      <c r="E161" s="385"/>
      <c r="F161" s="1313" t="s">
        <v>682</v>
      </c>
      <c r="G161" s="1313"/>
      <c r="H161" s="1313"/>
      <c r="I161" s="1313"/>
      <c r="J161" s="1313"/>
      <c r="K161" s="447"/>
      <c r="L161" s="1325" t="s">
        <v>496</v>
      </c>
      <c r="M161" s="1325"/>
      <c r="N161" s="256"/>
      <c r="O161" s="447"/>
      <c r="P161" s="449"/>
      <c r="Q161" s="1325" t="s">
        <v>497</v>
      </c>
      <c r="R161" s="1325"/>
      <c r="S161" s="447"/>
      <c r="T161" s="1313" t="s">
        <v>926</v>
      </c>
      <c r="U161" s="1313"/>
      <c r="V161" s="1313"/>
      <c r="W161" s="1313"/>
      <c r="X161" s="254"/>
      <c r="Z161" s="938"/>
      <c r="AB161" s="938"/>
      <c r="AD161" s="938"/>
      <c r="AF161" s="971"/>
    </row>
    <row r="162" spans="1:32" ht="38.25">
      <c r="A162" s="254" t="s">
        <v>1</v>
      </c>
      <c r="B162" s="254"/>
      <c r="C162" s="254"/>
      <c r="D162" s="254"/>
      <c r="E162" s="4" t="s">
        <v>670</v>
      </c>
      <c r="F162" s="254"/>
      <c r="G162" s="13" t="s">
        <v>684</v>
      </c>
      <c r="H162" s="254"/>
      <c r="I162" s="13" t="s">
        <v>196</v>
      </c>
      <c r="J162" s="13" t="s">
        <v>503</v>
      </c>
      <c r="K162" s="254"/>
      <c r="L162" s="13" t="s">
        <v>505</v>
      </c>
      <c r="M162" s="13" t="s">
        <v>685</v>
      </c>
      <c r="N162" s="254" t="s">
        <v>688</v>
      </c>
      <c r="O162" s="254"/>
      <c r="P162" s="254" t="s">
        <v>689</v>
      </c>
      <c r="Q162" s="13" t="s">
        <v>505</v>
      </c>
      <c r="R162" s="13" t="s">
        <v>685</v>
      </c>
      <c r="S162" s="254"/>
      <c r="T162" s="13" t="s">
        <v>690</v>
      </c>
      <c r="U162" s="13" t="s">
        <v>691</v>
      </c>
      <c r="V162" s="13" t="s">
        <v>692</v>
      </c>
      <c r="W162" s="254" t="s">
        <v>693</v>
      </c>
      <c r="X162" s="4"/>
      <c r="Z162" s="938"/>
      <c r="AB162" s="938"/>
      <c r="AD162" s="938"/>
      <c r="AF162" s="971"/>
    </row>
    <row r="163" spans="1:32" ht="14.25">
      <c r="A163" s="255" t="s">
        <v>2</v>
      </c>
      <c r="B163" s="256"/>
      <c r="C163" s="449" t="s">
        <v>3</v>
      </c>
      <c r="D163" s="256"/>
      <c r="E163" s="255" t="s">
        <v>4</v>
      </c>
      <c r="F163" s="256"/>
      <c r="G163" s="255" t="s">
        <v>694</v>
      </c>
      <c r="H163" s="256"/>
      <c r="I163" s="255" t="s">
        <v>77</v>
      </c>
      <c r="J163" s="255" t="s">
        <v>20</v>
      </c>
      <c r="K163" s="256"/>
      <c r="L163" s="255" t="s">
        <v>20</v>
      </c>
      <c r="M163" s="255" t="s">
        <v>20</v>
      </c>
      <c r="N163" s="255" t="s">
        <v>20</v>
      </c>
      <c r="O163" s="256"/>
      <c r="P163" s="255" t="s">
        <v>20</v>
      </c>
      <c r="Q163" s="255" t="s">
        <v>20</v>
      </c>
      <c r="R163" s="255" t="s">
        <v>20</v>
      </c>
      <c r="S163" s="256"/>
      <c r="T163" s="255" t="s">
        <v>20</v>
      </c>
      <c r="U163" s="255" t="s">
        <v>77</v>
      </c>
      <c r="V163" s="255" t="s">
        <v>20</v>
      </c>
      <c r="W163" s="255" t="s">
        <v>76</v>
      </c>
      <c r="X163" s="4"/>
      <c r="Z163" s="938"/>
      <c r="AB163" s="938"/>
      <c r="AD163" s="938"/>
      <c r="AF163" s="971"/>
    </row>
    <row r="164" spans="1:32">
      <c r="A164" s="4"/>
      <c r="B164" s="256"/>
      <c r="C164" s="256"/>
      <c r="D164" s="256"/>
      <c r="E164" s="4"/>
      <c r="F164" s="256"/>
      <c r="G164" s="4" t="s">
        <v>8</v>
      </c>
      <c r="H164" s="4"/>
      <c r="I164" s="4" t="s">
        <v>9</v>
      </c>
      <c r="J164" s="4" t="s">
        <v>370</v>
      </c>
      <c r="K164" s="4"/>
      <c r="L164" s="132" t="s">
        <v>79</v>
      </c>
      <c r="M164" s="132" t="s">
        <v>115</v>
      </c>
      <c r="N164" s="4" t="s">
        <v>927</v>
      </c>
      <c r="O164" s="4"/>
      <c r="P164" s="4" t="s">
        <v>928</v>
      </c>
      <c r="Q164" s="4" t="s">
        <v>118</v>
      </c>
      <c r="R164" s="4" t="s">
        <v>84</v>
      </c>
      <c r="S164" s="4"/>
      <c r="T164" s="4" t="s">
        <v>929</v>
      </c>
      <c r="U164" s="4" t="s">
        <v>517</v>
      </c>
      <c r="V164" s="4" t="s">
        <v>930</v>
      </c>
      <c r="W164" s="4" t="s">
        <v>931</v>
      </c>
      <c r="X164" s="769"/>
      <c r="Z164" s="938"/>
      <c r="AB164" s="938"/>
      <c r="AD164" s="938"/>
      <c r="AF164" s="971"/>
    </row>
    <row r="165" spans="1:32">
      <c r="A165" s="447"/>
      <c r="B165" s="447"/>
      <c r="C165" s="447"/>
      <c r="D165" s="447"/>
      <c r="E165" s="385"/>
      <c r="F165" s="447"/>
      <c r="G165" s="822"/>
      <c r="H165" s="856"/>
      <c r="I165" s="753"/>
      <c r="J165" s="856"/>
      <c r="K165" s="856"/>
      <c r="L165" s="753"/>
      <c r="M165" s="753"/>
      <c r="N165" s="504"/>
      <c r="O165" s="447"/>
      <c r="P165" s="447"/>
      <c r="Q165" s="504"/>
      <c r="R165" s="504"/>
      <c r="S165" s="447"/>
      <c r="T165" s="447"/>
      <c r="U165" s="916"/>
      <c r="V165" s="504"/>
      <c r="W165" s="504"/>
    </row>
    <row r="166" spans="1:32">
      <c r="A166" s="254"/>
      <c r="B166" s="254"/>
      <c r="C166" s="6" t="s">
        <v>168</v>
      </c>
      <c r="D166" s="254"/>
      <c r="E166" s="4"/>
      <c r="F166" s="254"/>
      <c r="G166" s="13"/>
      <c r="H166" s="254"/>
      <c r="I166" s="504"/>
      <c r="J166" s="254"/>
      <c r="K166" s="254"/>
      <c r="L166" s="762"/>
      <c r="M166" s="762"/>
      <c r="N166" s="762"/>
      <c r="O166" s="254"/>
      <c r="P166" s="254"/>
      <c r="Q166" s="504"/>
      <c r="R166" s="504"/>
      <c r="S166" s="254"/>
      <c r="T166" s="254"/>
      <c r="U166" s="254"/>
      <c r="V166" s="504"/>
      <c r="W166" s="504"/>
    </row>
    <row r="167" spans="1:32">
      <c r="A167" s="4">
        <v>68</v>
      </c>
      <c r="B167" s="256"/>
      <c r="C167" s="7" t="s">
        <v>703</v>
      </c>
      <c r="D167" s="256"/>
      <c r="E167" s="36" t="s">
        <v>704</v>
      </c>
      <c r="F167" s="256"/>
      <c r="G167" s="35">
        <v>492</v>
      </c>
      <c r="H167" s="256"/>
      <c r="I167" s="778">
        <v>125.890540340409</v>
      </c>
      <c r="J167" s="750">
        <f>G167*I167/1000</f>
        <v>61.938145847481231</v>
      </c>
      <c r="K167" s="256"/>
      <c r="L167" s="762">
        <v>0</v>
      </c>
      <c r="M167" s="762">
        <v>0</v>
      </c>
      <c r="N167" s="762">
        <f>J167-L167-M167</f>
        <v>61.938145847481231</v>
      </c>
      <c r="O167" s="256"/>
      <c r="P167" s="35">
        <v>1.6701730326078703</v>
      </c>
      <c r="Q167" s="762">
        <v>0</v>
      </c>
      <c r="R167" s="762">
        <v>0</v>
      </c>
      <c r="S167" s="771"/>
      <c r="T167" s="771">
        <f>N167+P167+Q167+R167</f>
        <v>63.608318880089101</v>
      </c>
      <c r="U167" s="915">
        <f>T167/G167*1000</f>
        <v>129.28520097579084</v>
      </c>
      <c r="V167" s="762">
        <f>T167-J167</f>
        <v>1.6701730326078703</v>
      </c>
      <c r="W167" s="770">
        <f>U167/I167-1</f>
        <v>2.696517646363783E-2</v>
      </c>
      <c r="X167" s="769"/>
      <c r="Z167" s="938"/>
      <c r="AB167" s="938"/>
      <c r="AD167" s="938"/>
      <c r="AF167" s="954"/>
    </row>
    <row r="168" spans="1:32">
      <c r="A168" s="4"/>
      <c r="B168" s="256"/>
      <c r="C168" s="7" t="s">
        <v>737</v>
      </c>
      <c r="D168" s="256"/>
      <c r="E168" s="4"/>
      <c r="F168" s="256"/>
      <c r="G168" s="4"/>
      <c r="H168" s="256"/>
      <c r="I168" s="504"/>
      <c r="J168" s="750"/>
      <c r="K168" s="256"/>
      <c r="L168" s="762"/>
      <c r="M168" s="762"/>
      <c r="N168" s="762"/>
      <c r="O168" s="256"/>
      <c r="P168" s="771"/>
      <c r="Q168" s="762"/>
      <c r="R168" s="762"/>
      <c r="S168" s="771"/>
      <c r="T168" s="771"/>
      <c r="U168" s="771"/>
      <c r="V168" s="762"/>
      <c r="W168" s="770"/>
      <c r="X168" s="769"/>
    </row>
    <row r="169" spans="1:32">
      <c r="A169" s="4"/>
      <c r="B169" s="256"/>
      <c r="C169" s="512" t="s">
        <v>705</v>
      </c>
      <c r="D169" s="256"/>
      <c r="E169" s="860"/>
      <c r="F169" s="256"/>
      <c r="G169" s="870"/>
      <c r="H169" s="256"/>
      <c r="I169" s="504"/>
      <c r="J169" s="750"/>
      <c r="K169" s="256"/>
      <c r="L169" s="762"/>
      <c r="M169" s="762"/>
      <c r="N169" s="762"/>
      <c r="O169" s="256"/>
      <c r="P169" s="771"/>
      <c r="Q169" s="762"/>
      <c r="R169" s="762"/>
      <c r="S169" s="771"/>
      <c r="T169" s="771"/>
      <c r="U169" s="771"/>
      <c r="V169" s="762"/>
      <c r="W169" s="770"/>
      <c r="X169" s="769"/>
    </row>
    <row r="170" spans="1:32">
      <c r="A170" s="4">
        <v>69</v>
      </c>
      <c r="B170" s="256"/>
      <c r="C170" s="512" t="s">
        <v>738</v>
      </c>
      <c r="D170" s="256"/>
      <c r="E170" s="36" t="s">
        <v>674</v>
      </c>
      <c r="F170" s="256"/>
      <c r="G170" s="35">
        <v>402.14400000000001</v>
      </c>
      <c r="H170" s="256"/>
      <c r="I170" s="861">
        <v>8.4374950661633328</v>
      </c>
      <c r="J170" s="750">
        <f>G170*I170/100</f>
        <v>33.930880158871872</v>
      </c>
      <c r="K170" s="256"/>
      <c r="L170" s="35">
        <v>2.0784882493309644</v>
      </c>
      <c r="M170" s="762">
        <v>0</v>
      </c>
      <c r="N170" s="762">
        <f>J170-L170-M170</f>
        <v>31.852391909540909</v>
      </c>
      <c r="O170" s="256"/>
      <c r="P170" s="35">
        <v>0.85890536862972411</v>
      </c>
      <c r="Q170" s="35">
        <v>7.4831892382198761</v>
      </c>
      <c r="R170" s="762">
        <v>0</v>
      </c>
      <c r="S170" s="771"/>
      <c r="T170" s="771">
        <f>N170+P170+Q170+R170</f>
        <v>40.194486516390512</v>
      </c>
      <c r="U170" s="821">
        <f>T170/G170*100</f>
        <v>9.9950481709015957</v>
      </c>
      <c r="V170" s="762">
        <f>T170-J170</f>
        <v>6.2636063575186398</v>
      </c>
      <c r="W170" s="770"/>
      <c r="X170" s="769"/>
      <c r="Z170" s="938"/>
      <c r="AB170" s="938"/>
      <c r="AD170" s="938"/>
      <c r="AF170" s="971"/>
    </row>
    <row r="171" spans="1:32">
      <c r="A171" s="4">
        <v>70</v>
      </c>
      <c r="B171" s="256"/>
      <c r="C171" s="512" t="s">
        <v>739</v>
      </c>
      <c r="D171" s="256"/>
      <c r="E171" s="36" t="s">
        <v>674</v>
      </c>
      <c r="F171" s="256"/>
      <c r="G171" s="35">
        <v>846.84799999999996</v>
      </c>
      <c r="H171" s="256"/>
      <c r="I171" s="861">
        <v>6.9608669353756545</v>
      </c>
      <c r="J171" s="750">
        <f>G171*I171/100</f>
        <v>58.947962424890022</v>
      </c>
      <c r="K171" s="256"/>
      <c r="L171" s="35">
        <v>4.37694859793862</v>
      </c>
      <c r="M171" s="762">
        <v>0</v>
      </c>
      <c r="N171" s="762">
        <f>J171-L171-M171</f>
        <v>54.5710138269514</v>
      </c>
      <c r="O171" s="256"/>
      <c r="P171" s="35">
        <v>1.4715170176433645</v>
      </c>
      <c r="Q171" s="35">
        <v>15.758344871508775</v>
      </c>
      <c r="R171" s="762">
        <v>0</v>
      </c>
      <c r="S171" s="771"/>
      <c r="T171" s="771">
        <f>N171+P171+Q171+R171</f>
        <v>71.800875716103548</v>
      </c>
      <c r="U171" s="821">
        <f>T171/G171*100</f>
        <v>8.478602501996054</v>
      </c>
      <c r="V171" s="762">
        <f>T171-J171</f>
        <v>12.852913291213525</v>
      </c>
      <c r="W171" s="770"/>
      <c r="X171" s="769"/>
      <c r="Z171" s="938"/>
      <c r="AB171" s="938"/>
      <c r="AD171" s="938"/>
      <c r="AF171" s="971"/>
    </row>
    <row r="172" spans="1:32">
      <c r="A172" s="4">
        <v>71</v>
      </c>
      <c r="B172" s="256"/>
      <c r="C172" s="512" t="s">
        <v>740</v>
      </c>
      <c r="D172" s="256"/>
      <c r="E172" s="36" t="s">
        <v>674</v>
      </c>
      <c r="F172" s="256"/>
      <c r="G172" s="35">
        <v>2136.3440000000001</v>
      </c>
      <c r="H172" s="256"/>
      <c r="I172" s="861">
        <v>6.375813579143256</v>
      </c>
      <c r="J172" s="750">
        <f>G172*I172/100</f>
        <v>136.20931084921219</v>
      </c>
      <c r="K172" s="256"/>
      <c r="L172" s="35">
        <v>11.041731072771718</v>
      </c>
      <c r="M172" s="762">
        <v>0</v>
      </c>
      <c r="N172" s="762">
        <f>J172-L172-M172</f>
        <v>125.16757977644048</v>
      </c>
      <c r="O172" s="256"/>
      <c r="P172" s="35">
        <v>3.3751658761981957</v>
      </c>
      <c r="Q172" s="35">
        <v>39.753586849326616</v>
      </c>
      <c r="R172" s="762">
        <v>0</v>
      </c>
      <c r="S172" s="771"/>
      <c r="T172" s="771">
        <f>N172+P172+Q172+R172</f>
        <v>168.29633250196528</v>
      </c>
      <c r="U172" s="821">
        <f>T172/G172*100</f>
        <v>7.8777730787722042</v>
      </c>
      <c r="V172" s="762">
        <f>T172-J172</f>
        <v>32.087021652753094</v>
      </c>
      <c r="W172" s="770"/>
      <c r="X172" s="769"/>
      <c r="Z172" s="938"/>
      <c r="AB172" s="938"/>
      <c r="AD172" s="938"/>
      <c r="AF172" s="971"/>
    </row>
    <row r="173" spans="1:32">
      <c r="A173" s="4">
        <v>72</v>
      </c>
      <c r="B173" s="256"/>
      <c r="C173" s="512" t="s">
        <v>705</v>
      </c>
      <c r="D173" s="256"/>
      <c r="E173" s="36"/>
      <c r="F173" s="256"/>
      <c r="G173" s="420">
        <f>SUM(G170:G172)</f>
        <v>3385.3360000000002</v>
      </c>
      <c r="H173" s="256"/>
      <c r="I173" s="914">
        <f>J173/G173*100</f>
        <v>6.7670728528268418</v>
      </c>
      <c r="J173" s="808">
        <f>SUM(J170:J172)</f>
        <v>229.08815343297408</v>
      </c>
      <c r="K173" s="256"/>
      <c r="L173" s="805">
        <f>SUM(L170:L172)</f>
        <v>17.497167920041303</v>
      </c>
      <c r="M173" s="805">
        <f>SUM(M170:M172)</f>
        <v>0</v>
      </c>
      <c r="N173" s="805">
        <f>SUM(N170:N172)</f>
        <v>211.59098551293278</v>
      </c>
      <c r="O173" s="256"/>
      <c r="P173" s="807">
        <f>SUM(P170:P172)</f>
        <v>5.7055882624712844</v>
      </c>
      <c r="Q173" s="807">
        <f>SUM(Q170:Q172)</f>
        <v>62.995120959055271</v>
      </c>
      <c r="R173" s="807">
        <f>SUM(R170:R172)</f>
        <v>0</v>
      </c>
      <c r="S173" s="771"/>
      <c r="T173" s="807">
        <f>SUM(T170:T172)</f>
        <v>280.29169473445933</v>
      </c>
      <c r="U173" s="902">
        <f>T173/G173*100</f>
        <v>8.2795827278137022</v>
      </c>
      <c r="V173" s="805">
        <f>SUM(V170:V172)</f>
        <v>51.203541301485259</v>
      </c>
      <c r="W173" s="804">
        <f>U173/I173-1</f>
        <v>0.22351021008367478</v>
      </c>
      <c r="X173" s="769"/>
      <c r="Z173" s="938"/>
      <c r="AB173" s="938"/>
      <c r="AD173" s="938"/>
      <c r="AF173" s="971"/>
    </row>
    <row r="174" spans="1:32">
      <c r="A174" s="4"/>
      <c r="B174" s="256"/>
      <c r="C174" s="7"/>
      <c r="D174" s="256"/>
      <c r="E174" s="36"/>
      <c r="F174" s="256"/>
      <c r="G174" s="35"/>
      <c r="H174" s="256"/>
      <c r="I174" s="504"/>
      <c r="J174" s="256"/>
      <c r="K174" s="256"/>
      <c r="L174" s="762"/>
      <c r="M174" s="762"/>
      <c r="N174" s="762"/>
      <c r="O174" s="256"/>
      <c r="P174" s="771"/>
      <c r="Q174" s="762"/>
      <c r="R174" s="762"/>
      <c r="S174" s="771"/>
      <c r="T174" s="771"/>
      <c r="U174" s="771"/>
      <c r="V174" s="504"/>
      <c r="W174" s="770"/>
      <c r="X174" s="769"/>
      <c r="Z174" s="938"/>
      <c r="AB174" s="938"/>
      <c r="AD174" s="938"/>
      <c r="AF174" s="971"/>
    </row>
    <row r="175" spans="1:32">
      <c r="A175" s="4"/>
      <c r="B175" s="256"/>
      <c r="C175" s="7" t="s">
        <v>741</v>
      </c>
      <c r="D175" s="256"/>
      <c r="E175" s="36"/>
      <c r="F175" s="256"/>
      <c r="G175" s="35"/>
      <c r="H175" s="256"/>
      <c r="I175" s="504"/>
      <c r="J175" s="256"/>
      <c r="K175" s="256"/>
      <c r="L175" s="762"/>
      <c r="M175" s="762"/>
      <c r="N175" s="762"/>
      <c r="O175" s="256"/>
      <c r="P175" s="771"/>
      <c r="Q175" s="762"/>
      <c r="R175" s="762"/>
      <c r="S175" s="771"/>
      <c r="T175" s="771"/>
      <c r="U175" s="771"/>
      <c r="V175" s="504"/>
      <c r="W175" s="770"/>
      <c r="X175" s="769"/>
      <c r="Z175" s="938"/>
      <c r="AB175" s="938"/>
      <c r="AD175" s="938"/>
      <c r="AF175" s="971"/>
    </row>
    <row r="176" spans="1:32">
      <c r="A176" s="4"/>
      <c r="B176" s="256"/>
      <c r="C176" s="512" t="s">
        <v>705</v>
      </c>
      <c r="D176" s="256"/>
      <c r="E176" s="36"/>
      <c r="F176" s="256"/>
      <c r="G176" s="453"/>
      <c r="H176" s="256"/>
      <c r="I176" s="504"/>
      <c r="J176" s="256"/>
      <c r="K176" s="256"/>
      <c r="L176" s="762"/>
      <c r="M176" s="762"/>
      <c r="N176" s="762"/>
      <c r="O176" s="256"/>
      <c r="P176" s="771"/>
      <c r="Q176" s="762"/>
      <c r="R176" s="762"/>
      <c r="S176" s="771"/>
      <c r="T176" s="771"/>
      <c r="U176" s="771"/>
      <c r="V176" s="504"/>
      <c r="W176" s="770"/>
      <c r="X176" s="769"/>
      <c r="Z176" s="938"/>
      <c r="AB176" s="938"/>
      <c r="AD176" s="938"/>
      <c r="AF176" s="971"/>
    </row>
    <row r="177" spans="1:32">
      <c r="A177" s="4">
        <v>73</v>
      </c>
      <c r="B177" s="256"/>
      <c r="C177" s="512" t="s">
        <v>738</v>
      </c>
      <c r="D177" s="256"/>
      <c r="E177" s="36" t="s">
        <v>674</v>
      </c>
      <c r="F177" s="256"/>
      <c r="G177" s="35">
        <v>3705.44</v>
      </c>
      <c r="H177" s="256"/>
      <c r="I177" s="861">
        <v>2.7490166682843205</v>
      </c>
      <c r="J177" s="750">
        <f>G177*I177/100</f>
        <v>101.86316323327452</v>
      </c>
      <c r="K177" s="256"/>
      <c r="L177" s="35">
        <v>19.151631004319171</v>
      </c>
      <c r="M177" s="762">
        <v>0</v>
      </c>
      <c r="N177" s="762">
        <f>J177-L177-M177</f>
        <v>82.711532228955349</v>
      </c>
      <c r="O177" s="256"/>
      <c r="P177" s="35">
        <v>2.2303310621316541</v>
      </c>
      <c r="Q177" s="35">
        <v>68.951690764674993</v>
      </c>
      <c r="R177" s="35">
        <v>0</v>
      </c>
      <c r="S177" s="771"/>
      <c r="T177" s="771">
        <f>N177+P177+Q177+R177</f>
        <v>153.893554055762</v>
      </c>
      <c r="U177" s="821">
        <f>T177/G177*100</f>
        <v>4.1531789492141824</v>
      </c>
      <c r="V177" s="762">
        <f>T177-J177</f>
        <v>52.030390822487476</v>
      </c>
      <c r="W177" s="770"/>
      <c r="X177" s="769"/>
      <c r="Z177" s="938"/>
      <c r="AB177" s="938"/>
      <c r="AD177" s="938"/>
      <c r="AF177" s="971"/>
    </row>
    <row r="178" spans="1:32">
      <c r="A178" s="4">
        <v>74</v>
      </c>
      <c r="B178" s="256"/>
      <c r="C178" s="512" t="s">
        <v>739</v>
      </c>
      <c r="D178" s="256"/>
      <c r="E178" s="36" t="s">
        <v>674</v>
      </c>
      <c r="F178" s="256"/>
      <c r="G178" s="35">
        <v>7201.058</v>
      </c>
      <c r="H178" s="256"/>
      <c r="I178" s="861">
        <v>1.9137522567244392</v>
      </c>
      <c r="J178" s="750">
        <f>G178*I178/100</f>
        <v>137.81040998303578</v>
      </c>
      <c r="K178" s="256"/>
      <c r="L178" s="35">
        <v>37.218793356983412</v>
      </c>
      <c r="M178" s="762">
        <v>0</v>
      </c>
      <c r="N178" s="762">
        <f>J178-L178-M178</f>
        <v>100.59161662605237</v>
      </c>
      <c r="O178" s="256"/>
      <c r="P178" s="35">
        <v>2.7124706930841143</v>
      </c>
      <c r="Q178" s="35">
        <v>133.99896487178012</v>
      </c>
      <c r="R178" s="35">
        <v>0</v>
      </c>
      <c r="S178" s="771"/>
      <c r="T178" s="771">
        <f>N178+P178+Q178+R178</f>
        <v>237.30305219091662</v>
      </c>
      <c r="U178" s="821">
        <f>T178/G178*100</f>
        <v>3.2953914854027926</v>
      </c>
      <c r="V178" s="762">
        <f>T178-J178</f>
        <v>99.492642207880834</v>
      </c>
      <c r="W178" s="770"/>
      <c r="X178" s="769"/>
      <c r="Z178" s="938"/>
      <c r="AB178" s="938"/>
      <c r="AD178" s="938"/>
      <c r="AF178" s="971"/>
    </row>
    <row r="179" spans="1:32">
      <c r="A179" s="4">
        <v>75</v>
      </c>
      <c r="C179" s="512" t="s">
        <v>740</v>
      </c>
      <c r="E179" s="36" t="s">
        <v>674</v>
      </c>
      <c r="G179" s="35">
        <v>38354.665000000001</v>
      </c>
      <c r="I179" s="861">
        <v>1.6579624394385244</v>
      </c>
      <c r="J179" s="750">
        <f>G179*I179/100</f>
        <v>635.90593947247396</v>
      </c>
      <c r="L179" s="35">
        <v>198.23675228158473</v>
      </c>
      <c r="M179" s="762">
        <v>0</v>
      </c>
      <c r="N179" s="762">
        <f>J179-L179-M179</f>
        <v>437.66918719088926</v>
      </c>
      <c r="P179" s="35">
        <v>11.80182686529929</v>
      </c>
      <c r="Q179" s="35">
        <v>713.71254168538769</v>
      </c>
      <c r="R179" s="35">
        <v>0</v>
      </c>
      <c r="S179" s="68"/>
      <c r="T179" s="771">
        <f>N179+P179+Q179+R179</f>
        <v>1163.1835557415761</v>
      </c>
      <c r="U179" s="821">
        <f>T179/G179*100</f>
        <v>3.032704250556161</v>
      </c>
      <c r="V179" s="762">
        <f>T179-J179</f>
        <v>527.27761626910217</v>
      </c>
      <c r="W179" s="770"/>
      <c r="X179" s="769"/>
      <c r="Z179" s="938"/>
      <c r="AB179" s="938"/>
      <c r="AD179" s="938"/>
      <c r="AF179" s="971"/>
    </row>
    <row r="180" spans="1:32">
      <c r="A180" s="4">
        <v>76</v>
      </c>
      <c r="B180" s="256"/>
      <c r="C180" s="512" t="s">
        <v>705</v>
      </c>
      <c r="D180" s="256"/>
      <c r="E180" s="742"/>
      <c r="F180" s="256"/>
      <c r="G180" s="420">
        <f>SUM(G177:G179)</f>
        <v>49261.163</v>
      </c>
      <c r="H180" s="256"/>
      <c r="I180" s="914">
        <f>J180/G180*100</f>
        <v>1.7774235510614806</v>
      </c>
      <c r="J180" s="808">
        <f>SUM(J177:J179)</f>
        <v>875.57951268878423</v>
      </c>
      <c r="K180" s="256"/>
      <c r="L180" s="805">
        <f>SUM(L177:L179)</f>
        <v>254.60717664288731</v>
      </c>
      <c r="M180" s="805">
        <f>SUM(M177:M179)</f>
        <v>0</v>
      </c>
      <c r="N180" s="805">
        <f>SUM(N177:N179)</f>
        <v>620.97233604589701</v>
      </c>
      <c r="O180" s="256"/>
      <c r="P180" s="807">
        <f>SUM(P177:P179)</f>
        <v>16.744628620515059</v>
      </c>
      <c r="Q180" s="807">
        <f>SUM(Q177:Q179)</f>
        <v>916.66319732184274</v>
      </c>
      <c r="R180" s="807">
        <f>SUM(R177:R179)</f>
        <v>0</v>
      </c>
      <c r="S180" s="771"/>
      <c r="T180" s="807">
        <f>SUM(T177:T179)</f>
        <v>1554.3801619882547</v>
      </c>
      <c r="U180" s="902">
        <f>T180/G180*100</f>
        <v>3.1553866521345721</v>
      </c>
      <c r="V180" s="805">
        <f>SUM(V177:V179)</f>
        <v>678.80064929947048</v>
      </c>
      <c r="W180" s="804">
        <f>U180/I180-1</f>
        <v>0.77525871661268875</v>
      </c>
      <c r="X180" s="769"/>
      <c r="Z180" s="938"/>
      <c r="AB180" s="938"/>
      <c r="AD180" s="938"/>
      <c r="AF180" s="971"/>
    </row>
    <row r="181" spans="1:32">
      <c r="A181" s="4"/>
      <c r="B181" s="256"/>
      <c r="C181" s="7"/>
      <c r="D181" s="256"/>
      <c r="E181" s="742"/>
      <c r="F181" s="256"/>
      <c r="G181" s="35"/>
      <c r="H181" s="256"/>
      <c r="I181" s="504"/>
      <c r="J181" s="256"/>
      <c r="K181" s="256"/>
      <c r="L181" s="762"/>
      <c r="M181" s="762"/>
      <c r="N181" s="762"/>
      <c r="O181" s="256"/>
      <c r="P181" s="771"/>
      <c r="Q181" s="762"/>
      <c r="R181" s="762"/>
      <c r="S181" s="771"/>
      <c r="T181" s="771"/>
      <c r="U181" s="771"/>
      <c r="V181" s="504"/>
      <c r="W181" s="770"/>
      <c r="X181" s="769"/>
      <c r="Z181" s="938"/>
      <c r="AB181" s="938"/>
      <c r="AD181" s="938"/>
      <c r="AF181" s="971"/>
    </row>
    <row r="182" spans="1:32">
      <c r="A182" s="4">
        <v>77</v>
      </c>
      <c r="B182" s="256"/>
      <c r="C182" s="7" t="s">
        <v>742</v>
      </c>
      <c r="D182" s="256"/>
      <c r="E182" s="36" t="s">
        <v>674</v>
      </c>
      <c r="F182" s="256"/>
      <c r="G182" s="35">
        <v>576.94793424657541</v>
      </c>
      <c r="H182" s="256"/>
      <c r="I182" s="762">
        <v>0</v>
      </c>
      <c r="J182" s="771">
        <v>0</v>
      </c>
      <c r="K182" s="256"/>
      <c r="L182" s="762">
        <v>0</v>
      </c>
      <c r="M182" s="762">
        <v>0</v>
      </c>
      <c r="N182" s="762">
        <f>J182-L182-M182</f>
        <v>0</v>
      </c>
      <c r="O182" s="256"/>
      <c r="P182" s="771">
        <v>0</v>
      </c>
      <c r="Q182" s="762">
        <v>0</v>
      </c>
      <c r="R182" s="762">
        <v>0</v>
      </c>
      <c r="S182" s="771"/>
      <c r="T182" s="771">
        <f>N182+P182+Q182+R182</f>
        <v>0</v>
      </c>
      <c r="U182" s="771">
        <v>0</v>
      </c>
      <c r="V182" s="755">
        <v>0</v>
      </c>
      <c r="W182" s="755"/>
      <c r="X182" s="323"/>
      <c r="Z182" s="938"/>
      <c r="AB182" s="938"/>
      <c r="AD182" s="938"/>
      <c r="AF182" s="971"/>
    </row>
    <row r="183" spans="1:32">
      <c r="A183" s="4"/>
      <c r="B183" s="256"/>
      <c r="C183" s="7"/>
      <c r="D183" s="256"/>
      <c r="E183" s="742"/>
      <c r="F183" s="256"/>
      <c r="G183" s="35"/>
      <c r="H183" s="256"/>
      <c r="I183" s="504"/>
      <c r="J183" s="256"/>
      <c r="K183" s="256"/>
      <c r="L183" s="762"/>
      <c r="M183" s="762"/>
      <c r="N183" s="762"/>
      <c r="O183" s="256"/>
      <c r="P183" s="771"/>
      <c r="Q183" s="762"/>
      <c r="R183" s="762"/>
      <c r="S183" s="771"/>
      <c r="T183" s="771"/>
      <c r="U183" s="771"/>
      <c r="V183" s="504"/>
      <c r="W183" s="770"/>
      <c r="X183" s="769"/>
      <c r="Z183" s="938"/>
      <c r="AB183" s="938"/>
      <c r="AD183" s="938"/>
      <c r="AF183" s="971"/>
    </row>
    <row r="184" spans="1:32">
      <c r="A184" s="4">
        <v>78</v>
      </c>
      <c r="B184" s="256"/>
      <c r="C184" s="7" t="s">
        <v>710</v>
      </c>
      <c r="D184" s="256"/>
      <c r="E184" s="742"/>
      <c r="F184" s="256"/>
      <c r="G184" s="420">
        <f>G173+G180</f>
        <v>52646.499000000003</v>
      </c>
      <c r="H184" s="256"/>
      <c r="I184" s="914">
        <f>J184/G184*100</f>
        <v>2.215922870710243</v>
      </c>
      <c r="J184" s="808">
        <f>J167+J173+J180+J182</f>
        <v>1166.6058119692395</v>
      </c>
      <c r="K184" s="750"/>
      <c r="L184" s="807">
        <f>L167+L173+L180+L182</f>
        <v>272.10434456292859</v>
      </c>
      <c r="M184" s="807">
        <f>M167+M173+M180+M182</f>
        <v>0</v>
      </c>
      <c r="N184" s="807">
        <f>N167+N173+N180+N182</f>
        <v>894.50146740631101</v>
      </c>
      <c r="O184" s="750"/>
      <c r="P184" s="808">
        <f>P167+P173+P180+P182</f>
        <v>24.120389915594213</v>
      </c>
      <c r="Q184" s="807">
        <f>Q167+Q173+Q180+Q182</f>
        <v>979.65831828089802</v>
      </c>
      <c r="R184" s="807">
        <f>R167+R173+R180+R182</f>
        <v>0</v>
      </c>
      <c r="S184" s="771"/>
      <c r="T184" s="807">
        <f>T167+T173+T180+T182</f>
        <v>1898.2801756028032</v>
      </c>
      <c r="U184" s="902">
        <f>T184/G184*100</f>
        <v>3.6057101833168486</v>
      </c>
      <c r="V184" s="807">
        <f>V167+V173+V180+V182</f>
        <v>731.67436363356364</v>
      </c>
      <c r="W184" s="804">
        <f>U184/I184-1</f>
        <v>0.62718216909831059</v>
      </c>
      <c r="X184" s="769"/>
      <c r="Z184" s="938"/>
      <c r="AB184" s="938"/>
      <c r="AD184" s="938"/>
      <c r="AF184" s="971"/>
    </row>
    <row r="185" spans="1:32">
      <c r="A185" s="4"/>
      <c r="B185" s="256"/>
      <c r="C185" s="7"/>
      <c r="D185" s="256"/>
      <c r="E185" s="36"/>
      <c r="F185" s="256"/>
      <c r="G185" s="453"/>
      <c r="H185" s="256"/>
      <c r="I185" s="504"/>
      <c r="J185" s="256"/>
      <c r="K185" s="256"/>
      <c r="L185" s="762"/>
      <c r="M185" s="762"/>
      <c r="N185" s="762"/>
      <c r="O185" s="256"/>
      <c r="P185" s="771"/>
      <c r="Q185" s="762"/>
      <c r="R185" s="762"/>
      <c r="S185" s="771"/>
      <c r="T185" s="771"/>
      <c r="U185" s="771"/>
      <c r="V185" s="504"/>
      <c r="W185" s="770"/>
      <c r="X185" s="769"/>
      <c r="Z185" s="938"/>
      <c r="AB185" s="938"/>
      <c r="AD185" s="938"/>
      <c r="AF185" s="971"/>
    </row>
    <row r="186" spans="1:32">
      <c r="A186" s="4">
        <v>79</v>
      </c>
      <c r="C186" s="9" t="s">
        <v>711</v>
      </c>
      <c r="E186" s="742" t="s">
        <v>674</v>
      </c>
      <c r="G186" s="35">
        <v>52646.499000000003</v>
      </c>
      <c r="H186" s="752"/>
      <c r="I186" s="35">
        <v>0</v>
      </c>
      <c r="J186" s="68">
        <f>G186*I186/100</f>
        <v>0</v>
      </c>
      <c r="L186" s="762">
        <v>0</v>
      </c>
      <c r="M186" s="762">
        <v>0</v>
      </c>
      <c r="N186" s="762">
        <f>J186-L186-M186</f>
        <v>0</v>
      </c>
      <c r="P186" s="68">
        <v>0</v>
      </c>
      <c r="Q186" s="762">
        <v>0</v>
      </c>
      <c r="R186" s="762">
        <v>0</v>
      </c>
      <c r="S186" s="68"/>
      <c r="T186" s="68">
        <f>N186+P186+Q186+R186</f>
        <v>0</v>
      </c>
      <c r="U186" s="68">
        <f>T186/G186*100</f>
        <v>0</v>
      </c>
      <c r="V186" s="762">
        <f>T186-J186</f>
        <v>0</v>
      </c>
      <c r="W186" s="834"/>
      <c r="X186" s="833"/>
      <c r="Z186" s="938"/>
      <c r="AB186" s="938"/>
      <c r="AD186" s="938"/>
      <c r="AF186" s="971"/>
    </row>
    <row r="187" spans="1:32">
      <c r="A187" s="4"/>
      <c r="C187" s="9"/>
      <c r="E187" s="742"/>
      <c r="G187" s="35"/>
      <c r="H187" s="752"/>
      <c r="I187" s="35"/>
      <c r="J187" s="68"/>
      <c r="L187" s="762"/>
      <c r="M187" s="762"/>
      <c r="N187" s="762"/>
      <c r="P187" s="68"/>
      <c r="Q187" s="762"/>
      <c r="R187" s="762"/>
      <c r="S187" s="68"/>
      <c r="T187" s="68"/>
      <c r="U187" s="68"/>
      <c r="V187" s="762"/>
      <c r="W187" s="834"/>
      <c r="X187" s="833"/>
      <c r="Z187" s="938"/>
      <c r="AB187" s="938"/>
      <c r="AD187" s="938"/>
      <c r="AF187" s="971"/>
    </row>
    <row r="188" spans="1:32">
      <c r="A188" s="4"/>
      <c r="C188" s="7" t="s">
        <v>712</v>
      </c>
      <c r="E188" s="742"/>
      <c r="G188" s="35"/>
      <c r="H188" s="752"/>
      <c r="I188" s="35"/>
      <c r="J188" s="68"/>
      <c r="L188" s="762"/>
      <c r="M188" s="762"/>
      <c r="N188" s="762"/>
      <c r="P188" s="68"/>
      <c r="Q188" s="762"/>
      <c r="R188" s="762"/>
      <c r="S188" s="68"/>
      <c r="T188" s="68"/>
      <c r="U188" s="68"/>
      <c r="V188" s="762"/>
      <c r="W188" s="834"/>
      <c r="X188" s="833"/>
      <c r="Z188" s="938"/>
      <c r="AB188" s="938"/>
      <c r="AD188" s="938"/>
      <c r="AF188" s="971"/>
    </row>
    <row r="189" spans="1:32">
      <c r="A189" s="4">
        <v>80</v>
      </c>
      <c r="B189" s="256"/>
      <c r="C189" s="9" t="s">
        <v>713</v>
      </c>
      <c r="D189" s="256"/>
      <c r="E189" s="742" t="s">
        <v>674</v>
      </c>
      <c r="F189" s="256"/>
      <c r="G189" s="35">
        <v>4391.5119999999997</v>
      </c>
      <c r="H189" s="750"/>
      <c r="I189" s="861">
        <v>7.5257129260973235E-2</v>
      </c>
      <c r="J189" s="752">
        <f>G189*I189/100</f>
        <v>3.3049258623511508</v>
      </c>
      <c r="K189" s="256"/>
      <c r="L189" s="762">
        <v>0</v>
      </c>
      <c r="M189" s="762">
        <v>0</v>
      </c>
      <c r="N189" s="762">
        <f>J189-L189-M189</f>
        <v>3.3049258623511508</v>
      </c>
      <c r="O189" s="256"/>
      <c r="P189" s="35">
        <v>8.9117909077539359E-2</v>
      </c>
      <c r="Q189" s="762">
        <v>0</v>
      </c>
      <c r="R189" s="762">
        <v>0</v>
      </c>
      <c r="S189" s="771"/>
      <c r="T189" s="68">
        <f>N189+P189+Q189+R189</f>
        <v>3.3940437714286902</v>
      </c>
      <c r="U189" s="911">
        <f>T189/G189*100</f>
        <v>7.7286451031642195E-2</v>
      </c>
      <c r="V189" s="762">
        <f>T189-J189</f>
        <v>8.9117909077539359E-2</v>
      </c>
      <c r="W189" s="770"/>
      <c r="X189" s="769"/>
      <c r="Z189" s="938"/>
      <c r="AB189" s="938"/>
      <c r="AD189" s="938"/>
      <c r="AF189" s="971"/>
    </row>
    <row r="190" spans="1:32">
      <c r="A190" s="4">
        <v>81</v>
      </c>
      <c r="B190" s="256"/>
      <c r="C190" s="9" t="s">
        <v>714</v>
      </c>
      <c r="D190" s="256"/>
      <c r="E190" s="742" t="s">
        <v>674</v>
      </c>
      <c r="F190" s="256"/>
      <c r="G190" s="35">
        <v>48254.987000000001</v>
      </c>
      <c r="H190" s="750"/>
      <c r="I190" s="861">
        <v>0.59780971044071829</v>
      </c>
      <c r="J190" s="752">
        <f>G190*I190/100</f>
        <v>288.47299805790624</v>
      </c>
      <c r="K190" s="256"/>
      <c r="L190" s="762">
        <v>0</v>
      </c>
      <c r="M190" s="762">
        <v>0</v>
      </c>
      <c r="N190" s="762">
        <f>J190-L190-M190</f>
        <v>288.47299805790624</v>
      </c>
      <c r="O190" s="256"/>
      <c r="P190" s="35">
        <v>7.7787252976260675</v>
      </c>
      <c r="Q190" s="762">
        <v>0</v>
      </c>
      <c r="R190" s="762">
        <v>0</v>
      </c>
      <c r="S190" s="771"/>
      <c r="T190" s="68">
        <f>N190+P190+Q190+R190</f>
        <v>296.25172335553231</v>
      </c>
      <c r="U190" s="911">
        <f>T190/G190*100</f>
        <v>0.61392975477442846</v>
      </c>
      <c r="V190" s="762">
        <f>T190-J190</f>
        <v>7.7787252976260675</v>
      </c>
      <c r="W190" s="770"/>
      <c r="X190" s="769"/>
      <c r="Z190" s="938"/>
      <c r="AB190" s="938"/>
      <c r="AD190" s="938"/>
      <c r="AF190" s="971"/>
    </row>
    <row r="191" spans="1:32">
      <c r="A191" s="4">
        <v>82</v>
      </c>
      <c r="B191" s="256"/>
      <c r="C191" s="7" t="s">
        <v>712</v>
      </c>
      <c r="D191" s="256"/>
      <c r="E191" s="742"/>
      <c r="F191" s="256"/>
      <c r="G191" s="420">
        <f>SUM(G189:G190)</f>
        <v>52646.499000000003</v>
      </c>
      <c r="H191" s="750"/>
      <c r="I191" s="891">
        <f>J191/G191*100</f>
        <v>0.55422094434096625</v>
      </c>
      <c r="J191" s="913">
        <f>SUM(J189:J190)</f>
        <v>291.77792392025736</v>
      </c>
      <c r="K191" s="752"/>
      <c r="L191" s="416">
        <f>SUM(L189:L190)</f>
        <v>0</v>
      </c>
      <c r="M191" s="416">
        <f>SUM(M189:M190)</f>
        <v>0</v>
      </c>
      <c r="N191" s="805">
        <f>SUM(N189:N190)</f>
        <v>291.77792392025736</v>
      </c>
      <c r="O191" s="913"/>
      <c r="P191" s="420">
        <f>SUM(P189:P190)</f>
        <v>7.8678432067036068</v>
      </c>
      <c r="Q191" s="416">
        <f>SUM(Q189:Q190)</f>
        <v>0</v>
      </c>
      <c r="R191" s="416">
        <f>SUM(R189:R190)</f>
        <v>0</v>
      </c>
      <c r="S191" s="752"/>
      <c r="T191" s="420">
        <f>SUM(T189:T190)</f>
        <v>299.645767126961</v>
      </c>
      <c r="U191" s="912">
        <f>T191/G191*100</f>
        <v>0.56916560990496445</v>
      </c>
      <c r="V191" s="805">
        <f>SUM(V189:V190)</f>
        <v>7.8678432067036068</v>
      </c>
      <c r="W191" s="804">
        <f>U191/I191-1</f>
        <v>2.696517646363783E-2</v>
      </c>
      <c r="X191" s="769"/>
      <c r="Z191" s="938"/>
      <c r="AB191" s="938"/>
      <c r="AD191" s="938"/>
      <c r="AF191" s="971"/>
    </row>
    <row r="192" spans="1:32">
      <c r="A192" s="4"/>
      <c r="B192" s="256"/>
      <c r="D192" s="256"/>
      <c r="E192" s="36"/>
      <c r="F192" s="256"/>
      <c r="G192" s="818"/>
      <c r="H192" s="750"/>
      <c r="I192" s="909"/>
      <c r="J192" s="752"/>
      <c r="K192" s="256"/>
      <c r="L192" s="762"/>
      <c r="M192" s="762"/>
      <c r="N192" s="762"/>
      <c r="O192" s="256"/>
      <c r="P192" s="771"/>
      <c r="Q192" s="762"/>
      <c r="R192" s="762"/>
      <c r="S192" s="771"/>
      <c r="T192" s="68"/>
      <c r="U192" s="911"/>
      <c r="V192" s="762"/>
      <c r="W192" s="770"/>
      <c r="X192" s="769"/>
      <c r="Z192" s="938"/>
      <c r="AB192" s="938"/>
      <c r="AD192" s="938"/>
      <c r="AF192" s="971"/>
    </row>
    <row r="193" spans="1:32">
      <c r="A193" s="4">
        <v>83</v>
      </c>
      <c r="C193" s="7" t="s">
        <v>715</v>
      </c>
      <c r="E193" s="742" t="s">
        <v>674</v>
      </c>
      <c r="G193" s="35">
        <v>4391.5119999999997</v>
      </c>
      <c r="H193" s="752"/>
      <c r="I193" s="861">
        <v>5.4631962768658511E-2</v>
      </c>
      <c r="J193" s="752">
        <f>G193*I193/100</f>
        <v>2.3991692008211705</v>
      </c>
      <c r="L193" s="762">
        <v>0</v>
      </c>
      <c r="M193" s="762">
        <v>0</v>
      </c>
      <c r="N193" s="762">
        <f>J193-L193-M193</f>
        <v>2.3991692008211705</v>
      </c>
      <c r="P193" s="35">
        <v>6.4694020866267632E-2</v>
      </c>
      <c r="Q193" s="762">
        <v>0</v>
      </c>
      <c r="R193" s="762">
        <v>0</v>
      </c>
      <c r="S193" s="68"/>
      <c r="T193" s="68">
        <f>N193+P193+Q193+R193</f>
        <v>2.4638632216874381</v>
      </c>
      <c r="U193" s="911">
        <f>T193/G193*100</f>
        <v>5.6105123285270272E-2</v>
      </c>
      <c r="V193" s="762">
        <f>T193-J193</f>
        <v>6.4694020866267632E-2</v>
      </c>
      <c r="W193" s="770">
        <f>U193/I193-1</f>
        <v>2.6965176463637608E-2</v>
      </c>
      <c r="X193" s="769"/>
      <c r="Z193" s="938"/>
      <c r="AB193" s="938"/>
      <c r="AD193" s="938"/>
      <c r="AF193" s="971"/>
    </row>
    <row r="194" spans="1:32">
      <c r="A194" s="4"/>
      <c r="B194" s="256"/>
      <c r="C194" s="7"/>
      <c r="D194" s="256"/>
      <c r="E194" s="134"/>
      <c r="F194" s="256"/>
      <c r="G194" s="910"/>
      <c r="H194" s="750"/>
      <c r="I194" s="909"/>
      <c r="J194" s="750"/>
      <c r="K194" s="256"/>
      <c r="L194" s="762"/>
      <c r="M194" s="504"/>
      <c r="N194" s="762"/>
      <c r="O194" s="256"/>
      <c r="P194" s="35"/>
      <c r="Q194" s="762"/>
      <c r="R194" s="762"/>
      <c r="S194" s="771"/>
      <c r="T194" s="771"/>
      <c r="U194" s="821"/>
      <c r="V194" s="504"/>
      <c r="W194" s="770"/>
      <c r="X194" s="769"/>
      <c r="Z194" s="938"/>
      <c r="AB194" s="938"/>
      <c r="AD194" s="938"/>
      <c r="AF194" s="971"/>
    </row>
    <row r="195" spans="1:32" ht="13.5" thickBot="1">
      <c r="A195" s="4">
        <v>84</v>
      </c>
      <c r="B195" s="256"/>
      <c r="C195" s="7" t="s">
        <v>743</v>
      </c>
      <c r="D195" s="256"/>
      <c r="E195" s="36"/>
      <c r="F195" s="256"/>
      <c r="G195" s="768">
        <f>G184</f>
        <v>52646.499000000003</v>
      </c>
      <c r="H195" s="256"/>
      <c r="I195" s="908">
        <f>J195/G195*100</f>
        <v>2.774700944673107</v>
      </c>
      <c r="J195" s="756">
        <f>J184+J186+J191+J193</f>
        <v>1460.7829050903181</v>
      </c>
      <c r="K195" s="750"/>
      <c r="L195" s="781">
        <f>L184+L186+L191+L193</f>
        <v>272.10434456292859</v>
      </c>
      <c r="M195" s="781">
        <f>M184+M186+M191+M193</f>
        <v>0</v>
      </c>
      <c r="N195" s="781">
        <f>N184+N186+N191+N193</f>
        <v>1188.6785605273897</v>
      </c>
      <c r="O195" s="750"/>
      <c r="P195" s="756">
        <f>P184+P186+P191+P193</f>
        <v>32.052927143164091</v>
      </c>
      <c r="Q195" s="781">
        <f>Q184+Q186+Q191+Q193</f>
        <v>979.65831828089802</v>
      </c>
      <c r="R195" s="781">
        <f>R184+R186+R191+R193</f>
        <v>0</v>
      </c>
      <c r="S195" s="750"/>
      <c r="T195" s="756">
        <f>T184+T186+T191+T193</f>
        <v>2200.3898059514518</v>
      </c>
      <c r="U195" s="901">
        <f>T195/G195*100</f>
        <v>4.1795558066481338</v>
      </c>
      <c r="V195" s="781">
        <f>V184+V186+V191+V193</f>
        <v>739.60690086113345</v>
      </c>
      <c r="W195" s="780">
        <f>U195/I195-1</f>
        <v>0.50630856801778168</v>
      </c>
      <c r="X195" s="779"/>
      <c r="Z195" s="938"/>
      <c r="AB195" s="938"/>
      <c r="AD195" s="938"/>
      <c r="AF195" s="971"/>
    </row>
    <row r="196" spans="1:32" ht="13.5" thickTop="1">
      <c r="A196" s="4"/>
      <c r="B196" s="256"/>
      <c r="C196" s="7"/>
      <c r="D196" s="256"/>
      <c r="E196" s="36"/>
      <c r="F196" s="256"/>
      <c r="G196" s="35"/>
      <c r="H196" s="256"/>
      <c r="I196" s="909"/>
      <c r="J196" s="750"/>
      <c r="K196" s="750"/>
      <c r="L196" s="771"/>
      <c r="M196" s="771"/>
      <c r="N196" s="771"/>
      <c r="O196" s="771"/>
      <c r="P196" s="771"/>
      <c r="Q196" s="771"/>
      <c r="R196" s="771"/>
      <c r="S196" s="771"/>
      <c r="T196" s="771"/>
      <c r="U196" s="821"/>
      <c r="V196" s="771"/>
      <c r="W196" s="779"/>
      <c r="X196" s="779"/>
      <c r="Z196" s="938"/>
      <c r="AB196" s="938"/>
      <c r="AD196" s="938"/>
      <c r="AF196" s="971"/>
    </row>
    <row r="197" spans="1:32">
      <c r="A197" s="4"/>
      <c r="B197" s="256"/>
      <c r="C197" s="6" t="s">
        <v>169</v>
      </c>
      <c r="D197" s="256"/>
      <c r="E197" s="36"/>
      <c r="F197" s="256"/>
      <c r="G197" s="453"/>
      <c r="H197" s="256"/>
      <c r="I197" s="256"/>
      <c r="J197" s="256"/>
      <c r="K197" s="256"/>
      <c r="L197" s="762"/>
      <c r="M197" s="762"/>
      <c r="N197" s="762"/>
      <c r="O197" s="256"/>
      <c r="P197" s="256"/>
      <c r="Q197" s="504"/>
      <c r="R197" s="504"/>
      <c r="S197" s="256"/>
      <c r="T197" s="256"/>
      <c r="U197" s="256"/>
      <c r="V197" s="504"/>
      <c r="W197" s="504"/>
      <c r="Z197" s="938"/>
    </row>
    <row r="198" spans="1:32">
      <c r="A198" s="4">
        <v>85</v>
      </c>
      <c r="C198" s="7" t="s">
        <v>703</v>
      </c>
      <c r="E198" s="36" t="s">
        <v>704</v>
      </c>
      <c r="G198" s="35">
        <v>192</v>
      </c>
      <c r="I198" s="778">
        <v>134.92647936727528</v>
      </c>
      <c r="J198" s="752">
        <f>G198*I198/1000</f>
        <v>25.905884038516852</v>
      </c>
      <c r="L198" s="762">
        <v>0</v>
      </c>
      <c r="M198" s="762">
        <v>0</v>
      </c>
      <c r="N198" s="68">
        <f>J198-L198-M198</f>
        <v>25.905884038516852</v>
      </c>
      <c r="O198" s="68"/>
      <c r="P198" s="35">
        <v>0.69855673454514644</v>
      </c>
      <c r="Q198" s="762">
        <v>0</v>
      </c>
      <c r="R198" s="762">
        <v>0</v>
      </c>
      <c r="S198" s="68"/>
      <c r="T198" s="68">
        <f>N198+P198+Q198+R198</f>
        <v>26.604440773061999</v>
      </c>
      <c r="U198" s="915">
        <f>T198/G198*1000</f>
        <v>138.56479569303124</v>
      </c>
      <c r="V198" s="762">
        <f>T198-J198</f>
        <v>0.69855673454514644</v>
      </c>
      <c r="W198" s="770">
        <f>U198/I198-1</f>
        <v>2.696517646363783E-2</v>
      </c>
      <c r="X198" s="769"/>
      <c r="Z198" s="938"/>
      <c r="AB198" s="938"/>
      <c r="AD198" s="938"/>
      <c r="AF198" s="954"/>
    </row>
    <row r="199" spans="1:32">
      <c r="A199" s="4">
        <v>86</v>
      </c>
      <c r="B199" s="256"/>
      <c r="C199" s="512" t="s">
        <v>726</v>
      </c>
      <c r="D199" s="256"/>
      <c r="E199" s="36" t="s">
        <v>675</v>
      </c>
      <c r="F199" s="256"/>
      <c r="G199" s="35">
        <v>6138.48</v>
      </c>
      <c r="H199" s="256"/>
      <c r="I199" s="861">
        <v>9.0517208463813486</v>
      </c>
      <c r="J199" s="750">
        <f>G199*I199/100</f>
        <v>555.63807381094978</v>
      </c>
      <c r="K199" s="256"/>
      <c r="L199" s="762">
        <v>0</v>
      </c>
      <c r="M199" s="762">
        <v>0</v>
      </c>
      <c r="N199" s="68">
        <f>J199-L199-M199</f>
        <v>555.63807381094978</v>
      </c>
      <c r="O199" s="771"/>
      <c r="P199" s="35">
        <v>14.982878710228078</v>
      </c>
      <c r="Q199" s="762">
        <v>0</v>
      </c>
      <c r="R199" s="762">
        <v>0</v>
      </c>
      <c r="S199" s="771"/>
      <c r="T199" s="68">
        <f>N199+P199+Q199+R199</f>
        <v>570.62095252117786</v>
      </c>
      <c r="U199" s="911">
        <f>T199/G199*100</f>
        <v>9.2958020963036105</v>
      </c>
      <c r="V199" s="762">
        <f>T199-J199</f>
        <v>14.982878710228078</v>
      </c>
      <c r="W199" s="770">
        <f>U199/I199-1</f>
        <v>2.696517646363783E-2</v>
      </c>
      <c r="X199" s="769"/>
      <c r="Z199" s="938"/>
      <c r="AB199" s="938"/>
      <c r="AD199" s="938"/>
      <c r="AF199" s="949"/>
    </row>
    <row r="200" spans="1:32">
      <c r="A200" s="4"/>
      <c r="B200" s="256"/>
      <c r="C200" s="512" t="s">
        <v>705</v>
      </c>
      <c r="D200" s="256"/>
      <c r="E200" s="36"/>
      <c r="F200" s="256"/>
      <c r="G200" s="35"/>
      <c r="H200" s="256"/>
      <c r="I200" s="256"/>
      <c r="J200" s="750"/>
      <c r="K200" s="256"/>
      <c r="L200" s="762"/>
      <c r="M200" s="762"/>
      <c r="N200" s="68"/>
      <c r="O200" s="771"/>
      <c r="P200" s="35"/>
      <c r="Q200" s="762"/>
      <c r="R200" s="762"/>
      <c r="S200" s="771"/>
      <c r="T200" s="68"/>
      <c r="U200" s="792"/>
      <c r="V200" s="762"/>
      <c r="W200" s="770"/>
      <c r="X200" s="769"/>
      <c r="Z200" s="938"/>
      <c r="AB200" s="938"/>
      <c r="AD200" s="938"/>
    </row>
    <row r="201" spans="1:32">
      <c r="A201" s="4">
        <v>87</v>
      </c>
      <c r="B201" s="256"/>
      <c r="C201" s="512" t="s">
        <v>738</v>
      </c>
      <c r="D201" s="256"/>
      <c r="E201" s="36" t="s">
        <v>674</v>
      </c>
      <c r="F201" s="256"/>
      <c r="G201" s="35">
        <v>2496.9</v>
      </c>
      <c r="H201" s="256"/>
      <c r="I201" s="861">
        <v>7.1177262669002292</v>
      </c>
      <c r="J201" s="750">
        <f>G201*I201/100</f>
        <v>177.72250715823182</v>
      </c>
      <c r="K201" s="256"/>
      <c r="L201" s="35">
        <v>191.80981250237761</v>
      </c>
      <c r="M201" s="35">
        <v>0</v>
      </c>
      <c r="N201" s="68">
        <v>0</v>
      </c>
      <c r="O201" s="771"/>
      <c r="P201" s="35">
        <v>0</v>
      </c>
      <c r="Q201" s="35">
        <v>50.747074313533822</v>
      </c>
      <c r="R201" s="762">
        <v>0</v>
      </c>
      <c r="S201" s="771"/>
      <c r="T201" s="68">
        <f>N201+P201+Q201+R201</f>
        <v>50.747074313533822</v>
      </c>
      <c r="U201" s="911">
        <f>T201/G201*100</f>
        <v>2.0324031524503914</v>
      </c>
      <c r="V201" s="762">
        <f>T201-J201</f>
        <v>-126.97543284469799</v>
      </c>
      <c r="W201" s="970"/>
      <c r="X201" s="785"/>
      <c r="Z201" s="938"/>
      <c r="AB201" s="962"/>
      <c r="AD201" s="938"/>
      <c r="AF201" s="949"/>
    </row>
    <row r="202" spans="1:32">
      <c r="A202" s="4">
        <v>88</v>
      </c>
      <c r="B202" s="256"/>
      <c r="C202" s="512" t="s">
        <v>739</v>
      </c>
      <c r="D202" s="256"/>
      <c r="E202" s="36" t="s">
        <v>674</v>
      </c>
      <c r="F202" s="256"/>
      <c r="G202" s="35">
        <v>4159.7690000000002</v>
      </c>
      <c r="H202" s="256"/>
      <c r="I202" s="861">
        <v>5.7435509933484221</v>
      </c>
      <c r="J202" s="750">
        <f>G202*I202/100</f>
        <v>238.91845372049974</v>
      </c>
      <c r="K202" s="256"/>
      <c r="L202" s="35">
        <v>319.55004683535697</v>
      </c>
      <c r="M202" s="35">
        <v>0</v>
      </c>
      <c r="N202" s="68">
        <v>0</v>
      </c>
      <c r="O202" s="771"/>
      <c r="P202" s="35">
        <v>0</v>
      </c>
      <c r="Q202" s="35">
        <v>84.54327629065412</v>
      </c>
      <c r="R202" s="762">
        <v>0</v>
      </c>
      <c r="S202" s="771"/>
      <c r="T202" s="68">
        <f>N202+P202+Q202+R202</f>
        <v>84.54327629065412</v>
      </c>
      <c r="U202" s="911">
        <f>T202/G202*100</f>
        <v>2.0324031524503914</v>
      </c>
      <c r="V202" s="762">
        <f>T202-J202</f>
        <v>-154.37517742984562</v>
      </c>
      <c r="W202" s="970"/>
      <c r="X202" s="785"/>
      <c r="Z202" s="938"/>
      <c r="AB202" s="962"/>
      <c r="AD202" s="962"/>
      <c r="AF202" s="949"/>
    </row>
    <row r="203" spans="1:32">
      <c r="A203" s="4">
        <v>89</v>
      </c>
      <c r="B203" s="256"/>
      <c r="C203" s="512" t="s">
        <v>740</v>
      </c>
      <c r="D203" s="256"/>
      <c r="E203" s="36" t="s">
        <v>674</v>
      </c>
      <c r="F203" s="256"/>
      <c r="G203" s="35">
        <v>9056.9930000000004</v>
      </c>
      <c r="H203" s="256"/>
      <c r="I203" s="861">
        <v>5.1780445123461263</v>
      </c>
      <c r="J203" s="750">
        <f>G203*I203/100</f>
        <v>468.97512902007276</v>
      </c>
      <c r="K203" s="256"/>
      <c r="L203" s="35">
        <v>695.75078263660794</v>
      </c>
      <c r="M203" s="35">
        <v>0</v>
      </c>
      <c r="N203" s="68">
        <v>0</v>
      </c>
      <c r="O203" s="771"/>
      <c r="P203" s="35">
        <v>0</v>
      </c>
      <c r="Q203" s="35">
        <v>184.07461124921127</v>
      </c>
      <c r="R203" s="762">
        <v>0</v>
      </c>
      <c r="S203" s="771"/>
      <c r="T203" s="68">
        <f>N203+P203+Q203+R203</f>
        <v>184.07461124921127</v>
      </c>
      <c r="U203" s="911">
        <f>T203/G203*100</f>
        <v>2.0324031524503914</v>
      </c>
      <c r="V203" s="762">
        <f>T203-J203</f>
        <v>-284.90051777086148</v>
      </c>
      <c r="W203" s="970"/>
      <c r="X203" s="785"/>
      <c r="Z203" s="938"/>
      <c r="AB203" s="962"/>
      <c r="AD203" s="962"/>
      <c r="AF203" s="949"/>
    </row>
    <row r="204" spans="1:32">
      <c r="A204" s="4">
        <v>90</v>
      </c>
      <c r="B204" s="256"/>
      <c r="C204" s="512" t="s">
        <v>705</v>
      </c>
      <c r="D204" s="256"/>
      <c r="E204" s="742"/>
      <c r="F204" s="256"/>
      <c r="G204" s="137">
        <f>SUM(G201:G203)</f>
        <v>15713.662</v>
      </c>
      <c r="H204" s="256"/>
      <c r="I204" s="806">
        <f>J204/G204*100</f>
        <v>5.6359624503747403</v>
      </c>
      <c r="J204" s="808">
        <f>SUM(J201:J203)</f>
        <v>885.61608989880438</v>
      </c>
      <c r="K204" s="256"/>
      <c r="L204" s="805">
        <f>SUM(L201:L203)</f>
        <v>1207.1106419743426</v>
      </c>
      <c r="M204" s="805">
        <f>SUM(M201:M203)</f>
        <v>0</v>
      </c>
      <c r="N204" s="805">
        <f>SUM(N201:N203)</f>
        <v>0</v>
      </c>
      <c r="O204" s="771"/>
      <c r="P204" s="807">
        <f>SUM(P201:P203)</f>
        <v>0</v>
      </c>
      <c r="Q204" s="807">
        <f>SUM(Q201:Q203)</f>
        <v>319.36496185339922</v>
      </c>
      <c r="R204" s="807">
        <f>SUM(R201:R203)</f>
        <v>0</v>
      </c>
      <c r="S204" s="771"/>
      <c r="T204" s="807">
        <f>SUM(T201:T203)</f>
        <v>319.36496185339922</v>
      </c>
      <c r="U204" s="912">
        <f>T204/G204*100</f>
        <v>2.0324031524503914</v>
      </c>
      <c r="V204" s="805">
        <f>SUM(V201:V203)</f>
        <v>-566.25112804540504</v>
      </c>
      <c r="W204" s="816">
        <f>U204/I204-1</f>
        <v>-0.63938667612747224</v>
      </c>
      <c r="X204" s="785"/>
      <c r="Z204" s="938"/>
      <c r="AB204" s="962"/>
      <c r="AD204" s="962"/>
      <c r="AF204" s="949"/>
    </row>
    <row r="205" spans="1:32">
      <c r="A205" s="4"/>
      <c r="C205" s="7"/>
      <c r="L205" s="762"/>
      <c r="M205" s="762"/>
      <c r="N205" s="762"/>
      <c r="O205" s="68"/>
      <c r="P205" s="68"/>
      <c r="Q205" s="762"/>
      <c r="R205" s="762"/>
      <c r="S205" s="68"/>
      <c r="T205" s="68"/>
      <c r="U205" s="793"/>
      <c r="V205" s="762"/>
      <c r="W205" s="762"/>
      <c r="X205" s="769"/>
    </row>
    <row r="206" spans="1:32">
      <c r="A206" s="4">
        <v>91</v>
      </c>
      <c r="B206" s="734"/>
      <c r="C206" s="7" t="s">
        <v>744</v>
      </c>
      <c r="D206" s="734"/>
      <c r="E206" s="734"/>
      <c r="F206" s="734"/>
      <c r="G206" s="35">
        <v>172.20451506849315</v>
      </c>
      <c r="H206" s="3"/>
      <c r="I206" s="35">
        <v>0</v>
      </c>
      <c r="J206" s="136">
        <v>0</v>
      </c>
      <c r="K206" s="734"/>
      <c r="L206" s="762">
        <v>0</v>
      </c>
      <c r="M206" s="762">
        <v>0</v>
      </c>
      <c r="N206" s="762">
        <f>J206-L206-M206</f>
        <v>0</v>
      </c>
      <c r="O206" s="790"/>
      <c r="P206" s="136">
        <v>0</v>
      </c>
      <c r="Q206" s="827">
        <v>0</v>
      </c>
      <c r="R206" s="827">
        <v>0</v>
      </c>
      <c r="S206" s="906"/>
      <c r="T206" s="136">
        <f>N206+P206+Q206+R206</f>
        <v>0</v>
      </c>
      <c r="U206" s="827">
        <v>0</v>
      </c>
      <c r="V206" s="827">
        <v>0</v>
      </c>
      <c r="W206" s="834"/>
      <c r="X206" s="866"/>
    </row>
    <row r="207" spans="1:32">
      <c r="A207" s="4">
        <v>92</v>
      </c>
      <c r="B207" s="734"/>
      <c r="C207" s="7" t="s">
        <v>745</v>
      </c>
      <c r="D207" s="734"/>
      <c r="E207" s="734"/>
      <c r="F207" s="734"/>
      <c r="G207" s="762">
        <v>0</v>
      </c>
      <c r="I207" s="762">
        <v>0</v>
      </c>
      <c r="J207" s="827">
        <v>0</v>
      </c>
      <c r="K207" s="734"/>
      <c r="L207" s="762">
        <v>0</v>
      </c>
      <c r="M207" s="762">
        <v>0</v>
      </c>
      <c r="N207" s="762">
        <f>J207-L207-M207</f>
        <v>0</v>
      </c>
      <c r="O207" s="790"/>
      <c r="P207" s="136">
        <v>0</v>
      </c>
      <c r="Q207" s="827">
        <v>0</v>
      </c>
      <c r="R207" s="827">
        <v>0</v>
      </c>
      <c r="S207" s="906"/>
      <c r="T207" s="136">
        <f>N207+P207+Q207+R207</f>
        <v>0</v>
      </c>
      <c r="U207" s="827">
        <v>0</v>
      </c>
      <c r="V207" s="827">
        <v>0</v>
      </c>
      <c r="W207" s="834"/>
      <c r="X207" s="866"/>
    </row>
    <row r="208" spans="1:32">
      <c r="A208" s="4"/>
      <c r="B208" s="385"/>
      <c r="C208" s="7"/>
      <c r="D208" s="385"/>
      <c r="E208" s="447"/>
      <c r="F208" s="385"/>
      <c r="G208" s="447"/>
      <c r="H208" s="385"/>
      <c r="I208" s="385"/>
      <c r="J208" s="888"/>
      <c r="K208" s="385"/>
      <c r="L208" s="762"/>
      <c r="M208" s="762"/>
      <c r="N208" s="762"/>
      <c r="O208" s="789"/>
      <c r="P208" s="789"/>
      <c r="Q208" s="762"/>
      <c r="R208" s="762"/>
      <c r="S208" s="789"/>
      <c r="T208" s="789"/>
      <c r="U208" s="905"/>
      <c r="V208" s="762"/>
      <c r="W208" s="770"/>
      <c r="X208" s="769"/>
    </row>
    <row r="209" spans="1:32">
      <c r="A209" s="4">
        <v>93</v>
      </c>
      <c r="B209" s="447"/>
      <c r="C209" s="7" t="s">
        <v>710</v>
      </c>
      <c r="D209" s="447"/>
      <c r="E209" s="385"/>
      <c r="F209" s="447"/>
      <c r="G209" s="137">
        <f>G204</f>
        <v>15713.662</v>
      </c>
      <c r="H209" s="447"/>
      <c r="I209" s="829">
        <f>J209/G209*100</f>
        <v>9.3368436189366371</v>
      </c>
      <c r="J209" s="852">
        <f>J198+J199+J204+J206+J207</f>
        <v>1467.1600477482712</v>
      </c>
      <c r="K209" s="818"/>
      <c r="L209" s="137">
        <f>L198+L199+L204+L206+L207</f>
        <v>1207.1106419743426</v>
      </c>
      <c r="M209" s="137">
        <f>M198+M199+M204+M206+M207</f>
        <v>0</v>
      </c>
      <c r="N209" s="137">
        <f>N198+N199+N204+N206+N207</f>
        <v>581.54395784946666</v>
      </c>
      <c r="O209" s="818"/>
      <c r="P209" s="137">
        <f>P198+P199+P204+P206+P207</f>
        <v>15.681435444773225</v>
      </c>
      <c r="Q209" s="137">
        <f>Q198+Q199+Q204+Q206+Q207</f>
        <v>319.36496185339922</v>
      </c>
      <c r="R209" s="137">
        <f>R198+R199+R204+R206+R207</f>
        <v>0</v>
      </c>
      <c r="S209" s="453"/>
      <c r="T209" s="137">
        <f>T198+T199+T204+T206+T207</f>
        <v>916.59035514763912</v>
      </c>
      <c r="U209" s="912">
        <f>T209/G209*100</f>
        <v>5.8330792347935132</v>
      </c>
      <c r="V209" s="137">
        <f>V198+V199+V204+V206+V207</f>
        <v>-550.56969260063181</v>
      </c>
      <c r="W209" s="816">
        <f>U209/I209-1</f>
        <v>-0.37526219000143901</v>
      </c>
      <c r="X209" s="785"/>
    </row>
    <row r="210" spans="1:32">
      <c r="A210" s="4"/>
      <c r="B210" s="254"/>
      <c r="C210" s="254"/>
      <c r="D210" s="254"/>
      <c r="E210" s="4"/>
      <c r="F210" s="254"/>
      <c r="G210" s="13"/>
      <c r="H210" s="254"/>
      <c r="I210" s="254"/>
      <c r="J210" s="254"/>
      <c r="K210" s="254"/>
      <c r="L210" s="762"/>
      <c r="M210" s="762"/>
      <c r="N210" s="762"/>
      <c r="O210" s="786"/>
      <c r="P210" s="786"/>
      <c r="Q210" s="762"/>
      <c r="R210" s="762"/>
      <c r="S210" s="786"/>
      <c r="T210" s="786"/>
      <c r="U210" s="855"/>
      <c r="V210" s="762"/>
      <c r="W210" s="762"/>
      <c r="X210" s="769"/>
    </row>
    <row r="211" spans="1:32">
      <c r="A211" s="4">
        <v>94</v>
      </c>
      <c r="B211" s="256"/>
      <c r="C211" s="9" t="s">
        <v>711</v>
      </c>
      <c r="D211" s="256"/>
      <c r="E211" s="742" t="s">
        <v>674</v>
      </c>
      <c r="F211" s="256"/>
      <c r="G211" s="35">
        <v>15713.662</v>
      </c>
      <c r="H211" s="256"/>
      <c r="I211" s="861">
        <v>0.313225964354921</v>
      </c>
      <c r="J211" s="750">
        <f>G211*I211/100</f>
        <v>49.219269334972772</v>
      </c>
      <c r="K211" s="256"/>
      <c r="L211" s="762">
        <v>0</v>
      </c>
      <c r="M211" s="35">
        <v>23.910450696564268</v>
      </c>
      <c r="N211" s="762">
        <f>J211-L211-M211</f>
        <v>25.308818638408503</v>
      </c>
      <c r="O211" s="771"/>
      <c r="P211" s="35">
        <v>0.68245676067089178</v>
      </c>
      <c r="Q211" s="762">
        <v>0</v>
      </c>
      <c r="R211" s="35">
        <v>23.82768445233804</v>
      </c>
      <c r="S211" s="771"/>
      <c r="T211" s="771">
        <f>N211+P211+Q211+R211</f>
        <v>49.818959851417432</v>
      </c>
      <c r="U211" s="911">
        <f>T211/G211*100</f>
        <v>0.31704232820724687</v>
      </c>
      <c r="V211" s="762">
        <f>T211-J211</f>
        <v>0.5996905164446602</v>
      </c>
      <c r="W211" s="970">
        <f>U211/I211-1</f>
        <v>1.2184059709690942E-2</v>
      </c>
      <c r="X211" s="785"/>
      <c r="Z211" s="938"/>
      <c r="AB211" s="938"/>
      <c r="AD211" s="938"/>
      <c r="AF211" s="949"/>
    </row>
    <row r="212" spans="1:32">
      <c r="A212" s="4"/>
      <c r="B212" s="256"/>
      <c r="C212" s="9"/>
      <c r="D212" s="256"/>
      <c r="E212" s="742"/>
      <c r="F212" s="256"/>
      <c r="G212" s="35"/>
      <c r="H212" s="256"/>
      <c r="I212" s="861"/>
      <c r="J212" s="750"/>
      <c r="K212" s="256"/>
      <c r="L212" s="762"/>
      <c r="M212" s="35"/>
      <c r="N212" s="762"/>
      <c r="O212" s="771"/>
      <c r="P212" s="35"/>
      <c r="Q212" s="762"/>
      <c r="R212" s="35"/>
      <c r="S212" s="771"/>
      <c r="T212" s="771"/>
      <c r="U212" s="792"/>
      <c r="V212" s="762"/>
      <c r="W212" s="970"/>
      <c r="X212" s="785"/>
      <c r="Z212" s="938"/>
      <c r="AB212" s="938"/>
      <c r="AD212" s="938"/>
      <c r="AF212" s="949"/>
    </row>
    <row r="213" spans="1:32">
      <c r="A213" s="4"/>
      <c r="B213" s="256"/>
      <c r="C213" s="7" t="s">
        <v>712</v>
      </c>
      <c r="D213" s="256"/>
      <c r="E213" s="742"/>
      <c r="F213" s="256"/>
      <c r="G213" s="35"/>
      <c r="H213" s="256"/>
      <c r="I213" s="861"/>
      <c r="J213" s="750"/>
      <c r="K213" s="256"/>
      <c r="L213" s="762"/>
      <c r="M213" s="35"/>
      <c r="N213" s="762"/>
      <c r="O213" s="771"/>
      <c r="P213" s="35"/>
      <c r="Q213" s="762"/>
      <c r="R213" s="35"/>
      <c r="S213" s="771"/>
      <c r="T213" s="771"/>
      <c r="U213" s="792"/>
      <c r="V213" s="762"/>
      <c r="W213" s="970"/>
      <c r="X213" s="785"/>
      <c r="Z213" s="938"/>
      <c r="AB213" s="938"/>
      <c r="AD213" s="938"/>
      <c r="AF213" s="949"/>
    </row>
    <row r="214" spans="1:32">
      <c r="A214" s="4">
        <v>95</v>
      </c>
      <c r="B214" s="256"/>
      <c r="C214" s="9" t="s">
        <v>713</v>
      </c>
      <c r="D214" s="256"/>
      <c r="E214" s="742" t="s">
        <v>674</v>
      </c>
      <c r="F214" s="256"/>
      <c r="G214" s="35">
        <v>573.62400000000002</v>
      </c>
      <c r="H214" s="256"/>
      <c r="I214" s="861">
        <v>7.5289808966364308E-2</v>
      </c>
      <c r="J214" s="752">
        <f>G214*I214/100</f>
        <v>0.43188041378521758</v>
      </c>
      <c r="K214" s="256"/>
      <c r="L214" s="762">
        <v>0</v>
      </c>
      <c r="M214" s="762">
        <v>0</v>
      </c>
      <c r="N214" s="762">
        <f>J214-L214-M214</f>
        <v>0.43188041378521758</v>
      </c>
      <c r="O214" s="771"/>
      <c r="P214" s="35">
        <v>1.1645731568907303E-2</v>
      </c>
      <c r="Q214" s="762">
        <v>0</v>
      </c>
      <c r="R214" s="762">
        <v>0</v>
      </c>
      <c r="S214" s="771"/>
      <c r="T214" s="771">
        <f>N214+P214+Q214+R214</f>
        <v>0.44352614535412488</v>
      </c>
      <c r="U214" s="911">
        <f>T214/G214*100</f>
        <v>7.7320011951055895E-2</v>
      </c>
      <c r="V214" s="762">
        <f>T214-J214</f>
        <v>1.1645731568907303E-2</v>
      </c>
      <c r="W214" s="770"/>
      <c r="X214" s="769"/>
      <c r="Z214" s="938"/>
      <c r="AB214" s="938"/>
      <c r="AD214" s="938"/>
      <c r="AF214" s="949"/>
    </row>
    <row r="215" spans="1:32">
      <c r="A215" s="4">
        <v>96</v>
      </c>
      <c r="B215" s="256"/>
      <c r="C215" s="9" t="s">
        <v>714</v>
      </c>
      <c r="D215" s="256"/>
      <c r="E215" s="742" t="s">
        <v>674</v>
      </c>
      <c r="F215" s="256"/>
      <c r="G215" s="35">
        <v>15140.038</v>
      </c>
      <c r="H215" s="256"/>
      <c r="I215" s="861">
        <v>0.59779013912243695</v>
      </c>
      <c r="J215" s="752">
        <f>G215*I215/100</f>
        <v>90.505654223389826</v>
      </c>
      <c r="K215" s="256"/>
      <c r="L215" s="762">
        <v>0</v>
      </c>
      <c r="M215" s="762">
        <v>0</v>
      </c>
      <c r="N215" s="762">
        <f>J215-L215-M215</f>
        <v>90.505654223389826</v>
      </c>
      <c r="O215" s="771"/>
      <c r="P215" s="35">
        <v>2.4405009370906896</v>
      </c>
      <c r="Q215" s="762">
        <v>0</v>
      </c>
      <c r="R215" s="762">
        <v>0</v>
      </c>
      <c r="S215" s="771"/>
      <c r="T215" s="771">
        <f>N215+P215+Q215+R215</f>
        <v>92.946155160480515</v>
      </c>
      <c r="U215" s="911">
        <f>T215/G215*100</f>
        <v>0.6139096557120961</v>
      </c>
      <c r="V215" s="762">
        <f>T215-J215</f>
        <v>2.4405009370906896</v>
      </c>
      <c r="W215" s="770"/>
      <c r="X215" s="769"/>
      <c r="Z215" s="938"/>
      <c r="AB215" s="938"/>
      <c r="AD215" s="938"/>
      <c r="AF215" s="949"/>
    </row>
    <row r="216" spans="1:32">
      <c r="A216" s="4">
        <v>97</v>
      </c>
      <c r="B216" s="256"/>
      <c r="C216" s="7" t="s">
        <v>712</v>
      </c>
      <c r="D216" s="256"/>
      <c r="E216" s="742"/>
      <c r="F216" s="256"/>
      <c r="G216" s="420">
        <f>SUM(G214:G215)</f>
        <v>15713.662</v>
      </c>
      <c r="H216" s="256"/>
      <c r="I216" s="891">
        <f>J216/G216*100</f>
        <v>0.57871637201547954</v>
      </c>
      <c r="J216" s="808">
        <f>SUM(J214:J215)</f>
        <v>90.937534637175048</v>
      </c>
      <c r="K216" s="256"/>
      <c r="L216" s="805">
        <f>SUM(L214:L215)</f>
        <v>0</v>
      </c>
      <c r="M216" s="805">
        <f>SUM(M214:M215)</f>
        <v>0</v>
      </c>
      <c r="N216" s="805">
        <f>SUM(N214:N215)</f>
        <v>90.937534637175048</v>
      </c>
      <c r="O216" s="762"/>
      <c r="P216" s="805">
        <f>SUM(P214:P215)</f>
        <v>2.452146668659597</v>
      </c>
      <c r="Q216" s="805">
        <f>SUM(Q214:Q215)</f>
        <v>0</v>
      </c>
      <c r="R216" s="805">
        <f>SUM(R214:R215)</f>
        <v>0</v>
      </c>
      <c r="S216" s="762"/>
      <c r="T216" s="805">
        <f>SUM(T214:T215)</f>
        <v>93.389681305834642</v>
      </c>
      <c r="U216" s="912">
        <f>T216/G216*100</f>
        <v>0.59432156110927314</v>
      </c>
      <c r="V216" s="805">
        <f>SUM(V214:V215)</f>
        <v>2.452146668659597</v>
      </c>
      <c r="W216" s="804">
        <f>SUM(W214:W215)</f>
        <v>0</v>
      </c>
      <c r="X216" s="769"/>
      <c r="Z216" s="938"/>
      <c r="AB216" s="938"/>
      <c r="AD216" s="938"/>
      <c r="AF216" s="949"/>
    </row>
    <row r="217" spans="1:32">
      <c r="A217" s="4"/>
      <c r="B217" s="256"/>
      <c r="D217" s="256"/>
      <c r="E217" s="36"/>
      <c r="F217" s="256"/>
      <c r="G217" s="749"/>
      <c r="H217" s="256"/>
      <c r="I217" s="861"/>
      <c r="J217" s="750"/>
      <c r="K217" s="256"/>
      <c r="L217" s="762"/>
      <c r="M217" s="762"/>
      <c r="N217" s="762"/>
      <c r="O217" s="771"/>
      <c r="P217" s="35"/>
      <c r="Q217" s="762"/>
      <c r="R217" s="762">
        <v>0</v>
      </c>
      <c r="S217" s="771"/>
      <c r="T217" s="771"/>
      <c r="U217" s="792"/>
      <c r="V217" s="762"/>
      <c r="W217" s="770"/>
      <c r="X217" s="769"/>
      <c r="Z217" s="938"/>
      <c r="AB217" s="938"/>
      <c r="AD217" s="938"/>
      <c r="AF217" s="949"/>
    </row>
    <row r="218" spans="1:32">
      <c r="A218" s="4">
        <v>98</v>
      </c>
      <c r="B218" s="256"/>
      <c r="C218" s="7" t="s">
        <v>715</v>
      </c>
      <c r="D218" s="256"/>
      <c r="E218" s="742" t="s">
        <v>674</v>
      </c>
      <c r="F218" s="256"/>
      <c r="G218" s="35">
        <v>573.62400000000002</v>
      </c>
      <c r="H218" s="256"/>
      <c r="I218" s="861">
        <v>5.0893907369881836E-2</v>
      </c>
      <c r="J218" s="752">
        <f>G218*I218/100</f>
        <v>0.29193966721141096</v>
      </c>
      <c r="K218" s="256"/>
      <c r="L218" s="762">
        <v>0</v>
      </c>
      <c r="M218" s="762">
        <v>0</v>
      </c>
      <c r="N218" s="762">
        <f>J218-L218-M218</f>
        <v>0.29193966721141096</v>
      </c>
      <c r="O218" s="771"/>
      <c r="P218" s="35">
        <v>7.8722046430914072E-3</v>
      </c>
      <c r="Q218" s="762">
        <v>0</v>
      </c>
      <c r="R218" s="762">
        <v>0</v>
      </c>
      <c r="S218" s="771"/>
      <c r="T218" s="771">
        <f>N218+P218+Q218+R218</f>
        <v>0.29981187185450237</v>
      </c>
      <c r="U218" s="911">
        <f>T218/G218*100</f>
        <v>5.2266270563034734E-2</v>
      </c>
      <c r="V218" s="762">
        <f>T218-J218</f>
        <v>7.8722046430914072E-3</v>
      </c>
      <c r="W218" s="770">
        <f>U218/I218-1</f>
        <v>2.696517646363783E-2</v>
      </c>
      <c r="X218" s="769"/>
      <c r="Z218" s="938"/>
      <c r="AB218" s="938"/>
      <c r="AD218" s="938"/>
      <c r="AF218" s="949"/>
    </row>
    <row r="219" spans="1:32">
      <c r="A219" s="4"/>
      <c r="B219" s="256"/>
      <c r="C219" s="7"/>
      <c r="D219" s="256"/>
      <c r="E219" s="36"/>
      <c r="F219" s="256"/>
      <c r="G219" s="35"/>
      <c r="H219" s="256"/>
      <c r="I219" s="792"/>
      <c r="J219" s="256"/>
      <c r="K219" s="256"/>
      <c r="L219" s="762"/>
      <c r="M219" s="762"/>
      <c r="N219" s="762"/>
      <c r="O219" s="771"/>
      <c r="P219" s="771"/>
      <c r="Q219" s="762"/>
      <c r="R219" s="762"/>
      <c r="S219" s="771"/>
      <c r="T219" s="771"/>
      <c r="U219" s="792"/>
      <c r="V219" s="762"/>
      <c r="W219" s="770"/>
      <c r="X219" s="769"/>
      <c r="Z219" s="938"/>
    </row>
    <row r="220" spans="1:32" ht="13.5" thickBot="1">
      <c r="A220" s="4">
        <v>99</v>
      </c>
      <c r="B220" s="256"/>
      <c r="C220" s="7" t="s">
        <v>746</v>
      </c>
      <c r="D220" s="256"/>
      <c r="E220" s="36"/>
      <c r="F220" s="256"/>
      <c r="G220" s="768">
        <f>G209</f>
        <v>15713.662</v>
      </c>
      <c r="H220" s="256"/>
      <c r="I220" s="803">
        <f>J220/G220*100</f>
        <v>10.230643826929905</v>
      </c>
      <c r="J220" s="756">
        <f>J209+J211+J216+J218</f>
        <v>1607.6087913876304</v>
      </c>
      <c r="K220" s="750"/>
      <c r="L220" s="781">
        <f>L209+L211+L216+L218</f>
        <v>1207.1106419743426</v>
      </c>
      <c r="M220" s="781">
        <f>M209+M211+M216+M218</f>
        <v>23.910450696564268</v>
      </c>
      <c r="N220" s="781">
        <f>N209+N211+N216+N218</f>
        <v>698.08225079226168</v>
      </c>
      <c r="O220" s="750"/>
      <c r="P220" s="781">
        <f>P209+P211+P216+P218</f>
        <v>18.823911078746807</v>
      </c>
      <c r="Q220" s="781">
        <f>Q209+Q211+Q216+Q218</f>
        <v>319.36496185339922</v>
      </c>
      <c r="R220" s="781">
        <f>R209+R211+R216+R218</f>
        <v>23.82768445233804</v>
      </c>
      <c r="S220" s="771"/>
      <c r="T220" s="781">
        <f>T209+T211+T216+T218</f>
        <v>1060.0988081767457</v>
      </c>
      <c r="U220" s="901">
        <f>T220/G220*100</f>
        <v>6.7463510935690589</v>
      </c>
      <c r="V220" s="781">
        <f>V209+V211+V216+V218</f>
        <v>-547.50998321088457</v>
      </c>
      <c r="W220" s="815">
        <f>U220/I220-1</f>
        <v>-0.34057414101243721</v>
      </c>
      <c r="X220" s="785"/>
      <c r="Z220" s="938"/>
      <c r="AB220" s="938"/>
      <c r="AD220" s="938"/>
      <c r="AF220" s="949"/>
    </row>
    <row r="221" spans="1:32" ht="13.5" thickTop="1">
      <c r="L221" s="2"/>
      <c r="M221" s="2"/>
      <c r="N221" s="504"/>
      <c r="Q221" s="504"/>
      <c r="R221" s="504"/>
      <c r="U221" s="793"/>
      <c r="V221" s="753"/>
      <c r="W221" s="504"/>
      <c r="Z221" s="938"/>
      <c r="AB221" s="938"/>
      <c r="AD221" s="938"/>
      <c r="AF221" s="949"/>
    </row>
    <row r="222" spans="1:32">
      <c r="L222" s="2"/>
      <c r="M222" s="2"/>
      <c r="N222" s="504"/>
      <c r="Q222" s="504"/>
      <c r="R222" s="504"/>
      <c r="U222" s="793"/>
      <c r="V222" s="753"/>
      <c r="W222" s="504"/>
      <c r="Z222" s="938"/>
      <c r="AB222" s="938"/>
      <c r="AD222" s="938"/>
      <c r="AF222" s="949"/>
    </row>
    <row r="223" spans="1:32">
      <c r="L223" s="2"/>
      <c r="M223" s="2"/>
      <c r="N223" s="504"/>
      <c r="Q223" s="504"/>
      <c r="R223" s="504"/>
      <c r="V223" s="753"/>
      <c r="W223" s="504"/>
      <c r="Z223" s="938"/>
      <c r="AB223" s="938"/>
      <c r="AD223" s="938"/>
      <c r="AF223" s="949"/>
    </row>
    <row r="224" spans="1:32">
      <c r="L224" s="2"/>
      <c r="M224" s="2"/>
      <c r="N224" s="504"/>
      <c r="Q224" s="504"/>
      <c r="R224" s="504"/>
      <c r="V224" s="504"/>
      <c r="W224" s="504"/>
      <c r="Z224" s="938"/>
      <c r="AB224" s="938"/>
      <c r="AD224" s="938"/>
      <c r="AF224" s="949"/>
    </row>
    <row r="225" spans="1:32">
      <c r="L225" s="2"/>
      <c r="M225" s="2"/>
      <c r="N225" s="504"/>
      <c r="Q225" s="504"/>
      <c r="R225" s="504"/>
      <c r="V225" s="504"/>
      <c r="W225" s="504"/>
      <c r="X225" s="665"/>
      <c r="Z225" s="938"/>
      <c r="AB225" s="938"/>
      <c r="AD225" s="938"/>
      <c r="AF225" s="949"/>
    </row>
    <row r="226" spans="1:32">
      <c r="A226" s="1324" t="s">
        <v>724</v>
      </c>
      <c r="B226" s="1324"/>
      <c r="C226" s="1324"/>
      <c r="D226" s="1324"/>
      <c r="E226" s="1324"/>
      <c r="F226" s="1324"/>
      <c r="G226" s="1324"/>
      <c r="H226" s="1324"/>
      <c r="I226" s="1324"/>
      <c r="J226" s="1324"/>
      <c r="K226" s="1324"/>
      <c r="L226" s="1324"/>
      <c r="M226" s="1324"/>
      <c r="N226" s="1324"/>
      <c r="O226" s="1324"/>
      <c r="P226" s="1324"/>
      <c r="Q226" s="1324"/>
      <c r="R226" s="1324"/>
      <c r="S226" s="1324"/>
      <c r="T226" s="1324"/>
      <c r="U226" s="1324"/>
      <c r="V226" s="1324"/>
      <c r="W226" s="1324"/>
      <c r="X226" s="644"/>
      <c r="Y226" s="644"/>
      <c r="Z226" s="938"/>
      <c r="AB226" s="938"/>
      <c r="AD226" s="938"/>
      <c r="AF226" s="949"/>
    </row>
    <row r="227" spans="1:32">
      <c r="A227" s="1324" t="s">
        <v>938</v>
      </c>
      <c r="B227" s="1324"/>
      <c r="C227" s="1324"/>
      <c r="D227" s="1324"/>
      <c r="E227" s="1324"/>
      <c r="F227" s="1324"/>
      <c r="G227" s="1324"/>
      <c r="H227" s="1324"/>
      <c r="I227" s="1324"/>
      <c r="J227" s="1324"/>
      <c r="K227" s="1324"/>
      <c r="L227" s="1324"/>
      <c r="M227" s="1324"/>
      <c r="N227" s="1324"/>
      <c r="O227" s="1324"/>
      <c r="P227" s="1324"/>
      <c r="Q227" s="1324"/>
      <c r="R227" s="1324"/>
      <c r="S227" s="1324"/>
      <c r="T227" s="1324"/>
      <c r="U227" s="1324"/>
      <c r="V227" s="1324"/>
      <c r="W227" s="1324"/>
      <c r="Z227" s="938"/>
      <c r="AB227" s="938"/>
      <c r="AD227" s="938"/>
      <c r="AF227" s="949"/>
    </row>
    <row r="228" spans="1:32">
      <c r="A228" s="385"/>
      <c r="B228" s="385"/>
      <c r="C228" s="385"/>
      <c r="D228" s="385"/>
      <c r="E228" s="447"/>
      <c r="F228" s="385"/>
      <c r="G228" s="447"/>
      <c r="H228" s="385"/>
      <c r="I228" s="385"/>
      <c r="J228" s="385"/>
      <c r="K228" s="385"/>
      <c r="L228" s="385"/>
      <c r="M228" s="385"/>
      <c r="N228" s="504"/>
      <c r="O228" s="385"/>
      <c r="P228" s="385"/>
      <c r="Q228" s="504"/>
      <c r="R228" s="504"/>
      <c r="S228" s="385"/>
      <c r="T228" s="385"/>
      <c r="U228" s="385"/>
      <c r="V228" s="504"/>
      <c r="W228" s="504"/>
      <c r="X228" s="4"/>
      <c r="Z228" s="938"/>
      <c r="AB228" s="938"/>
      <c r="AD228" s="938"/>
      <c r="AF228" s="949"/>
    </row>
    <row r="229" spans="1:32" ht="26.45" customHeight="1">
      <c r="A229" s="447"/>
      <c r="B229" s="447"/>
      <c r="C229" s="447"/>
      <c r="D229" s="447"/>
      <c r="E229" s="385"/>
      <c r="F229" s="1313" t="s">
        <v>682</v>
      </c>
      <c r="G229" s="1313"/>
      <c r="H229" s="1313"/>
      <c r="I229" s="1313"/>
      <c r="J229" s="1313"/>
      <c r="K229" s="447"/>
      <c r="L229" s="1325" t="s">
        <v>496</v>
      </c>
      <c r="M229" s="1325"/>
      <c r="N229" s="256"/>
      <c r="O229" s="447"/>
      <c r="P229" s="449"/>
      <c r="Q229" s="1325" t="s">
        <v>497</v>
      </c>
      <c r="R229" s="1325"/>
      <c r="S229" s="447"/>
      <c r="T229" s="1313" t="s">
        <v>926</v>
      </c>
      <c r="U229" s="1313"/>
      <c r="V229" s="1313"/>
      <c r="W229" s="1313"/>
      <c r="X229" s="254"/>
      <c r="Z229" s="938"/>
      <c r="AB229" s="938"/>
      <c r="AD229" s="938"/>
      <c r="AF229" s="949"/>
    </row>
    <row r="230" spans="1:32" ht="38.25">
      <c r="A230" s="254" t="s">
        <v>1</v>
      </c>
      <c r="B230" s="254"/>
      <c r="C230" s="254"/>
      <c r="D230" s="254"/>
      <c r="E230" s="4" t="s">
        <v>670</v>
      </c>
      <c r="F230" s="254"/>
      <c r="G230" s="13" t="s">
        <v>684</v>
      </c>
      <c r="H230" s="254"/>
      <c r="I230" s="13" t="s">
        <v>196</v>
      </c>
      <c r="J230" s="13" t="s">
        <v>503</v>
      </c>
      <c r="K230" s="254"/>
      <c r="L230" s="13" t="s">
        <v>505</v>
      </c>
      <c r="M230" s="13" t="s">
        <v>685</v>
      </c>
      <c r="N230" s="254" t="s">
        <v>688</v>
      </c>
      <c r="O230" s="254"/>
      <c r="P230" s="254" t="s">
        <v>689</v>
      </c>
      <c r="Q230" s="13" t="s">
        <v>505</v>
      </c>
      <c r="R230" s="13" t="s">
        <v>685</v>
      </c>
      <c r="S230" s="254"/>
      <c r="T230" s="13" t="s">
        <v>690</v>
      </c>
      <c r="U230" s="13" t="s">
        <v>691</v>
      </c>
      <c r="V230" s="13" t="s">
        <v>692</v>
      </c>
      <c r="W230" s="254" t="s">
        <v>693</v>
      </c>
      <c r="X230" s="4"/>
      <c r="Z230" s="938"/>
      <c r="AB230" s="938"/>
      <c r="AD230" s="938"/>
      <c r="AF230" s="949"/>
    </row>
    <row r="231" spans="1:32" ht="14.25">
      <c r="A231" s="255" t="s">
        <v>2</v>
      </c>
      <c r="B231" s="256"/>
      <c r="C231" s="449" t="s">
        <v>3</v>
      </c>
      <c r="D231" s="256"/>
      <c r="E231" s="255" t="s">
        <v>4</v>
      </c>
      <c r="F231" s="256"/>
      <c r="G231" s="255" t="s">
        <v>694</v>
      </c>
      <c r="H231" s="256"/>
      <c r="I231" s="255" t="s">
        <v>77</v>
      </c>
      <c r="J231" s="255" t="s">
        <v>20</v>
      </c>
      <c r="K231" s="256"/>
      <c r="L231" s="255" t="s">
        <v>20</v>
      </c>
      <c r="M231" s="255" t="s">
        <v>20</v>
      </c>
      <c r="N231" s="255" t="s">
        <v>20</v>
      </c>
      <c r="O231" s="256"/>
      <c r="P231" s="255" t="s">
        <v>20</v>
      </c>
      <c r="Q231" s="255" t="s">
        <v>20</v>
      </c>
      <c r="R231" s="255" t="s">
        <v>20</v>
      </c>
      <c r="S231" s="256"/>
      <c r="T231" s="255" t="s">
        <v>20</v>
      </c>
      <c r="U231" s="255" t="s">
        <v>77</v>
      </c>
      <c r="V231" s="255" t="s">
        <v>20</v>
      </c>
      <c r="W231" s="255" t="s">
        <v>76</v>
      </c>
      <c r="X231" s="4"/>
      <c r="Z231" s="938"/>
      <c r="AB231" s="938"/>
      <c r="AD231" s="938"/>
      <c r="AF231" s="949"/>
    </row>
    <row r="232" spans="1:32">
      <c r="A232" s="4"/>
      <c r="B232" s="256"/>
      <c r="C232" s="256"/>
      <c r="D232" s="256"/>
      <c r="E232" s="4"/>
      <c r="F232" s="256"/>
      <c r="G232" s="4" t="s">
        <v>8</v>
      </c>
      <c r="H232" s="4"/>
      <c r="I232" s="4" t="s">
        <v>9</v>
      </c>
      <c r="J232" s="4" t="s">
        <v>370</v>
      </c>
      <c r="K232" s="4"/>
      <c r="L232" s="132" t="s">
        <v>79</v>
      </c>
      <c r="M232" s="132" t="s">
        <v>115</v>
      </c>
      <c r="N232" s="4" t="s">
        <v>927</v>
      </c>
      <c r="O232" s="4"/>
      <c r="P232" s="4" t="s">
        <v>928</v>
      </c>
      <c r="Q232" s="4" t="s">
        <v>118</v>
      </c>
      <c r="R232" s="4" t="s">
        <v>84</v>
      </c>
      <c r="S232" s="4"/>
      <c r="T232" s="4" t="s">
        <v>929</v>
      </c>
      <c r="U232" s="4" t="s">
        <v>517</v>
      </c>
      <c r="V232" s="4" t="s">
        <v>930</v>
      </c>
      <c r="W232" s="4" t="s">
        <v>931</v>
      </c>
      <c r="X232" s="769"/>
      <c r="Z232" s="938"/>
      <c r="AB232" s="938"/>
      <c r="AD232" s="938"/>
      <c r="AF232" s="949"/>
    </row>
    <row r="233" spans="1:32">
      <c r="A233" s="4"/>
      <c r="B233" s="256"/>
      <c r="C233" s="512"/>
      <c r="D233" s="256"/>
      <c r="E233" s="36"/>
      <c r="F233" s="256"/>
      <c r="G233" s="35"/>
      <c r="H233" s="256"/>
      <c r="I233" s="256"/>
      <c r="J233" s="256"/>
      <c r="K233" s="256"/>
      <c r="L233" s="504"/>
      <c r="M233" s="504"/>
      <c r="N233" s="504"/>
      <c r="O233" s="256"/>
      <c r="P233" s="256"/>
      <c r="Q233" s="504"/>
      <c r="R233" s="504"/>
      <c r="S233" s="256"/>
      <c r="T233" s="256"/>
      <c r="U233" s="256"/>
      <c r="V233" s="504"/>
      <c r="W233" s="504"/>
      <c r="Z233" s="938"/>
    </row>
    <row r="234" spans="1:32">
      <c r="A234" s="4"/>
      <c r="B234" s="256"/>
      <c r="C234" s="6" t="s">
        <v>170</v>
      </c>
      <c r="D234" s="256"/>
      <c r="E234" s="36"/>
      <c r="F234" s="256"/>
      <c r="G234" s="35"/>
      <c r="H234" s="256"/>
      <c r="I234" s="256"/>
      <c r="J234" s="256"/>
      <c r="K234" s="256"/>
      <c r="L234" s="504"/>
      <c r="M234" s="504"/>
      <c r="N234" s="504"/>
      <c r="O234" s="256"/>
      <c r="P234" s="256"/>
      <c r="Q234" s="504"/>
      <c r="R234" s="504"/>
      <c r="S234" s="256"/>
      <c r="T234" s="256"/>
      <c r="U234" s="256"/>
      <c r="V234" s="504"/>
      <c r="W234" s="504"/>
    </row>
    <row r="235" spans="1:32">
      <c r="A235" s="4">
        <v>100</v>
      </c>
      <c r="B235" s="256"/>
      <c r="C235" s="7" t="s">
        <v>703</v>
      </c>
      <c r="D235" s="256"/>
      <c r="E235" s="36" t="s">
        <v>704</v>
      </c>
      <c r="F235" s="256"/>
      <c r="G235" s="35">
        <v>264</v>
      </c>
      <c r="I235" s="778">
        <v>305.5481997087212</v>
      </c>
      <c r="J235" s="752">
        <f>G235*I235/1000</f>
        <v>80.664724723102395</v>
      </c>
      <c r="L235" s="762">
        <v>0</v>
      </c>
      <c r="M235" s="762">
        <v>0</v>
      </c>
      <c r="N235" s="68">
        <f>J235-L235-M235</f>
        <v>80.664724723102395</v>
      </c>
      <c r="O235" s="68"/>
      <c r="P235" s="35">
        <v>2.1751385365492268</v>
      </c>
      <c r="Q235" s="762">
        <v>0</v>
      </c>
      <c r="R235" s="762">
        <v>0</v>
      </c>
      <c r="S235" s="68"/>
      <c r="T235" s="68">
        <f>N235+P235+Q235+R235</f>
        <v>82.839863259651622</v>
      </c>
      <c r="U235" s="904">
        <f>T235/G235*1000</f>
        <v>313.78736083201369</v>
      </c>
      <c r="V235" s="762">
        <f>T235-J235</f>
        <v>2.1751385365492268</v>
      </c>
      <c r="W235" s="770">
        <f>U235/I235-1</f>
        <v>2.696517646363783E-2</v>
      </c>
      <c r="X235" s="769"/>
      <c r="Z235" s="938"/>
      <c r="AB235" s="938"/>
      <c r="AD235" s="938"/>
      <c r="AF235" s="954"/>
    </row>
    <row r="236" spans="1:32">
      <c r="A236" s="4">
        <v>101</v>
      </c>
      <c r="B236" s="256"/>
      <c r="C236" s="512" t="s">
        <v>726</v>
      </c>
      <c r="D236" s="256"/>
      <c r="E236" s="36" t="s">
        <v>675</v>
      </c>
      <c r="F236" s="256"/>
      <c r="G236" s="35">
        <v>30927.768</v>
      </c>
      <c r="H236" s="256"/>
      <c r="I236" s="861">
        <v>4.4945119394531865</v>
      </c>
      <c r="J236" s="750">
        <f>G236*I236/100</f>
        <v>1390.0522253663821</v>
      </c>
      <c r="K236" s="256"/>
      <c r="L236" s="762">
        <v>0</v>
      </c>
      <c r="M236" s="762">
        <v>0</v>
      </c>
      <c r="N236" s="68">
        <f>J236-L236-M236</f>
        <v>1390.0522253663821</v>
      </c>
      <c r="O236" s="771"/>
      <c r="P236" s="35">
        <v>37.48300355067704</v>
      </c>
      <c r="Q236" s="762">
        <v>0</v>
      </c>
      <c r="R236" s="762">
        <v>0</v>
      </c>
      <c r="S236" s="771"/>
      <c r="T236" s="68">
        <f>N236+P236+Q236+R236</f>
        <v>1427.5352289170592</v>
      </c>
      <c r="U236" s="821">
        <f>T236/G236*100</f>
        <v>4.6157072470184701</v>
      </c>
      <c r="V236" s="762">
        <f>T236-J236</f>
        <v>37.48300355067704</v>
      </c>
      <c r="W236" s="770">
        <f>U236/I236-1</f>
        <v>2.6965176463638052E-2</v>
      </c>
      <c r="X236" s="769"/>
      <c r="Z236" s="938"/>
      <c r="AB236" s="938"/>
      <c r="AD236" s="938"/>
      <c r="AF236" s="949"/>
    </row>
    <row r="237" spans="1:32">
      <c r="A237" s="4"/>
      <c r="B237" s="256"/>
      <c r="C237" s="512" t="s">
        <v>705</v>
      </c>
      <c r="D237" s="256"/>
      <c r="E237" s="36"/>
      <c r="F237" s="256"/>
      <c r="G237" s="35"/>
      <c r="H237" s="256"/>
      <c r="I237" s="256"/>
      <c r="J237" s="750"/>
      <c r="K237" s="256"/>
      <c r="L237" s="504"/>
      <c r="M237" s="504"/>
      <c r="N237" s="68"/>
      <c r="O237" s="256"/>
      <c r="P237" s="256"/>
      <c r="Q237" s="504"/>
      <c r="R237" s="504"/>
      <c r="S237" s="256"/>
      <c r="T237" s="68"/>
      <c r="U237" s="821"/>
      <c r="V237" s="762"/>
      <c r="W237" s="770"/>
      <c r="X237" s="769"/>
      <c r="Z237" s="938"/>
      <c r="AB237" s="938"/>
      <c r="AD237" s="938"/>
    </row>
    <row r="238" spans="1:32">
      <c r="A238" s="4">
        <v>102</v>
      </c>
      <c r="B238" s="256"/>
      <c r="C238" s="9" t="s">
        <v>939</v>
      </c>
      <c r="D238" s="256"/>
      <c r="E238" s="36" t="s">
        <v>674</v>
      </c>
      <c r="F238" s="256"/>
      <c r="G238" s="35">
        <v>183923.41800000001</v>
      </c>
      <c r="H238" s="256"/>
      <c r="I238" s="861">
        <v>0.28811366369756686</v>
      </c>
      <c r="J238" s="750">
        <f>G238*I238/100</f>
        <v>529.90849799759019</v>
      </c>
      <c r="K238" s="256"/>
      <c r="L238" s="35">
        <v>1347.3118645257566</v>
      </c>
      <c r="M238" s="35">
        <v>0</v>
      </c>
      <c r="N238" s="68">
        <v>0</v>
      </c>
      <c r="O238" s="771"/>
      <c r="P238" s="35">
        <v>0</v>
      </c>
      <c r="Q238" s="35">
        <v>208.96896806109086</v>
      </c>
      <c r="R238" s="762">
        <v>0</v>
      </c>
      <c r="S238" s="771"/>
      <c r="T238" s="68">
        <f>N238+P238+Q238+R238</f>
        <v>208.96896806109086</v>
      </c>
      <c r="U238" s="821">
        <f>T238/G238*100</f>
        <v>0.11361737963193511</v>
      </c>
      <c r="V238" s="762">
        <f>T238-J238</f>
        <v>-320.9395299364993</v>
      </c>
      <c r="W238" s="785"/>
      <c r="X238" s="785"/>
      <c r="Z238" s="938"/>
      <c r="AB238" s="964"/>
      <c r="AD238" s="964"/>
      <c r="AF238" s="949"/>
    </row>
    <row r="239" spans="1:32">
      <c r="A239" s="4">
        <v>103</v>
      </c>
      <c r="B239" s="256"/>
      <c r="C239" s="9" t="s">
        <v>940</v>
      </c>
      <c r="D239" s="256"/>
      <c r="E239" s="36" t="s">
        <v>674</v>
      </c>
      <c r="F239" s="256"/>
      <c r="G239" s="35">
        <v>139330.31</v>
      </c>
      <c r="H239" s="256"/>
      <c r="I239" s="861">
        <v>8.4081147892736907E-2</v>
      </c>
      <c r="J239" s="750">
        <f>G239*I239/100</f>
        <v>117.1505240105088</v>
      </c>
      <c r="K239" s="256"/>
      <c r="L239" s="35">
        <v>1020.6496910091769</v>
      </c>
      <c r="M239" s="35">
        <v>0</v>
      </c>
      <c r="N239" s="68">
        <v>0</v>
      </c>
      <c r="O239" s="771"/>
      <c r="P239" s="35">
        <v>0</v>
      </c>
      <c r="Q239" s="35">
        <v>158.30344725505202</v>
      </c>
      <c r="R239" s="762">
        <v>0</v>
      </c>
      <c r="S239" s="771"/>
      <c r="T239" s="68">
        <f>N239+P239+Q239+R239</f>
        <v>158.30344725505202</v>
      </c>
      <c r="U239" s="821">
        <f>T239/G239*100</f>
        <v>0.11361737963193508</v>
      </c>
      <c r="V239" s="762">
        <f>T239-J239</f>
        <v>41.152923244543217</v>
      </c>
      <c r="W239" s="785"/>
      <c r="X239" s="785"/>
      <c r="Z239" s="938"/>
      <c r="AB239" s="964"/>
      <c r="AD239" s="964"/>
      <c r="AF239" s="949"/>
    </row>
    <row r="240" spans="1:32">
      <c r="A240" s="4">
        <v>104</v>
      </c>
      <c r="B240" s="256"/>
      <c r="C240" s="512" t="s">
        <v>705</v>
      </c>
      <c r="D240" s="256"/>
      <c r="E240" s="36" t="s">
        <v>674</v>
      </c>
      <c r="F240" s="256"/>
      <c r="G240" s="137">
        <f>SUM(G238:G239)</f>
        <v>323253.728</v>
      </c>
      <c r="H240" s="256"/>
      <c r="I240" s="806">
        <f>J240/G240*100</f>
        <v>0.20017062943450381</v>
      </c>
      <c r="J240" s="808">
        <f>SUM(J238:J239)</f>
        <v>647.05902200809896</v>
      </c>
      <c r="K240" s="256"/>
      <c r="L240" s="805">
        <f>SUM(L238:L239)</f>
        <v>2367.9615555349337</v>
      </c>
      <c r="M240" s="805">
        <f>SUM(M238:M239)</f>
        <v>0</v>
      </c>
      <c r="N240" s="805">
        <f>SUM(N238:N239)</f>
        <v>0</v>
      </c>
      <c r="O240" s="762"/>
      <c r="P240" s="805">
        <f>SUM(P238:P239)</f>
        <v>0</v>
      </c>
      <c r="Q240" s="805">
        <f>SUM(Q238:Q239)</f>
        <v>367.27241531614288</v>
      </c>
      <c r="R240" s="805">
        <f>SUM(R238:R239)</f>
        <v>0</v>
      </c>
      <c r="S240" s="771"/>
      <c r="T240" s="807">
        <f>SUM(T238:T239)</f>
        <v>367.27241531614288</v>
      </c>
      <c r="U240" s="903">
        <f>T240/G240*100</f>
        <v>0.11361737963193511</v>
      </c>
      <c r="V240" s="805">
        <f>SUM(V238:V239)</f>
        <v>-279.78660669195608</v>
      </c>
      <c r="W240" s="816">
        <f>U240/I240-1</f>
        <v>-0.43239735043591443</v>
      </c>
      <c r="X240" s="785"/>
      <c r="Z240" s="938"/>
      <c r="AB240" s="964"/>
      <c r="AD240" s="964"/>
      <c r="AF240" s="949"/>
    </row>
    <row r="241" spans="1:32">
      <c r="A241" s="4"/>
      <c r="B241" s="256"/>
      <c r="C241" s="7"/>
      <c r="D241" s="256"/>
      <c r="E241" s="36"/>
      <c r="F241" s="256"/>
      <c r="G241" s="35"/>
      <c r="H241" s="256"/>
      <c r="I241" s="256"/>
      <c r="J241" s="256"/>
      <c r="K241" s="256"/>
      <c r="L241" s="504"/>
      <c r="M241" s="504"/>
      <c r="N241" s="504"/>
      <c r="O241" s="256"/>
      <c r="P241" s="256"/>
      <c r="Q241" s="504"/>
      <c r="R241" s="504"/>
      <c r="S241" s="256"/>
      <c r="T241" s="256"/>
      <c r="U241" s="256"/>
      <c r="V241" s="504"/>
      <c r="W241" s="504"/>
      <c r="Z241" s="938"/>
      <c r="AB241" s="938"/>
      <c r="AD241" s="938"/>
      <c r="AF241" s="949"/>
    </row>
    <row r="242" spans="1:32">
      <c r="A242" s="4">
        <v>105</v>
      </c>
      <c r="B242" s="256"/>
      <c r="C242" s="7" t="s">
        <v>742</v>
      </c>
      <c r="D242" s="256"/>
      <c r="E242" s="36"/>
      <c r="F242" s="256"/>
      <c r="G242" s="35">
        <v>3542.5066082191779</v>
      </c>
      <c r="H242" s="256"/>
      <c r="I242" s="35">
        <v>0</v>
      </c>
      <c r="J242" s="771">
        <v>0</v>
      </c>
      <c r="K242" s="256"/>
      <c r="L242" s="762">
        <v>0</v>
      </c>
      <c r="M242" s="762">
        <v>0</v>
      </c>
      <c r="N242" s="762">
        <f>J242-L242-M242</f>
        <v>0</v>
      </c>
      <c r="O242" s="771"/>
      <c r="P242" s="771">
        <v>0</v>
      </c>
      <c r="Q242" s="762">
        <v>0</v>
      </c>
      <c r="R242" s="762">
        <v>0</v>
      </c>
      <c r="S242" s="771"/>
      <c r="T242" s="771">
        <f>N242+P242+Q242+R242</f>
        <v>0</v>
      </c>
      <c r="U242" s="762">
        <v>0</v>
      </c>
      <c r="V242" s="762">
        <v>0</v>
      </c>
      <c r="W242" s="762"/>
      <c r="X242" s="782"/>
      <c r="Z242" s="938"/>
      <c r="AB242" s="938"/>
      <c r="AD242" s="938"/>
      <c r="AF242" s="949"/>
    </row>
    <row r="243" spans="1:32">
      <c r="A243" s="4"/>
      <c r="B243" s="256"/>
      <c r="C243" s="7"/>
      <c r="D243" s="256"/>
      <c r="E243" s="36"/>
      <c r="F243" s="256"/>
      <c r="G243" s="453"/>
      <c r="H243" s="256"/>
      <c r="I243" s="256"/>
      <c r="J243" s="256"/>
      <c r="K243" s="256"/>
      <c r="L243" s="755"/>
      <c r="M243" s="755"/>
      <c r="N243" s="755"/>
      <c r="O243" s="256"/>
      <c r="P243" s="795"/>
      <c r="Q243" s="755"/>
      <c r="R243" s="755"/>
      <c r="S243" s="256"/>
      <c r="T243" s="256"/>
      <c r="U243" s="256"/>
      <c r="V243" s="504"/>
      <c r="W243" s="504"/>
      <c r="Z243" s="938"/>
      <c r="AB243" s="938"/>
      <c r="AD243" s="938"/>
      <c r="AF243" s="949"/>
    </row>
    <row r="244" spans="1:32">
      <c r="A244" s="4">
        <v>106</v>
      </c>
      <c r="B244" s="256"/>
      <c r="C244" s="7" t="s">
        <v>710</v>
      </c>
      <c r="D244" s="256"/>
      <c r="E244" s="36"/>
      <c r="F244" s="256"/>
      <c r="G244" s="137">
        <f>G240</f>
        <v>323253.728</v>
      </c>
      <c r="H244" s="447"/>
      <c r="I244" s="894">
        <f>J244/G244*100</f>
        <v>0.65514355710619476</v>
      </c>
      <c r="J244" s="881">
        <f>J235+J236+J240+J242</f>
        <v>2117.7759720975837</v>
      </c>
      <c r="K244" s="739"/>
      <c r="L244" s="881">
        <f>L235+L236+L240+L242</f>
        <v>2367.9615555349337</v>
      </c>
      <c r="M244" s="137">
        <f>M235+M236+M240+M242</f>
        <v>0</v>
      </c>
      <c r="N244" s="137">
        <f>N235+N236+N240+N242</f>
        <v>1470.7169500894845</v>
      </c>
      <c r="O244" s="739"/>
      <c r="P244" s="881">
        <f>P235+P236+P240+P242</f>
        <v>39.658142087226267</v>
      </c>
      <c r="Q244" s="881">
        <f>Q235+Q236+Q240+Q242</f>
        <v>367.27241531614288</v>
      </c>
      <c r="R244" s="137">
        <f>R235+R236+R240+R242</f>
        <v>0</v>
      </c>
      <c r="S244" s="739"/>
      <c r="T244" s="881">
        <f>T235+T236+T240+T242</f>
        <v>1877.6475074928535</v>
      </c>
      <c r="U244" s="894">
        <f>T244/G244*100</f>
        <v>0.58085873258447107</v>
      </c>
      <c r="V244" s="881">
        <f>V235+V236+V240</f>
        <v>-240.1284646047298</v>
      </c>
      <c r="W244" s="816">
        <f>U244/I244-1</f>
        <v>-0.11338709465425234</v>
      </c>
      <c r="X244" s="785"/>
      <c r="Z244" s="938"/>
      <c r="AB244" s="938"/>
      <c r="AD244" s="938"/>
      <c r="AF244" s="949"/>
    </row>
    <row r="245" spans="1:32">
      <c r="A245" s="4"/>
      <c r="B245" s="256"/>
      <c r="C245" s="7"/>
      <c r="D245" s="256"/>
      <c r="E245" s="36"/>
      <c r="F245" s="256"/>
      <c r="G245" s="35"/>
      <c r="H245" s="256"/>
      <c r="I245" s="256"/>
      <c r="J245" s="256"/>
      <c r="K245" s="256"/>
      <c r="L245" s="504"/>
      <c r="M245" s="762"/>
      <c r="N245" s="504"/>
      <c r="O245" s="256"/>
      <c r="P245" s="795"/>
      <c r="Q245" s="755"/>
      <c r="R245" s="755"/>
      <c r="S245" s="256"/>
      <c r="T245" s="256"/>
      <c r="U245" s="256"/>
      <c r="V245" s="504"/>
      <c r="W245" s="504"/>
      <c r="Z245" s="938"/>
      <c r="AB245" s="938"/>
      <c r="AD245" s="938"/>
      <c r="AF245" s="949"/>
    </row>
    <row r="246" spans="1:32">
      <c r="A246" s="4">
        <v>107</v>
      </c>
      <c r="B246" s="256"/>
      <c r="C246" s="9" t="s">
        <v>711</v>
      </c>
      <c r="D246" s="256"/>
      <c r="E246" s="742" t="s">
        <v>674</v>
      </c>
      <c r="F246" s="256"/>
      <c r="G246" s="35">
        <v>323253.728</v>
      </c>
      <c r="H246" s="256"/>
      <c r="I246" s="861">
        <v>0.13843755465273466</v>
      </c>
      <c r="J246" s="750">
        <f>G246*I246/100</f>
        <v>447.50455636700224</v>
      </c>
      <c r="K246" s="256"/>
      <c r="L246" s="762">
        <v>0</v>
      </c>
      <c r="M246" s="865">
        <v>215.84879949943192</v>
      </c>
      <c r="N246" s="755">
        <f>J246-L246-M246</f>
        <v>231.65575686757032</v>
      </c>
      <c r="O246" s="795"/>
      <c r="P246" s="35">
        <v>6.2466383627516109</v>
      </c>
      <c r="Q246" s="762">
        <v>0</v>
      </c>
      <c r="R246" s="35">
        <v>215.10163690170319</v>
      </c>
      <c r="S246" s="256"/>
      <c r="T246" s="795">
        <f>N246+P246+Q246+R246</f>
        <v>453.00403213202515</v>
      </c>
      <c r="U246" s="821">
        <f>T246/G246*100</f>
        <v>0.14013884230656889</v>
      </c>
      <c r="V246" s="847">
        <f>T246-J246</f>
        <v>5.4994757650229076</v>
      </c>
      <c r="W246" s="785">
        <f>U246/I246-1</f>
        <v>1.2289206191931523E-2</v>
      </c>
      <c r="X246" s="785"/>
      <c r="Z246" s="938"/>
      <c r="AB246" s="938"/>
      <c r="AD246" s="938"/>
      <c r="AF246" s="949"/>
    </row>
    <row r="247" spans="1:32">
      <c r="A247" s="4"/>
      <c r="B247" s="256"/>
      <c r="C247" s="9"/>
      <c r="D247" s="256"/>
      <c r="E247" s="742"/>
      <c r="F247" s="256"/>
      <c r="G247" s="35"/>
      <c r="H247" s="256"/>
      <c r="I247" s="861"/>
      <c r="J247" s="750"/>
      <c r="K247" s="256"/>
      <c r="L247" s="762"/>
      <c r="M247" s="865"/>
      <c r="N247" s="755"/>
      <c r="O247" s="795"/>
      <c r="P247" s="35"/>
      <c r="Q247" s="762"/>
      <c r="R247" s="35"/>
      <c r="S247" s="256"/>
      <c r="T247" s="795"/>
      <c r="U247" s="792"/>
      <c r="V247" s="847"/>
      <c r="W247" s="785"/>
      <c r="X247" s="785"/>
      <c r="Z247" s="938"/>
      <c r="AB247" s="938"/>
      <c r="AD247" s="938"/>
      <c r="AF247" s="949"/>
    </row>
    <row r="248" spans="1:32">
      <c r="A248" s="4"/>
      <c r="B248" s="256"/>
      <c r="C248" s="7" t="s">
        <v>712</v>
      </c>
      <c r="D248" s="256"/>
      <c r="E248" s="742"/>
      <c r="F248" s="256"/>
      <c r="G248" s="35"/>
      <c r="H248" s="256"/>
      <c r="I248" s="861"/>
      <c r="J248" s="750"/>
      <c r="K248" s="256"/>
      <c r="L248" s="762"/>
      <c r="M248" s="865"/>
      <c r="N248" s="755"/>
      <c r="O248" s="795"/>
      <c r="P248" s="35"/>
      <c r="Q248" s="762"/>
      <c r="R248" s="35"/>
      <c r="S248" s="256"/>
      <c r="T248" s="795"/>
      <c r="U248" s="792"/>
      <c r="V248" s="847"/>
      <c r="W248" s="785"/>
      <c r="X248" s="785"/>
      <c r="Z248" s="938"/>
      <c r="AB248" s="938"/>
      <c r="AD248" s="938"/>
      <c r="AF248" s="949"/>
    </row>
    <row r="249" spans="1:32">
      <c r="A249" s="4">
        <v>108</v>
      </c>
      <c r="B249" s="256"/>
      <c r="C249" s="9" t="s">
        <v>713</v>
      </c>
      <c r="D249" s="256"/>
      <c r="E249" s="742" t="s">
        <v>674</v>
      </c>
      <c r="F249" s="256"/>
      <c r="G249" s="35">
        <v>5360.2020000000002</v>
      </c>
      <c r="H249" s="256"/>
      <c r="I249" s="861">
        <v>7.5253923919478383E-2</v>
      </c>
      <c r="J249" s="750">
        <f>G249*I249/100</f>
        <v>4.0337623350103584</v>
      </c>
      <c r="K249" s="256"/>
      <c r="L249" s="762">
        <v>0</v>
      </c>
      <c r="M249" s="762">
        <v>0</v>
      </c>
      <c r="N249" s="755">
        <f>J249-L249-M249</f>
        <v>4.0337623350103584</v>
      </c>
      <c r="O249" s="795"/>
      <c r="P249" s="35">
        <v>0.10877111317592991</v>
      </c>
      <c r="Q249" s="762">
        <v>0</v>
      </c>
      <c r="R249" s="762">
        <v>0</v>
      </c>
      <c r="S249" s="256"/>
      <c r="T249" s="795">
        <f>N249+P249+Q249+R249</f>
        <v>4.1425334481862883</v>
      </c>
      <c r="U249" s="821">
        <f>T249/G249*100</f>
        <v>7.7283159257548278E-2</v>
      </c>
      <c r="V249" s="847">
        <f>T249-J249</f>
        <v>0.10877111317592991</v>
      </c>
      <c r="W249" s="770"/>
      <c r="X249" s="769"/>
      <c r="Z249" s="938"/>
      <c r="AB249" s="938"/>
      <c r="AD249" s="938"/>
      <c r="AF249" s="949"/>
    </row>
    <row r="250" spans="1:32">
      <c r="A250" s="4">
        <v>109</v>
      </c>
      <c r="C250" s="9" t="s">
        <v>714</v>
      </c>
      <c r="E250" s="742" t="s">
        <v>674</v>
      </c>
      <c r="G250" s="35">
        <v>108433.382</v>
      </c>
      <c r="I250" s="861">
        <v>0.59779686360914319</v>
      </c>
      <c r="J250" s="750">
        <f>G250*I250/100</f>
        <v>648.21135670132117</v>
      </c>
      <c r="L250" s="762">
        <v>0</v>
      </c>
      <c r="M250" s="762">
        <v>0</v>
      </c>
      <c r="N250" s="755">
        <f>J250-L250-M250</f>
        <v>648.21135670132117</v>
      </c>
      <c r="O250" s="892"/>
      <c r="P250" s="35">
        <v>17.479133619185177</v>
      </c>
      <c r="Q250" s="762">
        <v>0</v>
      </c>
      <c r="R250" s="762">
        <v>0</v>
      </c>
      <c r="T250" s="795">
        <f>N250+P250+Q250+R250</f>
        <v>665.69049032050634</v>
      </c>
      <c r="U250" s="821">
        <f>T250/G250*100</f>
        <v>0.6139165615257729</v>
      </c>
      <c r="V250" s="847">
        <f>T250-J250</f>
        <v>17.479133619185177</v>
      </c>
      <c r="W250" s="770"/>
      <c r="X250" s="769"/>
      <c r="Z250" s="938"/>
      <c r="AB250" s="938"/>
      <c r="AD250" s="938"/>
      <c r="AF250" s="949"/>
    </row>
    <row r="251" spans="1:32">
      <c r="A251" s="4">
        <v>110</v>
      </c>
      <c r="C251" s="7" t="s">
        <v>712</v>
      </c>
      <c r="E251" s="742"/>
      <c r="G251" s="420">
        <f>SUM(G249:G250)</f>
        <v>113793.584</v>
      </c>
      <c r="I251" s="891">
        <f>J251/G251*100</f>
        <v>0.57318268403984141</v>
      </c>
      <c r="J251" s="808">
        <f>SUM(J249:J250)</f>
        <v>652.24511903633152</v>
      </c>
      <c r="K251" s="750"/>
      <c r="L251" s="807">
        <f>SUM(L249:L250)</f>
        <v>0</v>
      </c>
      <c r="M251" s="807">
        <f>SUM(M249:M250)</f>
        <v>0</v>
      </c>
      <c r="N251" s="887">
        <f>SUM(N249:N250)</f>
        <v>652.24511903633152</v>
      </c>
      <c r="O251" s="750"/>
      <c r="P251" s="420">
        <f>SUM(P249:P250)</f>
        <v>17.587904732361107</v>
      </c>
      <c r="Q251" s="807">
        <f>SUM(Q249:Q250)</f>
        <v>0</v>
      </c>
      <c r="R251" s="807">
        <f>SUM(R249:R250)</f>
        <v>0</v>
      </c>
      <c r="S251" s="750"/>
      <c r="T251" s="873">
        <f>SUM(T249:T250)</f>
        <v>669.83302376869267</v>
      </c>
      <c r="U251" s="902">
        <f>T251/G251*100</f>
        <v>0.58863865626087719</v>
      </c>
      <c r="V251" s="873">
        <f>SUM(V249:V250)</f>
        <v>17.587904732361107</v>
      </c>
      <c r="W251" s="804">
        <f>SUM(W249:W250)</f>
        <v>0</v>
      </c>
      <c r="X251" s="769"/>
      <c r="Z251" s="938"/>
      <c r="AB251" s="938"/>
      <c r="AD251" s="938"/>
      <c r="AF251" s="949"/>
    </row>
    <row r="252" spans="1:32">
      <c r="A252" s="4"/>
      <c r="B252" s="256"/>
      <c r="D252" s="256"/>
      <c r="E252" s="36"/>
      <c r="F252" s="256"/>
      <c r="G252" s="35"/>
      <c r="H252" s="256"/>
      <c r="I252" s="861"/>
      <c r="J252" s="750"/>
      <c r="K252" s="256"/>
      <c r="L252" s="755"/>
      <c r="M252" s="755"/>
      <c r="N252" s="755"/>
      <c r="O252" s="795"/>
      <c r="P252" s="35"/>
      <c r="Q252" s="755"/>
      <c r="R252" s="755"/>
      <c r="S252" s="256"/>
      <c r="T252" s="795"/>
      <c r="U252" s="792"/>
      <c r="V252" s="753"/>
      <c r="W252" s="770"/>
      <c r="X252" s="769"/>
      <c r="Z252" s="938"/>
      <c r="AB252" s="938"/>
      <c r="AD252" s="938"/>
      <c r="AF252" s="949"/>
    </row>
    <row r="253" spans="1:32">
      <c r="A253" s="4">
        <v>111</v>
      </c>
      <c r="B253" s="256"/>
      <c r="C253" s="7" t="s">
        <v>715</v>
      </c>
      <c r="D253" s="256"/>
      <c r="E253" s="742" t="s">
        <v>674</v>
      </c>
      <c r="F253" s="256"/>
      <c r="G253" s="35">
        <v>5360.2020000000002</v>
      </c>
      <c r="H253" s="256"/>
      <c r="I253" s="861">
        <v>4.6921377342116537E-2</v>
      </c>
      <c r="J253" s="750">
        <f>G253*I253/100</f>
        <v>2.5150806067196778</v>
      </c>
      <c r="K253" s="256"/>
      <c r="L253" s="762">
        <v>0</v>
      </c>
      <c r="M253" s="762">
        <v>0</v>
      </c>
      <c r="N253" s="755">
        <f>J253-L253-M253</f>
        <v>2.5150806067196778</v>
      </c>
      <c r="O253" s="795"/>
      <c r="P253" s="35">
        <v>6.7819592380469196E-2</v>
      </c>
      <c r="Q253" s="762">
        <v>0</v>
      </c>
      <c r="R253" s="762">
        <v>0</v>
      </c>
      <c r="S253" s="256"/>
      <c r="T253" s="795">
        <f>N253+P253+Q253+R253</f>
        <v>2.582900199100147</v>
      </c>
      <c r="U253" s="821">
        <f>T253/G253*100</f>
        <v>4.8186620562063645E-2</v>
      </c>
      <c r="V253" s="847">
        <f>T253-J253</f>
        <v>6.7819592380469196E-2</v>
      </c>
      <c r="W253" s="770">
        <f>U253/I253-1</f>
        <v>2.696517646363783E-2</v>
      </c>
      <c r="X253" s="769"/>
      <c r="Z253" s="938"/>
      <c r="AB253" s="938"/>
      <c r="AD253" s="938"/>
      <c r="AF253" s="949"/>
    </row>
    <row r="254" spans="1:32">
      <c r="A254" s="4"/>
      <c r="B254" s="256"/>
      <c r="C254" s="7"/>
      <c r="D254" s="256"/>
      <c r="E254" s="742"/>
      <c r="F254" s="256"/>
      <c r="G254" s="35"/>
      <c r="H254" s="256"/>
      <c r="I254" s="256"/>
      <c r="J254" s="750"/>
      <c r="K254" s="256"/>
      <c r="L254" s="755"/>
      <c r="M254" s="755"/>
      <c r="N254" s="755"/>
      <c r="O254" s="795"/>
      <c r="P254" s="795"/>
      <c r="Q254" s="755"/>
      <c r="R254" s="755"/>
      <c r="S254" s="256"/>
      <c r="T254" s="256"/>
      <c r="U254" s="792"/>
      <c r="V254" s="762"/>
      <c r="W254" s="770"/>
      <c r="X254" s="769"/>
      <c r="Z254" s="938"/>
      <c r="AB254" s="938"/>
      <c r="AD254" s="938"/>
    </row>
    <row r="255" spans="1:32" ht="13.5" thickBot="1">
      <c r="A255" s="4">
        <v>112</v>
      </c>
      <c r="B255" s="256"/>
      <c r="C255" s="7" t="s">
        <v>747</v>
      </c>
      <c r="D255" s="256"/>
      <c r="E255" s="742"/>
      <c r="F255" s="256"/>
      <c r="G255" s="768">
        <f>G244</f>
        <v>323253.728</v>
      </c>
      <c r="H255" s="256"/>
      <c r="I255" s="803">
        <f>J255/G255*100</f>
        <v>0.99613413525972905</v>
      </c>
      <c r="J255" s="756">
        <f>J244+J246+J251+J253</f>
        <v>3220.0407281076368</v>
      </c>
      <c r="K255" s="750"/>
      <c r="L255" s="844">
        <f>L244+L246+L249+L250+L253</f>
        <v>2367.9615555349337</v>
      </c>
      <c r="M255" s="844">
        <f>M244+M246+M249+M250+M253</f>
        <v>215.84879949943192</v>
      </c>
      <c r="N255" s="844">
        <f>N244+N246+N249+N250+N253</f>
        <v>2357.1329066001058</v>
      </c>
      <c r="O255" s="896"/>
      <c r="P255" s="844">
        <f>P244+P246+P249+P250+P253</f>
        <v>63.560504774719455</v>
      </c>
      <c r="Q255" s="844">
        <f>Q244+Q246+Q249+Q250+Q253</f>
        <v>367.27241531614288</v>
      </c>
      <c r="R255" s="844">
        <f>R244+R246+R249+R250+R253</f>
        <v>215.10163690170319</v>
      </c>
      <c r="S255" s="896"/>
      <c r="T255" s="844">
        <f>T244+T246+T251+T253</f>
        <v>3003.0674635926716</v>
      </c>
      <c r="U255" s="901">
        <f>T255/G255*100</f>
        <v>0.92901247641378215</v>
      </c>
      <c r="V255" s="844">
        <f>V244+V246+V251+V253</f>
        <v>-216.97326451496534</v>
      </c>
      <c r="W255" s="815">
        <f>U255/I255-1</f>
        <v>-6.7382149120355006E-2</v>
      </c>
      <c r="X255" s="785"/>
      <c r="Z255" s="938"/>
      <c r="AB255" s="938"/>
      <c r="AD255" s="938"/>
      <c r="AF255" s="949"/>
    </row>
    <row r="256" spans="1:32" ht="13.5" thickTop="1">
      <c r="A256" s="4"/>
      <c r="B256" s="256"/>
      <c r="C256" s="9"/>
      <c r="D256" s="256"/>
      <c r="E256" s="742"/>
      <c r="F256" s="256"/>
      <c r="G256" s="35"/>
      <c r="H256" s="256"/>
      <c r="I256" s="256"/>
      <c r="J256" s="256"/>
      <c r="K256" s="256"/>
      <c r="L256" s="504"/>
      <c r="M256" s="504"/>
      <c r="N256" s="504"/>
      <c r="O256" s="256"/>
      <c r="P256" s="256"/>
      <c r="Q256" s="504"/>
      <c r="R256" s="504"/>
      <c r="S256" s="256"/>
      <c r="T256" s="256"/>
      <c r="U256" s="256"/>
      <c r="V256" s="847"/>
      <c r="W256" s="504"/>
    </row>
    <row r="257" spans="1:32">
      <c r="A257" s="4"/>
      <c r="B257" s="256"/>
      <c r="C257" s="6" t="s">
        <v>171</v>
      </c>
      <c r="D257" s="256"/>
      <c r="E257" s="36"/>
      <c r="F257" s="256"/>
      <c r="G257" s="453"/>
      <c r="H257" s="256"/>
      <c r="I257" s="256"/>
      <c r="J257" s="256"/>
      <c r="K257" s="256"/>
      <c r="L257" s="504"/>
      <c r="M257" s="504"/>
      <c r="N257" s="504"/>
      <c r="O257" s="256"/>
      <c r="P257" s="256"/>
      <c r="Q257" s="504"/>
      <c r="R257" s="504"/>
      <c r="S257" s="256"/>
      <c r="T257" s="256"/>
      <c r="U257" s="256"/>
      <c r="V257" s="847"/>
      <c r="W257" s="504"/>
    </row>
    <row r="258" spans="1:32">
      <c r="A258" s="4">
        <v>113</v>
      </c>
      <c r="C258" s="7" t="s">
        <v>703</v>
      </c>
      <c r="E258" s="36" t="s">
        <v>704</v>
      </c>
      <c r="G258" s="35">
        <v>12</v>
      </c>
      <c r="I258" s="900">
        <v>0</v>
      </c>
      <c r="J258" s="68">
        <f>G258*I258/1000</f>
        <v>0</v>
      </c>
      <c r="L258" s="827">
        <v>0</v>
      </c>
      <c r="M258" s="827">
        <v>0</v>
      </c>
      <c r="N258" s="136">
        <f>J258-L258-M258</f>
        <v>0</v>
      </c>
      <c r="O258" s="68"/>
      <c r="P258" s="35">
        <v>0</v>
      </c>
      <c r="Q258" s="762">
        <v>0</v>
      </c>
      <c r="R258" s="762">
        <v>0</v>
      </c>
      <c r="S258" s="68"/>
      <c r="T258" s="68">
        <f>N258+P258+Q258+R258</f>
        <v>0</v>
      </c>
      <c r="U258" s="68">
        <f>T258/G258*1000</f>
        <v>0</v>
      </c>
      <c r="V258" s="762">
        <f>T258-J258</f>
        <v>0</v>
      </c>
      <c r="W258" s="827"/>
      <c r="X258" s="833"/>
      <c r="Z258" s="962"/>
      <c r="AB258" s="962"/>
      <c r="AD258" s="962"/>
      <c r="AF258" s="962"/>
    </row>
    <row r="259" spans="1:32">
      <c r="A259" s="4">
        <v>114</v>
      </c>
      <c r="B259" s="256"/>
      <c r="C259" s="512" t="s">
        <v>726</v>
      </c>
      <c r="D259" s="256"/>
      <c r="E259" s="36" t="s">
        <v>675</v>
      </c>
      <c r="F259" s="256"/>
      <c r="G259" s="35">
        <v>15025.2</v>
      </c>
      <c r="H259" s="256"/>
      <c r="I259" s="861">
        <v>16.259208437643476</v>
      </c>
      <c r="J259" s="750">
        <f>G259*I259/100</f>
        <v>2442.9785861728078</v>
      </c>
      <c r="K259" s="256"/>
      <c r="L259" s="827">
        <v>0</v>
      </c>
      <c r="M259" s="827">
        <v>0</v>
      </c>
      <c r="N259" s="136">
        <f>J259-L259-M259</f>
        <v>2442.9785861728078</v>
      </c>
      <c r="O259" s="771"/>
      <c r="P259" s="35">
        <v>65.875348673038388</v>
      </c>
      <c r="Q259" s="762">
        <v>0</v>
      </c>
      <c r="R259" s="762">
        <v>0</v>
      </c>
      <c r="S259" s="771"/>
      <c r="T259" s="68">
        <f>N259+P259+Q259+R259</f>
        <v>2508.8539348458462</v>
      </c>
      <c r="U259" s="898">
        <f>T259/G259*100</f>
        <v>16.697640862323603</v>
      </c>
      <c r="V259" s="762">
        <f>T259-J259</f>
        <v>65.875348673038388</v>
      </c>
      <c r="W259" s="770">
        <f>U259/I259-1</f>
        <v>2.696517646363783E-2</v>
      </c>
      <c r="X259" s="769"/>
      <c r="Z259" s="938"/>
      <c r="AB259" s="938"/>
      <c r="AD259" s="938"/>
      <c r="AF259" s="949"/>
    </row>
    <row r="260" spans="1:32">
      <c r="A260" s="4">
        <v>115</v>
      </c>
      <c r="B260" s="256"/>
      <c r="C260" s="512" t="s">
        <v>705</v>
      </c>
      <c r="D260" s="256"/>
      <c r="E260" s="36" t="s">
        <v>674</v>
      </c>
      <c r="F260" s="256"/>
      <c r="G260" s="35">
        <v>188852.1</v>
      </c>
      <c r="H260" s="256"/>
      <c r="I260" s="861">
        <v>0.58836800688430824</v>
      </c>
      <c r="J260" s="750">
        <f>G260*I260/100</f>
        <v>1111.1453367291608</v>
      </c>
      <c r="K260" s="256"/>
      <c r="L260" s="35">
        <v>40.750410090988815</v>
      </c>
      <c r="M260" s="35">
        <v>0</v>
      </c>
      <c r="N260" s="136">
        <f>J260-L260-M260</f>
        <v>1070.3949266381719</v>
      </c>
      <c r="O260" s="771"/>
      <c r="P260" s="35">
        <v>28.863388082580968</v>
      </c>
      <c r="Q260" s="35">
        <v>42.257140600837147</v>
      </c>
      <c r="R260" s="762">
        <v>0</v>
      </c>
      <c r="S260" s="771"/>
      <c r="T260" s="68">
        <f>N260+P260+Q260+R260</f>
        <v>1141.51545532159</v>
      </c>
      <c r="U260" s="898">
        <f>T260/G260*100</f>
        <v>0.60444943705767107</v>
      </c>
      <c r="V260" s="762">
        <f>T260-J260</f>
        <v>30.370118592429208</v>
      </c>
      <c r="W260" s="785">
        <f>U260/I260-1</f>
        <v>2.7332264815896012E-2</v>
      </c>
      <c r="X260" s="785"/>
      <c r="Z260" s="938"/>
      <c r="AB260" s="938"/>
      <c r="AD260" s="938"/>
      <c r="AF260" s="949"/>
    </row>
    <row r="261" spans="1:32">
      <c r="A261" s="4"/>
      <c r="B261" s="256"/>
      <c r="C261" s="7"/>
      <c r="D261" s="256"/>
      <c r="E261" s="36"/>
      <c r="F261" s="256"/>
      <c r="G261" s="35"/>
      <c r="H261" s="256"/>
      <c r="I261" s="861"/>
      <c r="J261" s="750"/>
      <c r="K261" s="256"/>
      <c r="L261" s="35"/>
      <c r="M261" s="35"/>
      <c r="N261" s="136"/>
      <c r="O261" s="771"/>
      <c r="P261" s="35"/>
      <c r="Q261" s="35"/>
      <c r="R261" s="762"/>
      <c r="S261" s="771"/>
      <c r="T261" s="68"/>
      <c r="U261" s="898"/>
      <c r="V261" s="762"/>
      <c r="W261" s="785"/>
      <c r="X261" s="785"/>
      <c r="Z261" s="938"/>
      <c r="AB261" s="938"/>
      <c r="AD261" s="938"/>
      <c r="AF261" s="949"/>
    </row>
    <row r="262" spans="1:32">
      <c r="A262" s="4">
        <v>116</v>
      </c>
      <c r="B262" s="256"/>
      <c r="C262" s="7" t="s">
        <v>742</v>
      </c>
      <c r="D262" s="256"/>
      <c r="E262" s="36"/>
      <c r="F262" s="256"/>
      <c r="G262" s="35">
        <v>236.82964000000001</v>
      </c>
      <c r="H262" s="256"/>
      <c r="I262" s="35">
        <v>0</v>
      </c>
      <c r="J262" s="771">
        <v>0</v>
      </c>
      <c r="K262" s="256"/>
      <c r="L262" s="827">
        <v>0</v>
      </c>
      <c r="M262" s="827">
        <v>0</v>
      </c>
      <c r="N262" s="136">
        <f>J262-L262-M262</f>
        <v>0</v>
      </c>
      <c r="O262" s="256"/>
      <c r="P262" s="35">
        <v>0</v>
      </c>
      <c r="Q262" s="762">
        <v>0</v>
      </c>
      <c r="R262" s="762">
        <v>0</v>
      </c>
      <c r="S262" s="256"/>
      <c r="T262" s="68">
        <f>N262+P262+Q262+R262</f>
        <v>0</v>
      </c>
      <c r="U262" s="969">
        <v>0</v>
      </c>
      <c r="V262" s="762">
        <v>0</v>
      </c>
      <c r="W262" s="968"/>
      <c r="X262" s="785"/>
      <c r="Z262" s="938"/>
      <c r="AB262" s="938"/>
      <c r="AD262" s="938"/>
      <c r="AF262" s="949"/>
    </row>
    <row r="263" spans="1:32">
      <c r="A263" s="4"/>
      <c r="B263" s="256"/>
      <c r="C263" s="7"/>
      <c r="D263" s="256"/>
      <c r="E263" s="36"/>
      <c r="F263" s="256"/>
      <c r="G263" s="35"/>
      <c r="H263" s="256"/>
      <c r="I263" s="35"/>
      <c r="J263" s="771"/>
      <c r="K263" s="256"/>
      <c r="L263" s="827">
        <v>0</v>
      </c>
      <c r="M263" s="827"/>
      <c r="N263" s="136"/>
      <c r="O263" s="256"/>
      <c r="P263" s="35"/>
      <c r="Q263" s="762"/>
      <c r="R263" s="762"/>
      <c r="S263" s="256"/>
      <c r="T263" s="68"/>
      <c r="U263" s="898"/>
      <c r="V263" s="762"/>
      <c r="W263" s="785"/>
      <c r="X263" s="785"/>
      <c r="Z263" s="938"/>
      <c r="AB263" s="938"/>
      <c r="AD263" s="938"/>
      <c r="AF263" s="949"/>
    </row>
    <row r="264" spans="1:32">
      <c r="A264" s="4">
        <v>117</v>
      </c>
      <c r="B264" s="256"/>
      <c r="C264" s="7" t="s">
        <v>710</v>
      </c>
      <c r="D264" s="256"/>
      <c r="E264" s="134"/>
      <c r="F264" s="256"/>
      <c r="G264" s="137">
        <f>G260</f>
        <v>188852.1</v>
      </c>
      <c r="H264" s="447"/>
      <c r="I264" s="894">
        <f>J264/G264*100</f>
        <v>1.881961557696191</v>
      </c>
      <c r="J264" s="881">
        <f>SUM(J258:J262)</f>
        <v>3554.1239229019684</v>
      </c>
      <c r="K264" s="739"/>
      <c r="L264" s="893">
        <f>SUM(L258:L263)</f>
        <v>40.750410090988815</v>
      </c>
      <c r="M264" s="137">
        <f>SUM(M258:M262)</f>
        <v>0</v>
      </c>
      <c r="N264" s="881">
        <f>SUM(N258:N262)</f>
        <v>3513.3735128109797</v>
      </c>
      <c r="O264" s="739"/>
      <c r="P264" s="881">
        <f>SUM(P258:P262)</f>
        <v>94.738736755619357</v>
      </c>
      <c r="Q264" s="881">
        <f>SUM(Q258:Q262)</f>
        <v>42.257140600837147</v>
      </c>
      <c r="R264" s="137">
        <f>SUM(R258:R262)</f>
        <v>0</v>
      </c>
      <c r="S264" s="739"/>
      <c r="T264" s="881">
        <f>SUM(T258:T262)</f>
        <v>3650.369390167436</v>
      </c>
      <c r="U264" s="829">
        <f>T264/G264*100</f>
        <v>1.9329249662394201</v>
      </c>
      <c r="V264" s="881">
        <f>SUM(V258:V262)</f>
        <v>96.245467265467596</v>
      </c>
      <c r="W264" s="816">
        <f>U264/I264-1</f>
        <v>2.7079941316982215E-2</v>
      </c>
      <c r="X264" s="785"/>
      <c r="Z264" s="938"/>
      <c r="AB264" s="938"/>
      <c r="AD264" s="938"/>
      <c r="AF264" s="949"/>
    </row>
    <row r="265" spans="1:32">
      <c r="A265" s="4"/>
      <c r="B265" s="256"/>
      <c r="C265" s="7"/>
      <c r="D265" s="256"/>
      <c r="E265" s="134"/>
      <c r="F265" s="256"/>
      <c r="G265" s="35"/>
      <c r="H265" s="256"/>
      <c r="I265" s="256"/>
      <c r="J265" s="256"/>
      <c r="K265" s="256"/>
      <c r="L265" s="504"/>
      <c r="M265" s="504"/>
      <c r="N265" s="504"/>
      <c r="O265" s="256"/>
      <c r="P265" s="795"/>
      <c r="Q265" s="755"/>
      <c r="R265" s="755"/>
      <c r="S265" s="256"/>
      <c r="T265" s="256"/>
      <c r="U265" s="256"/>
      <c r="V265" s="504"/>
      <c r="W265" s="504"/>
      <c r="Z265" s="938"/>
      <c r="AB265" s="938"/>
      <c r="AD265" s="938"/>
      <c r="AF265" s="949"/>
    </row>
    <row r="266" spans="1:32">
      <c r="A266" s="4">
        <v>118</v>
      </c>
      <c r="B266" s="256"/>
      <c r="C266" s="9" t="s">
        <v>711</v>
      </c>
      <c r="D266" s="256"/>
      <c r="E266" s="742" t="s">
        <v>674</v>
      </c>
      <c r="F266" s="256"/>
      <c r="G266" s="35">
        <v>188852.1</v>
      </c>
      <c r="H266" s="256"/>
      <c r="I266" s="861">
        <v>0.62019548589279372</v>
      </c>
      <c r="J266" s="750">
        <f>G266*I266/100</f>
        <v>1171.2521992137447</v>
      </c>
      <c r="K266" s="256"/>
      <c r="L266" s="762">
        <v>0</v>
      </c>
      <c r="M266" s="865">
        <v>550.32869750354416</v>
      </c>
      <c r="N266" s="755">
        <f>J266-L266-M266</f>
        <v>620.92350171020053</v>
      </c>
      <c r="O266" s="795"/>
      <c r="P266" s="35">
        <v>16.743311794035435</v>
      </c>
      <c r="Q266" s="762">
        <v>0</v>
      </c>
      <c r="R266" s="35">
        <v>548.42372967335484</v>
      </c>
      <c r="S266" s="256"/>
      <c r="T266" s="795">
        <f>N266+P266+Q266+R266</f>
        <v>1186.0905431775909</v>
      </c>
      <c r="U266" s="792">
        <f>T266/G266*100</f>
        <v>0.62805261004648127</v>
      </c>
      <c r="V266" s="847">
        <f>T266-J266</f>
        <v>14.838343963846228</v>
      </c>
      <c r="W266" s="785">
        <f>U266/I266-1</f>
        <v>1.2668786426874634E-2</v>
      </c>
      <c r="X266" s="785"/>
      <c r="Z266" s="938"/>
      <c r="AB266" s="938"/>
      <c r="AD266" s="938"/>
      <c r="AF266" s="949"/>
    </row>
    <row r="267" spans="1:32">
      <c r="A267" s="4"/>
      <c r="B267" s="256"/>
      <c r="C267" s="9"/>
      <c r="D267" s="256"/>
      <c r="E267" s="742"/>
      <c r="F267" s="256"/>
      <c r="G267" s="35"/>
      <c r="H267" s="256"/>
      <c r="I267" s="861"/>
      <c r="J267" s="750"/>
      <c r="K267" s="256"/>
      <c r="L267" s="762"/>
      <c r="M267" s="865"/>
      <c r="N267" s="755">
        <f>J267-L267-M267</f>
        <v>0</v>
      </c>
      <c r="O267" s="795"/>
      <c r="P267" s="35"/>
      <c r="Q267" s="762"/>
      <c r="R267" s="35"/>
      <c r="S267" s="256"/>
      <c r="T267" s="795"/>
      <c r="U267" s="792"/>
      <c r="V267" s="847"/>
      <c r="W267" s="785"/>
      <c r="X267" s="785"/>
      <c r="Z267" s="938"/>
      <c r="AB267" s="938"/>
      <c r="AD267" s="938"/>
      <c r="AF267" s="949"/>
    </row>
    <row r="268" spans="1:32">
      <c r="A268" s="4"/>
      <c r="B268" s="256"/>
      <c r="C268" s="7" t="s">
        <v>712</v>
      </c>
      <c r="D268" s="256"/>
      <c r="E268" s="742"/>
      <c r="F268" s="256"/>
      <c r="G268" s="35"/>
      <c r="H268" s="256"/>
      <c r="I268" s="861"/>
      <c r="J268" s="750"/>
      <c r="K268" s="256"/>
      <c r="L268" s="762"/>
      <c r="M268" s="865"/>
      <c r="N268" s="755"/>
      <c r="O268" s="795"/>
      <c r="P268" s="35"/>
      <c r="Q268" s="762"/>
      <c r="R268" s="35"/>
      <c r="S268" s="256"/>
      <c r="T268" s="795"/>
      <c r="U268" s="792"/>
      <c r="V268" s="847"/>
      <c r="W268" s="785"/>
      <c r="X268" s="785"/>
      <c r="Z268" s="938"/>
      <c r="AB268" s="938"/>
      <c r="AD268" s="938"/>
      <c r="AF268" s="949"/>
    </row>
    <row r="269" spans="1:32">
      <c r="A269" s="4">
        <v>119</v>
      </c>
      <c r="B269" s="256"/>
      <c r="C269" s="9" t="s">
        <v>713</v>
      </c>
      <c r="D269" s="256"/>
      <c r="E269" s="742" t="s">
        <v>674</v>
      </c>
      <c r="F269" s="256"/>
      <c r="G269" s="35">
        <v>140307.6</v>
      </c>
      <c r="H269" s="256"/>
      <c r="I269" s="861">
        <v>7.5247861202312999E-2</v>
      </c>
      <c r="J269" s="750">
        <f>G269*I269/100</f>
        <v>105.57846810429652</v>
      </c>
      <c r="K269" s="256"/>
      <c r="L269" s="762">
        <v>0</v>
      </c>
      <c r="M269" s="762">
        <v>0</v>
      </c>
      <c r="N269" s="755">
        <f>J269-L269-M269</f>
        <v>105.57846810429652</v>
      </c>
      <c r="O269" s="795"/>
      <c r="P269" s="35">
        <v>2.8469420231929092</v>
      </c>
      <c r="Q269" s="762">
        <v>0</v>
      </c>
      <c r="R269" s="762">
        <v>0</v>
      </c>
      <c r="S269" s="256"/>
      <c r="T269" s="795">
        <f>N269+P269+Q269+R269</f>
        <v>108.42541012748943</v>
      </c>
      <c r="U269" s="792">
        <f>T269/G269*100</f>
        <v>7.7276933058144689E-2</v>
      </c>
      <c r="V269" s="847">
        <f>T269-J269</f>
        <v>2.8469420231929092</v>
      </c>
      <c r="W269" s="785"/>
      <c r="X269" s="785"/>
      <c r="Z269" s="938"/>
      <c r="AB269" s="938"/>
      <c r="AD269" s="938"/>
      <c r="AF269" s="949"/>
    </row>
    <row r="270" spans="1:32">
      <c r="A270" s="4">
        <v>120</v>
      </c>
      <c r="B270" s="256"/>
      <c r="C270" s="9" t="s">
        <v>714</v>
      </c>
      <c r="D270" s="256"/>
      <c r="E270" s="742" t="s">
        <v>674</v>
      </c>
      <c r="F270" s="256"/>
      <c r="G270" s="35">
        <v>48544.5</v>
      </c>
      <c r="I270" s="861">
        <v>0.59779664221407636</v>
      </c>
      <c r="J270" s="750">
        <f>G270*I270/100</f>
        <v>290.19739097961229</v>
      </c>
      <c r="L270" s="762">
        <v>0</v>
      </c>
      <c r="M270" s="762">
        <v>0</v>
      </c>
      <c r="N270" s="755">
        <f>J270-L270-M270</f>
        <v>290.19739097961229</v>
      </c>
      <c r="O270" s="892"/>
      <c r="P270" s="35">
        <v>7.8252238570525492</v>
      </c>
      <c r="Q270" s="762">
        <v>0</v>
      </c>
      <c r="R270" s="762">
        <v>0</v>
      </c>
      <c r="T270" s="795">
        <f>N270+P270+Q270+R270</f>
        <v>298.02261483666484</v>
      </c>
      <c r="U270" s="792">
        <f>T270/G270*100</f>
        <v>0.61391633416074909</v>
      </c>
      <c r="V270" s="847">
        <f>T270-J270</f>
        <v>7.8252238570525492</v>
      </c>
      <c r="W270" s="785"/>
      <c r="X270" s="785"/>
      <c r="Z270" s="938"/>
      <c r="AB270" s="938"/>
      <c r="AD270" s="938"/>
      <c r="AF270" s="949"/>
    </row>
    <row r="271" spans="1:32">
      <c r="A271" s="4">
        <v>121</v>
      </c>
      <c r="B271" s="256"/>
      <c r="C271" s="7" t="s">
        <v>712</v>
      </c>
      <c r="D271" s="256"/>
      <c r="E271" s="742"/>
      <c r="F271" s="256"/>
      <c r="G271" s="420">
        <f>SUM(G269:G270)</f>
        <v>188852.1</v>
      </c>
      <c r="I271" s="891">
        <f>J271/G271*100</f>
        <v>0.20956921267166675</v>
      </c>
      <c r="J271" s="808">
        <f>SUM(J269:J270)</f>
        <v>395.77585908390881</v>
      </c>
      <c r="L271" s="805">
        <f t="shared" ref="L271:R271" si="5">SUM(L269:L270)</f>
        <v>0</v>
      </c>
      <c r="M271" s="805">
        <f t="shared" si="5"/>
        <v>0</v>
      </c>
      <c r="N271" s="887">
        <f t="shared" si="5"/>
        <v>395.77585908390881</v>
      </c>
      <c r="O271" s="755">
        <f t="shared" si="5"/>
        <v>0</v>
      </c>
      <c r="P271" s="887">
        <f t="shared" si="5"/>
        <v>10.672165880245458</v>
      </c>
      <c r="Q271" s="805">
        <f t="shared" si="5"/>
        <v>0</v>
      </c>
      <c r="R271" s="805">
        <f t="shared" si="5"/>
        <v>0</v>
      </c>
      <c r="S271" s="755"/>
      <c r="T271" s="887">
        <f>SUM(T269:T270)</f>
        <v>406.44802496415429</v>
      </c>
      <c r="U271" s="806">
        <f>T271/G271*100</f>
        <v>0.21522028347270389</v>
      </c>
      <c r="V271" s="851">
        <f>SUM(V269:V270)</f>
        <v>10.672165880245458</v>
      </c>
      <c r="W271" s="816">
        <f>U271/I271-1</f>
        <v>2.696517646363783E-2</v>
      </c>
      <c r="X271" s="785"/>
      <c r="Z271" s="938"/>
      <c r="AB271" s="938"/>
      <c r="AD271" s="938"/>
      <c r="AF271" s="949"/>
    </row>
    <row r="272" spans="1:32">
      <c r="A272" s="4"/>
      <c r="B272" s="256"/>
      <c r="D272" s="256"/>
      <c r="E272" s="36"/>
      <c r="F272" s="256"/>
      <c r="G272" s="35"/>
      <c r="H272" s="256"/>
      <c r="I272" s="861"/>
      <c r="J272" s="750"/>
      <c r="K272" s="256"/>
      <c r="L272" s="755"/>
      <c r="M272" s="755"/>
      <c r="N272" s="755"/>
      <c r="O272" s="795"/>
      <c r="P272" s="35"/>
      <c r="Q272" s="755"/>
      <c r="R272" s="755"/>
      <c r="S272" s="256"/>
      <c r="T272" s="795"/>
      <c r="U272" s="792"/>
      <c r="V272" s="847"/>
      <c r="W272" s="785"/>
      <c r="X272" s="785"/>
      <c r="Z272" s="938"/>
      <c r="AB272" s="938"/>
      <c r="AD272" s="938"/>
      <c r="AF272" s="949"/>
    </row>
    <row r="273" spans="1:32">
      <c r="A273" s="4">
        <v>122</v>
      </c>
      <c r="B273" s="256"/>
      <c r="C273" s="7" t="s">
        <v>715</v>
      </c>
      <c r="D273" s="256"/>
      <c r="E273" s="742" t="s">
        <v>674</v>
      </c>
      <c r="F273" s="256"/>
      <c r="G273" s="35">
        <v>140305.60000000001</v>
      </c>
      <c r="H273" s="256"/>
      <c r="I273" s="861">
        <v>4.6916111266467476E-2</v>
      </c>
      <c r="J273" s="750">
        <f>G273*I273/100</f>
        <v>65.825931409084802</v>
      </c>
      <c r="K273" s="256"/>
      <c r="L273" s="762">
        <v>0</v>
      </c>
      <c r="M273" s="762">
        <v>0</v>
      </c>
      <c r="N273" s="755">
        <f>J273-L273-M273</f>
        <v>65.825931409084802</v>
      </c>
      <c r="O273" s="795"/>
      <c r="P273" s="35">
        <v>1.7750078563292959</v>
      </c>
      <c r="Q273" s="762">
        <v>0</v>
      </c>
      <c r="R273" s="762">
        <v>0</v>
      </c>
      <c r="S273" s="256"/>
      <c r="T273" s="795">
        <f>N273+P273+Q273+R273</f>
        <v>67.600939265414098</v>
      </c>
      <c r="U273" s="792">
        <f>T273/G273*100</f>
        <v>4.8181212485755451E-2</v>
      </c>
      <c r="V273" s="847">
        <f>T273-J273</f>
        <v>1.7750078563292959</v>
      </c>
      <c r="W273" s="785">
        <f>U273/I273-1</f>
        <v>2.6965176463638052E-2</v>
      </c>
      <c r="X273" s="785"/>
      <c r="Z273" s="938"/>
      <c r="AB273" s="938"/>
      <c r="AD273" s="938"/>
      <c r="AF273" s="949"/>
    </row>
    <row r="274" spans="1:32">
      <c r="A274" s="4"/>
      <c r="B274" s="256"/>
      <c r="C274" s="7"/>
      <c r="D274" s="256"/>
      <c r="E274" s="36"/>
      <c r="F274" s="256"/>
      <c r="G274" s="35"/>
      <c r="H274" s="256"/>
      <c r="I274" s="256"/>
      <c r="J274" s="750"/>
      <c r="K274" s="256"/>
      <c r="L274" s="755"/>
      <c r="M274" s="755"/>
      <c r="N274" s="755"/>
      <c r="O274" s="795"/>
      <c r="P274" s="795"/>
      <c r="Q274" s="755"/>
      <c r="R274" s="755"/>
      <c r="S274" s="256"/>
      <c r="T274" s="256"/>
      <c r="U274" s="792"/>
      <c r="V274" s="504"/>
      <c r="W274" s="770"/>
      <c r="X274" s="769"/>
      <c r="Z274" s="938"/>
      <c r="AB274" s="938"/>
      <c r="AD274" s="938"/>
    </row>
    <row r="275" spans="1:32" ht="13.5" thickBot="1">
      <c r="A275" s="4">
        <v>123</v>
      </c>
      <c r="B275" s="256"/>
      <c r="C275" s="7" t="s">
        <v>748</v>
      </c>
      <c r="D275" s="256"/>
      <c r="E275" s="36"/>
      <c r="F275" s="256"/>
      <c r="G275" s="768">
        <f>G264</f>
        <v>188852.1</v>
      </c>
      <c r="H275" s="256"/>
      <c r="I275" s="803">
        <f>J275/G275*100</f>
        <v>2.7465820674531582</v>
      </c>
      <c r="J275" s="756">
        <f>J264+J266+J271+J273</f>
        <v>5186.977912608706</v>
      </c>
      <c r="K275" s="750"/>
      <c r="L275" s="844">
        <f>L264+L266+L271+L273</f>
        <v>40.750410090988815</v>
      </c>
      <c r="M275" s="844">
        <f>M264+M266+M271+M273</f>
        <v>550.32869750354416</v>
      </c>
      <c r="N275" s="844">
        <f>N264+N266+N271+N273</f>
        <v>4595.8988050141734</v>
      </c>
      <c r="O275" s="750"/>
      <c r="P275" s="844">
        <f>P264+P266+P271+P273</f>
        <v>123.92922228622955</v>
      </c>
      <c r="Q275" s="844">
        <f>Q264+Q266+Q271+Q273</f>
        <v>42.257140600837147</v>
      </c>
      <c r="R275" s="844">
        <f>R264+R266+R271+R273</f>
        <v>548.42372967335484</v>
      </c>
      <c r="S275" s="750"/>
      <c r="T275" s="844">
        <f>T264+T266+T271+T273</f>
        <v>5310.5088975745957</v>
      </c>
      <c r="U275" s="845">
        <f>T275/G275*100</f>
        <v>2.8119935640507019</v>
      </c>
      <c r="V275" s="844">
        <f>V264+V266+V271+V273</f>
        <v>123.53098496588858</v>
      </c>
      <c r="W275" s="815">
        <f>U275/I275-1</f>
        <v>2.3815598802841675E-2</v>
      </c>
      <c r="X275" s="785"/>
      <c r="Z275" s="938"/>
      <c r="AB275" s="938"/>
      <c r="AD275" s="938"/>
      <c r="AF275" s="949"/>
    </row>
    <row r="276" spans="1:32" ht="13.5" thickTop="1">
      <c r="A276" s="4"/>
      <c r="B276" s="256"/>
      <c r="C276" s="7"/>
      <c r="D276" s="256"/>
      <c r="E276" s="36"/>
      <c r="F276" s="256"/>
      <c r="G276" s="35"/>
      <c r="H276" s="256"/>
      <c r="I276" s="256"/>
      <c r="J276" s="256"/>
      <c r="K276" s="256"/>
      <c r="L276" s="504"/>
      <c r="M276" s="504"/>
      <c r="N276" s="504"/>
      <c r="O276" s="256"/>
      <c r="P276" s="256"/>
      <c r="Q276" s="504"/>
      <c r="R276" s="504"/>
      <c r="S276" s="256"/>
      <c r="T276" s="256"/>
      <c r="U276" s="256"/>
      <c r="V276" s="753"/>
      <c r="W276" s="504"/>
    </row>
    <row r="277" spans="1:32">
      <c r="A277" s="4"/>
      <c r="B277" s="256"/>
      <c r="C277" s="7"/>
      <c r="D277" s="256"/>
      <c r="E277" s="36"/>
      <c r="F277" s="256"/>
      <c r="G277" s="35"/>
      <c r="H277" s="256"/>
      <c r="I277" s="256"/>
      <c r="J277" s="256"/>
      <c r="K277" s="256"/>
      <c r="L277" s="504"/>
      <c r="M277" s="504"/>
      <c r="N277" s="504"/>
      <c r="O277" s="256"/>
      <c r="P277" s="256"/>
      <c r="Q277" s="504"/>
      <c r="R277" s="504"/>
      <c r="S277" s="256"/>
      <c r="T277" s="256"/>
      <c r="U277" s="256"/>
      <c r="V277" s="753"/>
      <c r="W277" s="504"/>
    </row>
    <row r="278" spans="1:32">
      <c r="A278" s="4"/>
      <c r="L278" s="2"/>
      <c r="M278" s="2"/>
      <c r="N278" s="504"/>
      <c r="Q278" s="504"/>
      <c r="R278" s="504"/>
      <c r="V278" s="753"/>
      <c r="W278" s="504"/>
    </row>
    <row r="279" spans="1:32">
      <c r="L279" s="2"/>
      <c r="M279" s="2"/>
      <c r="N279" s="504"/>
      <c r="Q279" s="504"/>
      <c r="R279" s="504"/>
      <c r="V279" s="504"/>
      <c r="W279" s="504"/>
    </row>
    <row r="280" spans="1:32">
      <c r="L280" s="2"/>
      <c r="M280" s="2"/>
      <c r="N280" s="504"/>
      <c r="Q280" s="504"/>
      <c r="R280" s="504"/>
      <c r="V280" s="504"/>
      <c r="W280" s="504"/>
    </row>
    <row r="281" spans="1:32">
      <c r="A281" s="1324" t="s">
        <v>724</v>
      </c>
      <c r="B281" s="1324"/>
      <c r="C281" s="1324"/>
      <c r="D281" s="1324"/>
      <c r="E281" s="1324"/>
      <c r="F281" s="1324"/>
      <c r="G281" s="1324"/>
      <c r="H281" s="1324"/>
      <c r="I281" s="1324"/>
      <c r="J281" s="1324"/>
      <c r="K281" s="1324"/>
      <c r="L281" s="1324"/>
      <c r="M281" s="1324"/>
      <c r="N281" s="1324"/>
      <c r="O281" s="1324"/>
      <c r="P281" s="1324"/>
      <c r="Q281" s="1324"/>
      <c r="R281" s="1324"/>
      <c r="S281" s="1324"/>
      <c r="T281" s="1324"/>
      <c r="U281" s="1324"/>
      <c r="V281" s="1324"/>
      <c r="W281" s="1324"/>
      <c r="X281" s="665"/>
    </row>
    <row r="282" spans="1:32">
      <c r="A282" s="1324" t="s">
        <v>938</v>
      </c>
      <c r="B282" s="1324"/>
      <c r="C282" s="1324"/>
      <c r="D282" s="1324"/>
      <c r="E282" s="1324"/>
      <c r="F282" s="1324"/>
      <c r="G282" s="1324"/>
      <c r="H282" s="1324"/>
      <c r="I282" s="1324"/>
      <c r="J282" s="1324"/>
      <c r="K282" s="1324"/>
      <c r="L282" s="1324"/>
      <c r="M282" s="1324"/>
      <c r="N282" s="1324"/>
      <c r="O282" s="1324"/>
      <c r="P282" s="1324"/>
      <c r="Q282" s="1324"/>
      <c r="R282" s="1324"/>
      <c r="S282" s="1324"/>
      <c r="T282" s="1324"/>
      <c r="U282" s="1324"/>
      <c r="V282" s="1324"/>
      <c r="W282" s="1324"/>
      <c r="X282" s="644"/>
      <c r="Y282" s="644"/>
    </row>
    <row r="283" spans="1:32">
      <c r="A283" s="385"/>
      <c r="B283" s="385"/>
      <c r="C283" s="385"/>
      <c r="D283" s="385"/>
      <c r="E283" s="447"/>
      <c r="F283" s="385"/>
      <c r="G283" s="447"/>
      <c r="H283" s="385"/>
      <c r="I283" s="385"/>
      <c r="J283" s="385"/>
      <c r="K283" s="385"/>
      <c r="L283" s="385"/>
      <c r="M283" s="385"/>
      <c r="N283" s="504"/>
      <c r="O283" s="385"/>
      <c r="P283" s="385"/>
      <c r="Q283" s="504"/>
      <c r="R283" s="504"/>
      <c r="S283" s="385"/>
      <c r="T283" s="385"/>
      <c r="U283" s="385"/>
      <c r="V283" s="504"/>
      <c r="W283" s="504"/>
    </row>
    <row r="284" spans="1:32" ht="26.45" customHeight="1">
      <c r="A284" s="447"/>
      <c r="B284" s="447"/>
      <c r="C284" s="447"/>
      <c r="D284" s="447"/>
      <c r="E284" s="385"/>
      <c r="F284" s="1313" t="s">
        <v>682</v>
      </c>
      <c r="G284" s="1313"/>
      <c r="H284" s="1313"/>
      <c r="I284" s="1313"/>
      <c r="J284" s="1313"/>
      <c r="K284" s="447"/>
      <c r="L284" s="1325" t="s">
        <v>496</v>
      </c>
      <c r="M284" s="1325"/>
      <c r="N284" s="256"/>
      <c r="O284" s="447"/>
      <c r="P284" s="449"/>
      <c r="Q284" s="1325" t="s">
        <v>497</v>
      </c>
      <c r="R284" s="1325"/>
      <c r="S284" s="447"/>
      <c r="T284" s="1313" t="s">
        <v>926</v>
      </c>
      <c r="U284" s="1313"/>
      <c r="V284" s="1313"/>
      <c r="W284" s="1313"/>
      <c r="X284" s="4"/>
    </row>
    <row r="285" spans="1:32" ht="38.25">
      <c r="A285" s="254" t="s">
        <v>1</v>
      </c>
      <c r="B285" s="254"/>
      <c r="C285" s="254"/>
      <c r="D285" s="254"/>
      <c r="E285" s="4" t="s">
        <v>670</v>
      </c>
      <c r="F285" s="254"/>
      <c r="G285" s="13" t="s">
        <v>684</v>
      </c>
      <c r="H285" s="254"/>
      <c r="I285" s="13" t="s">
        <v>196</v>
      </c>
      <c r="J285" s="13" t="s">
        <v>503</v>
      </c>
      <c r="K285" s="254"/>
      <c r="L285" s="13" t="s">
        <v>505</v>
      </c>
      <c r="M285" s="13" t="s">
        <v>685</v>
      </c>
      <c r="N285" s="254" t="s">
        <v>688</v>
      </c>
      <c r="O285" s="254"/>
      <c r="P285" s="254" t="s">
        <v>689</v>
      </c>
      <c r="Q285" s="13" t="s">
        <v>505</v>
      </c>
      <c r="R285" s="13" t="s">
        <v>685</v>
      </c>
      <c r="S285" s="254"/>
      <c r="T285" s="13" t="s">
        <v>690</v>
      </c>
      <c r="U285" s="13" t="s">
        <v>691</v>
      </c>
      <c r="V285" s="13" t="s">
        <v>692</v>
      </c>
      <c r="W285" s="254" t="s">
        <v>693</v>
      </c>
      <c r="X285" s="254"/>
    </row>
    <row r="286" spans="1:32" ht="14.25">
      <c r="A286" s="255" t="s">
        <v>2</v>
      </c>
      <c r="B286" s="256"/>
      <c r="C286" s="449" t="s">
        <v>3</v>
      </c>
      <c r="D286" s="256"/>
      <c r="E286" s="255" t="s">
        <v>4</v>
      </c>
      <c r="F286" s="256"/>
      <c r="G286" s="255" t="s">
        <v>694</v>
      </c>
      <c r="H286" s="256"/>
      <c r="I286" s="255" t="s">
        <v>77</v>
      </c>
      <c r="J286" s="255" t="s">
        <v>20</v>
      </c>
      <c r="K286" s="256"/>
      <c r="L286" s="255" t="s">
        <v>20</v>
      </c>
      <c r="M286" s="255" t="s">
        <v>20</v>
      </c>
      <c r="N286" s="255" t="s">
        <v>20</v>
      </c>
      <c r="O286" s="256"/>
      <c r="P286" s="255" t="s">
        <v>20</v>
      </c>
      <c r="Q286" s="255" t="s">
        <v>20</v>
      </c>
      <c r="R286" s="255" t="s">
        <v>20</v>
      </c>
      <c r="S286" s="256"/>
      <c r="T286" s="255" t="s">
        <v>20</v>
      </c>
      <c r="U286" s="255" t="s">
        <v>77</v>
      </c>
      <c r="V286" s="255" t="s">
        <v>20</v>
      </c>
      <c r="W286" s="255" t="s">
        <v>76</v>
      </c>
      <c r="X286" s="4"/>
    </row>
    <row r="287" spans="1:32">
      <c r="A287" s="4"/>
      <c r="B287" s="256"/>
      <c r="C287" s="256"/>
      <c r="D287" s="256"/>
      <c r="E287" s="4"/>
      <c r="F287" s="256"/>
      <c r="G287" s="4" t="s">
        <v>8</v>
      </c>
      <c r="H287" s="4"/>
      <c r="I287" s="4" t="s">
        <v>9</v>
      </c>
      <c r="J287" s="4" t="s">
        <v>370</v>
      </c>
      <c r="K287" s="4"/>
      <c r="L287" s="132" t="s">
        <v>79</v>
      </c>
      <c r="M287" s="132" t="s">
        <v>115</v>
      </c>
      <c r="N287" s="4" t="s">
        <v>927</v>
      </c>
      <c r="O287" s="4"/>
      <c r="P287" s="4" t="s">
        <v>928</v>
      </c>
      <c r="Q287" s="4" t="s">
        <v>118</v>
      </c>
      <c r="R287" s="4" t="s">
        <v>84</v>
      </c>
      <c r="S287" s="4"/>
      <c r="T287" s="4" t="s">
        <v>929</v>
      </c>
      <c r="U287" s="4" t="s">
        <v>517</v>
      </c>
      <c r="V287" s="4" t="s">
        <v>930</v>
      </c>
      <c r="W287" s="4" t="s">
        <v>931</v>
      </c>
    </row>
    <row r="288" spans="1:32">
      <c r="A288" s="4"/>
      <c r="B288" s="256"/>
      <c r="C288" s="802" t="s">
        <v>172</v>
      </c>
      <c r="D288" s="256"/>
      <c r="E288" s="36"/>
      <c r="F288" s="256"/>
      <c r="G288" s="35"/>
      <c r="H288" s="256"/>
      <c r="I288" s="256"/>
      <c r="J288" s="256"/>
      <c r="K288" s="256"/>
      <c r="L288" s="504"/>
      <c r="M288" s="504"/>
      <c r="N288" s="504"/>
      <c r="O288" s="256"/>
      <c r="P288" s="256"/>
      <c r="Q288" s="504"/>
      <c r="R288" s="504"/>
      <c r="S288" s="256"/>
      <c r="T288" s="256"/>
      <c r="U288" s="256"/>
      <c r="V288" s="504"/>
      <c r="W288" s="504"/>
    </row>
    <row r="289" spans="1:32">
      <c r="A289" s="4"/>
      <c r="B289" s="256"/>
      <c r="C289" s="6" t="s">
        <v>173</v>
      </c>
      <c r="D289" s="256"/>
      <c r="E289" s="36"/>
      <c r="F289" s="256"/>
      <c r="G289" s="35"/>
      <c r="H289" s="256"/>
      <c r="I289" s="256"/>
      <c r="J289" s="256"/>
      <c r="K289" s="256"/>
      <c r="L289" s="504"/>
      <c r="M289" s="504"/>
      <c r="N289" s="504"/>
      <c r="O289" s="256"/>
      <c r="P289" s="256"/>
      <c r="Q289" s="504"/>
      <c r="R289" s="504"/>
      <c r="S289" s="256"/>
      <c r="T289" s="256"/>
      <c r="U289" s="256"/>
      <c r="V289" s="504"/>
      <c r="W289" s="504"/>
    </row>
    <row r="290" spans="1:32">
      <c r="A290" s="4">
        <v>124</v>
      </c>
      <c r="B290" s="256"/>
      <c r="C290" s="7" t="s">
        <v>703</v>
      </c>
      <c r="D290" s="256"/>
      <c r="E290" s="36" t="s">
        <v>704</v>
      </c>
      <c r="F290" s="256"/>
      <c r="G290" s="35">
        <v>4435128.0000000037</v>
      </c>
      <c r="H290" s="256"/>
      <c r="I290" s="778">
        <v>22.98</v>
      </c>
      <c r="J290" s="750">
        <f>G290*I290/1000</f>
        <v>101919.24144000009</v>
      </c>
      <c r="K290" s="256"/>
      <c r="L290" s="865">
        <v>0</v>
      </c>
      <c r="M290" s="865">
        <v>0</v>
      </c>
      <c r="N290" s="753">
        <f>J290-L290-M290</f>
        <v>101919.24144000009</v>
      </c>
      <c r="O290" s="256"/>
      <c r="P290" s="35">
        <v>2748.2703304697061</v>
      </c>
      <c r="Q290" s="35">
        <v>9989.5303963250917</v>
      </c>
      <c r="R290" s="865">
        <v>0</v>
      </c>
      <c r="S290" s="256"/>
      <c r="T290" s="750">
        <f>N290+P290+Q290+R290</f>
        <v>114657.04216679488</v>
      </c>
      <c r="U290" s="811">
        <f>T290/G290*1000</f>
        <v>25.852025503389033</v>
      </c>
      <c r="V290" s="753">
        <f>T290-J290</f>
        <v>12737.800726794798</v>
      </c>
      <c r="W290" s="770">
        <f>U290/I290-1</f>
        <v>0.12497935175757324</v>
      </c>
      <c r="X290" s="769"/>
      <c r="Z290" s="938"/>
      <c r="AB290" s="938"/>
      <c r="AD290" s="938"/>
      <c r="AF290" s="954"/>
    </row>
    <row r="291" spans="1:32">
      <c r="C291" s="512" t="s">
        <v>705</v>
      </c>
      <c r="E291" s="36"/>
      <c r="G291" s="35"/>
      <c r="J291" s="752"/>
      <c r="L291" s="865"/>
      <c r="M291" s="504"/>
      <c r="N291" s="753"/>
      <c r="P291" s="35"/>
      <c r="Q291" s="35"/>
      <c r="R291" s="504"/>
      <c r="T291" s="750"/>
      <c r="U291" s="793"/>
      <c r="V291" s="753"/>
      <c r="W291" s="770"/>
      <c r="X291" s="769"/>
      <c r="Z291" s="938"/>
      <c r="AB291" s="938"/>
      <c r="AD291" s="938"/>
    </row>
    <row r="292" spans="1:32">
      <c r="A292" s="4">
        <v>125</v>
      </c>
      <c r="B292" s="256"/>
      <c r="C292" s="519" t="s">
        <v>749</v>
      </c>
      <c r="D292" s="256"/>
      <c r="E292" s="513" t="s">
        <v>674</v>
      </c>
      <c r="F292" s="256"/>
      <c r="G292" s="35">
        <v>299290.46273039118</v>
      </c>
      <c r="H292" s="256"/>
      <c r="I292" s="861">
        <v>11.076000000000001</v>
      </c>
      <c r="J292" s="750">
        <f>G292*I292/100</f>
        <v>33149.411652018127</v>
      </c>
      <c r="K292" s="256"/>
      <c r="L292" s="865">
        <v>1858.8930640184597</v>
      </c>
      <c r="M292" s="865">
        <v>858.13967814085549</v>
      </c>
      <c r="N292" s="753">
        <f>J292-L292-M292</f>
        <v>30432.378909858813</v>
      </c>
      <c r="O292" s="256"/>
      <c r="P292" s="35">
        <v>820.61446751263429</v>
      </c>
      <c r="Q292" s="35">
        <v>625.58933759444324</v>
      </c>
      <c r="R292" s="35">
        <v>834.35089028881271</v>
      </c>
      <c r="S292" s="256"/>
      <c r="T292" s="750">
        <f>N292+P292+Q292+R292</f>
        <v>32712.933605254704</v>
      </c>
      <c r="U292" s="792">
        <f t="shared" ref="U292:U297" si="6">T292/G292*100</f>
        <v>10.930162393688898</v>
      </c>
      <c r="V292" s="847">
        <f>T292-J292</f>
        <v>-436.47804676342275</v>
      </c>
      <c r="W292" s="770"/>
      <c r="X292" s="769"/>
      <c r="Z292" s="938"/>
      <c r="AB292" s="938"/>
      <c r="AD292" s="938"/>
      <c r="AF292" s="949"/>
    </row>
    <row r="293" spans="1:32">
      <c r="A293" s="4">
        <v>126</v>
      </c>
      <c r="B293" s="256"/>
      <c r="C293" s="519" t="s">
        <v>750</v>
      </c>
      <c r="D293" s="256"/>
      <c r="E293" s="513" t="s">
        <v>674</v>
      </c>
      <c r="F293" s="256"/>
      <c r="G293" s="35">
        <v>342667.32910551433</v>
      </c>
      <c r="H293" s="256"/>
      <c r="I293" s="861">
        <v>10.798000000000002</v>
      </c>
      <c r="J293" s="750">
        <f>G293*I293/100</f>
        <v>37001.218196813446</v>
      </c>
      <c r="K293" s="256"/>
      <c r="L293" s="865">
        <v>2075.1933450629949</v>
      </c>
      <c r="M293" s="865">
        <v>982.51186765308512</v>
      </c>
      <c r="N293" s="753">
        <f>J293-L293-M293</f>
        <v>33943.512984097368</v>
      </c>
      <c r="O293" s="256"/>
      <c r="P293" s="35">
        <v>915.2928174119661</v>
      </c>
      <c r="Q293" s="35">
        <v>716.25746264920281</v>
      </c>
      <c r="R293" s="35">
        <v>955.27531516975239</v>
      </c>
      <c r="S293" s="256"/>
      <c r="T293" s="750">
        <f>N293+P293+Q293+R293</f>
        <v>36530.338579328294</v>
      </c>
      <c r="U293" s="792">
        <f t="shared" si="6"/>
        <v>10.660584034867195</v>
      </c>
      <c r="V293" s="847">
        <f>T293-J293</f>
        <v>-470.87961748515227</v>
      </c>
      <c r="W293" s="770"/>
      <c r="X293" s="769"/>
      <c r="Z293" s="938"/>
      <c r="AB293" s="938"/>
      <c r="AD293" s="938"/>
      <c r="AF293" s="949"/>
    </row>
    <row r="294" spans="1:32">
      <c r="A294" s="4">
        <v>127</v>
      </c>
      <c r="B294" s="256"/>
      <c r="C294" s="519" t="s">
        <v>751</v>
      </c>
      <c r="D294" s="256"/>
      <c r="E294" s="513" t="s">
        <v>674</v>
      </c>
      <c r="F294" s="256"/>
      <c r="G294" s="35">
        <v>128559.93934024102</v>
      </c>
      <c r="H294" s="256"/>
      <c r="I294" s="861">
        <v>10.3573</v>
      </c>
      <c r="J294" s="750">
        <f>G294*I294/100</f>
        <v>13315.338597286784</v>
      </c>
      <c r="K294" s="256"/>
      <c r="L294" s="865">
        <v>746.93324756680022</v>
      </c>
      <c r="M294" s="865">
        <v>368.61309899682192</v>
      </c>
      <c r="N294" s="753">
        <f>J294-L294-M294</f>
        <v>12199.792250723161</v>
      </c>
      <c r="O294" s="256"/>
      <c r="P294" s="35">
        <v>328.96955086047092</v>
      </c>
      <c r="Q294" s="35">
        <v>268.72131694183923</v>
      </c>
      <c r="R294" s="35">
        <v>358.39464734508499</v>
      </c>
      <c r="S294" s="256"/>
      <c r="T294" s="750">
        <f>N294+P294+Q294+R294</f>
        <v>13155.877765870557</v>
      </c>
      <c r="U294" s="792">
        <f t="shared" si="6"/>
        <v>10.233263824940671</v>
      </c>
      <c r="V294" s="847">
        <f>T294-J294</f>
        <v>-159.46083141622694</v>
      </c>
      <c r="W294" s="770"/>
      <c r="X294" s="769"/>
      <c r="Z294" s="938"/>
      <c r="AB294" s="938"/>
      <c r="AD294" s="938"/>
      <c r="AF294" s="949"/>
    </row>
    <row r="295" spans="1:32">
      <c r="A295" s="4">
        <v>128</v>
      </c>
      <c r="B295" s="256"/>
      <c r="C295" s="519" t="s">
        <v>752</v>
      </c>
      <c r="D295" s="256"/>
      <c r="E295" s="513" t="s">
        <v>674</v>
      </c>
      <c r="F295" s="256"/>
      <c r="G295" s="35">
        <v>86233.647863598511</v>
      </c>
      <c r="H295" s="256"/>
      <c r="I295" s="861">
        <v>9.9530000000000012</v>
      </c>
      <c r="J295" s="750">
        <f>G295*I295/100</f>
        <v>8582.8349718639602</v>
      </c>
      <c r="K295" s="256"/>
      <c r="L295" s="865">
        <v>481.61492331819767</v>
      </c>
      <c r="M295" s="865">
        <v>247.25316719912297</v>
      </c>
      <c r="N295" s="753">
        <f>J295-L295-M295</f>
        <v>7853.9668813466396</v>
      </c>
      <c r="O295" s="256"/>
      <c r="P295" s="35">
        <v>211.78360289507964</v>
      </c>
      <c r="Q295" s="35">
        <v>180.24914711010294</v>
      </c>
      <c r="R295" s="35">
        <v>240.39897633710794</v>
      </c>
      <c r="S295" s="256"/>
      <c r="T295" s="750">
        <f>N295+P295+Q295+R295</f>
        <v>8486.3986076889305</v>
      </c>
      <c r="U295" s="792">
        <f t="shared" si="6"/>
        <v>9.8411685205668569</v>
      </c>
      <c r="V295" s="847">
        <f>T295-J295</f>
        <v>-96.436364175029667</v>
      </c>
      <c r="W295" s="770"/>
      <c r="X295" s="769"/>
      <c r="Z295" s="938"/>
      <c r="AB295" s="938"/>
      <c r="AD295" s="938"/>
      <c r="AF295" s="949"/>
    </row>
    <row r="296" spans="1:32">
      <c r="A296" s="4">
        <v>129</v>
      </c>
      <c r="B296" s="256"/>
      <c r="C296" s="519" t="s">
        <v>753</v>
      </c>
      <c r="D296" s="256"/>
      <c r="E296" s="742"/>
      <c r="F296" s="256"/>
      <c r="G296" s="35">
        <v>120128.48102739092</v>
      </c>
      <c r="H296" s="256"/>
      <c r="I296" s="861">
        <v>9.6187000000000005</v>
      </c>
      <c r="J296" s="750">
        <f>G296*I296/100</f>
        <v>11554.798204581652</v>
      </c>
      <c r="K296" s="256"/>
      <c r="L296" s="865">
        <v>648.45354058585622</v>
      </c>
      <c r="M296" s="865">
        <v>344.43802553527627</v>
      </c>
      <c r="N296" s="753">
        <f>J296-L296-M296</f>
        <v>10561.906638460518</v>
      </c>
      <c r="O296" s="256"/>
      <c r="P296" s="35">
        <v>284.80367629855573</v>
      </c>
      <c r="Q296" s="35">
        <v>251.09753310064622</v>
      </c>
      <c r="R296" s="35">
        <v>334.8897394854028</v>
      </c>
      <c r="S296" s="256"/>
      <c r="T296" s="750">
        <f>N296+P296+Q296+R296</f>
        <v>11432.697587345123</v>
      </c>
      <c r="U296" s="792">
        <f t="shared" si="6"/>
        <v>9.5170583108749316</v>
      </c>
      <c r="V296" s="847">
        <f>T296-J296</f>
        <v>-122.10061723652871</v>
      </c>
      <c r="W296" s="770"/>
      <c r="X296" s="769"/>
      <c r="Z296" s="938"/>
      <c r="AB296" s="938"/>
      <c r="AD296" s="938"/>
      <c r="AF296" s="949"/>
    </row>
    <row r="297" spans="1:32">
      <c r="A297" s="4">
        <v>130</v>
      </c>
      <c r="B297" s="256"/>
      <c r="C297" s="512" t="s">
        <v>705</v>
      </c>
      <c r="D297" s="256"/>
      <c r="E297" s="36"/>
      <c r="F297" s="256"/>
      <c r="G297" s="137">
        <f>SUM(G292:G296)</f>
        <v>976879.860067136</v>
      </c>
      <c r="H297" s="256"/>
      <c r="I297" s="806">
        <f>J297/G297*100</f>
        <v>10.605562245437614</v>
      </c>
      <c r="J297" s="808">
        <f>SUM(J292:J296)</f>
        <v>103603.60162256396</v>
      </c>
      <c r="K297" s="256"/>
      <c r="L297" s="887">
        <f>SUM(L292:L296)</f>
        <v>5811.0881205523092</v>
      </c>
      <c r="M297" s="875">
        <f>SUM(M292:M296)</f>
        <v>2800.9558375251618</v>
      </c>
      <c r="N297" s="808">
        <f>SUM(N292:N296)</f>
        <v>94991.557664486492</v>
      </c>
      <c r="O297" s="256"/>
      <c r="P297" s="807">
        <f>SUM(P292:P296)</f>
        <v>2561.4641149787067</v>
      </c>
      <c r="Q297" s="807">
        <f>SUM(Q292:Q296)</f>
        <v>2041.9147973962345</v>
      </c>
      <c r="R297" s="807">
        <f>SUM(R292:R296)</f>
        <v>2723.3095686261609</v>
      </c>
      <c r="S297" s="453"/>
      <c r="T297" s="808">
        <f>SUM(T292:T296)</f>
        <v>102318.24614548759</v>
      </c>
      <c r="U297" s="829">
        <f t="shared" si="6"/>
        <v>10.473984604253769</v>
      </c>
      <c r="V297" s="137">
        <f>SUM(V292:V296)</f>
        <v>-1285.3554770763603</v>
      </c>
      <c r="W297" s="816">
        <f>U297/I297-1</f>
        <v>-1.2406474842052706E-2</v>
      </c>
      <c r="X297" s="889"/>
      <c r="Z297" s="938"/>
      <c r="AB297" s="938"/>
      <c r="AD297" s="938"/>
      <c r="AF297" s="949"/>
    </row>
    <row r="298" spans="1:32">
      <c r="A298" s="4"/>
      <c r="C298" s="7"/>
      <c r="G298" s="135"/>
      <c r="L298" s="504"/>
      <c r="M298" s="504"/>
      <c r="N298" s="504"/>
      <c r="Q298" s="504"/>
      <c r="R298" s="504"/>
      <c r="U298" s="793"/>
      <c r="V298" s="504"/>
      <c r="W298" s="770"/>
      <c r="X298" s="769"/>
      <c r="Z298" s="938"/>
      <c r="AB298" s="938"/>
      <c r="AD298" s="938"/>
    </row>
    <row r="299" spans="1:32">
      <c r="A299" s="4">
        <v>131</v>
      </c>
      <c r="B299" s="256"/>
      <c r="C299" s="7" t="s">
        <v>710</v>
      </c>
      <c r="D299" s="256"/>
      <c r="E299" s="36"/>
      <c r="F299" s="256"/>
      <c r="G299" s="420">
        <f>G297</f>
        <v>976879.860067136</v>
      </c>
      <c r="H299" s="256"/>
      <c r="I299" s="806">
        <f>J299/G299*100</f>
        <v>21.038702041460809</v>
      </c>
      <c r="J299" s="808">
        <f>J290+J297</f>
        <v>205522.84306256403</v>
      </c>
      <c r="K299" s="750"/>
      <c r="L299" s="420">
        <f>L297</f>
        <v>5811.0881205523092</v>
      </c>
      <c r="M299" s="420">
        <f>M297</f>
        <v>2800.9558375251618</v>
      </c>
      <c r="N299" s="808">
        <f>N290+N297</f>
        <v>196910.79910448659</v>
      </c>
      <c r="O299" s="750"/>
      <c r="P299" s="420">
        <f>P297+P290</f>
        <v>5309.7344454484128</v>
      </c>
      <c r="Q299" s="420">
        <f>Q297+Q290</f>
        <v>12031.445193721327</v>
      </c>
      <c r="R299" s="420">
        <f>R297+R290</f>
        <v>2723.3095686261609</v>
      </c>
      <c r="S299" s="868"/>
      <c r="T299" s="808">
        <f>T290+T297</f>
        <v>216975.28831228247</v>
      </c>
      <c r="U299" s="806">
        <f>T299/G299*100</f>
        <v>22.211051448780083</v>
      </c>
      <c r="V299" s="808">
        <f>V290+V297</f>
        <v>11452.445249718437</v>
      </c>
      <c r="W299" s="841">
        <f>U299/I299-1</f>
        <v>5.5723466448116987E-2</v>
      </c>
      <c r="X299" s="779"/>
      <c r="Z299" s="938"/>
      <c r="AB299" s="938"/>
      <c r="AD299" s="938"/>
    </row>
    <row r="300" spans="1:32">
      <c r="A300" s="4"/>
      <c r="B300" s="256"/>
      <c r="C300" s="7"/>
      <c r="D300" s="256"/>
      <c r="E300" s="36"/>
      <c r="F300" s="256"/>
      <c r="G300" s="35"/>
      <c r="H300" s="256"/>
      <c r="I300" s="256"/>
      <c r="J300" s="256"/>
      <c r="K300" s="256"/>
      <c r="L300" s="504"/>
      <c r="M300" s="504"/>
      <c r="N300" s="504"/>
      <c r="O300" s="256"/>
      <c r="P300" s="256"/>
      <c r="Q300" s="504"/>
      <c r="R300" s="504"/>
      <c r="S300" s="256"/>
      <c r="T300" s="256"/>
      <c r="U300" s="256"/>
      <c r="V300" s="504"/>
      <c r="W300" s="504"/>
      <c r="Z300" s="938"/>
      <c r="AB300" s="938"/>
      <c r="AD300" s="938"/>
    </row>
    <row r="301" spans="1:32">
      <c r="A301" s="4"/>
      <c r="B301" s="256"/>
      <c r="C301" s="7" t="s">
        <v>712</v>
      </c>
      <c r="D301" s="256"/>
      <c r="E301" s="36"/>
      <c r="F301" s="256"/>
      <c r="G301" s="453"/>
      <c r="H301" s="256"/>
      <c r="I301" s="256"/>
      <c r="J301" s="256"/>
      <c r="K301" s="256"/>
      <c r="L301" s="504"/>
      <c r="M301" s="504"/>
      <c r="N301" s="504"/>
      <c r="O301" s="256"/>
      <c r="P301" s="256"/>
      <c r="Q301" s="504"/>
      <c r="R301" s="504"/>
      <c r="S301" s="256"/>
      <c r="T301" s="256"/>
      <c r="U301" s="256"/>
      <c r="V301" s="504"/>
      <c r="W301" s="504"/>
      <c r="Z301" s="938"/>
      <c r="AB301" s="938"/>
      <c r="AD301" s="938"/>
    </row>
    <row r="302" spans="1:32">
      <c r="A302" s="4">
        <v>132</v>
      </c>
      <c r="B302" s="256"/>
      <c r="C302" s="9" t="s">
        <v>754</v>
      </c>
      <c r="D302" s="256"/>
      <c r="E302" s="513" t="s">
        <v>674</v>
      </c>
      <c r="F302" s="256"/>
      <c r="G302" s="35">
        <v>274790.8752561867</v>
      </c>
      <c r="H302" s="256"/>
      <c r="I302" s="897">
        <v>-0.41985164310900586</v>
      </c>
      <c r="J302" s="896">
        <f>G302*I302/100</f>
        <v>-1153.7140048767185</v>
      </c>
      <c r="K302" s="256"/>
      <c r="L302" s="865">
        <v>0</v>
      </c>
      <c r="M302" s="865">
        <v>0</v>
      </c>
      <c r="N302" s="755">
        <f>J302-L302-M302</f>
        <v>-1153.7140048767185</v>
      </c>
      <c r="O302" s="256"/>
      <c r="P302" s="35">
        <v>-31.110101730070937</v>
      </c>
      <c r="Q302" s="865">
        <v>0</v>
      </c>
      <c r="R302" s="865">
        <v>0</v>
      </c>
      <c r="S302" s="750"/>
      <c r="T302" s="896">
        <f>N302+P302+Q302+R302</f>
        <v>-1184.8241066067894</v>
      </c>
      <c r="U302" s="960">
        <f>T302/G302*100</f>
        <v>-0.43117301675398845</v>
      </c>
      <c r="V302" s="847">
        <f>T302-J302</f>
        <v>-31.110101730070937</v>
      </c>
      <c r="W302" s="770"/>
      <c r="X302" s="769"/>
      <c r="Z302" s="964"/>
      <c r="AB302" s="964"/>
      <c r="AD302" s="964"/>
      <c r="AF302" s="949"/>
    </row>
    <row r="303" spans="1:32">
      <c r="A303" s="4">
        <v>133</v>
      </c>
      <c r="B303" s="256"/>
      <c r="C303" s="9" t="s">
        <v>755</v>
      </c>
      <c r="D303" s="256"/>
      <c r="E303" s="513" t="s">
        <v>674</v>
      </c>
      <c r="F303" s="256"/>
      <c r="G303" s="35">
        <v>702088.9848109493</v>
      </c>
      <c r="H303" s="256"/>
      <c r="I303" s="897">
        <v>-0.16237258638936697</v>
      </c>
      <c r="J303" s="896">
        <f>G303*I303/100</f>
        <v>-1140.0000433923881</v>
      </c>
      <c r="K303" s="256"/>
      <c r="L303" s="865">
        <v>0</v>
      </c>
      <c r="M303" s="865">
        <v>0</v>
      </c>
      <c r="N303" s="755">
        <f>J303-L303-M303</f>
        <v>-1140.0000433923881</v>
      </c>
      <c r="O303" s="256"/>
      <c r="P303" s="35">
        <v>-30.740302338630499</v>
      </c>
      <c r="Q303" s="865">
        <v>0</v>
      </c>
      <c r="R303" s="865">
        <v>0</v>
      </c>
      <c r="S303" s="750"/>
      <c r="T303" s="896">
        <f>N303+P303+Q303+R303</f>
        <v>-1170.7403457310186</v>
      </c>
      <c r="U303" s="960">
        <f>T303/G303*100</f>
        <v>-0.16675099183421352</v>
      </c>
      <c r="V303" s="847">
        <f>T303-J303</f>
        <v>-30.740302338630499</v>
      </c>
      <c r="W303" s="770"/>
      <c r="X303" s="769"/>
      <c r="Z303" s="964"/>
      <c r="AB303" s="964"/>
      <c r="AD303" s="964"/>
      <c r="AF303" s="949"/>
    </row>
    <row r="304" spans="1:32">
      <c r="A304" s="4">
        <v>134</v>
      </c>
      <c r="B304" s="256"/>
      <c r="C304" s="7" t="s">
        <v>712</v>
      </c>
      <c r="D304" s="256"/>
      <c r="E304" s="860"/>
      <c r="F304" s="256"/>
      <c r="G304" s="879">
        <f>SUM(G302:G303)</f>
        <v>976879.860067136</v>
      </c>
      <c r="H304" s="256"/>
      <c r="I304" s="878">
        <f>J304/G304*100</f>
        <v>-0.23480001400699069</v>
      </c>
      <c r="J304" s="849">
        <f>SUM(J302:J303)</f>
        <v>-2293.7140482691066</v>
      </c>
      <c r="K304" s="750"/>
      <c r="L304" s="873">
        <f>SUM(L302:L303)</f>
        <v>0</v>
      </c>
      <c r="M304" s="873">
        <f>SUM(M302:M303)</f>
        <v>0</v>
      </c>
      <c r="N304" s="873">
        <f>SUM(N302:N303)</f>
        <v>-2293.7140482691066</v>
      </c>
      <c r="O304" s="795"/>
      <c r="P304" s="873">
        <f>SUM(P302:P303)</f>
        <v>-61.850404068701437</v>
      </c>
      <c r="Q304" s="873">
        <f>SUM(Q302:Q303)</f>
        <v>0</v>
      </c>
      <c r="R304" s="873">
        <f>SUM(R302:R303)</f>
        <v>0</v>
      </c>
      <c r="S304" s="750"/>
      <c r="T304" s="849">
        <f>SUM(T302:T303)</f>
        <v>-2355.5644523378078</v>
      </c>
      <c r="U304" s="903">
        <f>T304/G304*100</f>
        <v>-0.24113143781835383</v>
      </c>
      <c r="V304" s="851">
        <f>SUM(V302:V303)</f>
        <v>-61.850404068701437</v>
      </c>
      <c r="W304" s="804">
        <f>U304/I304-1</f>
        <v>2.696517646363783E-2</v>
      </c>
      <c r="X304" s="769"/>
      <c r="Z304" s="964"/>
      <c r="AB304" s="964"/>
      <c r="AD304" s="964"/>
      <c r="AF304" s="949"/>
    </row>
    <row r="305" spans="1:32">
      <c r="A305" s="4"/>
      <c r="C305" s="256"/>
      <c r="L305" s="504"/>
      <c r="M305" s="504"/>
      <c r="N305" s="504"/>
      <c r="Q305" s="504"/>
      <c r="R305" s="504"/>
      <c r="U305" s="793"/>
      <c r="V305" s="504"/>
      <c r="W305" s="770"/>
      <c r="X305" s="769"/>
    </row>
    <row r="306" spans="1:32">
      <c r="A306" s="4"/>
      <c r="B306" s="734"/>
      <c r="C306" s="7" t="s">
        <v>756</v>
      </c>
      <c r="D306" s="734"/>
      <c r="E306" s="734"/>
      <c r="F306" s="734"/>
      <c r="G306" s="734"/>
      <c r="H306" s="734"/>
      <c r="I306" s="734"/>
      <c r="J306" s="734"/>
      <c r="K306" s="734"/>
      <c r="L306" s="504"/>
      <c r="M306" s="504"/>
      <c r="N306" s="504"/>
      <c r="O306" s="734"/>
      <c r="P306" s="734"/>
      <c r="Q306" s="504"/>
      <c r="R306" s="504"/>
      <c r="S306" s="734"/>
      <c r="T306" s="734"/>
      <c r="U306" s="885"/>
      <c r="V306" s="504"/>
      <c r="W306" s="770"/>
      <c r="X306" s="769"/>
    </row>
    <row r="307" spans="1:32">
      <c r="A307" s="4">
        <v>135</v>
      </c>
      <c r="B307" s="385"/>
      <c r="C307" s="9" t="s">
        <v>754</v>
      </c>
      <c r="D307" s="385"/>
      <c r="E307" s="513" t="s">
        <v>674</v>
      </c>
      <c r="F307" s="385"/>
      <c r="G307" s="35">
        <v>274790.8752561867</v>
      </c>
      <c r="H307" s="822"/>
      <c r="I307" s="861">
        <v>1.7038789273859507</v>
      </c>
      <c r="J307" s="818">
        <f>G307*I307/100</f>
        <v>4682.1038178695799</v>
      </c>
      <c r="K307" s="822"/>
      <c r="L307" s="865">
        <v>0</v>
      </c>
      <c r="M307" s="865">
        <v>0</v>
      </c>
      <c r="N307" s="753">
        <f>J307-L307-M307</f>
        <v>4682.1038178695799</v>
      </c>
      <c r="O307" s="822"/>
      <c r="P307" s="35">
        <v>126.25375566992534</v>
      </c>
      <c r="Q307" s="865">
        <v>0</v>
      </c>
      <c r="R307" s="865">
        <v>0</v>
      </c>
      <c r="S307" s="822"/>
      <c r="T307" s="818">
        <f>N307+P307+Q307+R31</f>
        <v>4808.3575735395052</v>
      </c>
      <c r="U307" s="823">
        <f>T307/G307*100</f>
        <v>1.7498243233355866</v>
      </c>
      <c r="V307" s="818">
        <f>T307-J307</f>
        <v>126.25375566992534</v>
      </c>
      <c r="W307" s="834"/>
      <c r="X307" s="833"/>
      <c r="Z307" s="938"/>
      <c r="AB307" s="938"/>
      <c r="AD307" s="938"/>
      <c r="AF307" s="949"/>
    </row>
    <row r="308" spans="1:32">
      <c r="A308" s="4">
        <v>136</v>
      </c>
      <c r="B308" s="447"/>
      <c r="C308" s="9" t="s">
        <v>755</v>
      </c>
      <c r="D308" s="447"/>
      <c r="E308" s="513" t="s">
        <v>674</v>
      </c>
      <c r="F308" s="447"/>
      <c r="G308" s="35">
        <v>702088.9848109493</v>
      </c>
      <c r="H308" s="856"/>
      <c r="I308" s="861">
        <v>2.1533828779895305</v>
      </c>
      <c r="J308" s="818">
        <f>G308*I308/100</f>
        <v>15118.663987169499</v>
      </c>
      <c r="K308" s="856"/>
      <c r="L308" s="865">
        <v>0</v>
      </c>
      <c r="M308" s="865">
        <v>0</v>
      </c>
      <c r="N308" s="753">
        <f>J308-L308-M308</f>
        <v>15118.663987169499</v>
      </c>
      <c r="O308" s="856"/>
      <c r="P308" s="35">
        <v>407.67744230847165</v>
      </c>
      <c r="Q308" s="865">
        <v>0</v>
      </c>
      <c r="R308" s="865">
        <v>0</v>
      </c>
      <c r="S308" s="856"/>
      <c r="T308" s="818">
        <f>N308+P308+Q308+R32</f>
        <v>15526.34142947797</v>
      </c>
      <c r="U308" s="823">
        <f>T308/G308*100</f>
        <v>2.2114492272882944</v>
      </c>
      <c r="V308" s="818">
        <f>T308-J308</f>
        <v>407.67744230847165</v>
      </c>
      <c r="W308" s="834"/>
      <c r="X308" s="833"/>
      <c r="Z308" s="938"/>
      <c r="AB308" s="938"/>
      <c r="AD308" s="938"/>
      <c r="AF308" s="949"/>
    </row>
    <row r="309" spans="1:32">
      <c r="A309" s="4">
        <v>137</v>
      </c>
      <c r="B309" s="254"/>
      <c r="C309" s="7" t="s">
        <v>757</v>
      </c>
      <c r="D309" s="254"/>
      <c r="E309" s="4"/>
      <c r="F309" s="254"/>
      <c r="G309" s="420">
        <f>SUM(G307:G308)</f>
        <v>976879.860067136</v>
      </c>
      <c r="H309" s="854"/>
      <c r="I309" s="883">
        <f>J309/G309*100</f>
        <v>2.0269399149736049</v>
      </c>
      <c r="J309" s="882">
        <f>SUM(J307:J308)</f>
        <v>19800.767805039079</v>
      </c>
      <c r="K309" s="854"/>
      <c r="L309" s="875">
        <f>SUM(L307:L308)</f>
        <v>0</v>
      </c>
      <c r="M309" s="875">
        <f>SUM(M307:M308)</f>
        <v>0</v>
      </c>
      <c r="N309" s="842">
        <f>SUM(N307:N308)</f>
        <v>19800.767805039079</v>
      </c>
      <c r="O309" s="967"/>
      <c r="P309" s="881">
        <f>SUM(P307:P308)</f>
        <v>533.93119797839699</v>
      </c>
      <c r="Q309" s="879">
        <f>SUM(Q307:Q308)</f>
        <v>0</v>
      </c>
      <c r="R309" s="879">
        <f>SUM(R307:R308)</f>
        <v>0</v>
      </c>
      <c r="S309" s="739"/>
      <c r="T309" s="881">
        <f>SUM(T307:T308)</f>
        <v>20334.699003017475</v>
      </c>
      <c r="U309" s="829">
        <f>T309/G309*100</f>
        <v>2.0815967074620594</v>
      </c>
      <c r="V309" s="852">
        <f>T309-J309</f>
        <v>533.93119797839609</v>
      </c>
      <c r="W309" s="880">
        <f>U309/I309-1</f>
        <v>2.696517646363783E-2</v>
      </c>
      <c r="X309" s="889"/>
      <c r="Z309" s="938"/>
      <c r="AB309" s="938"/>
      <c r="AD309" s="938"/>
      <c r="AF309" s="949"/>
    </row>
    <row r="310" spans="1:32">
      <c r="A310" s="4"/>
      <c r="B310" s="256"/>
      <c r="D310" s="256"/>
      <c r="E310" s="4"/>
      <c r="F310" s="256"/>
      <c r="G310" s="877"/>
      <c r="H310" s="750"/>
      <c r="I310" s="750"/>
      <c r="J310" s="750"/>
      <c r="K310" s="750"/>
      <c r="L310" s="753"/>
      <c r="M310" s="753"/>
      <c r="N310" s="753"/>
      <c r="O310" s="750"/>
      <c r="P310" s="750"/>
      <c r="Q310" s="753"/>
      <c r="R310" s="753"/>
      <c r="S310" s="256"/>
      <c r="T310" s="256"/>
      <c r="U310" s="792"/>
      <c r="V310" s="504"/>
      <c r="W310" s="770"/>
      <c r="X310" s="769"/>
      <c r="Z310" s="938"/>
      <c r="AB310" s="938"/>
      <c r="AD310" s="938"/>
      <c r="AF310" s="949"/>
    </row>
    <row r="311" spans="1:32">
      <c r="A311" s="4"/>
      <c r="B311" s="256"/>
      <c r="C311" s="7" t="s">
        <v>715</v>
      </c>
      <c r="D311" s="256"/>
      <c r="E311" s="4"/>
      <c r="F311" s="256"/>
      <c r="G311" s="877"/>
      <c r="H311" s="750"/>
      <c r="I311" s="750"/>
      <c r="J311" s="750"/>
      <c r="K311" s="750"/>
      <c r="L311" s="753"/>
      <c r="M311" s="753"/>
      <c r="N311" s="753"/>
      <c r="O311" s="750"/>
      <c r="P311" s="750"/>
      <c r="Q311" s="753"/>
      <c r="R311" s="753"/>
      <c r="S311" s="256"/>
      <c r="T311" s="256"/>
      <c r="U311" s="792"/>
      <c r="V311" s="504"/>
      <c r="W311" s="770"/>
      <c r="X311" s="769"/>
      <c r="Z311" s="938"/>
      <c r="AB311" s="938"/>
      <c r="AD311" s="938"/>
      <c r="AF311" s="949"/>
    </row>
    <row r="312" spans="1:32">
      <c r="A312" s="4">
        <v>138</v>
      </c>
      <c r="B312" s="256"/>
      <c r="C312" s="9" t="s">
        <v>754</v>
      </c>
      <c r="D312" s="256"/>
      <c r="E312" s="513" t="s">
        <v>674</v>
      </c>
      <c r="F312" s="256"/>
      <c r="G312" s="35">
        <v>261993.35937156968</v>
      </c>
      <c r="H312" s="818"/>
      <c r="I312" s="861">
        <v>0.20849999999999999</v>
      </c>
      <c r="J312" s="818">
        <f>G312*I312/100</f>
        <v>546.25615428972276</v>
      </c>
      <c r="K312" s="750"/>
      <c r="L312" s="865">
        <v>0</v>
      </c>
      <c r="M312" s="865">
        <v>0</v>
      </c>
      <c r="N312" s="753">
        <f>J312-L312-M312</f>
        <v>546.25615428972276</v>
      </c>
      <c r="O312" s="750"/>
      <c r="P312" s="35">
        <v>14.729893594770601</v>
      </c>
      <c r="Q312" s="865">
        <v>0</v>
      </c>
      <c r="R312" s="865">
        <v>0</v>
      </c>
      <c r="S312" s="256"/>
      <c r="T312" s="750">
        <f>N312+P312+Q312+R312</f>
        <v>560.98604788449336</v>
      </c>
      <c r="U312" s="792">
        <f>T312/G312*100</f>
        <v>0.21412223929266849</v>
      </c>
      <c r="V312" s="753">
        <f>T312-J312</f>
        <v>14.729893594770601</v>
      </c>
      <c r="W312" s="770"/>
      <c r="X312" s="769"/>
      <c r="Z312" s="938"/>
      <c r="AB312" s="938"/>
      <c r="AD312" s="938"/>
      <c r="AF312" s="949"/>
    </row>
    <row r="313" spans="1:32">
      <c r="A313" s="4">
        <v>139</v>
      </c>
      <c r="B313" s="256"/>
      <c r="C313" s="9" t="s">
        <v>755</v>
      </c>
      <c r="D313" s="256"/>
      <c r="E313" s="513" t="s">
        <v>674</v>
      </c>
      <c r="F313" s="256"/>
      <c r="G313" s="35">
        <v>657094.96247954725</v>
      </c>
      <c r="H313" s="818"/>
      <c r="I313" s="861">
        <v>0.20849999999999999</v>
      </c>
      <c r="J313" s="818">
        <f>G313*I313/100</f>
        <v>1370.042996769856</v>
      </c>
      <c r="K313" s="750"/>
      <c r="L313" s="865">
        <v>0</v>
      </c>
      <c r="M313" s="865">
        <v>0</v>
      </c>
      <c r="N313" s="753">
        <f>J313-L313-M313</f>
        <v>1370.042996769856</v>
      </c>
      <c r="O313" s="750"/>
      <c r="P313" s="35">
        <v>36.943451170670414</v>
      </c>
      <c r="Q313" s="865">
        <v>0</v>
      </c>
      <c r="R313" s="865">
        <v>0</v>
      </c>
      <c r="S313" s="256"/>
      <c r="T313" s="750">
        <f>N313+P313+Q313+R313</f>
        <v>1406.9864479405264</v>
      </c>
      <c r="U313" s="792">
        <f>T313/G313*100</f>
        <v>0.21412223929266849</v>
      </c>
      <c r="V313" s="753">
        <f>T313-J313</f>
        <v>36.943451170670414</v>
      </c>
      <c r="W313" s="770"/>
      <c r="X313" s="769"/>
      <c r="Z313" s="938"/>
      <c r="AB313" s="938"/>
      <c r="AD313" s="938"/>
      <c r="AF313" s="949"/>
    </row>
    <row r="314" spans="1:32">
      <c r="A314" s="4">
        <v>140</v>
      </c>
      <c r="B314" s="256"/>
      <c r="C314" s="7" t="s">
        <v>715</v>
      </c>
      <c r="D314" s="256"/>
      <c r="E314" s="36"/>
      <c r="F314" s="256"/>
      <c r="G314" s="420">
        <f>SUM(G312:G313)</f>
        <v>919088.32185111695</v>
      </c>
      <c r="H314" s="420"/>
      <c r="I314" s="810">
        <f>J314/G314*100</f>
        <v>0.20850000000000002</v>
      </c>
      <c r="J314" s="842">
        <f>SUM(J312:J313)</f>
        <v>1916.2991510595789</v>
      </c>
      <c r="K314" s="750"/>
      <c r="L314" s="875">
        <f>SUM(L312:L313)</f>
        <v>0</v>
      </c>
      <c r="M314" s="875">
        <f>SUM(M312:M313)</f>
        <v>0</v>
      </c>
      <c r="N314" s="842">
        <f>SUM(N312:N313)</f>
        <v>1916.2991510595789</v>
      </c>
      <c r="O314" s="750"/>
      <c r="P314" s="807">
        <f>SUM(P312:P313)</f>
        <v>51.673344765441016</v>
      </c>
      <c r="Q314" s="875">
        <f>SUM(Q312:Q313)</f>
        <v>0</v>
      </c>
      <c r="R314" s="875">
        <f>SUM(R312:R313)</f>
        <v>0</v>
      </c>
      <c r="S314" s="256"/>
      <c r="T314" s="808">
        <f>SUM(T312:T313)</f>
        <v>1967.9724958250199</v>
      </c>
      <c r="U314" s="806">
        <f>T314/G314*100</f>
        <v>0.21412223929266849</v>
      </c>
      <c r="V314" s="842">
        <f>SUM(V312:V313)</f>
        <v>51.673344765441016</v>
      </c>
      <c r="W314" s="804">
        <f>U314/I314-1</f>
        <v>2.696517646363783E-2</v>
      </c>
      <c r="X314" s="769"/>
      <c r="Z314" s="938"/>
      <c r="AB314" s="938"/>
      <c r="AD314" s="938"/>
      <c r="AF314" s="949"/>
    </row>
    <row r="315" spans="1:32">
      <c r="A315" s="4"/>
      <c r="B315" s="256"/>
      <c r="C315" s="7"/>
      <c r="D315" s="256"/>
      <c r="E315" s="36"/>
      <c r="F315" s="256"/>
      <c r="G315" s="828"/>
      <c r="H315" s="818"/>
      <c r="I315" s="818"/>
      <c r="J315" s="818"/>
      <c r="K315" s="750"/>
      <c r="L315" s="753"/>
      <c r="M315" s="753"/>
      <c r="N315" s="753"/>
      <c r="O315" s="750"/>
      <c r="P315" s="750"/>
      <c r="Q315" s="753"/>
      <c r="R315" s="753"/>
      <c r="S315" s="256"/>
      <c r="T315" s="256"/>
      <c r="U315" s="792"/>
      <c r="V315" s="504"/>
      <c r="W315" s="770"/>
      <c r="X315" s="769"/>
      <c r="Z315" s="938"/>
      <c r="AB315" s="938"/>
      <c r="AD315" s="938"/>
      <c r="AF315" s="949"/>
    </row>
    <row r="316" spans="1:32" ht="13.5" thickBot="1">
      <c r="A316" s="4">
        <v>141</v>
      </c>
      <c r="B316" s="256"/>
      <c r="C316" s="7" t="s">
        <v>758</v>
      </c>
      <c r="D316" s="256"/>
      <c r="E316" s="36"/>
      <c r="F316" s="256"/>
      <c r="G316" s="768">
        <f>G299</f>
        <v>976879.860067136</v>
      </c>
      <c r="H316" s="256"/>
      <c r="I316" s="845">
        <f>J316/G316*100</f>
        <v>23.027007226347585</v>
      </c>
      <c r="J316" s="756">
        <f>J299+J304+J309+J314</f>
        <v>224946.19597039357</v>
      </c>
      <c r="K316" s="750"/>
      <c r="L316" s="768">
        <f>L299+L304+L309+L314</f>
        <v>5811.0881205523092</v>
      </c>
      <c r="M316" s="768">
        <f>M299+M304+M309+M314</f>
        <v>2800.9558375251618</v>
      </c>
      <c r="N316" s="756">
        <f>N299+N304+N309+N314</f>
        <v>216334.15201231613</v>
      </c>
      <c r="O316" s="750"/>
      <c r="P316" s="768">
        <f>P299+P304+P309+P314</f>
        <v>5833.48858412355</v>
      </c>
      <c r="Q316" s="768">
        <f>Q299+Q304+Q309+Q314</f>
        <v>12031.445193721327</v>
      </c>
      <c r="R316" s="768">
        <f>R299+R304+R309+R314</f>
        <v>2723.3095686261609</v>
      </c>
      <c r="S316" s="750"/>
      <c r="T316" s="756">
        <f>T299+T304+T309+T314</f>
        <v>236922.39535878718</v>
      </c>
      <c r="U316" s="845">
        <f>T316/G316*100</f>
        <v>24.2529716338409</v>
      </c>
      <c r="V316" s="756">
        <f>V299+V304+V309+V314</f>
        <v>11976.199388393572</v>
      </c>
      <c r="W316" s="780">
        <f>U316/I316-1</f>
        <v>5.3240284134299598E-2</v>
      </c>
      <c r="X316" s="779"/>
      <c r="Z316" s="938"/>
      <c r="AB316" s="938"/>
      <c r="AD316" s="938"/>
      <c r="AF316" s="949"/>
    </row>
    <row r="317" spans="1:32" ht="13.5" thickTop="1">
      <c r="A317" s="4"/>
      <c r="B317" s="256"/>
      <c r="C317" s="9"/>
      <c r="D317" s="256"/>
      <c r="E317" s="36"/>
      <c r="F317" s="256"/>
      <c r="L317" s="504"/>
      <c r="M317" s="504"/>
      <c r="N317" s="504"/>
      <c r="Q317" s="504"/>
      <c r="R317" s="504"/>
      <c r="V317" s="504"/>
      <c r="W317" s="504"/>
    </row>
    <row r="318" spans="1:32">
      <c r="A318" s="4"/>
      <c r="B318" s="256"/>
      <c r="C318" s="6" t="s">
        <v>174</v>
      </c>
      <c r="D318" s="256"/>
      <c r="E318" s="36"/>
      <c r="F318" s="256"/>
      <c r="G318" s="35"/>
      <c r="H318" s="256"/>
      <c r="I318" s="256"/>
      <c r="J318" s="256"/>
      <c r="K318" s="256"/>
      <c r="L318" s="504"/>
      <c r="M318" s="504"/>
      <c r="N318" s="504"/>
      <c r="O318" s="256"/>
      <c r="P318" s="256"/>
      <c r="Q318" s="504"/>
      <c r="R318" s="504"/>
      <c r="S318" s="256"/>
      <c r="T318" s="256"/>
      <c r="U318" s="256"/>
      <c r="V318" s="753"/>
      <c r="W318" s="504"/>
    </row>
    <row r="319" spans="1:32">
      <c r="A319" s="4">
        <v>142</v>
      </c>
      <c r="B319" s="256"/>
      <c r="C319" s="7" t="s">
        <v>703</v>
      </c>
      <c r="D319" s="256"/>
      <c r="E319" s="36" t="s">
        <v>704</v>
      </c>
      <c r="F319" s="256"/>
      <c r="G319" s="35">
        <v>26448.999999999989</v>
      </c>
      <c r="H319" s="256"/>
      <c r="I319" s="778">
        <v>76.58</v>
      </c>
      <c r="J319" s="750">
        <f>G319*I319/1000</f>
        <v>2025.4644199999993</v>
      </c>
      <c r="K319" s="256"/>
      <c r="L319" s="865">
        <v>0</v>
      </c>
      <c r="M319" s="865">
        <v>0</v>
      </c>
      <c r="N319" s="753">
        <f>J319-L319-M319</f>
        <v>2025.4644199999993</v>
      </c>
      <c r="O319" s="256"/>
      <c r="P319" s="35">
        <v>54.617005506119767</v>
      </c>
      <c r="Q319" s="865">
        <v>0</v>
      </c>
      <c r="R319" s="865">
        <v>0</v>
      </c>
      <c r="S319" s="256"/>
      <c r="T319" s="750">
        <f>N319+P319+Q319+R319</f>
        <v>2080.0814255061191</v>
      </c>
      <c r="U319" s="811">
        <f>T319/G319*1000</f>
        <v>78.644993213585394</v>
      </c>
      <c r="V319" s="753">
        <f>T319-J319</f>
        <v>54.617005506119767</v>
      </c>
      <c r="W319" s="770">
        <f>U319/I319-1</f>
        <v>2.6965176463638052E-2</v>
      </c>
      <c r="X319" s="769"/>
      <c r="Z319" s="938"/>
      <c r="AB319" s="938"/>
      <c r="AD319" s="938"/>
      <c r="AF319" s="954"/>
    </row>
    <row r="320" spans="1:32">
      <c r="A320" s="4"/>
      <c r="B320" s="256"/>
      <c r="C320" s="512" t="s">
        <v>705</v>
      </c>
      <c r="E320" s="36"/>
      <c r="G320" s="35"/>
      <c r="I320" s="778"/>
      <c r="J320" s="750"/>
      <c r="L320" s="865"/>
      <c r="M320" s="504"/>
      <c r="N320" s="753"/>
      <c r="P320" s="35"/>
      <c r="Q320" s="35"/>
      <c r="R320" s="504"/>
      <c r="T320" s="750"/>
      <c r="U320" s="793"/>
      <c r="V320" s="753"/>
      <c r="W320" s="770"/>
      <c r="X320" s="769"/>
      <c r="Z320" s="938"/>
      <c r="AB320" s="938"/>
      <c r="AD320" s="938"/>
      <c r="AF320" s="949"/>
    </row>
    <row r="321" spans="1:32">
      <c r="A321" s="4">
        <v>143</v>
      </c>
      <c r="B321" s="256"/>
      <c r="C321" s="519" t="s">
        <v>759</v>
      </c>
      <c r="D321" s="256"/>
      <c r="E321" s="513" t="s">
        <v>674</v>
      </c>
      <c r="F321" s="256"/>
      <c r="G321" s="35">
        <v>21878.718395321583</v>
      </c>
      <c r="H321" s="256"/>
      <c r="I321" s="861">
        <v>10.1753</v>
      </c>
      <c r="J321" s="750">
        <f>G321*I321/100</f>
        <v>2226.2252328791569</v>
      </c>
      <c r="K321" s="256"/>
      <c r="L321" s="865">
        <v>279.10681056911744</v>
      </c>
      <c r="M321" s="865">
        <v>47.030201551170357</v>
      </c>
      <c r="N321" s="753">
        <f>J321-L321-M321</f>
        <v>1900.0882207588691</v>
      </c>
      <c r="O321" s="256"/>
      <c r="P321" s="35">
        <v>51.23621416924243</v>
      </c>
      <c r="Q321" s="35">
        <v>148.39462954453123</v>
      </c>
      <c r="R321" s="35">
        <v>45.726461011211455</v>
      </c>
      <c r="S321" s="256"/>
      <c r="T321" s="750">
        <f>N321+P321+Q321+R321</f>
        <v>2145.4455254838545</v>
      </c>
      <c r="U321" s="792">
        <f t="shared" ref="U321:U326" si="7">T321/G321*100</f>
        <v>9.8060840983383368</v>
      </c>
      <c r="V321" s="847">
        <f>T321-J321</f>
        <v>-80.779707395302466</v>
      </c>
      <c r="W321" s="770"/>
      <c r="X321" s="769"/>
      <c r="Z321" s="938"/>
      <c r="AB321" s="938"/>
      <c r="AD321" s="938"/>
      <c r="AF321" s="949"/>
    </row>
    <row r="322" spans="1:32">
      <c r="A322" s="4">
        <v>144</v>
      </c>
      <c r="B322" s="256"/>
      <c r="C322" s="519" t="s">
        <v>760</v>
      </c>
      <c r="D322" s="256"/>
      <c r="E322" s="513" t="s">
        <v>674</v>
      </c>
      <c r="F322" s="256"/>
      <c r="G322" s="35">
        <v>127369.83644505285</v>
      </c>
      <c r="H322" s="256"/>
      <c r="I322" s="861">
        <v>8.3022000000000009</v>
      </c>
      <c r="J322" s="750">
        <f>G322*I322/100</f>
        <v>10574.498561341177</v>
      </c>
      <c r="K322" s="256"/>
      <c r="L322" s="865">
        <v>1326.302106902335</v>
      </c>
      <c r="M322" s="865">
        <v>273.79250335025813</v>
      </c>
      <c r="N322" s="753">
        <f>J322-L322-M322</f>
        <v>8974.403951088585</v>
      </c>
      <c r="O322" s="256"/>
      <c r="P322" s="35">
        <v>241.99638619707184</v>
      </c>
      <c r="Q322" s="35">
        <v>704.86973800039618</v>
      </c>
      <c r="R322" s="35">
        <v>266.20260633979802</v>
      </c>
      <c r="S322" s="256"/>
      <c r="T322" s="750">
        <f>N322+P322+Q322+R322</f>
        <v>10187.472681625852</v>
      </c>
      <c r="U322" s="792">
        <f t="shared" si="7"/>
        <v>7.998340082677827</v>
      </c>
      <c r="V322" s="847">
        <f>T322-J322</f>
        <v>-387.02587971532557</v>
      </c>
      <c r="W322" s="770"/>
      <c r="X322" s="769"/>
      <c r="Z322" s="938"/>
      <c r="AB322" s="938"/>
      <c r="AD322" s="938"/>
      <c r="AF322" s="949"/>
    </row>
    <row r="323" spans="1:32">
      <c r="A323" s="4">
        <v>145</v>
      </c>
      <c r="C323" s="519" t="s">
        <v>761</v>
      </c>
      <c r="D323" s="256"/>
      <c r="E323" s="513" t="s">
        <v>674</v>
      </c>
      <c r="F323" s="256"/>
      <c r="G323" s="35">
        <v>86147.272263560444</v>
      </c>
      <c r="H323" s="256"/>
      <c r="I323" s="861">
        <v>7.2168000000000001</v>
      </c>
      <c r="J323" s="750">
        <f>G323*I323/100</f>
        <v>6217.07634471663</v>
      </c>
      <c r="K323" s="256"/>
      <c r="L323" s="865">
        <v>781.61420124728397</v>
      </c>
      <c r="M323" s="865">
        <v>185.18102863397834</v>
      </c>
      <c r="N323" s="753">
        <f>J323-L323-M323</f>
        <v>5250.2811148353676</v>
      </c>
      <c r="O323" s="256"/>
      <c r="P323" s="35">
        <v>141.57475674524085</v>
      </c>
      <c r="Q323" s="35">
        <v>414.41482532795089</v>
      </c>
      <c r="R323" s="35">
        <v>180.04756106848802</v>
      </c>
      <c r="S323" s="256"/>
      <c r="T323" s="750">
        <f>N323+P323+Q323+R323</f>
        <v>5986.3182579770473</v>
      </c>
      <c r="U323" s="792">
        <f t="shared" si="7"/>
        <v>6.9489353530108335</v>
      </c>
      <c r="V323" s="847">
        <f>T323-J323</f>
        <v>-230.75808673958272</v>
      </c>
      <c r="W323" s="770"/>
      <c r="X323" s="769"/>
      <c r="Z323" s="938"/>
      <c r="AB323" s="938"/>
      <c r="AD323" s="938"/>
      <c r="AF323" s="949"/>
    </row>
    <row r="324" spans="1:32">
      <c r="A324" s="4">
        <v>146</v>
      </c>
      <c r="B324" s="256"/>
      <c r="C324" s="519" t="s">
        <v>762</v>
      </c>
      <c r="D324" s="256"/>
      <c r="E324" s="513" t="s">
        <v>674</v>
      </c>
      <c r="F324" s="256"/>
      <c r="G324" s="35">
        <v>61526.068987249084</v>
      </c>
      <c r="H324" s="256"/>
      <c r="I324" s="861">
        <v>6.5351999999999997</v>
      </c>
      <c r="J324" s="750">
        <f>G324*I324/100</f>
        <v>4020.8516604547021</v>
      </c>
      <c r="K324" s="256"/>
      <c r="L324" s="865">
        <v>505.62123493721293</v>
      </c>
      <c r="M324" s="865">
        <v>132.25561812342184</v>
      </c>
      <c r="N324" s="753">
        <f>J324-L324-M324</f>
        <v>3382.9748073940673</v>
      </c>
      <c r="O324" s="256"/>
      <c r="P324" s="35">
        <v>91.2225126534222</v>
      </c>
      <c r="Q324" s="35">
        <v>268.01995763699853</v>
      </c>
      <c r="R324" s="35">
        <v>128.58931423150204</v>
      </c>
      <c r="S324" s="256"/>
      <c r="T324" s="750">
        <f>N324+P324+Q324+R324</f>
        <v>3870.8065919159903</v>
      </c>
      <c r="U324" s="792">
        <f t="shared" si="7"/>
        <v>6.291327652865637</v>
      </c>
      <c r="V324" s="847">
        <f>T324-J324</f>
        <v>-150.0450685387118</v>
      </c>
      <c r="W324" s="770"/>
      <c r="X324" s="769"/>
      <c r="Z324" s="938"/>
      <c r="AB324" s="938"/>
      <c r="AD324" s="938"/>
      <c r="AF324" s="949"/>
    </row>
    <row r="325" spans="1:32">
      <c r="A325" s="4">
        <v>147</v>
      </c>
      <c r="B325" s="256"/>
      <c r="C325" s="519" t="s">
        <v>941</v>
      </c>
      <c r="D325" s="256"/>
      <c r="E325" s="742"/>
      <c r="F325" s="256"/>
      <c r="G325" s="35">
        <v>44741.947796564804</v>
      </c>
      <c r="H325" s="256"/>
      <c r="I325" s="861">
        <v>3.9527000000000001</v>
      </c>
      <c r="J325" s="750">
        <f>G325*I325/100</f>
        <v>1768.5149705548172</v>
      </c>
      <c r="K325" s="256"/>
      <c r="L325" s="865">
        <v>222.7254161312996</v>
      </c>
      <c r="M325" s="865">
        <v>96.176694843073619</v>
      </c>
      <c r="N325" s="753">
        <f>J325-L325-M325</f>
        <v>1449.6128595804439</v>
      </c>
      <c r="O325" s="256"/>
      <c r="P325" s="35">
        <v>39.089066562545213</v>
      </c>
      <c r="Q325" s="35">
        <v>117.88480339881458</v>
      </c>
      <c r="R325" s="35">
        <v>93.510547305310183</v>
      </c>
      <c r="S325" s="256"/>
      <c r="T325" s="750">
        <f>N325+P325+Q325+R325</f>
        <v>1700.0972768471138</v>
      </c>
      <c r="U325" s="792">
        <f t="shared" si="7"/>
        <v>3.7997837836144535</v>
      </c>
      <c r="V325" s="847">
        <f>T325-J325</f>
        <v>-68.417693707703393</v>
      </c>
      <c r="W325" s="770"/>
      <c r="X325" s="769"/>
      <c r="Z325" s="938"/>
      <c r="AB325" s="938"/>
      <c r="AD325" s="938"/>
      <c r="AF325" s="949"/>
    </row>
    <row r="326" spans="1:32">
      <c r="A326" s="4">
        <v>148</v>
      </c>
      <c r="B326" s="256"/>
      <c r="C326" s="512" t="s">
        <v>705</v>
      </c>
      <c r="D326" s="256"/>
      <c r="E326" s="36"/>
      <c r="F326" s="256"/>
      <c r="G326" s="137">
        <f>SUM(G321:G325)</f>
        <v>341663.84388774872</v>
      </c>
      <c r="H326" s="256"/>
      <c r="I326" s="806">
        <f>J326/G326*100</f>
        <v>7.2606941629143247</v>
      </c>
      <c r="J326" s="808">
        <f>SUM(J321:J325)</f>
        <v>24807.166769946482</v>
      </c>
      <c r="K326" s="256"/>
      <c r="L326" s="887">
        <f>SUM(L321:L325)</f>
        <v>3115.369769787249</v>
      </c>
      <c r="M326" s="887">
        <f>SUM(M321:M325)</f>
        <v>734.4360465019023</v>
      </c>
      <c r="N326" s="887">
        <f>SUM(N321:N325)</f>
        <v>20957.360953657335</v>
      </c>
      <c r="O326" s="256"/>
      <c r="P326" s="807">
        <f>SUM(P321:P325)</f>
        <v>565.11893632752253</v>
      </c>
      <c r="Q326" s="807">
        <f>SUM(Q321:Q325)</f>
        <v>1653.5839539086912</v>
      </c>
      <c r="R326" s="807">
        <f>SUM(R321:R325)</f>
        <v>714.07648995630973</v>
      </c>
      <c r="S326" s="453"/>
      <c r="T326" s="137">
        <f>SUM(T321:T325)</f>
        <v>23890.140333849857</v>
      </c>
      <c r="U326" s="829">
        <f t="shared" si="7"/>
        <v>6.9922939641511483</v>
      </c>
      <c r="V326" s="137">
        <f>SUM(V321:V325)</f>
        <v>-917.02643609662596</v>
      </c>
      <c r="W326" s="816">
        <f>U326/I326-1</f>
        <v>-3.6966189835414442E-2</v>
      </c>
      <c r="X326" s="785"/>
      <c r="Z326" s="938"/>
      <c r="AB326" s="938"/>
      <c r="AD326" s="938"/>
      <c r="AF326" s="949"/>
    </row>
    <row r="327" spans="1:32">
      <c r="A327" s="4"/>
      <c r="B327" s="256"/>
      <c r="C327" s="7"/>
      <c r="G327" s="135"/>
      <c r="L327" s="755"/>
      <c r="M327" s="755"/>
      <c r="N327" s="755"/>
      <c r="P327" s="771"/>
      <c r="Q327" s="771"/>
      <c r="R327" s="771"/>
      <c r="U327" s="793"/>
      <c r="V327" s="504"/>
      <c r="W327" s="770"/>
      <c r="X327" s="769"/>
      <c r="Z327" s="938"/>
      <c r="AB327" s="938"/>
      <c r="AD327" s="938"/>
      <c r="AF327" s="949"/>
    </row>
    <row r="328" spans="1:32">
      <c r="A328" s="4">
        <v>149</v>
      </c>
      <c r="B328" s="256"/>
      <c r="C328" s="7" t="s">
        <v>710</v>
      </c>
      <c r="D328" s="256"/>
      <c r="E328" s="36"/>
      <c r="F328" s="256"/>
      <c r="G328" s="420">
        <f>G326</f>
        <v>341663.84388774872</v>
      </c>
      <c r="H328" s="256"/>
      <c r="I328" s="806">
        <f>J328/G328*100</f>
        <v>7.8535179153349786</v>
      </c>
      <c r="J328" s="808">
        <f>J319+J326</f>
        <v>26832.631189946482</v>
      </c>
      <c r="K328" s="750"/>
      <c r="L328" s="887">
        <f>L319+L326</f>
        <v>3115.369769787249</v>
      </c>
      <c r="M328" s="887">
        <f>M319+M326</f>
        <v>734.4360465019023</v>
      </c>
      <c r="N328" s="887">
        <f>N319+N326</f>
        <v>22982.825373657335</v>
      </c>
      <c r="O328" s="750"/>
      <c r="P328" s="807">
        <f>P319+P326</f>
        <v>619.7359418336423</v>
      </c>
      <c r="Q328" s="807">
        <f>Q319+Q326</f>
        <v>1653.5839539086912</v>
      </c>
      <c r="R328" s="807">
        <f>R319+R326</f>
        <v>714.07648995630973</v>
      </c>
      <c r="S328" s="868"/>
      <c r="T328" s="886">
        <f>T319+T326</f>
        <v>25970.221759355976</v>
      </c>
      <c r="U328" s="806">
        <f>T328/G328*100</f>
        <v>7.6011033136676618</v>
      </c>
      <c r="V328" s="886">
        <f>V319+V326</f>
        <v>-862.40943059050619</v>
      </c>
      <c r="W328" s="816">
        <f>U328/I328-1</f>
        <v>-3.2140322895863771E-2</v>
      </c>
      <c r="X328" s="779"/>
      <c r="Z328" s="938"/>
      <c r="AB328" s="938"/>
      <c r="AD328" s="938"/>
      <c r="AF328" s="949"/>
    </row>
    <row r="329" spans="1:32">
      <c r="A329" s="4"/>
      <c r="B329" s="256"/>
      <c r="C329" s="7"/>
      <c r="D329" s="256"/>
      <c r="E329" s="36"/>
      <c r="F329" s="256"/>
      <c r="G329" s="35"/>
      <c r="H329" s="256"/>
      <c r="I329" s="256"/>
      <c r="J329" s="256"/>
      <c r="K329" s="256"/>
      <c r="L329" s="504"/>
      <c r="M329" s="504"/>
      <c r="N329" s="504"/>
      <c r="O329" s="256"/>
      <c r="P329" s="256"/>
      <c r="Q329" s="504"/>
      <c r="R329" s="504"/>
      <c r="S329" s="256"/>
      <c r="T329" s="256"/>
      <c r="U329" s="256"/>
      <c r="V329" s="504"/>
      <c r="W329" s="504"/>
      <c r="Z329" s="938"/>
      <c r="AB329" s="938"/>
      <c r="AD329" s="938"/>
      <c r="AF329" s="949"/>
    </row>
    <row r="330" spans="1:32">
      <c r="A330" s="4"/>
      <c r="C330" s="7" t="s">
        <v>712</v>
      </c>
      <c r="D330" s="256"/>
      <c r="E330" s="36"/>
      <c r="F330" s="256"/>
      <c r="G330" s="453"/>
      <c r="H330" s="256"/>
      <c r="I330" s="256"/>
      <c r="J330" s="256"/>
      <c r="K330" s="256"/>
      <c r="L330" s="504"/>
      <c r="M330" s="504"/>
      <c r="N330" s="504"/>
      <c r="O330" s="256"/>
      <c r="P330" s="256"/>
      <c r="Q330" s="504"/>
      <c r="R330" s="504"/>
      <c r="S330" s="256"/>
      <c r="T330" s="256"/>
      <c r="U330" s="256"/>
      <c r="V330" s="504"/>
      <c r="W330" s="504"/>
      <c r="Z330" s="938"/>
      <c r="AB330" s="938"/>
      <c r="AD330" s="938"/>
      <c r="AF330" s="949"/>
    </row>
    <row r="331" spans="1:32">
      <c r="A331" s="4">
        <v>150</v>
      </c>
      <c r="B331" s="256"/>
      <c r="C331" s="9" t="s">
        <v>754</v>
      </c>
      <c r="D331" s="256"/>
      <c r="E331" s="513" t="s">
        <v>674</v>
      </c>
      <c r="F331" s="256"/>
      <c r="G331" s="35">
        <v>76356.43767764869</v>
      </c>
      <c r="H331" s="256"/>
      <c r="I331" s="897">
        <v>-0.38962254556658305</v>
      </c>
      <c r="J331" s="896">
        <f>G331*I331/100</f>
        <v>-297.50189618361634</v>
      </c>
      <c r="K331" s="256"/>
      <c r="L331" s="865">
        <v>0</v>
      </c>
      <c r="M331" s="865">
        <v>0</v>
      </c>
      <c r="N331" s="755">
        <f>J331-L331-M331</f>
        <v>-297.50189618361634</v>
      </c>
      <c r="O331" s="256"/>
      <c r="P331" s="35">
        <v>-8.0221911288580827</v>
      </c>
      <c r="Q331" s="865">
        <v>0</v>
      </c>
      <c r="R331" s="865">
        <v>0</v>
      </c>
      <c r="S331" s="750"/>
      <c r="T331" s="896">
        <f>N331+P331+Q331+R331</f>
        <v>-305.52408731247442</v>
      </c>
      <c r="U331" s="960">
        <f>T331/G331*100</f>
        <v>-0.40012878626199772</v>
      </c>
      <c r="V331" s="847">
        <f>T331-J331</f>
        <v>-8.0221911288580827</v>
      </c>
      <c r="W331" s="785"/>
      <c r="X331" s="769"/>
      <c r="Z331" s="964"/>
      <c r="AB331" s="964"/>
      <c r="AD331" s="964"/>
      <c r="AF331" s="949"/>
    </row>
    <row r="332" spans="1:32">
      <c r="A332" s="4">
        <v>151</v>
      </c>
      <c r="B332" s="256"/>
      <c r="C332" s="9" t="s">
        <v>755</v>
      </c>
      <c r="D332" s="256"/>
      <c r="E332" s="513" t="s">
        <v>674</v>
      </c>
      <c r="F332" s="256"/>
      <c r="G332" s="35">
        <v>261426.39684107454</v>
      </c>
      <c r="H332" s="256"/>
      <c r="I332" s="897">
        <v>-0.16009189369534088</v>
      </c>
      <c r="J332" s="896">
        <f>G332*I332/100</f>
        <v>-418.52246932237307</v>
      </c>
      <c r="K332" s="256"/>
      <c r="L332" s="865">
        <v>0</v>
      </c>
      <c r="M332" s="865">
        <v>0</v>
      </c>
      <c r="N332" s="755">
        <f>J332-L332-M332</f>
        <v>-418.52246932237307</v>
      </c>
      <c r="O332" s="256"/>
      <c r="P332" s="35">
        <v>-11.285532239275256</v>
      </c>
      <c r="Q332" s="865">
        <v>0</v>
      </c>
      <c r="R332" s="865">
        <v>0</v>
      </c>
      <c r="S332" s="750"/>
      <c r="T332" s="896">
        <f>N332+P332+Q332+R332</f>
        <v>-429.80800156164833</v>
      </c>
      <c r="U332" s="960">
        <f>T332/G332*100</f>
        <v>-0.16440879985923371</v>
      </c>
      <c r="V332" s="847">
        <f>T332-J332</f>
        <v>-11.285532239275256</v>
      </c>
      <c r="W332" s="785"/>
      <c r="X332" s="769"/>
      <c r="Z332" s="964"/>
      <c r="AB332" s="964"/>
      <c r="AD332" s="964"/>
      <c r="AF332" s="949"/>
    </row>
    <row r="333" spans="1:32">
      <c r="A333" s="4">
        <v>152</v>
      </c>
      <c r="B333" s="256"/>
      <c r="C333" s="7" t="s">
        <v>712</v>
      </c>
      <c r="D333" s="256"/>
      <c r="E333" s="860"/>
      <c r="F333" s="256"/>
      <c r="G333" s="879">
        <f>SUM(G331:G332)</f>
        <v>337782.83451872325</v>
      </c>
      <c r="H333" s="256"/>
      <c r="I333" s="878">
        <f>J333/G333*100</f>
        <v>-0.21197772424587205</v>
      </c>
      <c r="J333" s="849">
        <f>SUM(J331:J332)</f>
        <v>-716.02436550598941</v>
      </c>
      <c r="K333" s="750"/>
      <c r="L333" s="873">
        <f>SUM(L331:L332)</f>
        <v>0</v>
      </c>
      <c r="M333" s="873">
        <f>SUM(M331:M332)</f>
        <v>0</v>
      </c>
      <c r="N333" s="873">
        <f>SUM(N331:N332)</f>
        <v>-716.02436550598941</v>
      </c>
      <c r="O333" s="795"/>
      <c r="P333" s="873">
        <f>SUM(P331:P332)</f>
        <v>-19.307723368133338</v>
      </c>
      <c r="Q333" s="873">
        <f>SUM(Q331:Q332)</f>
        <v>0</v>
      </c>
      <c r="R333" s="873">
        <f>SUM(R331:R332)</f>
        <v>0</v>
      </c>
      <c r="S333" s="750"/>
      <c r="T333" s="849">
        <f>SUM(T331:T332)</f>
        <v>-735.33208887412275</v>
      </c>
      <c r="U333" s="903">
        <f>T333/G333*100</f>
        <v>-0.21769374098652233</v>
      </c>
      <c r="V333" s="851">
        <f>SUM(V331:V332)</f>
        <v>-19.307723368133338</v>
      </c>
      <c r="W333" s="816">
        <f>U333/I333-1</f>
        <v>2.696517646363783E-2</v>
      </c>
      <c r="X333" s="769"/>
      <c r="Z333" s="964"/>
      <c r="AB333" s="964"/>
      <c r="AD333" s="964"/>
      <c r="AF333" s="949"/>
    </row>
    <row r="334" spans="1:32">
      <c r="A334" s="4"/>
      <c r="B334" s="256"/>
      <c r="C334" s="7"/>
      <c r="L334" s="504"/>
      <c r="M334" s="504"/>
      <c r="N334" s="504"/>
      <c r="Q334" s="504"/>
      <c r="R334" s="504"/>
      <c r="U334" s="793"/>
      <c r="V334" s="504"/>
      <c r="W334" s="770"/>
      <c r="X334" s="769"/>
    </row>
    <row r="335" spans="1:32">
      <c r="A335" s="4"/>
      <c r="B335" s="256"/>
      <c r="C335" s="7" t="s">
        <v>756</v>
      </c>
      <c r="D335" s="734"/>
      <c r="E335" s="734"/>
      <c r="F335" s="734"/>
      <c r="G335" s="734"/>
      <c r="H335" s="734"/>
      <c r="I335" s="734"/>
      <c r="J335" s="734"/>
      <c r="K335" s="734"/>
      <c r="L335" s="504"/>
      <c r="M335" s="504"/>
      <c r="N335" s="504"/>
      <c r="O335" s="734"/>
      <c r="P335" s="734"/>
      <c r="Q335" s="504"/>
      <c r="R335" s="504"/>
      <c r="S335" s="734"/>
      <c r="T335" s="734"/>
      <c r="U335" s="885"/>
      <c r="V335" s="504"/>
      <c r="W335" s="770"/>
      <c r="X335" s="769"/>
    </row>
    <row r="336" spans="1:32">
      <c r="A336" s="4">
        <v>153</v>
      </c>
      <c r="B336" s="256"/>
      <c r="C336" s="9" t="s">
        <v>754</v>
      </c>
      <c r="D336" s="385"/>
      <c r="E336" s="513" t="s">
        <v>674</v>
      </c>
      <c r="F336" s="385"/>
      <c r="G336" s="35">
        <v>76356.43767764869</v>
      </c>
      <c r="H336" s="822"/>
      <c r="I336" s="861">
        <v>1.4148889619132621</v>
      </c>
      <c r="J336" s="818">
        <f>G336*I336/100</f>
        <v>1080.3588084112305</v>
      </c>
      <c r="K336" s="822"/>
      <c r="L336" s="865">
        <v>0</v>
      </c>
      <c r="M336" s="865">
        <v>0</v>
      </c>
      <c r="N336" s="753">
        <f>J336-L336-M336</f>
        <v>1080.3588084112305</v>
      </c>
      <c r="O336" s="822"/>
      <c r="P336" s="35">
        <v>29.132065912854387</v>
      </c>
      <c r="Q336" s="865">
        <v>0</v>
      </c>
      <c r="R336" s="865">
        <v>0</v>
      </c>
      <c r="S336" s="822"/>
      <c r="T336" s="818">
        <f>N336+P336+Q336+R336</f>
        <v>1109.4908743240849</v>
      </c>
      <c r="U336" s="823">
        <f>T336/G336*100</f>
        <v>1.4530416924477068</v>
      </c>
      <c r="V336" s="753">
        <f>T336-J336</f>
        <v>29.132065912854387</v>
      </c>
      <c r="W336" s="785"/>
      <c r="X336" s="785"/>
      <c r="Z336" s="938"/>
      <c r="AB336" s="938"/>
      <c r="AD336" s="938"/>
      <c r="AF336" s="949"/>
    </row>
    <row r="337" spans="1:32">
      <c r="A337" s="4">
        <v>154</v>
      </c>
      <c r="B337" s="256"/>
      <c r="C337" s="9" t="s">
        <v>755</v>
      </c>
      <c r="D337" s="447"/>
      <c r="E337" s="513" t="s">
        <v>674</v>
      </c>
      <c r="F337" s="447"/>
      <c r="G337" s="35">
        <v>261426.39684107454</v>
      </c>
      <c r="H337" s="856"/>
      <c r="I337" s="861">
        <v>1.5859912621441488</v>
      </c>
      <c r="J337" s="818">
        <f>G337*I337/100</f>
        <v>4146.1998108377293</v>
      </c>
      <c r="K337" s="856"/>
      <c r="L337" s="865">
        <v>0</v>
      </c>
      <c r="M337" s="865">
        <v>0</v>
      </c>
      <c r="N337" s="753">
        <f>J337-L337-M337</f>
        <v>4146.1998108377293</v>
      </c>
      <c r="O337" s="856"/>
      <c r="P337" s="35">
        <v>111.80300955274106</v>
      </c>
      <c r="Q337" s="865">
        <v>0</v>
      </c>
      <c r="R337" s="865">
        <v>0</v>
      </c>
      <c r="S337" s="856"/>
      <c r="T337" s="818">
        <f>N337+P337+Q337+R337</f>
        <v>4258.0028203904703</v>
      </c>
      <c r="U337" s="823">
        <f>T337/G337*100</f>
        <v>1.6287577963976534</v>
      </c>
      <c r="V337" s="753">
        <f>T337-J337</f>
        <v>111.80300955274106</v>
      </c>
      <c r="W337" s="834"/>
      <c r="X337" s="833"/>
      <c r="Z337" s="938"/>
      <c r="AB337" s="938"/>
      <c r="AD337" s="938"/>
      <c r="AF337" s="949"/>
    </row>
    <row r="338" spans="1:32">
      <c r="A338" s="4">
        <v>155</v>
      </c>
      <c r="B338" s="256"/>
      <c r="C338" s="7" t="s">
        <v>757</v>
      </c>
      <c r="D338" s="254"/>
      <c r="E338" s="4"/>
      <c r="F338" s="254"/>
      <c r="G338" s="420">
        <f>SUM(G336:G337)</f>
        <v>337782.83451872325</v>
      </c>
      <c r="H338" s="854"/>
      <c r="I338" s="883">
        <f>J338/G338*100</f>
        <v>1.5473132690996034</v>
      </c>
      <c r="J338" s="882">
        <f>SUM(J336:J337)</f>
        <v>5226.55861924896</v>
      </c>
      <c r="K338" s="854"/>
      <c r="L338" s="875">
        <f>SUM(L336:L337)</f>
        <v>0</v>
      </c>
      <c r="M338" s="875">
        <f>SUM(M336:M337)</f>
        <v>0</v>
      </c>
      <c r="N338" s="842">
        <f>SUM(N336:N337)</f>
        <v>5226.55861924896</v>
      </c>
      <c r="O338" s="967"/>
      <c r="P338" s="881">
        <f>SUM(P336:P337)</f>
        <v>140.93507546559545</v>
      </c>
      <c r="Q338" s="879">
        <f>SUM(Q336:Q337)</f>
        <v>0</v>
      </c>
      <c r="R338" s="879">
        <f>SUM(R336:R337)</f>
        <v>0</v>
      </c>
      <c r="S338" s="739"/>
      <c r="T338" s="849">
        <f>SUM(T336:T337)</f>
        <v>5367.4936947145552</v>
      </c>
      <c r="U338" s="829">
        <f>T338/G338*100</f>
        <v>1.5890368444454024</v>
      </c>
      <c r="V338" s="842">
        <f>SUM(V336:V337)</f>
        <v>140.93507546559545</v>
      </c>
      <c r="W338" s="880">
        <f>U338/I338-1</f>
        <v>2.6965176463637608E-2</v>
      </c>
      <c r="X338" s="889"/>
      <c r="Z338" s="938"/>
      <c r="AB338" s="938"/>
      <c r="AD338" s="938"/>
      <c r="AF338" s="949"/>
    </row>
    <row r="339" spans="1:32">
      <c r="A339" s="4"/>
      <c r="B339" s="256"/>
      <c r="C339" s="256"/>
      <c r="D339" s="256"/>
      <c r="E339" s="4"/>
      <c r="F339" s="256"/>
      <c r="G339" s="877"/>
      <c r="H339" s="750"/>
      <c r="I339" s="750"/>
      <c r="J339" s="750"/>
      <c r="K339" s="750"/>
      <c r="L339" s="753"/>
      <c r="M339" s="753"/>
      <c r="N339" s="753"/>
      <c r="O339" s="750"/>
      <c r="P339" s="750"/>
      <c r="Q339" s="753"/>
      <c r="R339" s="753"/>
      <c r="S339" s="256"/>
      <c r="T339" s="256"/>
      <c r="U339" s="792"/>
      <c r="V339" s="504"/>
      <c r="W339" s="770"/>
      <c r="X339" s="769"/>
      <c r="Z339" s="938"/>
      <c r="AB339" s="938"/>
      <c r="AD339" s="938"/>
      <c r="AF339" s="949"/>
    </row>
    <row r="340" spans="1:32">
      <c r="A340" s="4"/>
      <c r="B340" s="256"/>
      <c r="C340" s="7" t="s">
        <v>715</v>
      </c>
      <c r="D340" s="256"/>
      <c r="E340" s="4"/>
      <c r="F340" s="256"/>
      <c r="G340" s="877"/>
      <c r="H340" s="750"/>
      <c r="I340" s="750"/>
      <c r="J340" s="750"/>
      <c r="K340" s="750"/>
      <c r="L340" s="753"/>
      <c r="M340" s="753"/>
      <c r="N340" s="753"/>
      <c r="O340" s="750"/>
      <c r="P340" s="750"/>
      <c r="Q340" s="753"/>
      <c r="R340" s="753"/>
      <c r="S340" s="256"/>
      <c r="T340" s="256"/>
      <c r="U340" s="792"/>
      <c r="V340" s="504"/>
      <c r="W340" s="770"/>
      <c r="X340" s="769"/>
      <c r="Z340" s="938"/>
      <c r="AB340" s="938"/>
      <c r="AD340" s="938"/>
      <c r="AF340" s="949"/>
    </row>
    <row r="341" spans="1:32">
      <c r="A341" s="4">
        <v>156</v>
      </c>
      <c r="B341" s="256"/>
      <c r="C341" s="9" t="s">
        <v>754</v>
      </c>
      <c r="D341" s="256"/>
      <c r="E341" s="513" t="s">
        <v>674</v>
      </c>
      <c r="F341" s="256"/>
      <c r="G341" s="35">
        <v>41057.419387362017</v>
      </c>
      <c r="H341" s="818"/>
      <c r="I341" s="861">
        <v>0.20849999999999999</v>
      </c>
      <c r="J341" s="818">
        <f>G341*I341/100</f>
        <v>85.604719422649794</v>
      </c>
      <c r="K341" s="750"/>
      <c r="L341" s="865">
        <v>0</v>
      </c>
      <c r="M341" s="865">
        <v>0</v>
      </c>
      <c r="N341" s="753">
        <f>J341-L341-M341</f>
        <v>85.604719422649794</v>
      </c>
      <c r="O341" s="750"/>
      <c r="P341" s="35">
        <v>2.3083463653519516</v>
      </c>
      <c r="Q341" s="865">
        <v>0</v>
      </c>
      <c r="R341" s="865">
        <v>0</v>
      </c>
      <c r="S341" s="256"/>
      <c r="T341" s="750">
        <f>N341+P341+Q341+R341</f>
        <v>87.913065788001745</v>
      </c>
      <c r="U341" s="792">
        <f>T341/G341*100</f>
        <v>0.21412223929266846</v>
      </c>
      <c r="V341" s="753">
        <f>T341-J341</f>
        <v>2.3083463653519516</v>
      </c>
      <c r="W341" s="770"/>
      <c r="X341" s="769"/>
      <c r="Z341" s="938"/>
      <c r="AB341" s="938"/>
      <c r="AD341" s="938"/>
      <c r="AF341" s="949"/>
    </row>
    <row r="342" spans="1:32">
      <c r="A342" s="4">
        <v>157</v>
      </c>
      <c r="C342" s="9" t="s">
        <v>755</v>
      </c>
      <c r="D342" s="256"/>
      <c r="E342" s="513" t="s">
        <v>674</v>
      </c>
      <c r="F342" s="256"/>
      <c r="G342" s="35">
        <v>137222.46215211437</v>
      </c>
      <c r="H342" s="818"/>
      <c r="I342" s="861">
        <v>0.20849999999999999</v>
      </c>
      <c r="J342" s="818">
        <f>G342*I342/100</f>
        <v>286.10883358715841</v>
      </c>
      <c r="K342" s="750"/>
      <c r="L342" s="865">
        <v>0</v>
      </c>
      <c r="M342" s="865">
        <v>0</v>
      </c>
      <c r="N342" s="753">
        <f>J342-L342-M342</f>
        <v>286.10883358715841</v>
      </c>
      <c r="O342" s="750"/>
      <c r="P342" s="35">
        <v>7.7149751854832971</v>
      </c>
      <c r="Q342" s="865">
        <v>0</v>
      </c>
      <c r="R342" s="865">
        <v>0</v>
      </c>
      <c r="S342" s="256"/>
      <c r="T342" s="750">
        <f>N342+P342+Q342+R342</f>
        <v>293.82380877264171</v>
      </c>
      <c r="U342" s="792">
        <f>T342/G342*100</f>
        <v>0.21412223929266841</v>
      </c>
      <c r="V342" s="753">
        <f>T342-J342</f>
        <v>7.7149751854832971</v>
      </c>
      <c r="W342" s="770"/>
      <c r="X342" s="769"/>
      <c r="Z342" s="938"/>
      <c r="AB342" s="938"/>
      <c r="AD342" s="938"/>
      <c r="AF342" s="949"/>
    </row>
    <row r="343" spans="1:32">
      <c r="A343" s="4">
        <v>158</v>
      </c>
      <c r="B343" s="256"/>
      <c r="C343" s="7" t="s">
        <v>715</v>
      </c>
      <c r="D343" s="256"/>
      <c r="E343" s="36"/>
      <c r="F343" s="256"/>
      <c r="G343" s="420">
        <f>SUM(G341:G342)</f>
        <v>178279.8815394764</v>
      </c>
      <c r="H343" s="420"/>
      <c r="I343" s="810">
        <f>J343/G343*100</f>
        <v>0.20849999999999996</v>
      </c>
      <c r="J343" s="882">
        <f>SUM(J341:J342)</f>
        <v>371.71355300980821</v>
      </c>
      <c r="K343" s="750"/>
      <c r="L343" s="875">
        <f>SUM(L341:L342)</f>
        <v>0</v>
      </c>
      <c r="M343" s="875">
        <f>SUM(M341:M342)</f>
        <v>0</v>
      </c>
      <c r="N343" s="842">
        <f>SUM(N341:N342)</f>
        <v>371.71355300980821</v>
      </c>
      <c r="O343" s="750"/>
      <c r="P343" s="881">
        <f>SUM(P341:P342)</f>
        <v>10.023321550835249</v>
      </c>
      <c r="Q343" s="875">
        <f>SUM(Q341:Q342)</f>
        <v>0</v>
      </c>
      <c r="R343" s="875">
        <f>SUM(R341:R342)</f>
        <v>0</v>
      </c>
      <c r="S343" s="256"/>
      <c r="T343" s="808">
        <f>SUM(T341:T342)</f>
        <v>381.73687456064346</v>
      </c>
      <c r="U343" s="806">
        <f>T343/G343*100</f>
        <v>0.21412223929266841</v>
      </c>
      <c r="V343" s="842">
        <f>SUM(V341:V342)</f>
        <v>10.023321550835249</v>
      </c>
      <c r="W343" s="804">
        <f>U343/I343-1</f>
        <v>2.6965176463637608E-2</v>
      </c>
      <c r="X343" s="769"/>
      <c r="Z343" s="938"/>
      <c r="AB343" s="938"/>
      <c r="AD343" s="938"/>
      <c r="AF343" s="949"/>
    </row>
    <row r="344" spans="1:32">
      <c r="A344" s="4"/>
      <c r="B344" s="256"/>
      <c r="C344" s="7"/>
      <c r="D344" s="256"/>
      <c r="E344" s="36"/>
      <c r="F344" s="256"/>
      <c r="G344" s="828"/>
      <c r="H344" s="818"/>
      <c r="I344" s="818"/>
      <c r="J344" s="818"/>
      <c r="K344" s="750"/>
      <c r="L344" s="753"/>
      <c r="M344" s="753"/>
      <c r="N344" s="753"/>
      <c r="O344" s="750"/>
      <c r="P344" s="750"/>
      <c r="Q344" s="753"/>
      <c r="R344" s="753"/>
      <c r="S344" s="256"/>
      <c r="T344" s="256"/>
      <c r="U344" s="792"/>
      <c r="V344" s="504"/>
      <c r="W344" s="770"/>
      <c r="X344" s="769"/>
      <c r="Z344" s="938"/>
      <c r="AB344" s="938"/>
      <c r="AD344" s="938"/>
      <c r="AF344" s="949"/>
    </row>
    <row r="345" spans="1:32" ht="13.5" thickBot="1">
      <c r="A345" s="4">
        <v>159</v>
      </c>
      <c r="B345" s="256"/>
      <c r="C345" s="7" t="s">
        <v>764</v>
      </c>
      <c r="D345" s="256"/>
      <c r="E345" s="36"/>
      <c r="F345" s="256"/>
      <c r="G345" s="768">
        <f>G328</f>
        <v>341663.84388774872</v>
      </c>
      <c r="H345" s="256"/>
      <c r="I345" s="845">
        <f>J345/G345*100</f>
        <v>9.2824802987110822</v>
      </c>
      <c r="J345" s="756">
        <f>J328+J333+J338+J343</f>
        <v>31714.878996699263</v>
      </c>
      <c r="K345" s="750"/>
      <c r="L345" s="768">
        <f>L328+L333+L338+L343</f>
        <v>3115.369769787249</v>
      </c>
      <c r="M345" s="768">
        <f>M328+M333+M338+M343</f>
        <v>734.4360465019023</v>
      </c>
      <c r="N345" s="756">
        <f>N328+N333+N338+N343</f>
        <v>27865.073180410116</v>
      </c>
      <c r="O345" s="750"/>
      <c r="P345" s="768">
        <f>P328+P333+P338+P343</f>
        <v>751.38661548193966</v>
      </c>
      <c r="Q345" s="768">
        <f>Q328+Q333+Q338+Q343</f>
        <v>1653.5839539086912</v>
      </c>
      <c r="R345" s="768">
        <f>R328+R333+R338+R343</f>
        <v>714.07648995630973</v>
      </c>
      <c r="S345" s="750"/>
      <c r="T345" s="756">
        <f>T328+T333+T338+T343</f>
        <v>30984.120239757052</v>
      </c>
      <c r="U345" s="845">
        <f>T345/G345*100</f>
        <v>9.0685979198714008</v>
      </c>
      <c r="V345" s="844">
        <f>V328+V333+V338+V343</f>
        <v>-730.75875694220883</v>
      </c>
      <c r="W345" s="815">
        <f>U345/I345-1</f>
        <v>-2.3041511746529686E-2</v>
      </c>
      <c r="X345" s="779"/>
      <c r="Z345" s="938"/>
      <c r="AB345" s="938"/>
      <c r="AD345" s="938"/>
      <c r="AF345" s="949"/>
    </row>
    <row r="346" spans="1:32" ht="13.5" thickTop="1">
      <c r="A346" s="4"/>
      <c r="B346" s="256"/>
      <c r="C346" s="7"/>
      <c r="D346" s="256"/>
      <c r="E346" s="36"/>
      <c r="F346" s="256"/>
      <c r="G346" s="35"/>
      <c r="H346" s="256"/>
      <c r="I346" s="848"/>
      <c r="J346" s="750"/>
      <c r="K346" s="750"/>
      <c r="L346" s="750"/>
      <c r="M346" s="750"/>
      <c r="N346" s="750"/>
      <c r="O346" s="750"/>
      <c r="P346" s="750"/>
      <c r="Q346" s="750"/>
      <c r="R346" s="750"/>
      <c r="S346" s="750"/>
      <c r="T346" s="750"/>
      <c r="U346" s="848"/>
      <c r="V346" s="750"/>
      <c r="W346" s="779"/>
      <c r="X346" s="779"/>
      <c r="Z346" s="938"/>
      <c r="AB346" s="938"/>
      <c r="AD346" s="938"/>
      <c r="AF346" s="949"/>
    </row>
    <row r="347" spans="1:32">
      <c r="A347" s="4"/>
      <c r="B347" s="256"/>
      <c r="C347" s="7"/>
      <c r="D347" s="256"/>
      <c r="E347" s="36"/>
      <c r="F347" s="256"/>
      <c r="G347" s="35"/>
      <c r="H347" s="256"/>
      <c r="I347" s="848"/>
      <c r="J347" s="750"/>
      <c r="K347" s="750"/>
      <c r="L347" s="750"/>
      <c r="M347" s="750"/>
      <c r="N347" s="750"/>
      <c r="O347" s="750"/>
      <c r="P347" s="750"/>
      <c r="Q347" s="750"/>
      <c r="R347" s="750"/>
      <c r="S347" s="750"/>
      <c r="T347" s="750"/>
      <c r="U347" s="848"/>
      <c r="V347" s="750"/>
      <c r="W347" s="779"/>
      <c r="X347" s="779"/>
      <c r="Z347" s="938"/>
      <c r="AB347" s="938"/>
      <c r="AD347" s="938"/>
      <c r="AF347" s="949"/>
    </row>
    <row r="348" spans="1:32">
      <c r="L348" s="2"/>
      <c r="M348" s="2"/>
      <c r="N348" s="504"/>
      <c r="Q348" s="504"/>
      <c r="R348" s="504"/>
      <c r="V348" s="753"/>
      <c r="W348" s="753"/>
      <c r="Z348" s="938"/>
      <c r="AB348" s="938"/>
      <c r="AD348" s="938"/>
      <c r="AF348" s="949"/>
    </row>
    <row r="349" spans="1:32">
      <c r="L349" s="2"/>
      <c r="M349" s="2"/>
      <c r="N349" s="504"/>
      <c r="Q349" s="504"/>
      <c r="R349" s="504"/>
      <c r="V349" s="504"/>
      <c r="W349" s="504"/>
      <c r="Z349" s="938"/>
      <c r="AB349" s="938"/>
      <c r="AD349" s="938"/>
      <c r="AF349" s="949"/>
    </row>
    <row r="350" spans="1:32">
      <c r="L350" s="2"/>
      <c r="M350" s="2"/>
      <c r="N350" s="504"/>
      <c r="Q350" s="504"/>
      <c r="R350" s="504"/>
      <c r="V350" s="504"/>
      <c r="W350" s="504"/>
      <c r="Z350" s="938"/>
      <c r="AB350" s="938"/>
      <c r="AD350" s="938"/>
      <c r="AF350" s="949"/>
    </row>
    <row r="351" spans="1:32">
      <c r="A351" s="1324" t="s">
        <v>724</v>
      </c>
      <c r="B351" s="1324"/>
      <c r="C351" s="1324"/>
      <c r="D351" s="1324"/>
      <c r="E351" s="1324"/>
      <c r="F351" s="1324"/>
      <c r="G351" s="1324"/>
      <c r="H351" s="1324"/>
      <c r="I351" s="1324"/>
      <c r="J351" s="1324"/>
      <c r="K351" s="1324"/>
      <c r="L351" s="1324"/>
      <c r="M351" s="1324"/>
      <c r="N351" s="1324"/>
      <c r="O351" s="1324"/>
      <c r="P351" s="1324"/>
      <c r="Q351" s="1324"/>
      <c r="R351" s="1324"/>
      <c r="S351" s="1324"/>
      <c r="T351" s="1324"/>
      <c r="U351" s="1324"/>
      <c r="V351" s="1324"/>
      <c r="W351" s="1324"/>
      <c r="X351" s="665"/>
      <c r="Z351" s="938"/>
      <c r="AB351" s="938"/>
      <c r="AD351" s="938"/>
      <c r="AF351" s="949"/>
    </row>
    <row r="352" spans="1:32">
      <c r="A352" s="1324" t="s">
        <v>925</v>
      </c>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644"/>
      <c r="Y352" s="644"/>
      <c r="Z352" s="938"/>
      <c r="AB352" s="938"/>
      <c r="AD352" s="938"/>
      <c r="AF352" s="949"/>
    </row>
    <row r="353" spans="1:32">
      <c r="A353" s="385"/>
      <c r="B353" s="385"/>
      <c r="C353" s="385"/>
      <c r="D353" s="385"/>
      <c r="E353" s="447"/>
      <c r="F353" s="385"/>
      <c r="G353" s="447"/>
      <c r="H353" s="385"/>
      <c r="I353" s="385"/>
      <c r="J353" s="385"/>
      <c r="K353" s="385"/>
      <c r="L353" s="385"/>
      <c r="M353" s="385"/>
      <c r="N353" s="504"/>
      <c r="O353" s="385"/>
      <c r="P353" s="385"/>
      <c r="Q353" s="504"/>
      <c r="R353" s="504"/>
      <c r="S353" s="385"/>
      <c r="T353" s="385"/>
      <c r="U353" s="385"/>
      <c r="V353" s="504"/>
      <c r="W353" s="504"/>
      <c r="Z353" s="938"/>
      <c r="AB353" s="938"/>
      <c r="AD353" s="938"/>
      <c r="AF353" s="949"/>
    </row>
    <row r="354" spans="1:32" ht="26.45" customHeight="1">
      <c r="A354" s="447"/>
      <c r="B354" s="447"/>
      <c r="C354" s="447"/>
      <c r="D354" s="447"/>
      <c r="E354" s="385"/>
      <c r="F354" s="1313" t="s">
        <v>682</v>
      </c>
      <c r="G354" s="1313"/>
      <c r="H354" s="1313"/>
      <c r="I354" s="1313"/>
      <c r="J354" s="1313"/>
      <c r="K354" s="447"/>
      <c r="L354" s="1325" t="s">
        <v>496</v>
      </c>
      <c r="M354" s="1325"/>
      <c r="N354" s="256"/>
      <c r="O354" s="447"/>
      <c r="P354" s="449"/>
      <c r="Q354" s="1325" t="s">
        <v>497</v>
      </c>
      <c r="R354" s="1325"/>
      <c r="S354" s="447"/>
      <c r="T354" s="1313" t="s">
        <v>926</v>
      </c>
      <c r="U354" s="1313"/>
      <c r="V354" s="1313"/>
      <c r="W354" s="1313"/>
      <c r="X354" s="4"/>
      <c r="Z354" s="938"/>
      <c r="AB354" s="938"/>
      <c r="AD354" s="938"/>
      <c r="AF354" s="949"/>
    </row>
    <row r="355" spans="1:32" ht="38.25">
      <c r="A355" s="254" t="s">
        <v>1</v>
      </c>
      <c r="B355" s="254"/>
      <c r="C355" s="254"/>
      <c r="D355" s="254"/>
      <c r="E355" s="4" t="s">
        <v>670</v>
      </c>
      <c r="F355" s="254"/>
      <c r="G355" s="13" t="s">
        <v>684</v>
      </c>
      <c r="H355" s="254"/>
      <c r="I355" s="13" t="s">
        <v>196</v>
      </c>
      <c r="J355" s="13" t="s">
        <v>503</v>
      </c>
      <c r="K355" s="254"/>
      <c r="L355" s="13" t="s">
        <v>505</v>
      </c>
      <c r="M355" s="13" t="s">
        <v>685</v>
      </c>
      <c r="N355" s="254" t="s">
        <v>688</v>
      </c>
      <c r="O355" s="254"/>
      <c r="P355" s="254" t="s">
        <v>689</v>
      </c>
      <c r="Q355" s="13" t="s">
        <v>505</v>
      </c>
      <c r="R355" s="13" t="s">
        <v>685</v>
      </c>
      <c r="S355" s="254"/>
      <c r="T355" s="13" t="s">
        <v>690</v>
      </c>
      <c r="U355" s="13" t="s">
        <v>691</v>
      </c>
      <c r="V355" s="13" t="s">
        <v>692</v>
      </c>
      <c r="W355" s="254" t="s">
        <v>693</v>
      </c>
      <c r="X355" s="254"/>
      <c r="Z355" s="938"/>
      <c r="AB355" s="938"/>
      <c r="AD355" s="938"/>
      <c r="AF355" s="949"/>
    </row>
    <row r="356" spans="1:32" ht="14.25">
      <c r="A356" s="255" t="s">
        <v>2</v>
      </c>
      <c r="B356" s="256"/>
      <c r="C356" s="449" t="s">
        <v>3</v>
      </c>
      <c r="D356" s="256"/>
      <c r="E356" s="255" t="s">
        <v>4</v>
      </c>
      <c r="F356" s="256"/>
      <c r="G356" s="255" t="s">
        <v>694</v>
      </c>
      <c r="H356" s="256"/>
      <c r="I356" s="255" t="s">
        <v>77</v>
      </c>
      <c r="J356" s="255" t="s">
        <v>20</v>
      </c>
      <c r="K356" s="256"/>
      <c r="L356" s="255" t="s">
        <v>20</v>
      </c>
      <c r="M356" s="255" t="s">
        <v>20</v>
      </c>
      <c r="N356" s="255" t="s">
        <v>20</v>
      </c>
      <c r="O356" s="256"/>
      <c r="P356" s="255" t="s">
        <v>20</v>
      </c>
      <c r="Q356" s="255" t="s">
        <v>20</v>
      </c>
      <c r="R356" s="255" t="s">
        <v>20</v>
      </c>
      <c r="S356" s="256"/>
      <c r="T356" s="255" t="s">
        <v>20</v>
      </c>
      <c r="U356" s="255" t="s">
        <v>77</v>
      </c>
      <c r="V356" s="255" t="s">
        <v>20</v>
      </c>
      <c r="W356" s="255" t="s">
        <v>76</v>
      </c>
      <c r="X356" s="4"/>
      <c r="Z356" s="938"/>
      <c r="AB356" s="938"/>
      <c r="AD356" s="938"/>
      <c r="AF356" s="949"/>
    </row>
    <row r="357" spans="1:32">
      <c r="A357" s="4"/>
      <c r="B357" s="256"/>
      <c r="C357" s="256"/>
      <c r="D357" s="256"/>
      <c r="E357" s="4"/>
      <c r="F357" s="256"/>
      <c r="G357" s="4" t="s">
        <v>8</v>
      </c>
      <c r="H357" s="4"/>
      <c r="I357" s="4" t="s">
        <v>9</v>
      </c>
      <c r="J357" s="4" t="s">
        <v>370</v>
      </c>
      <c r="K357" s="4"/>
      <c r="L357" s="132" t="s">
        <v>79</v>
      </c>
      <c r="M357" s="132" t="s">
        <v>115</v>
      </c>
      <c r="N357" s="4" t="s">
        <v>927</v>
      </c>
      <c r="O357" s="4"/>
      <c r="P357" s="4" t="s">
        <v>928</v>
      </c>
      <c r="Q357" s="4" t="s">
        <v>118</v>
      </c>
      <c r="R357" s="4" t="s">
        <v>84</v>
      </c>
      <c r="S357" s="4"/>
      <c r="T357" s="4" t="s">
        <v>929</v>
      </c>
      <c r="U357" s="4" t="s">
        <v>517</v>
      </c>
      <c r="V357" s="4" t="s">
        <v>930</v>
      </c>
      <c r="W357" s="4" t="s">
        <v>931</v>
      </c>
      <c r="Z357" s="938"/>
      <c r="AD357" s="938"/>
      <c r="AF357" s="949"/>
    </row>
    <row r="358" spans="1:32">
      <c r="A358" s="4"/>
      <c r="B358" s="256"/>
      <c r="C358" s="6" t="s">
        <v>175</v>
      </c>
      <c r="D358" s="256"/>
      <c r="E358" s="742"/>
      <c r="F358" s="256"/>
      <c r="G358" s="35"/>
      <c r="H358" s="256"/>
      <c r="I358" s="256"/>
      <c r="J358" s="256"/>
      <c r="K358" s="256"/>
      <c r="L358" s="504"/>
      <c r="M358" s="504"/>
      <c r="N358" s="504"/>
      <c r="O358" s="256"/>
      <c r="P358" s="256"/>
      <c r="Q358" s="504"/>
      <c r="R358" s="504"/>
      <c r="S358" s="256"/>
      <c r="T358" s="256"/>
      <c r="U358" s="256"/>
      <c r="V358" s="504"/>
      <c r="W358" s="504"/>
      <c r="Z358" s="938"/>
      <c r="AD358" s="938"/>
      <c r="AF358" s="949"/>
    </row>
    <row r="359" spans="1:32">
      <c r="A359" s="4">
        <v>160</v>
      </c>
      <c r="B359" s="256"/>
      <c r="C359" s="9" t="s">
        <v>200</v>
      </c>
      <c r="D359" s="256"/>
      <c r="E359" s="36" t="s">
        <v>704</v>
      </c>
      <c r="F359" s="256"/>
      <c r="G359" s="35">
        <v>756.00000000000398</v>
      </c>
      <c r="H359" s="256"/>
      <c r="I359" s="778">
        <v>1090.76</v>
      </c>
      <c r="J359" s="750">
        <f>G359*I359/1000</f>
        <v>824.61456000000442</v>
      </c>
      <c r="K359" s="256"/>
      <c r="L359" s="35">
        <v>0</v>
      </c>
      <c r="M359" s="35">
        <v>0</v>
      </c>
      <c r="N359" s="753">
        <f>J359-L359-M359</f>
        <v>824.61456000000442</v>
      </c>
      <c r="O359" s="256"/>
      <c r="P359" s="35">
        <v>22.235877124885178</v>
      </c>
      <c r="Q359" s="35">
        <v>0</v>
      </c>
      <c r="R359" s="35">
        <v>0</v>
      </c>
      <c r="S359" s="750"/>
      <c r="T359" s="750">
        <f>N359+P359+Q359+R359</f>
        <v>846.85043712488959</v>
      </c>
      <c r="U359" s="811">
        <f>T359/G359*1000</f>
        <v>1120.1725358794777</v>
      </c>
      <c r="V359" s="753">
        <f>T359-J359</f>
        <v>22.235877124885178</v>
      </c>
      <c r="W359" s="770">
        <f>U359/I359-1</f>
        <v>2.696517646363783E-2</v>
      </c>
      <c r="X359" s="769"/>
      <c r="Z359" s="938"/>
      <c r="AB359" s="938"/>
      <c r="AD359" s="938"/>
      <c r="AF359" s="954"/>
    </row>
    <row r="360" spans="1:32">
      <c r="C360" s="9" t="s">
        <v>221</v>
      </c>
      <c r="E360" s="36"/>
      <c r="G360" s="35"/>
      <c r="J360" s="752"/>
      <c r="L360" s="504"/>
      <c r="M360" s="504"/>
      <c r="N360" s="753"/>
      <c r="P360" s="35"/>
      <c r="Q360" s="762"/>
      <c r="R360" s="762"/>
      <c r="S360" s="752"/>
      <c r="T360" s="750"/>
      <c r="U360" s="862"/>
      <c r="V360" s="753"/>
      <c r="W360" s="770"/>
      <c r="X360" s="769"/>
      <c r="Z360" s="938"/>
      <c r="AB360" s="938"/>
      <c r="AD360" s="938"/>
      <c r="AF360" s="949"/>
    </row>
    <row r="361" spans="1:32">
      <c r="A361" s="4">
        <v>161</v>
      </c>
      <c r="B361" s="256"/>
      <c r="C361" s="519" t="s">
        <v>765</v>
      </c>
      <c r="D361" s="256"/>
      <c r="E361" s="513" t="s">
        <v>675</v>
      </c>
      <c r="F361" s="256"/>
      <c r="G361" s="35">
        <v>25506.168000000001</v>
      </c>
      <c r="H361" s="256"/>
      <c r="I361" s="861">
        <v>34.796800000000005</v>
      </c>
      <c r="J361" s="750">
        <f>G361*I361/100</f>
        <v>8875.3302666240015</v>
      </c>
      <c r="K361" s="256"/>
      <c r="L361" s="35">
        <v>476.40420590399998</v>
      </c>
      <c r="M361" s="35">
        <v>0</v>
      </c>
      <c r="N361" s="753">
        <f>J361-L361-M361</f>
        <v>8398.9260607200013</v>
      </c>
      <c r="O361" s="256"/>
      <c r="P361" s="35">
        <v>226.47852333236187</v>
      </c>
      <c r="Q361" s="35">
        <v>338.12516062253968</v>
      </c>
      <c r="R361" s="35">
        <v>0</v>
      </c>
      <c r="S361" s="750"/>
      <c r="T361" s="750">
        <f>N361+P361+Q361+R361</f>
        <v>8963.5297446749028</v>
      </c>
      <c r="U361" s="792">
        <f>T361/G361*100</f>
        <v>35.142596663971247</v>
      </c>
      <c r="V361" s="753">
        <f>T361-J361</f>
        <v>88.199478050901234</v>
      </c>
      <c r="W361" s="770"/>
      <c r="X361" s="769"/>
      <c r="Z361" s="938"/>
      <c r="AB361" s="938"/>
      <c r="AD361" s="938"/>
      <c r="AF361" s="949"/>
    </row>
    <row r="362" spans="1:32">
      <c r="A362" s="4">
        <v>162</v>
      </c>
      <c r="B362" s="256"/>
      <c r="C362" s="519" t="s">
        <v>766</v>
      </c>
      <c r="D362" s="256"/>
      <c r="E362" s="513" t="s">
        <v>675</v>
      </c>
      <c r="F362" s="256"/>
      <c r="G362" s="35">
        <v>66225.600000000006</v>
      </c>
      <c r="H362" s="256"/>
      <c r="I362" s="861">
        <v>20.462300000000003</v>
      </c>
      <c r="J362" s="750">
        <f>G362*I362/100</f>
        <v>13551.280948800002</v>
      </c>
      <c r="K362" s="256"/>
      <c r="L362" s="35">
        <v>727.42199040000003</v>
      </c>
      <c r="M362" s="35">
        <v>0</v>
      </c>
      <c r="N362" s="753">
        <f>J362-L362-M362</f>
        <v>12823.858958400002</v>
      </c>
      <c r="O362" s="256"/>
      <c r="P362" s="35">
        <v>345.79761975805923</v>
      </c>
      <c r="Q362" s="35">
        <v>516.26575122337101</v>
      </c>
      <c r="R362" s="35">
        <v>0</v>
      </c>
      <c r="S362" s="750"/>
      <c r="T362" s="750">
        <f>N362+P362+Q362+R362</f>
        <v>13685.922329381432</v>
      </c>
      <c r="U362" s="792">
        <f>T362/G362*100</f>
        <v>20.66560715098305</v>
      </c>
      <c r="V362" s="753">
        <f>T362-J362</f>
        <v>134.64138058142998</v>
      </c>
      <c r="W362" s="770"/>
      <c r="X362" s="769"/>
      <c r="Z362" s="938"/>
      <c r="AB362" s="938"/>
      <c r="AD362" s="938"/>
      <c r="AF362" s="949"/>
    </row>
    <row r="363" spans="1:32">
      <c r="A363" s="4">
        <v>163</v>
      </c>
      <c r="B363" s="256"/>
      <c r="C363" s="512" t="s">
        <v>726</v>
      </c>
      <c r="D363" s="256"/>
      <c r="E363" s="36"/>
      <c r="F363" s="256"/>
      <c r="G363" s="137">
        <f>SUM(G361:G362)</f>
        <v>91731.768000000011</v>
      </c>
      <c r="H363" s="256"/>
      <c r="I363" s="806">
        <f>J363/G363*100</f>
        <v>24.44803115036876</v>
      </c>
      <c r="J363" s="808">
        <f>SUM(J361:J362)</f>
        <v>22426.611215424004</v>
      </c>
      <c r="K363" s="256"/>
      <c r="L363" s="137">
        <f t="shared" ref="L363:R363" si="8">SUM(L361:L362)</f>
        <v>1203.826196304</v>
      </c>
      <c r="M363" s="807">
        <f t="shared" si="8"/>
        <v>0</v>
      </c>
      <c r="N363" s="808">
        <f t="shared" si="8"/>
        <v>21222.785019120005</v>
      </c>
      <c r="O363" s="795">
        <f t="shared" si="8"/>
        <v>0</v>
      </c>
      <c r="P363" s="137">
        <f t="shared" si="8"/>
        <v>572.2761430904211</v>
      </c>
      <c r="Q363" s="137">
        <f t="shared" si="8"/>
        <v>854.39091184591075</v>
      </c>
      <c r="R363" s="807">
        <f t="shared" si="8"/>
        <v>0</v>
      </c>
      <c r="S363" s="750"/>
      <c r="T363" s="808">
        <f>SUM(T361:T362)</f>
        <v>22649.452074056335</v>
      </c>
      <c r="U363" s="806">
        <f>T363/G363*100</f>
        <v>24.690957743293833</v>
      </c>
      <c r="V363" s="842">
        <f>SUM(V361:V362)</f>
        <v>222.84085863233122</v>
      </c>
      <c r="W363" s="804">
        <f>U363/I363-1</f>
        <v>9.9364481103179081E-3</v>
      </c>
      <c r="X363" s="769"/>
      <c r="Z363" s="938"/>
      <c r="AB363" s="938"/>
      <c r="AD363" s="938"/>
      <c r="AF363" s="949"/>
    </row>
    <row r="364" spans="1:32">
      <c r="A364" s="4"/>
      <c r="C364" s="7"/>
      <c r="G364" s="135"/>
      <c r="J364" s="752"/>
      <c r="L364" s="504"/>
      <c r="M364" s="504"/>
      <c r="N364" s="504"/>
      <c r="Q364" s="762"/>
      <c r="R364" s="762"/>
      <c r="U364" s="793"/>
      <c r="V364" s="504"/>
      <c r="W364" s="504"/>
      <c r="AB364" s="938"/>
      <c r="AD364" s="938"/>
      <c r="AF364" s="949"/>
    </row>
    <row r="365" spans="1:32">
      <c r="A365" s="4"/>
      <c r="B365" s="256"/>
      <c r="C365" s="512" t="s">
        <v>705</v>
      </c>
      <c r="D365" s="256"/>
      <c r="E365" s="134"/>
      <c r="F365" s="256"/>
      <c r="G365" s="749"/>
      <c r="H365" s="256"/>
      <c r="I365" s="256"/>
      <c r="J365" s="750"/>
      <c r="K365" s="256"/>
      <c r="L365" s="504"/>
      <c r="M365" s="504"/>
      <c r="N365" s="504"/>
      <c r="O365" s="256"/>
      <c r="P365" s="256"/>
      <c r="Q365" s="762"/>
      <c r="R365" s="762"/>
      <c r="S365" s="256"/>
      <c r="T365" s="256"/>
      <c r="U365" s="792"/>
      <c r="V365" s="504"/>
      <c r="W365" s="504"/>
      <c r="AB365" s="938"/>
      <c r="AD365" s="938"/>
      <c r="AF365" s="949"/>
    </row>
    <row r="366" spans="1:32">
      <c r="A366" s="4">
        <v>164</v>
      </c>
      <c r="B366" s="256"/>
      <c r="C366" s="519" t="s">
        <v>767</v>
      </c>
      <c r="D366" s="256"/>
      <c r="E366" s="36" t="s">
        <v>674</v>
      </c>
      <c r="F366" s="256"/>
      <c r="G366" s="35">
        <v>338478.94474000001</v>
      </c>
      <c r="H366" s="256"/>
      <c r="I366" s="861">
        <v>0.76890000000000003</v>
      </c>
      <c r="J366" s="750">
        <f>G366*I366/100</f>
        <v>2602.5646061058601</v>
      </c>
      <c r="K366" s="256"/>
      <c r="L366" s="35">
        <v>310.72367127132003</v>
      </c>
      <c r="M366" s="35">
        <v>71.733497582074222</v>
      </c>
      <c r="N366" s="753">
        <f>J366-L366-M366</f>
        <v>2220.1074372524658</v>
      </c>
      <c r="O366" s="256"/>
      <c r="P366" s="35">
        <v>59.865588813747308</v>
      </c>
      <c r="Q366" s="35">
        <v>196.90814472516561</v>
      </c>
      <c r="R366" s="35">
        <v>69.744948399076549</v>
      </c>
      <c r="S366" s="750"/>
      <c r="T366" s="750">
        <f>N366+P366+Q366+R366</f>
        <v>2546.6261191904555</v>
      </c>
      <c r="U366" s="792">
        <f>T366/G366*100</f>
        <v>0.75237356969031755</v>
      </c>
      <c r="V366" s="847">
        <f>T366-J366</f>
        <v>-55.93848691540461</v>
      </c>
      <c r="W366" s="770"/>
      <c r="X366" s="769"/>
      <c r="Z366" s="938"/>
      <c r="AB366" s="938"/>
      <c r="AD366" s="938"/>
      <c r="AF366" s="949"/>
    </row>
    <row r="367" spans="1:32">
      <c r="A367" s="4">
        <v>165</v>
      </c>
      <c r="B367" s="256"/>
      <c r="C367" s="519" t="s">
        <v>768</v>
      </c>
      <c r="D367" s="256"/>
      <c r="E367" s="36" t="s">
        <v>674</v>
      </c>
      <c r="F367" s="256"/>
      <c r="G367" s="35">
        <v>590622.16051000007</v>
      </c>
      <c r="H367" s="256"/>
      <c r="I367" s="861">
        <v>0.55740000000000001</v>
      </c>
      <c r="J367" s="750">
        <f>G367*I367/100</f>
        <v>3292.1279226827405</v>
      </c>
      <c r="K367" s="256"/>
      <c r="L367" s="35">
        <v>394.53560322068006</v>
      </c>
      <c r="M367" s="35">
        <v>125.16995216765321</v>
      </c>
      <c r="N367" s="753">
        <f>J367-L367-M367</f>
        <v>2772.4223672944072</v>
      </c>
      <c r="O367" s="256"/>
      <c r="P367" s="35">
        <v>74.758858365830292</v>
      </c>
      <c r="Q367" s="35">
        <v>252.60993253334425</v>
      </c>
      <c r="R367" s="35">
        <v>121.70007248091335</v>
      </c>
      <c r="S367" s="750"/>
      <c r="T367" s="750">
        <f>N367+P367+Q367+R367</f>
        <v>3221.491230674495</v>
      </c>
      <c r="U367" s="792">
        <f>T367/G367*100</f>
        <v>0.54544029094552582</v>
      </c>
      <c r="V367" s="847">
        <f>T367-J367</f>
        <v>-70.636692008245518</v>
      </c>
      <c r="W367" s="770"/>
      <c r="X367" s="769"/>
      <c r="Z367" s="938"/>
      <c r="AB367" s="938"/>
      <c r="AD367" s="938"/>
      <c r="AF367" s="949"/>
    </row>
    <row r="368" spans="1:32">
      <c r="A368" s="4">
        <v>166</v>
      </c>
      <c r="B368" s="256"/>
      <c r="C368" s="512" t="s">
        <v>705</v>
      </c>
      <c r="D368" s="256"/>
      <c r="E368" s="36"/>
      <c r="F368" s="256"/>
      <c r="G368" s="137">
        <f>SUM(G366:G367)</f>
        <v>929101.10525000002</v>
      </c>
      <c r="H368" s="256"/>
      <c r="I368" s="806">
        <f>J368/G368*100</f>
        <v>0.63445113728526592</v>
      </c>
      <c r="J368" s="808">
        <f>SUM(J366:J367)</f>
        <v>5894.6925287886006</v>
      </c>
      <c r="K368" s="256"/>
      <c r="L368" s="137">
        <f t="shared" ref="L368:R368" si="9">SUM(L366:L367)</f>
        <v>705.25927449200003</v>
      </c>
      <c r="M368" s="137">
        <f t="shared" si="9"/>
        <v>196.90344974972743</v>
      </c>
      <c r="N368" s="808">
        <f t="shared" si="9"/>
        <v>4992.5298045468735</v>
      </c>
      <c r="O368" s="795">
        <f t="shared" si="9"/>
        <v>0</v>
      </c>
      <c r="P368" s="137">
        <f t="shared" si="9"/>
        <v>134.6244471795776</v>
      </c>
      <c r="Q368" s="137">
        <f t="shared" si="9"/>
        <v>449.51807725850983</v>
      </c>
      <c r="R368" s="807">
        <f t="shared" si="9"/>
        <v>191.4450208799899</v>
      </c>
      <c r="S368" s="750"/>
      <c r="T368" s="808">
        <f>SUM(T366:T367)</f>
        <v>5768.1173498649505</v>
      </c>
      <c r="U368" s="806">
        <f>T368/G368*100</f>
        <v>0.62082773524555013</v>
      </c>
      <c r="V368" s="851">
        <f>SUM(V366:V367)</f>
        <v>-126.57517892365013</v>
      </c>
      <c r="W368" s="816">
        <f>U368/I368-1</f>
        <v>-2.1472736415933613E-2</v>
      </c>
      <c r="X368" s="769"/>
      <c r="Z368" s="938"/>
      <c r="AB368" s="938"/>
      <c r="AD368" s="938"/>
      <c r="AF368" s="949"/>
    </row>
    <row r="369" spans="1:32">
      <c r="A369" s="4"/>
      <c r="C369" s="7"/>
      <c r="E369" s="36"/>
      <c r="G369" s="35"/>
      <c r="J369" s="752"/>
      <c r="L369" s="504"/>
      <c r="M369" s="504"/>
      <c r="N369" s="504"/>
      <c r="Q369" s="762"/>
      <c r="R369" s="762"/>
      <c r="U369" s="793"/>
      <c r="V369" s="504"/>
      <c r="W369" s="504"/>
      <c r="Z369" s="938"/>
      <c r="AB369" s="938"/>
      <c r="AD369" s="938"/>
      <c r="AF369" s="949"/>
    </row>
    <row r="370" spans="1:32">
      <c r="A370" s="4">
        <v>167</v>
      </c>
      <c r="B370" s="256"/>
      <c r="C370" s="512" t="s">
        <v>769</v>
      </c>
      <c r="D370" s="256"/>
      <c r="E370" s="36" t="s">
        <v>674</v>
      </c>
      <c r="F370" s="256"/>
      <c r="G370" s="35">
        <v>18115.468199999999</v>
      </c>
      <c r="H370" s="256"/>
      <c r="I370" s="861">
        <v>0.55740000000000001</v>
      </c>
      <c r="J370" s="750">
        <f>G370*I370/100</f>
        <v>100.97561974680001</v>
      </c>
      <c r="K370" s="256"/>
      <c r="L370" s="35">
        <v>16.629999807600001</v>
      </c>
      <c r="M370" s="35">
        <v>0</v>
      </c>
      <c r="N370" s="753">
        <f>J370-L370-M370</f>
        <v>84.345619939200006</v>
      </c>
      <c r="O370" s="771"/>
      <c r="P370" s="35">
        <v>2.2743945255954543</v>
      </c>
      <c r="Q370" s="35">
        <v>10.538567581595844</v>
      </c>
      <c r="R370" s="35">
        <v>0</v>
      </c>
      <c r="S370" s="771"/>
      <c r="T370" s="750">
        <f>N370+P370+Q370+R370</f>
        <v>97.158582046391302</v>
      </c>
      <c r="U370" s="792">
        <f>T370/G370*100</f>
        <v>0.53632940078463609</v>
      </c>
      <c r="V370" s="762">
        <f>T370-N370</f>
        <v>12.812962107191296</v>
      </c>
      <c r="W370" s="785">
        <f>U370/I370-1</f>
        <v>-3.7801577350850213E-2</v>
      </c>
      <c r="X370" s="769"/>
      <c r="Z370" s="938"/>
      <c r="AB370" s="938"/>
      <c r="AD370" s="938"/>
      <c r="AF370" s="949"/>
    </row>
    <row r="371" spans="1:32">
      <c r="A371" s="4">
        <v>168</v>
      </c>
      <c r="B371" s="256"/>
      <c r="C371" s="519" t="s">
        <v>770</v>
      </c>
      <c r="D371" s="256"/>
      <c r="E371" s="36" t="s">
        <v>704</v>
      </c>
      <c r="F371" s="256"/>
      <c r="G371" s="35">
        <v>456.00000000000375</v>
      </c>
      <c r="H371" s="256"/>
      <c r="I371" s="778">
        <v>248.07</v>
      </c>
      <c r="J371" s="750">
        <f>G371*I371/1000</f>
        <v>113.11992000000093</v>
      </c>
      <c r="K371" s="256"/>
      <c r="L371" s="35">
        <v>0</v>
      </c>
      <c r="M371" s="35">
        <v>0</v>
      </c>
      <c r="N371" s="753">
        <f>J371-L371-M371</f>
        <v>113.11992000000093</v>
      </c>
      <c r="O371" s="771"/>
      <c r="P371" s="35">
        <v>3.0502986043526192</v>
      </c>
      <c r="Q371" s="35">
        <v>0</v>
      </c>
      <c r="R371" s="35">
        <v>0</v>
      </c>
      <c r="S371" s="771"/>
      <c r="T371" s="750">
        <f>N371+P371+Q371+R371</f>
        <v>116.17021860435355</v>
      </c>
      <c r="U371" s="811">
        <f>T371/G371*1000</f>
        <v>254.75925132533462</v>
      </c>
      <c r="V371" s="762">
        <f>T371-N371</f>
        <v>3.0502986043526192</v>
      </c>
      <c r="W371" s="785">
        <f>U371/I371-1</f>
        <v>2.696517646363783E-2</v>
      </c>
      <c r="X371" s="769"/>
      <c r="Z371" s="938"/>
      <c r="AB371" s="938"/>
      <c r="AD371" s="938"/>
      <c r="AF371" s="949"/>
    </row>
    <row r="372" spans="1:32">
      <c r="A372" s="4"/>
      <c r="B372" s="256"/>
      <c r="C372" s="7"/>
      <c r="D372" s="256"/>
      <c r="E372" s="36"/>
      <c r="F372" s="256"/>
      <c r="G372" s="453"/>
      <c r="H372" s="256"/>
      <c r="I372" s="256"/>
      <c r="J372" s="750"/>
      <c r="K372" s="256"/>
      <c r="L372" s="762"/>
      <c r="M372" s="762"/>
      <c r="N372" s="762"/>
      <c r="O372" s="771"/>
      <c r="P372" s="771"/>
      <c r="Q372" s="762"/>
      <c r="R372" s="762"/>
      <c r="S372" s="771"/>
      <c r="T372" s="771"/>
      <c r="U372" s="771"/>
      <c r="V372" s="762"/>
      <c r="W372" s="770"/>
      <c r="X372" s="769"/>
      <c r="Z372" s="938"/>
      <c r="AB372" s="938"/>
      <c r="AD372" s="938"/>
    </row>
    <row r="373" spans="1:32">
      <c r="A373" s="4">
        <v>169</v>
      </c>
      <c r="B373" s="256"/>
      <c r="C373" s="7" t="s">
        <v>710</v>
      </c>
      <c r="D373" s="256"/>
      <c r="E373" s="36"/>
      <c r="F373" s="256"/>
      <c r="G373" s="137">
        <f>G368</f>
        <v>929101.10525000002</v>
      </c>
      <c r="H373" s="256"/>
      <c r="I373" s="806">
        <f>J373/G373*100</f>
        <v>3.1600450885331042</v>
      </c>
      <c r="J373" s="808">
        <f>J359+J363+J368+J370+J371</f>
        <v>29360.013843959412</v>
      </c>
      <c r="K373" s="750"/>
      <c r="L373" s="137">
        <f>L359+L363+L368+L370+L371</f>
        <v>1925.7154706035999</v>
      </c>
      <c r="M373" s="807">
        <f>M359+M363+M368+M370+M371</f>
        <v>196.90344974972743</v>
      </c>
      <c r="N373" s="808">
        <f>N359+N363+N368+N370+N371</f>
        <v>27237.394923606083</v>
      </c>
      <c r="O373" s="771"/>
      <c r="P373" s="807">
        <f>P359+P363+P368+P370+P371</f>
        <v>734.46116052483194</v>
      </c>
      <c r="Q373" s="137">
        <f>Q359+Q363+Q368+Q370+Q371</f>
        <v>1314.4475566860162</v>
      </c>
      <c r="R373" s="807">
        <f>R359+R363+R368+R370+R371</f>
        <v>191.4450208799899</v>
      </c>
      <c r="S373" s="771"/>
      <c r="T373" s="808">
        <f>T359+T363+T368+T370+T371</f>
        <v>29477.748661696922</v>
      </c>
      <c r="U373" s="806">
        <f>T373/G373*100</f>
        <v>3.172716994429269</v>
      </c>
      <c r="V373" s="807">
        <f>V359+V363+V368+V370+V371</f>
        <v>134.36481754511021</v>
      </c>
      <c r="W373" s="804">
        <f>U373/I373-1</f>
        <v>4.0100395852411541E-3</v>
      </c>
      <c r="X373" s="769"/>
      <c r="Z373" s="938"/>
      <c r="AB373" s="938"/>
      <c r="AD373" s="938"/>
    </row>
    <row r="374" spans="1:32">
      <c r="A374" s="4"/>
      <c r="B374" s="256"/>
      <c r="C374" s="7"/>
      <c r="D374" s="256"/>
      <c r="E374" s="36"/>
      <c r="F374" s="256"/>
      <c r="G374" s="453"/>
      <c r="H374" s="256"/>
      <c r="I374" s="256"/>
      <c r="J374" s="750"/>
      <c r="K374" s="256"/>
      <c r="L374" s="753"/>
      <c r="M374" s="753"/>
      <c r="N374" s="753"/>
      <c r="O374" s="750"/>
      <c r="P374" s="750"/>
      <c r="Q374" s="762"/>
      <c r="R374" s="762"/>
      <c r="S374" s="750"/>
      <c r="T374" s="750"/>
      <c r="U374" s="792"/>
      <c r="V374" s="753"/>
      <c r="W374" s="753"/>
      <c r="X374" s="728"/>
      <c r="Z374" s="938"/>
      <c r="AB374" s="938"/>
      <c r="AD374" s="938"/>
    </row>
    <row r="375" spans="1:32">
      <c r="A375" s="4"/>
      <c r="B375" s="256"/>
      <c r="C375" s="9" t="s">
        <v>275</v>
      </c>
      <c r="D375" s="256"/>
      <c r="E375" s="860"/>
      <c r="F375" s="256"/>
      <c r="G375" s="870"/>
      <c r="H375" s="256"/>
      <c r="I375" s="256"/>
      <c r="J375" s="750"/>
      <c r="K375" s="256"/>
      <c r="L375" s="762"/>
      <c r="M375" s="762"/>
      <c r="N375" s="762"/>
      <c r="O375" s="771"/>
      <c r="P375" s="771"/>
      <c r="Q375" s="762"/>
      <c r="R375" s="762"/>
      <c r="S375" s="771"/>
      <c r="T375" s="771"/>
      <c r="U375" s="771"/>
      <c r="V375" s="762"/>
      <c r="W375" s="762"/>
      <c r="X375" s="782"/>
      <c r="Z375" s="938"/>
      <c r="AB375" s="938"/>
      <c r="AD375" s="938"/>
    </row>
    <row r="376" spans="1:32">
      <c r="A376" s="4">
        <v>170</v>
      </c>
      <c r="C376" s="519" t="s">
        <v>754</v>
      </c>
      <c r="E376" s="513" t="s">
        <v>675</v>
      </c>
      <c r="G376" s="35">
        <v>1764.0360000000001</v>
      </c>
      <c r="H376" s="744"/>
      <c r="I376" s="861">
        <v>5.8666620005894572</v>
      </c>
      <c r="J376" s="744">
        <f>G376*I376/100</f>
        <v>103.49002968871824</v>
      </c>
      <c r="L376" s="35">
        <v>0</v>
      </c>
      <c r="M376" s="35">
        <v>0</v>
      </c>
      <c r="N376" s="753">
        <f>J376-L376-M376</f>
        <v>103.49002968871824</v>
      </c>
      <c r="O376" s="68"/>
      <c r="P376" s="35">
        <v>2.7906269127834094</v>
      </c>
      <c r="Q376" s="453">
        <v>0</v>
      </c>
      <c r="R376" s="453">
        <v>0</v>
      </c>
      <c r="S376" s="136"/>
      <c r="T376" s="750">
        <f>N376+P376+Q376+R3663</f>
        <v>106.28065660150165</v>
      </c>
      <c r="U376" s="792">
        <f>T376/G376*100</f>
        <v>6.0248575766878707</v>
      </c>
      <c r="V376" s="827">
        <f>T376-J376</f>
        <v>2.7906269127834094</v>
      </c>
      <c r="W376" s="827"/>
      <c r="X376" s="866"/>
      <c r="Z376" s="938"/>
      <c r="AB376" s="938"/>
      <c r="AD376" s="938"/>
      <c r="AF376" s="949"/>
    </row>
    <row r="377" spans="1:32">
      <c r="A377" s="4">
        <v>171</v>
      </c>
      <c r="B377" s="734"/>
      <c r="C377" s="519" t="s">
        <v>755</v>
      </c>
      <c r="D377" s="734"/>
      <c r="E377" s="513" t="s">
        <v>675</v>
      </c>
      <c r="F377" s="734"/>
      <c r="G377" s="35">
        <v>6791.652</v>
      </c>
      <c r="H377" s="744"/>
      <c r="I377" s="861">
        <v>4.3500620005894568</v>
      </c>
      <c r="J377" s="744">
        <f>G377*I377/100</f>
        <v>295.44107286427385</v>
      </c>
      <c r="K377" s="734"/>
      <c r="L377" s="35">
        <v>0</v>
      </c>
      <c r="M377" s="35">
        <v>0</v>
      </c>
      <c r="N377" s="753">
        <f>J377-L377-M377</f>
        <v>295.44107286427385</v>
      </c>
      <c r="O377" s="790"/>
      <c r="P377" s="35">
        <v>7.9666206643915984</v>
      </c>
      <c r="Q377" s="453">
        <v>0</v>
      </c>
      <c r="R377" s="453">
        <v>0</v>
      </c>
      <c r="S377" s="136"/>
      <c r="T377" s="750">
        <f>N377+P377+Q377+R3664</f>
        <v>303.40769352866545</v>
      </c>
      <c r="U377" s="792">
        <f>T377/G377*100</f>
        <v>4.467362190063116</v>
      </c>
      <c r="V377" s="827">
        <f>T377-J377</f>
        <v>7.9666206643915984</v>
      </c>
      <c r="W377" s="827"/>
      <c r="X377" s="866"/>
      <c r="Z377" s="938"/>
      <c r="AB377" s="938"/>
      <c r="AD377" s="938"/>
      <c r="AF377" s="949"/>
    </row>
    <row r="378" spans="1:32">
      <c r="A378" s="4"/>
      <c r="B378" s="447"/>
      <c r="C378" s="9" t="s">
        <v>771</v>
      </c>
      <c r="D378" s="447"/>
      <c r="E378" s="385"/>
      <c r="F378" s="447"/>
      <c r="G378" s="818"/>
      <c r="H378" s="818"/>
      <c r="I378" s="818"/>
      <c r="J378" s="818"/>
      <c r="K378" s="447"/>
      <c r="L378" s="762"/>
      <c r="M378" s="762"/>
      <c r="N378" s="753"/>
      <c r="O378" s="787"/>
      <c r="P378" s="453"/>
      <c r="Q378" s="827"/>
      <c r="R378" s="827"/>
      <c r="S378" s="453"/>
      <c r="T378" s="136"/>
      <c r="U378" s="792"/>
      <c r="V378" s="827"/>
      <c r="W378" s="827"/>
      <c r="X378" s="866"/>
      <c r="Z378" s="938"/>
      <c r="AB378" s="938"/>
      <c r="AD378" s="938"/>
      <c r="AF378" s="949"/>
    </row>
    <row r="379" spans="1:32">
      <c r="A379" s="4">
        <v>172</v>
      </c>
      <c r="B379" s="254"/>
      <c r="C379" s="519" t="s">
        <v>754</v>
      </c>
      <c r="D379" s="254"/>
      <c r="E379" s="513" t="s">
        <v>674</v>
      </c>
      <c r="F379" s="254"/>
      <c r="G379" s="35">
        <v>19327.7673</v>
      </c>
      <c r="H379" s="869"/>
      <c r="I379" s="897">
        <v>-0.12354596677033286</v>
      </c>
      <c r="J379" s="966">
        <f>G379*I379/100</f>
        <v>-23.87867696590526</v>
      </c>
      <c r="K379" s="254"/>
      <c r="L379" s="35">
        <v>0</v>
      </c>
      <c r="M379" s="35">
        <v>0</v>
      </c>
      <c r="N379" s="847">
        <f>J379-L379-M379</f>
        <v>-23.87867696590526</v>
      </c>
      <c r="O379" s="786"/>
      <c r="P379" s="35">
        <v>-0.6438927381038404</v>
      </c>
      <c r="Q379" s="453">
        <v>0</v>
      </c>
      <c r="R379" s="453">
        <v>0</v>
      </c>
      <c r="S379" s="813"/>
      <c r="T379" s="136">
        <f>N379+P379+Q379+R3666</f>
        <v>-24.522569704009101</v>
      </c>
      <c r="U379" s="960">
        <f>T379/G379*100</f>
        <v>-0.12687740556566562</v>
      </c>
      <c r="V379" s="827">
        <f>T379-J379</f>
        <v>-0.6438927381038404</v>
      </c>
      <c r="W379" s="827"/>
      <c r="X379" s="866"/>
      <c r="Z379" s="964"/>
      <c r="AB379" s="964"/>
      <c r="AD379" s="964"/>
      <c r="AF379" s="949"/>
    </row>
    <row r="380" spans="1:32">
      <c r="A380" s="4">
        <v>173</v>
      </c>
      <c r="B380" s="256"/>
      <c r="C380" s="519" t="s">
        <v>755</v>
      </c>
      <c r="D380" s="256"/>
      <c r="E380" s="513" t="s">
        <v>674</v>
      </c>
      <c r="F380" s="256"/>
      <c r="G380" s="35">
        <v>62792.705639999993</v>
      </c>
      <c r="H380" s="818"/>
      <c r="I380" s="897">
        <v>-0.20307596677033282</v>
      </c>
      <c r="J380" s="966">
        <f>G380*I380/100</f>
        <v>-127.51689403967929</v>
      </c>
      <c r="K380" s="256"/>
      <c r="L380" s="35">
        <v>0</v>
      </c>
      <c r="M380" s="35">
        <v>0</v>
      </c>
      <c r="N380" s="847">
        <f>J380-L380-M380</f>
        <v>-127.51689403967929</v>
      </c>
      <c r="O380" s="771"/>
      <c r="P380" s="35">
        <v>-3.438515549874964</v>
      </c>
      <c r="Q380" s="453">
        <v>0</v>
      </c>
      <c r="R380" s="453">
        <v>0</v>
      </c>
      <c r="S380" s="453"/>
      <c r="T380" s="136">
        <f>N380+P380+Q380+R3667</f>
        <v>-130.95540958955425</v>
      </c>
      <c r="U380" s="960">
        <f>T380/G380*100</f>
        <v>-0.20855194604981869</v>
      </c>
      <c r="V380" s="827">
        <f>T380-J380</f>
        <v>-3.438515549874964</v>
      </c>
      <c r="W380" s="827"/>
      <c r="X380" s="866"/>
      <c r="Z380" s="964"/>
      <c r="AB380" s="964"/>
      <c r="AD380" s="964"/>
      <c r="AF380" s="949"/>
    </row>
    <row r="381" spans="1:32">
      <c r="A381" s="4"/>
      <c r="C381" s="9" t="s">
        <v>772</v>
      </c>
      <c r="G381" s="744"/>
      <c r="H381" s="744"/>
      <c r="I381" s="744"/>
      <c r="J381" s="744"/>
      <c r="L381" s="762"/>
      <c r="M381" s="762"/>
      <c r="N381" s="753"/>
      <c r="O381" s="68"/>
      <c r="P381" s="136"/>
      <c r="Q381" s="827"/>
      <c r="R381" s="827"/>
      <c r="S381" s="136"/>
      <c r="T381" s="136"/>
      <c r="U381" s="136"/>
      <c r="V381" s="827"/>
      <c r="W381" s="827"/>
      <c r="X381" s="866"/>
      <c r="Z381" s="964"/>
      <c r="AB381" s="938"/>
      <c r="AD381" s="938"/>
    </row>
    <row r="382" spans="1:32">
      <c r="A382" s="4">
        <v>174</v>
      </c>
      <c r="B382" s="256"/>
      <c r="C382" s="519" t="s">
        <v>754</v>
      </c>
      <c r="D382" s="256"/>
      <c r="E382" s="513" t="s">
        <v>674</v>
      </c>
      <c r="F382" s="256"/>
      <c r="G382" s="35">
        <v>15676.229820000002</v>
      </c>
      <c r="H382" s="818"/>
      <c r="I382" s="867">
        <v>0</v>
      </c>
      <c r="J382" s="867">
        <f>G382*I382/100</f>
        <v>0</v>
      </c>
      <c r="K382" s="868"/>
      <c r="L382" s="35">
        <v>0</v>
      </c>
      <c r="M382" s="35">
        <v>0</v>
      </c>
      <c r="N382" s="762">
        <f>J382-L382-M382</f>
        <v>0</v>
      </c>
      <c r="O382" s="771"/>
      <c r="P382" s="453">
        <v>0</v>
      </c>
      <c r="Q382" s="453">
        <v>0</v>
      </c>
      <c r="R382" s="453">
        <v>0</v>
      </c>
      <c r="S382" s="453"/>
      <c r="T382" s="136">
        <f>N382+P382+Q382+R3669</f>
        <v>0</v>
      </c>
      <c r="U382" s="136">
        <f>T382/G382*100</f>
        <v>0</v>
      </c>
      <c r="V382" s="827">
        <f>T382-J382</f>
        <v>0</v>
      </c>
      <c r="W382" s="827"/>
      <c r="X382" s="866"/>
      <c r="Z382" s="962"/>
      <c r="AB382" s="962"/>
      <c r="AD382" s="962"/>
      <c r="AF382" s="782"/>
    </row>
    <row r="383" spans="1:32">
      <c r="A383" s="4">
        <v>175</v>
      </c>
      <c r="B383" s="256"/>
      <c r="C383" s="519" t="s">
        <v>755</v>
      </c>
      <c r="D383" s="256"/>
      <c r="E383" s="513" t="s">
        <v>674</v>
      </c>
      <c r="F383" s="256"/>
      <c r="G383" s="828">
        <v>37528.185069999978</v>
      </c>
      <c r="H383" s="818"/>
      <c r="I383" s="867">
        <v>0</v>
      </c>
      <c r="J383" s="867">
        <f>G383*I383/100</f>
        <v>0</v>
      </c>
      <c r="K383" s="867"/>
      <c r="L383" s="453">
        <f>I383*K383/100</f>
        <v>0</v>
      </c>
      <c r="M383" s="453">
        <f>J383*L383/100</f>
        <v>0</v>
      </c>
      <c r="N383" s="762">
        <f>J383-L383-M383</f>
        <v>0</v>
      </c>
      <c r="O383" s="771"/>
      <c r="P383" s="453">
        <v>0</v>
      </c>
      <c r="Q383" s="453">
        <v>0</v>
      </c>
      <c r="R383" s="453">
        <v>0</v>
      </c>
      <c r="S383" s="453"/>
      <c r="T383" s="136">
        <f>N383+P383+Q383+R3670</f>
        <v>0</v>
      </c>
      <c r="U383" s="136">
        <f>T383/G383*100</f>
        <v>0</v>
      </c>
      <c r="V383" s="827">
        <f>T383-J383</f>
        <v>0</v>
      </c>
      <c r="W383" s="827"/>
      <c r="X383" s="866"/>
      <c r="Z383" s="962"/>
      <c r="AB383" s="962"/>
      <c r="AD383" s="962"/>
      <c r="AF383" s="782"/>
    </row>
    <row r="384" spans="1:32">
      <c r="A384" s="4">
        <v>176</v>
      </c>
      <c r="B384" s="256"/>
      <c r="C384" s="9" t="s">
        <v>773</v>
      </c>
      <c r="D384" s="256"/>
      <c r="E384" s="36"/>
      <c r="F384" s="256"/>
      <c r="G384" s="830">
        <f>SUM(G379:G383)</f>
        <v>135324.88782999996</v>
      </c>
      <c r="H384" s="818"/>
      <c r="I384" s="890">
        <f>J384/G384*100</f>
        <v>0.1829194433609069</v>
      </c>
      <c r="J384" s="137">
        <f>SUM(J376:J383)</f>
        <v>247.53553154740757</v>
      </c>
      <c r="K384" s="453"/>
      <c r="L384" s="137">
        <f>SUM(L376:L383)</f>
        <v>0</v>
      </c>
      <c r="M384" s="137">
        <f>SUM(M376:M383)</f>
        <v>0</v>
      </c>
      <c r="N384" s="852">
        <f>SUM(N376:N383)</f>
        <v>247.53553154740757</v>
      </c>
      <c r="O384" s="750"/>
      <c r="P384" s="807">
        <f>SUM(P376:P383)</f>
        <v>6.6748392891962034</v>
      </c>
      <c r="Q384" s="807">
        <f>SUM(Q376:Q383)</f>
        <v>0</v>
      </c>
      <c r="R384" s="807">
        <f>SUM(R376:R383)</f>
        <v>0</v>
      </c>
      <c r="S384" s="750"/>
      <c r="T384" s="808">
        <f>SUM(T376:T383)</f>
        <v>254.21037083660374</v>
      </c>
      <c r="U384" s="850">
        <f>T384/G384*100</f>
        <v>0.1878518984297641</v>
      </c>
      <c r="V384" s="842">
        <f>SUM(V376:V383)</f>
        <v>6.6748392891962034</v>
      </c>
      <c r="W384" s="804">
        <f>U384/I384-1</f>
        <v>2.6965176463637608E-2</v>
      </c>
      <c r="X384" s="769"/>
      <c r="Z384" s="938"/>
      <c r="AB384" s="938"/>
      <c r="AD384" s="938"/>
      <c r="AF384" s="949"/>
    </row>
    <row r="385" spans="1:32">
      <c r="A385" s="4"/>
      <c r="B385" s="256"/>
      <c r="C385" s="519"/>
      <c r="D385" s="256"/>
      <c r="E385" s="36"/>
      <c r="F385" s="256"/>
      <c r="G385" s="828"/>
      <c r="H385" s="818"/>
      <c r="I385" s="818"/>
      <c r="J385" s="818"/>
      <c r="K385" s="256"/>
      <c r="L385" s="762"/>
      <c r="M385" s="762"/>
      <c r="N385" s="753"/>
      <c r="O385" s="750"/>
      <c r="P385" s="750"/>
      <c r="Q385" s="762"/>
      <c r="R385" s="762"/>
      <c r="S385" s="750"/>
      <c r="T385" s="750"/>
      <c r="U385" s="750"/>
      <c r="V385" s="753"/>
      <c r="W385" s="753"/>
      <c r="X385" s="728"/>
    </row>
    <row r="386" spans="1:32">
      <c r="A386" s="4"/>
      <c r="B386" s="256"/>
      <c r="C386" s="9" t="s">
        <v>282</v>
      </c>
      <c r="D386" s="256"/>
      <c r="E386" s="36"/>
      <c r="F386" s="256"/>
      <c r="G386" s="828"/>
      <c r="H386" s="818"/>
      <c r="I386" s="818"/>
      <c r="J386" s="818"/>
      <c r="K386" s="256"/>
      <c r="L386" s="762"/>
      <c r="M386" s="762"/>
      <c r="N386" s="753"/>
      <c r="O386" s="750"/>
      <c r="P386" s="750"/>
      <c r="Q386" s="762"/>
      <c r="R386" s="762"/>
      <c r="S386" s="750"/>
      <c r="U386" s="750"/>
      <c r="V386" s="753"/>
      <c r="W386" s="753"/>
      <c r="X386" s="728"/>
    </row>
    <row r="387" spans="1:32">
      <c r="A387" s="4">
        <v>177</v>
      </c>
      <c r="B387" s="256"/>
      <c r="C387" s="519" t="s">
        <v>774</v>
      </c>
      <c r="D387" s="256"/>
      <c r="E387" s="513" t="s">
        <v>775</v>
      </c>
      <c r="F387" s="256"/>
      <c r="G387" s="828">
        <v>141504</v>
      </c>
      <c r="H387" s="818"/>
      <c r="I387" s="773">
        <v>7.8860000000000001</v>
      </c>
      <c r="J387" s="818">
        <f>G387*I387/1000</f>
        <v>1115.9005440000001</v>
      </c>
      <c r="K387" s="256"/>
      <c r="L387" s="35">
        <v>0</v>
      </c>
      <c r="M387" s="35">
        <v>0</v>
      </c>
      <c r="N387" s="753">
        <f>J387-L387-M387</f>
        <v>1115.9005440000001</v>
      </c>
      <c r="O387" s="750"/>
      <c r="P387" s="35">
        <v>30.0904550848295</v>
      </c>
      <c r="Q387" s="35">
        <v>0</v>
      </c>
      <c r="R387" s="35">
        <v>0</v>
      </c>
      <c r="S387" s="865">
        <v>0</v>
      </c>
      <c r="T387" s="750">
        <f>N387+P387+Q387+R387</f>
        <v>1145.9909990848296</v>
      </c>
      <c r="U387" s="797">
        <f>T387/G387*1000</f>
        <v>8.0986473815922491</v>
      </c>
      <c r="V387" s="753">
        <f>T387-J387</f>
        <v>30.0904550848295</v>
      </c>
      <c r="W387" s="753"/>
      <c r="X387" s="728"/>
      <c r="Z387" s="938"/>
      <c r="AB387" s="938"/>
      <c r="AD387" s="938"/>
      <c r="AF387" s="949"/>
    </row>
    <row r="388" spans="1:32">
      <c r="A388" s="4">
        <v>178</v>
      </c>
      <c r="B388" s="256"/>
      <c r="C388" s="519" t="s">
        <v>776</v>
      </c>
      <c r="D388" s="256"/>
      <c r="E388" s="513" t="s">
        <v>777</v>
      </c>
      <c r="F388" s="256"/>
      <c r="G388" s="828">
        <v>522359</v>
      </c>
      <c r="H388" s="818"/>
      <c r="I388" s="773">
        <v>0.14299999999999999</v>
      </c>
      <c r="J388" s="818">
        <f>G388*I388/1000</f>
        <v>74.697337000000005</v>
      </c>
      <c r="K388" s="256"/>
      <c r="L388" s="35">
        <v>0</v>
      </c>
      <c r="M388" s="35">
        <v>0</v>
      </c>
      <c r="N388" s="753">
        <f>J388-L388-M388</f>
        <v>74.697337000000005</v>
      </c>
      <c r="O388" s="750"/>
      <c r="P388" s="35">
        <v>2.0142268735688162</v>
      </c>
      <c r="Q388" s="35">
        <v>0</v>
      </c>
      <c r="R388" s="35">
        <v>0</v>
      </c>
      <c r="S388" s="750"/>
      <c r="T388" s="750">
        <f>N388+P388+Q388+R388</f>
        <v>76.711563873568821</v>
      </c>
      <c r="U388" s="797">
        <f>T388/G388*1000</f>
        <v>0.14685602023430022</v>
      </c>
      <c r="V388" s="753">
        <f>T388-J388</f>
        <v>2.0142268735688162</v>
      </c>
      <c r="W388" s="753"/>
      <c r="X388" s="728"/>
      <c r="Z388" s="938"/>
      <c r="AB388" s="938"/>
      <c r="AD388" s="938"/>
      <c r="AF388" s="949"/>
    </row>
    <row r="389" spans="1:32">
      <c r="A389" s="4">
        <v>179</v>
      </c>
      <c r="B389" s="256"/>
      <c r="C389" s="9" t="s">
        <v>282</v>
      </c>
      <c r="D389" s="256"/>
      <c r="E389" s="36"/>
      <c r="F389" s="256"/>
      <c r="G389" s="137">
        <f>SUM(G387:G388)</f>
        <v>663863</v>
      </c>
      <c r="H389" s="256"/>
      <c r="I389" s="965">
        <f>J389/G389*1000</f>
        <v>1.7934391297602066</v>
      </c>
      <c r="J389" s="808">
        <f>SUM(J387:J388)</f>
        <v>1190.5978810000001</v>
      </c>
      <c r="K389" s="256"/>
      <c r="L389" s="805">
        <f>SUM(L387:L388)</f>
        <v>0</v>
      </c>
      <c r="M389" s="805">
        <f>SUM(M387:M388)</f>
        <v>0</v>
      </c>
      <c r="N389" s="842">
        <f>SUM(N387:N388)</f>
        <v>1190.5978810000001</v>
      </c>
      <c r="O389" s="750"/>
      <c r="P389" s="807">
        <f>SUM(P387:P388)</f>
        <v>32.104681958398317</v>
      </c>
      <c r="Q389" s="807">
        <f>SUM(Q387:Q388)</f>
        <v>0</v>
      </c>
      <c r="R389" s="807">
        <f>SUM(R387:R388)</f>
        <v>0</v>
      </c>
      <c r="S389" s="750"/>
      <c r="T389" s="808">
        <f>SUM(T387:T388)</f>
        <v>1222.7025629583984</v>
      </c>
      <c r="U389" s="965">
        <f>T389/G389*1000</f>
        <v>1.8417995323709837</v>
      </c>
      <c r="V389" s="842">
        <f>SUM(V387:V388)</f>
        <v>32.104681958398317</v>
      </c>
      <c r="W389" s="804">
        <f>U389/I389-1</f>
        <v>2.696517646363783E-2</v>
      </c>
      <c r="X389" s="769"/>
      <c r="Z389" s="938"/>
      <c r="AB389" s="938"/>
      <c r="AD389" s="938"/>
      <c r="AF389" s="949"/>
    </row>
    <row r="390" spans="1:32">
      <c r="A390" s="4"/>
      <c r="B390" s="256"/>
      <c r="C390" s="7"/>
      <c r="D390" s="256"/>
      <c r="E390" s="36"/>
      <c r="F390" s="256"/>
      <c r="G390" s="35"/>
      <c r="H390" s="256"/>
      <c r="I390" s="792"/>
      <c r="J390" s="750"/>
      <c r="K390" s="256"/>
      <c r="L390" s="753"/>
      <c r="M390" s="753"/>
      <c r="N390" s="753"/>
      <c r="O390" s="750"/>
      <c r="P390" s="750"/>
      <c r="Q390" s="762"/>
      <c r="R390" s="762"/>
      <c r="S390" s="750"/>
      <c r="T390" s="750"/>
      <c r="U390" s="750"/>
      <c r="V390" s="753"/>
      <c r="W390" s="753"/>
      <c r="X390" s="728"/>
      <c r="Z390" s="938"/>
      <c r="AB390" s="938"/>
      <c r="AD390" s="938"/>
      <c r="AF390" s="949"/>
    </row>
    <row r="391" spans="1:32">
      <c r="A391" s="4"/>
      <c r="B391" s="256"/>
      <c r="C391" s="9" t="s">
        <v>211</v>
      </c>
      <c r="D391" s="256"/>
      <c r="E391" s="36"/>
      <c r="F391" s="256"/>
      <c r="G391" s="453"/>
      <c r="H391" s="256"/>
      <c r="I391" s="792"/>
      <c r="J391" s="750"/>
      <c r="K391" s="256"/>
      <c r="L391" s="753"/>
      <c r="M391" s="753"/>
      <c r="N391" s="753"/>
      <c r="O391" s="750"/>
      <c r="P391" s="750"/>
      <c r="Q391" s="762"/>
      <c r="R391" s="762"/>
      <c r="S391" s="750"/>
      <c r="T391" s="750"/>
      <c r="U391" s="750"/>
      <c r="V391" s="753"/>
      <c r="W391" s="753"/>
      <c r="X391" s="728"/>
      <c r="Z391" s="938"/>
      <c r="AB391" s="938"/>
      <c r="AD391" s="938"/>
      <c r="AF391" s="949"/>
    </row>
    <row r="392" spans="1:32">
      <c r="A392" s="4">
        <v>180</v>
      </c>
      <c r="C392" s="9" t="s">
        <v>754</v>
      </c>
      <c r="E392" s="513" t="s">
        <v>674</v>
      </c>
      <c r="G392" s="828">
        <v>5777.0110000000004</v>
      </c>
      <c r="I392" s="861">
        <v>0.20849999999999999</v>
      </c>
      <c r="J392" s="752">
        <f>G392*I392/100</f>
        <v>12.045067934999999</v>
      </c>
      <c r="L392" s="35">
        <v>0</v>
      </c>
      <c r="M392" s="35">
        <v>0</v>
      </c>
      <c r="N392" s="753">
        <f>J392-L392-M392</f>
        <v>12.045067934999999</v>
      </c>
      <c r="O392" s="68"/>
      <c r="P392" s="35">
        <v>0.32479738238377998</v>
      </c>
      <c r="Q392" s="35">
        <v>0</v>
      </c>
      <c r="R392" s="35">
        <v>0</v>
      </c>
      <c r="S392" s="752"/>
      <c r="T392" s="752">
        <f>N392+P392+Q392+R392</f>
        <v>12.369865317383779</v>
      </c>
      <c r="U392" s="862">
        <f>T392/G392*100</f>
        <v>0.21412223929266841</v>
      </c>
      <c r="V392" s="753">
        <f>T392-J392</f>
        <v>0.32479738238377998</v>
      </c>
      <c r="W392" s="753"/>
      <c r="X392" s="728"/>
      <c r="Z392" s="938"/>
      <c r="AB392" s="938"/>
      <c r="AD392" s="938"/>
      <c r="AF392" s="949"/>
    </row>
    <row r="393" spans="1:32">
      <c r="A393" s="4">
        <v>181</v>
      </c>
      <c r="B393" s="256"/>
      <c r="C393" s="9" t="s">
        <v>755</v>
      </c>
      <c r="D393" s="256"/>
      <c r="E393" s="513" t="s">
        <v>674</v>
      </c>
      <c r="F393" s="256"/>
      <c r="G393" s="828">
        <v>9854.0479600000017</v>
      </c>
      <c r="H393" s="256"/>
      <c r="I393" s="861">
        <v>0.20849999999999999</v>
      </c>
      <c r="J393" s="752">
        <f>G393*I393/100</f>
        <v>20.545689996600004</v>
      </c>
      <c r="K393" s="256"/>
      <c r="L393" s="35">
        <v>0</v>
      </c>
      <c r="M393" s="35">
        <v>0</v>
      </c>
      <c r="N393" s="753">
        <f>J393-L393-M393</f>
        <v>20.545689996600004</v>
      </c>
      <c r="O393" s="771"/>
      <c r="P393" s="35">
        <v>0.55401815632551887</v>
      </c>
      <c r="Q393" s="35">
        <v>0</v>
      </c>
      <c r="R393" s="35">
        <v>0</v>
      </c>
      <c r="S393" s="750"/>
      <c r="T393" s="752">
        <f>N393+P393+Q393+R393</f>
        <v>21.099708152925523</v>
      </c>
      <c r="U393" s="862">
        <f>T393/G393*100</f>
        <v>0.21412223929266849</v>
      </c>
      <c r="V393" s="753">
        <f>T393-J393</f>
        <v>0.55401815632551887</v>
      </c>
      <c r="W393" s="753"/>
      <c r="X393" s="728"/>
      <c r="Z393" s="938"/>
      <c r="AB393" s="938"/>
      <c r="AD393" s="938"/>
      <c r="AF393" s="949"/>
    </row>
    <row r="394" spans="1:32">
      <c r="A394" s="4">
        <v>182</v>
      </c>
      <c r="B394" s="256"/>
      <c r="C394" s="9" t="s">
        <v>211</v>
      </c>
      <c r="D394" s="256"/>
      <c r="E394" s="513"/>
      <c r="F394" s="256"/>
      <c r="G394" s="420">
        <f>SUM(G392:G393)</f>
        <v>15631.058960000002</v>
      </c>
      <c r="H394" s="256"/>
      <c r="I394" s="806">
        <f>J394/G394*100</f>
        <v>0.20850000000000002</v>
      </c>
      <c r="J394" s="808">
        <f>SUM(J392:J393)</f>
        <v>32.590757931600002</v>
      </c>
      <c r="K394" s="256"/>
      <c r="L394" s="805">
        <f>SUM(L392:L393)</f>
        <v>0</v>
      </c>
      <c r="M394" s="805">
        <f>SUM(M392:M393)</f>
        <v>0</v>
      </c>
      <c r="N394" s="808">
        <f>SUM(N392:N393)</f>
        <v>32.590757931600002</v>
      </c>
      <c r="O394" s="771"/>
      <c r="P394" s="807">
        <f>SUM(P392:P393)</f>
        <v>0.87881553870929885</v>
      </c>
      <c r="Q394" s="807">
        <f>SUM(Q392:Q393)</f>
        <v>0</v>
      </c>
      <c r="R394" s="807">
        <f>SUM(R392:R393)</f>
        <v>0</v>
      </c>
      <c r="S394" s="750"/>
      <c r="T394" s="808">
        <f>SUM(T392:T393)</f>
        <v>33.4695734703093</v>
      </c>
      <c r="U394" s="850">
        <f>T394/G394*100</f>
        <v>0.21412223929266846</v>
      </c>
      <c r="V394" s="842">
        <f>SUM(V392:V393)</f>
        <v>0.87881553870929885</v>
      </c>
      <c r="W394" s="804">
        <f>U394/I394-1</f>
        <v>2.6965176463637608E-2</v>
      </c>
      <c r="X394" s="769"/>
      <c r="Z394" s="938"/>
      <c r="AB394" s="938"/>
      <c r="AD394" s="938"/>
      <c r="AF394" s="949"/>
    </row>
    <row r="395" spans="1:32">
      <c r="A395" s="4"/>
      <c r="B395" s="256"/>
      <c r="C395" s="7"/>
      <c r="D395" s="256"/>
      <c r="E395" s="36"/>
      <c r="F395" s="256"/>
      <c r="G395" s="35"/>
      <c r="H395" s="256"/>
      <c r="I395" s="792"/>
      <c r="J395" s="750"/>
      <c r="K395" s="256"/>
      <c r="L395" s="753"/>
      <c r="M395" s="753"/>
      <c r="N395" s="753"/>
      <c r="O395" s="750"/>
      <c r="P395" s="750"/>
      <c r="Q395" s="762"/>
      <c r="R395" s="762"/>
      <c r="S395" s="750"/>
      <c r="T395" s="750"/>
      <c r="U395" s="750"/>
      <c r="V395" s="753"/>
      <c r="W395" s="753"/>
      <c r="X395" s="728"/>
      <c r="Z395" s="938"/>
      <c r="AB395" s="938"/>
      <c r="AD395" s="938"/>
      <c r="AF395" s="949"/>
    </row>
    <row r="396" spans="1:32" ht="13.5" thickBot="1">
      <c r="A396" s="4">
        <v>183</v>
      </c>
      <c r="B396" s="256"/>
      <c r="C396" s="9" t="s">
        <v>474</v>
      </c>
      <c r="D396" s="256"/>
      <c r="E396" s="36"/>
      <c r="F396" s="256"/>
      <c r="G396" s="458">
        <f>G368</f>
        <v>929101.10525000002</v>
      </c>
      <c r="H396" s="256"/>
      <c r="I396" s="803">
        <f>J396/G396*100</f>
        <v>3.3183404734130164</v>
      </c>
      <c r="J396" s="756">
        <f>J373+J384+J389+J394</f>
        <v>30830.738014438422</v>
      </c>
      <c r="K396" s="750"/>
      <c r="L396" s="458">
        <f>L373+L384+L389+L394</f>
        <v>1925.7154706035999</v>
      </c>
      <c r="M396" s="458">
        <f>M373+M384+M389+M394</f>
        <v>196.90344974972743</v>
      </c>
      <c r="N396" s="756">
        <f>N373+N384+N389+N394</f>
        <v>28708.119094085094</v>
      </c>
      <c r="O396" s="750"/>
      <c r="P396" s="458">
        <f>P373+P384+P389+P394</f>
        <v>774.11949731113589</v>
      </c>
      <c r="Q396" s="458">
        <f>Q373+Q384+Q389+Q394</f>
        <v>1314.4475566860162</v>
      </c>
      <c r="R396" s="458">
        <f>R373+R384+R389+R394</f>
        <v>191.4450208799899</v>
      </c>
      <c r="S396" s="750"/>
      <c r="T396" s="756">
        <f>T373+T384+T389+T394</f>
        <v>30988.131168962234</v>
      </c>
      <c r="U396" s="845">
        <f>T396/G396*100</f>
        <v>3.3352808422958478</v>
      </c>
      <c r="V396" s="839">
        <f>T396-J396</f>
        <v>157.39315452381197</v>
      </c>
      <c r="W396" s="798">
        <f>U396/I396-1</f>
        <v>5.1050725561647692E-3</v>
      </c>
      <c r="X396" s="769"/>
      <c r="Z396" s="938"/>
      <c r="AB396" s="938"/>
      <c r="AD396" s="938"/>
      <c r="AF396" s="949"/>
    </row>
    <row r="397" spans="1:32" ht="13.5" thickTop="1">
      <c r="A397" s="4"/>
      <c r="E397" s="36"/>
      <c r="G397" s="35"/>
      <c r="J397" s="752"/>
      <c r="L397" s="504"/>
      <c r="M397" s="504"/>
      <c r="N397" s="504"/>
      <c r="Q397" s="504"/>
      <c r="R397" s="504"/>
      <c r="V397" s="753"/>
      <c r="W397" s="504"/>
    </row>
    <row r="398" spans="1:32">
      <c r="A398" s="4"/>
      <c r="B398" s="256"/>
      <c r="C398" s="6" t="s">
        <v>176</v>
      </c>
      <c r="D398" s="256"/>
      <c r="E398" s="742"/>
      <c r="F398" s="256"/>
      <c r="G398" s="35"/>
      <c r="H398" s="256"/>
      <c r="I398" s="256"/>
      <c r="J398" s="256"/>
      <c r="K398" s="256"/>
      <c r="L398" s="504"/>
      <c r="M398" s="504"/>
      <c r="N398" s="504"/>
      <c r="O398" s="256"/>
      <c r="P398" s="256"/>
      <c r="Q398" s="504"/>
      <c r="R398" s="504"/>
      <c r="S398" s="256"/>
      <c r="T398" s="256"/>
      <c r="U398" s="256"/>
      <c r="V398" s="753"/>
      <c r="W398" s="504"/>
    </row>
    <row r="399" spans="1:32">
      <c r="A399" s="4">
        <v>184</v>
      </c>
      <c r="B399" s="256"/>
      <c r="C399" s="9" t="s">
        <v>200</v>
      </c>
      <c r="D399" s="256"/>
      <c r="E399" s="742" t="s">
        <v>704</v>
      </c>
      <c r="F399" s="256"/>
      <c r="G399" s="35">
        <v>863.99999999999602</v>
      </c>
      <c r="H399" s="256"/>
      <c r="I399" s="778">
        <v>368.56</v>
      </c>
      <c r="J399" s="750">
        <f>G399*I399/1000</f>
        <v>318.43583999999851</v>
      </c>
      <c r="K399" s="256"/>
      <c r="L399" s="35">
        <v>0</v>
      </c>
      <c r="M399" s="35">
        <v>0</v>
      </c>
      <c r="N399" s="762">
        <f>J399-L399-M399</f>
        <v>318.43583999999851</v>
      </c>
      <c r="O399" s="771"/>
      <c r="P399" s="35">
        <v>8.5866786179466885</v>
      </c>
      <c r="Q399" s="35">
        <v>0</v>
      </c>
      <c r="R399" s="35">
        <v>0</v>
      </c>
      <c r="S399" s="750"/>
      <c r="T399" s="750">
        <f>N399+P399+Q399+R399</f>
        <v>327.0225186179452</v>
      </c>
      <c r="U399" s="811">
        <f>T399/G399*1000</f>
        <v>378.49828543743831</v>
      </c>
      <c r="V399" s="753">
        <f>T399-J399</f>
        <v>8.5866786179466885</v>
      </c>
      <c r="W399" s="770">
        <f>U399/I399-1</f>
        <v>2.6965176463637608E-2</v>
      </c>
      <c r="X399" s="769"/>
      <c r="Z399" s="938"/>
      <c r="AB399" s="938"/>
      <c r="AD399" s="938"/>
      <c r="AF399" s="954"/>
    </row>
    <row r="400" spans="1:32">
      <c r="A400" s="4">
        <v>185</v>
      </c>
      <c r="B400" s="256"/>
      <c r="C400" s="9" t="s">
        <v>289</v>
      </c>
      <c r="D400" s="256"/>
      <c r="E400" s="513" t="s">
        <v>674</v>
      </c>
      <c r="F400" s="256"/>
      <c r="G400" s="35">
        <v>126830.75640999997</v>
      </c>
      <c r="H400" s="256"/>
      <c r="I400" s="861">
        <v>3.2197027215464296</v>
      </c>
      <c r="J400" s="750">
        <f>G400*I400/100</f>
        <v>4083.5733158906914</v>
      </c>
      <c r="K400" s="256"/>
      <c r="L400" s="35">
        <v>36.654088602489992</v>
      </c>
      <c r="M400" s="762"/>
      <c r="N400" s="762">
        <f>J400-L400-M400</f>
        <v>4046.9192272882015</v>
      </c>
      <c r="O400" s="771"/>
      <c r="P400" s="35">
        <v>109.12589109791497</v>
      </c>
      <c r="Q400" s="35">
        <v>72.0634063970911</v>
      </c>
      <c r="R400" s="35">
        <v>0</v>
      </c>
      <c r="S400" s="750"/>
      <c r="T400" s="750">
        <f>N400+P400+Q400+R400</f>
        <v>4228.1085247832079</v>
      </c>
      <c r="U400" s="848">
        <f>T400/G400*100</f>
        <v>3.3336618376028566</v>
      </c>
      <c r="V400" s="753">
        <f>T400-J400</f>
        <v>144.53520889251649</v>
      </c>
      <c r="W400" s="770">
        <f>U400/I400-1</f>
        <v>3.5394297521260665E-2</v>
      </c>
      <c r="X400" s="769"/>
      <c r="Z400" s="938"/>
      <c r="AB400" s="938"/>
      <c r="AD400" s="938"/>
      <c r="AF400" s="949"/>
    </row>
    <row r="401" spans="1:32">
      <c r="A401" s="4">
        <v>186</v>
      </c>
      <c r="B401" s="256"/>
      <c r="C401" s="9" t="s">
        <v>778</v>
      </c>
      <c r="D401" s="256"/>
      <c r="E401" s="513" t="s">
        <v>674</v>
      </c>
      <c r="F401" s="256"/>
      <c r="G401" s="35">
        <v>12203.927079999999</v>
      </c>
      <c r="H401" s="256"/>
      <c r="I401" s="861">
        <v>3.4615432355431701</v>
      </c>
      <c r="J401" s="750">
        <f>G401*I401/100</f>
        <v>422.4442123083611</v>
      </c>
      <c r="K401" s="256"/>
      <c r="L401" s="35">
        <v>3.5269349261199996</v>
      </c>
      <c r="M401" s="762"/>
      <c r="N401" s="762">
        <f>J401-L401-M401</f>
        <v>418.91727738224108</v>
      </c>
      <c r="O401" s="771"/>
      <c r="P401" s="35">
        <v>11.296178308278854</v>
      </c>
      <c r="Q401" s="35">
        <v>6.9340953385433295</v>
      </c>
      <c r="R401" s="35">
        <v>0</v>
      </c>
      <c r="S401" s="750"/>
      <c r="T401" s="750">
        <f>N401+P401+Q401+R401</f>
        <v>437.14755102906327</v>
      </c>
      <c r="U401" s="848">
        <f>T401/G401*100</f>
        <v>3.582023623735576</v>
      </c>
      <c r="V401" s="753">
        <f>T401-J401</f>
        <v>14.703338720702163</v>
      </c>
      <c r="W401" s="770">
        <f>U401/I401-1</f>
        <v>3.4805397475701438E-2</v>
      </c>
      <c r="X401" s="769"/>
      <c r="Z401" s="938"/>
      <c r="AB401" s="938"/>
      <c r="AD401" s="938"/>
      <c r="AF401" s="949"/>
    </row>
    <row r="402" spans="1:32">
      <c r="A402" s="4">
        <v>187</v>
      </c>
      <c r="B402" s="256"/>
      <c r="C402" s="9" t="s">
        <v>770</v>
      </c>
      <c r="D402" s="256"/>
      <c r="E402" s="742" t="s">
        <v>704</v>
      </c>
      <c r="F402" s="256"/>
      <c r="G402" s="35">
        <v>167.99999999999986</v>
      </c>
      <c r="H402" s="256"/>
      <c r="I402" s="778">
        <v>248.07</v>
      </c>
      <c r="J402" s="750">
        <f>G402*I402/1000</f>
        <v>41.675759999999968</v>
      </c>
      <c r="K402" s="256"/>
      <c r="L402" s="35">
        <v>0</v>
      </c>
      <c r="M402" s="35">
        <v>0</v>
      </c>
      <c r="N402" s="762">
        <f>J402-L402-M402</f>
        <v>41.675759999999968</v>
      </c>
      <c r="O402" s="771"/>
      <c r="P402" s="35">
        <v>1.1237942226562154</v>
      </c>
      <c r="Q402" s="35">
        <v>0</v>
      </c>
      <c r="R402" s="35">
        <v>0</v>
      </c>
      <c r="S402" s="750"/>
      <c r="T402" s="750">
        <f>N402+P402+Q402+R402</f>
        <v>42.799554222656184</v>
      </c>
      <c r="U402" s="811">
        <f>T402/G402*1000</f>
        <v>254.75925132533467</v>
      </c>
      <c r="V402" s="753">
        <f>T402-J402</f>
        <v>1.1237942226562154</v>
      </c>
      <c r="W402" s="770"/>
      <c r="X402" s="769"/>
      <c r="Z402" s="938"/>
      <c r="AB402" s="938"/>
      <c r="AD402" s="938"/>
      <c r="AF402" s="954"/>
    </row>
    <row r="403" spans="1:32">
      <c r="A403" s="4">
        <v>188</v>
      </c>
      <c r="B403" s="256"/>
      <c r="C403" s="9" t="s">
        <v>779</v>
      </c>
      <c r="D403" s="256"/>
      <c r="E403" s="36"/>
      <c r="F403" s="256"/>
      <c r="G403" s="137">
        <f>SUM(G399:G402)</f>
        <v>140066.68348999997</v>
      </c>
      <c r="H403" s="256"/>
      <c r="I403" s="806">
        <f>J403/G403*100</f>
        <v>3.4741517446912824</v>
      </c>
      <c r="J403" s="808">
        <f>SUM(J399:J402)</f>
        <v>4866.1291281990507</v>
      </c>
      <c r="K403" s="256"/>
      <c r="L403" s="805">
        <f>SUM(L399:L402)</f>
        <v>40.181023528609991</v>
      </c>
      <c r="M403" s="805">
        <f>SUM(M399:M402)</f>
        <v>0</v>
      </c>
      <c r="N403" s="805">
        <f>SUM(N399:N402)</f>
        <v>4825.9481046704414</v>
      </c>
      <c r="O403" s="771"/>
      <c r="P403" s="807">
        <f>SUM(P399:P402)</f>
        <v>130.13254224679673</v>
      </c>
      <c r="Q403" s="807">
        <f>SUM(Q399:Q402)</f>
        <v>78.99750173563443</v>
      </c>
      <c r="R403" s="807">
        <f>SUM(R399:R402)</f>
        <v>0</v>
      </c>
      <c r="S403" s="750"/>
      <c r="T403" s="808">
        <f>SUM(T399:T402)</f>
        <v>5035.0781486528722</v>
      </c>
      <c r="U403" s="850">
        <f>T403/G403*100</f>
        <v>3.5947721636547145</v>
      </c>
      <c r="V403" s="842">
        <f>SUM(V399:V402)</f>
        <v>168.94902045382156</v>
      </c>
      <c r="W403" s="804">
        <f>U403/I403-1</f>
        <v>3.4719387012311032E-2</v>
      </c>
      <c r="X403" s="769"/>
      <c r="Z403" s="938"/>
      <c r="AB403" s="938"/>
      <c r="AD403" s="938"/>
      <c r="AF403" s="949"/>
    </row>
    <row r="404" spans="1:32">
      <c r="A404" s="4"/>
      <c r="G404" s="135"/>
      <c r="I404" s="793"/>
      <c r="J404" s="752"/>
      <c r="L404" s="762"/>
      <c r="M404" s="762"/>
      <c r="N404" s="762"/>
      <c r="O404" s="68"/>
      <c r="P404" s="68"/>
      <c r="Q404" s="762"/>
      <c r="R404" s="762"/>
      <c r="S404" s="752"/>
      <c r="T404" s="752"/>
      <c r="U404" s="752"/>
      <c r="V404" s="753"/>
      <c r="W404" s="753"/>
      <c r="X404" s="728"/>
      <c r="Z404" s="938"/>
      <c r="AB404" s="938"/>
      <c r="AD404" s="938"/>
      <c r="AF404" s="949"/>
    </row>
    <row r="405" spans="1:32">
      <c r="A405" s="4">
        <v>189</v>
      </c>
      <c r="B405" s="256"/>
      <c r="C405" s="9" t="s">
        <v>266</v>
      </c>
      <c r="D405" s="256"/>
      <c r="E405" s="513" t="s">
        <v>674</v>
      </c>
      <c r="F405" s="256"/>
      <c r="G405" s="35">
        <v>5702.7569299999996</v>
      </c>
      <c r="H405" s="256"/>
      <c r="I405" s="897">
        <v>-0.23058294964126358</v>
      </c>
      <c r="J405" s="896">
        <f>G405*I405/100</f>
        <v>-13.149585140065566</v>
      </c>
      <c r="K405" s="256"/>
      <c r="L405" s="35">
        <v>0</v>
      </c>
      <c r="M405" s="35">
        <v>0</v>
      </c>
      <c r="N405" s="762">
        <f>J405-L405-M405</f>
        <v>-13.149585140065566</v>
      </c>
      <c r="O405" s="771"/>
      <c r="P405" s="771">
        <v>-0.35458088372549845</v>
      </c>
      <c r="Q405" s="35">
        <v>0</v>
      </c>
      <c r="R405" s="35">
        <v>0</v>
      </c>
      <c r="S405" s="750"/>
      <c r="T405" s="896">
        <f>N405+P405+Q405+R405</f>
        <v>-13.504166023791065</v>
      </c>
      <c r="U405" s="821">
        <f>T405/G405*100</f>
        <v>-0.23680065956784632</v>
      </c>
      <c r="V405" s="847">
        <f>T405-J405</f>
        <v>-0.35458088372549845</v>
      </c>
      <c r="W405" s="785">
        <f>U405/I405-1</f>
        <v>2.6965176463637608E-2</v>
      </c>
      <c r="X405" s="785"/>
      <c r="Z405" s="964"/>
      <c r="AB405" s="964"/>
      <c r="AD405" s="964"/>
      <c r="AF405" s="949"/>
    </row>
    <row r="406" spans="1:32">
      <c r="A406" s="4"/>
      <c r="B406" s="256"/>
      <c r="D406" s="256"/>
      <c r="E406" s="36"/>
      <c r="F406" s="256"/>
      <c r="G406" s="35"/>
      <c r="H406" s="256"/>
      <c r="I406" s="792"/>
      <c r="J406" s="750"/>
      <c r="K406" s="256"/>
      <c r="L406" s="762"/>
      <c r="M406" s="762"/>
      <c r="N406" s="762"/>
      <c r="O406" s="771"/>
      <c r="P406" s="771"/>
      <c r="Q406" s="762"/>
      <c r="R406" s="762"/>
      <c r="S406" s="750"/>
      <c r="T406" s="750"/>
      <c r="U406" s="750"/>
      <c r="V406" s="753"/>
      <c r="W406" s="753"/>
      <c r="X406" s="728"/>
      <c r="Z406" s="938"/>
      <c r="AB406" s="938"/>
      <c r="AD406" s="938"/>
      <c r="AF406" s="949"/>
    </row>
    <row r="407" spans="1:32">
      <c r="A407" s="4"/>
      <c r="B407" s="256"/>
      <c r="C407" s="9" t="s">
        <v>211</v>
      </c>
      <c r="D407" s="256"/>
      <c r="E407" s="36"/>
      <c r="F407" s="256"/>
      <c r="G407" s="35"/>
      <c r="H407" s="256"/>
      <c r="I407" s="792"/>
      <c r="J407" s="750"/>
      <c r="K407" s="256"/>
      <c r="L407" s="762"/>
      <c r="M407" s="762"/>
      <c r="N407" s="762"/>
      <c r="O407" s="771"/>
      <c r="P407" s="771"/>
      <c r="Q407" s="762"/>
      <c r="R407" s="762"/>
      <c r="S407" s="750"/>
      <c r="T407" s="750"/>
      <c r="U407" s="750"/>
      <c r="V407" s="753"/>
      <c r="W407" s="753"/>
      <c r="X407" s="728"/>
      <c r="Z407" s="938"/>
      <c r="AB407" s="938"/>
      <c r="AD407" s="938"/>
      <c r="AF407" s="949"/>
    </row>
    <row r="408" spans="1:32">
      <c r="A408" s="4">
        <v>190</v>
      </c>
      <c r="B408" s="256"/>
      <c r="C408" s="9" t="s">
        <v>780</v>
      </c>
      <c r="D408" s="256"/>
      <c r="E408" s="513" t="s">
        <v>674</v>
      </c>
      <c r="F408" s="256"/>
      <c r="G408" s="35">
        <v>5109.6999900000001</v>
      </c>
      <c r="H408" s="256"/>
      <c r="I408" s="861">
        <v>0.20849999999999999</v>
      </c>
      <c r="J408" s="750">
        <f>G408*I408/100</f>
        <v>10.65372447915</v>
      </c>
      <c r="K408" s="256"/>
      <c r="L408" s="35">
        <v>0</v>
      </c>
      <c r="M408" s="35">
        <v>0</v>
      </c>
      <c r="N408" s="762">
        <f>J408-L408-M408</f>
        <v>10.65372447915</v>
      </c>
      <c r="O408" s="771"/>
      <c r="P408" s="35">
        <v>0.28727956057525716</v>
      </c>
      <c r="Q408" s="35">
        <v>0</v>
      </c>
      <c r="R408" s="35">
        <v>0</v>
      </c>
      <c r="S408" s="750"/>
      <c r="T408" s="750">
        <f>N408+P408+Q408+R408</f>
        <v>10.941004039725257</v>
      </c>
      <c r="U408" s="848">
        <f>T408/G408*100</f>
        <v>0.21412223929266846</v>
      </c>
      <c r="V408" s="753">
        <f>T408-J408</f>
        <v>0.28727956057525716</v>
      </c>
      <c r="W408" s="753"/>
      <c r="X408" s="728"/>
      <c r="Z408" s="938"/>
      <c r="AB408" s="938"/>
      <c r="AD408" s="938"/>
      <c r="AF408" s="949"/>
    </row>
    <row r="409" spans="1:32">
      <c r="A409" s="4">
        <v>191</v>
      </c>
      <c r="B409" s="256"/>
      <c r="C409" s="9" t="s">
        <v>781</v>
      </c>
      <c r="D409" s="256"/>
      <c r="E409" s="513" t="s">
        <v>674</v>
      </c>
      <c r="F409" s="256"/>
      <c r="G409" s="35">
        <v>593.05693999999994</v>
      </c>
      <c r="H409" s="256"/>
      <c r="I409" s="861">
        <v>0.20849999999999999</v>
      </c>
      <c r="J409" s="750">
        <f>G409*I409/100</f>
        <v>1.2365237198999999</v>
      </c>
      <c r="K409" s="256"/>
      <c r="L409" s="35">
        <v>0</v>
      </c>
      <c r="M409" s="35">
        <v>0</v>
      </c>
      <c r="N409" s="762">
        <f>J409-L409-M409</f>
        <v>1.2365237198999999</v>
      </c>
      <c r="O409" s="771"/>
      <c r="P409" s="35">
        <v>3.3343080308577466E-2</v>
      </c>
      <c r="Q409" s="35">
        <v>0</v>
      </c>
      <c r="R409" s="35">
        <v>0</v>
      </c>
      <c r="S409" s="750"/>
      <c r="T409" s="750">
        <f>N409+P409+Q409+R409</f>
        <v>1.2698668002085773</v>
      </c>
      <c r="U409" s="848">
        <f>T409/G409*100</f>
        <v>0.21412223929266849</v>
      </c>
      <c r="V409" s="753">
        <f>T409-J409</f>
        <v>3.3343080308577466E-2</v>
      </c>
      <c r="W409" s="753"/>
      <c r="X409" s="728"/>
      <c r="Z409" s="938"/>
      <c r="AB409" s="938"/>
      <c r="AD409" s="938"/>
      <c r="AF409" s="949"/>
    </row>
    <row r="410" spans="1:32">
      <c r="A410" s="4">
        <v>192</v>
      </c>
      <c r="B410" s="256"/>
      <c r="C410" s="9" t="s">
        <v>211</v>
      </c>
      <c r="D410" s="256"/>
      <c r="E410" s="36"/>
      <c r="F410" s="256"/>
      <c r="G410" s="137">
        <f>SUM(G408:G409)</f>
        <v>5702.7569299999996</v>
      </c>
      <c r="H410" s="256"/>
      <c r="I410" s="806">
        <f>J410/G410*100</f>
        <v>0.20850000000000002</v>
      </c>
      <c r="J410" s="808">
        <f>SUM(J408:J409)</f>
        <v>11.890248199049999</v>
      </c>
      <c r="K410" s="256"/>
      <c r="L410" s="805">
        <f>SUM(L408:L409)</f>
        <v>0</v>
      </c>
      <c r="M410" s="805">
        <f>SUM(M408:M409)</f>
        <v>0</v>
      </c>
      <c r="N410" s="805">
        <f>SUM(N408:N409)</f>
        <v>11.890248199049999</v>
      </c>
      <c r="O410" s="771"/>
      <c r="P410" s="807">
        <f>SUM(P408:P409)</f>
        <v>0.32062264088383463</v>
      </c>
      <c r="Q410" s="807">
        <f>SUM(Q408:Q409)</f>
        <v>0</v>
      </c>
      <c r="R410" s="807">
        <f>SUM(R408:R409)</f>
        <v>0</v>
      </c>
      <c r="S410" s="750"/>
      <c r="T410" s="808">
        <f>SUM(T408:T409)</f>
        <v>12.210870839933834</v>
      </c>
      <c r="U410" s="850">
        <f>T410/G410*100</f>
        <v>0.21412223929266849</v>
      </c>
      <c r="V410" s="842">
        <f>SUM(V408:V409)</f>
        <v>0.32062264088383463</v>
      </c>
      <c r="W410" s="804">
        <f>U410/I410-1</f>
        <v>2.696517646363783E-2</v>
      </c>
      <c r="X410" s="769"/>
      <c r="Z410" s="938"/>
      <c r="AB410" s="938"/>
      <c r="AD410" s="938"/>
      <c r="AF410" s="949"/>
    </row>
    <row r="411" spans="1:32">
      <c r="A411" s="4"/>
      <c r="B411" s="256"/>
      <c r="D411" s="256"/>
      <c r="E411" s="742"/>
      <c r="F411" s="256"/>
      <c r="G411" s="453"/>
      <c r="H411" s="256"/>
      <c r="I411" s="792"/>
      <c r="J411" s="256"/>
      <c r="K411" s="256"/>
      <c r="L411" s="762"/>
      <c r="M411" s="762"/>
      <c r="N411" s="762"/>
      <c r="O411" s="771"/>
      <c r="P411" s="771"/>
      <c r="Q411" s="762"/>
      <c r="R411" s="762"/>
      <c r="S411" s="750"/>
      <c r="T411" s="750"/>
      <c r="U411" s="750"/>
      <c r="V411" s="753"/>
      <c r="W411" s="753"/>
      <c r="X411" s="728"/>
      <c r="Z411" s="938"/>
      <c r="AB411" s="938"/>
      <c r="AD411" s="938"/>
    </row>
    <row r="412" spans="1:32" ht="13.5" thickBot="1">
      <c r="A412" s="4">
        <v>193</v>
      </c>
      <c r="B412" s="256"/>
      <c r="C412" s="9" t="s">
        <v>290</v>
      </c>
      <c r="D412" s="256"/>
      <c r="E412" s="134"/>
      <c r="F412" s="256"/>
      <c r="G412" s="458">
        <f>G400</f>
        <v>126830.75640999997</v>
      </c>
      <c r="H412" s="256"/>
      <c r="I412" s="803">
        <f>J412/G412*100</f>
        <v>3.8357177146618864</v>
      </c>
      <c r="J412" s="756">
        <f>J403+J405+J408+J409</f>
        <v>4864.8697912580346</v>
      </c>
      <c r="K412" s="750"/>
      <c r="L412" s="781">
        <f>L403+L405+L408+L409</f>
        <v>40.181023528609991</v>
      </c>
      <c r="M412" s="781">
        <f>M403+M405+M408+M409</f>
        <v>0</v>
      </c>
      <c r="N412" s="781">
        <f>N403+N405+N408+N409</f>
        <v>4824.6887677294253</v>
      </c>
      <c r="O412" s="771"/>
      <c r="P412" s="781">
        <f>P403+P405+P408+P409</f>
        <v>130.09858400395507</v>
      </c>
      <c r="Q412" s="781">
        <f>Q403+Q405+Q408+Q409</f>
        <v>78.99750173563443</v>
      </c>
      <c r="R412" s="781">
        <f>R403+R405+R408+R409</f>
        <v>0</v>
      </c>
      <c r="S412" s="750"/>
      <c r="T412" s="756">
        <f>T403+T405+T408+T409</f>
        <v>5033.7848534690147</v>
      </c>
      <c r="U412" s="845">
        <f>T412/G412*100</f>
        <v>3.9688991818329376</v>
      </c>
      <c r="V412" s="756">
        <f>V403+V405+V408+V409</f>
        <v>168.9150622109799</v>
      </c>
      <c r="W412" s="780">
        <f>U412/I412-1</f>
        <v>3.4721394293946606E-2</v>
      </c>
      <c r="X412" s="779"/>
      <c r="Z412" s="938"/>
      <c r="AB412" s="938"/>
      <c r="AD412" s="938"/>
      <c r="AF412" s="949"/>
    </row>
    <row r="413" spans="1:32" ht="13.5" thickTop="1">
      <c r="A413" s="4"/>
      <c r="B413" s="256"/>
      <c r="C413" s="7"/>
      <c r="D413" s="256"/>
      <c r="E413" s="134"/>
      <c r="F413" s="256"/>
      <c r="G413" s="453"/>
      <c r="H413" s="256"/>
      <c r="I413" s="792"/>
      <c r="J413" s="750"/>
      <c r="K413" s="750"/>
      <c r="L413" s="771"/>
      <c r="M413" s="771"/>
      <c r="N413" s="771"/>
      <c r="O413" s="771"/>
      <c r="P413" s="771"/>
      <c r="Q413" s="771"/>
      <c r="R413" s="771"/>
      <c r="S413" s="750"/>
      <c r="T413" s="750"/>
      <c r="U413" s="848"/>
      <c r="V413" s="750"/>
      <c r="W413" s="779"/>
      <c r="X413" s="779"/>
      <c r="Z413" s="938"/>
      <c r="AB413" s="938"/>
      <c r="AD413" s="938"/>
      <c r="AF413" s="949"/>
    </row>
    <row r="414" spans="1:32">
      <c r="A414" s="4"/>
      <c r="B414" s="256"/>
      <c r="C414" s="7"/>
      <c r="D414" s="256"/>
      <c r="E414" s="134"/>
      <c r="F414" s="256"/>
      <c r="G414" s="453"/>
      <c r="H414" s="256"/>
      <c r="I414" s="792"/>
      <c r="J414" s="750"/>
      <c r="K414" s="750"/>
      <c r="L414" s="771"/>
      <c r="M414" s="771"/>
      <c r="N414" s="771"/>
      <c r="O414" s="771"/>
      <c r="P414" s="771"/>
      <c r="Q414" s="771"/>
      <c r="R414" s="771"/>
      <c r="S414" s="750"/>
      <c r="T414" s="750"/>
      <c r="U414" s="848"/>
      <c r="V414" s="750"/>
      <c r="W414" s="779"/>
      <c r="X414" s="779"/>
      <c r="Z414" s="938"/>
      <c r="AB414" s="938"/>
      <c r="AD414" s="938"/>
      <c r="AF414" s="949"/>
    </row>
    <row r="415" spans="1:32">
      <c r="L415" s="2"/>
      <c r="M415" s="2"/>
      <c r="N415" s="504"/>
      <c r="Q415" s="504"/>
      <c r="R415" s="504"/>
      <c r="V415" s="753"/>
      <c r="W415" s="504"/>
      <c r="Z415" s="938"/>
      <c r="AB415" s="938"/>
      <c r="AD415" s="938"/>
      <c r="AF415" s="949"/>
    </row>
    <row r="416" spans="1:32">
      <c r="L416" s="2"/>
      <c r="M416" s="2"/>
      <c r="N416" s="504"/>
      <c r="Q416" s="504"/>
      <c r="R416" s="504"/>
      <c r="V416" s="753"/>
      <c r="W416" s="504"/>
      <c r="Z416" s="938"/>
      <c r="AB416" s="938"/>
      <c r="AD416" s="938"/>
      <c r="AF416" s="949"/>
    </row>
    <row r="417" spans="1:32">
      <c r="L417" s="2"/>
      <c r="M417" s="2"/>
      <c r="N417" s="504"/>
      <c r="Q417" s="504"/>
      <c r="R417" s="504"/>
      <c r="V417" s="504"/>
      <c r="W417" s="504"/>
      <c r="Z417" s="938"/>
      <c r="AB417" s="938"/>
      <c r="AD417" s="938"/>
      <c r="AF417" s="949"/>
    </row>
    <row r="418" spans="1:32">
      <c r="A418" s="1324" t="s">
        <v>724</v>
      </c>
      <c r="B418" s="1324"/>
      <c r="C418" s="1324"/>
      <c r="D418" s="1324"/>
      <c r="E418" s="1324"/>
      <c r="F418" s="1324"/>
      <c r="G418" s="1324"/>
      <c r="H418" s="1324"/>
      <c r="I418" s="1324"/>
      <c r="J418" s="1324"/>
      <c r="K418" s="1324"/>
      <c r="L418" s="1324"/>
      <c r="M418" s="1324"/>
      <c r="N418" s="1324"/>
      <c r="O418" s="1324"/>
      <c r="P418" s="1324"/>
      <c r="Q418" s="1324"/>
      <c r="R418" s="1324"/>
      <c r="S418" s="1324"/>
      <c r="T418" s="1324"/>
      <c r="U418" s="1324"/>
      <c r="V418" s="1324"/>
      <c r="W418" s="1324"/>
      <c r="X418" s="665"/>
      <c r="Z418" s="938"/>
      <c r="AB418" s="938"/>
      <c r="AD418" s="938"/>
      <c r="AF418" s="949"/>
    </row>
    <row r="419" spans="1:32">
      <c r="A419" s="1324" t="s">
        <v>938</v>
      </c>
      <c r="B419" s="1324"/>
      <c r="C419" s="1324"/>
      <c r="D419" s="1324"/>
      <c r="E419" s="1324"/>
      <c r="F419" s="1324"/>
      <c r="G419" s="1324"/>
      <c r="H419" s="1324"/>
      <c r="I419" s="1324"/>
      <c r="J419" s="1324"/>
      <c r="K419" s="1324"/>
      <c r="L419" s="1324"/>
      <c r="M419" s="1324"/>
      <c r="N419" s="1324"/>
      <c r="O419" s="1324"/>
      <c r="P419" s="1324"/>
      <c r="Q419" s="1324"/>
      <c r="R419" s="1324"/>
      <c r="S419" s="1324"/>
      <c r="T419" s="1324"/>
      <c r="U419" s="1324"/>
      <c r="V419" s="1324"/>
      <c r="W419" s="1324"/>
      <c r="X419" s="644"/>
      <c r="Y419" s="644"/>
      <c r="Z419" s="938"/>
      <c r="AB419" s="938"/>
      <c r="AD419" s="938"/>
      <c r="AF419" s="949"/>
    </row>
    <row r="420" spans="1:32">
      <c r="A420" s="385"/>
      <c r="B420" s="385"/>
      <c r="C420" s="385"/>
      <c r="D420" s="385"/>
      <c r="E420" s="447"/>
      <c r="F420" s="385"/>
      <c r="G420" s="447"/>
      <c r="H420" s="385"/>
      <c r="I420" s="385"/>
      <c r="J420" s="385"/>
      <c r="K420" s="385"/>
      <c r="L420" s="385"/>
      <c r="M420" s="385"/>
      <c r="N420" s="504"/>
      <c r="O420" s="385"/>
      <c r="P420" s="385"/>
      <c r="Q420" s="504"/>
      <c r="R420" s="504"/>
      <c r="S420" s="385"/>
      <c r="T420" s="385"/>
      <c r="U420" s="385"/>
      <c r="V420" s="504"/>
      <c r="W420" s="504"/>
      <c r="Z420" s="938"/>
      <c r="AB420" s="938"/>
      <c r="AD420" s="938"/>
      <c r="AF420" s="949"/>
    </row>
    <row r="421" spans="1:32" ht="26.45" customHeight="1">
      <c r="A421" s="447"/>
      <c r="B421" s="447"/>
      <c r="C421" s="447"/>
      <c r="D421" s="447"/>
      <c r="E421" s="385"/>
      <c r="F421" s="1313" t="s">
        <v>682</v>
      </c>
      <c r="G421" s="1313"/>
      <c r="H421" s="1313"/>
      <c r="I421" s="1313"/>
      <c r="J421" s="1313"/>
      <c r="K421" s="447"/>
      <c r="L421" s="1325" t="s">
        <v>496</v>
      </c>
      <c r="M421" s="1325"/>
      <c r="N421" s="256"/>
      <c r="O421" s="447"/>
      <c r="P421" s="449"/>
      <c r="Q421" s="1325" t="s">
        <v>497</v>
      </c>
      <c r="R421" s="1325"/>
      <c r="S421" s="447"/>
      <c r="T421" s="1313" t="s">
        <v>926</v>
      </c>
      <c r="U421" s="1313"/>
      <c r="V421" s="1313"/>
      <c r="W421" s="1313"/>
      <c r="X421" s="4"/>
      <c r="Z421" s="938"/>
      <c r="AB421" s="938"/>
      <c r="AD421" s="938"/>
      <c r="AF421" s="949"/>
    </row>
    <row r="422" spans="1:32" ht="38.25">
      <c r="A422" s="254" t="s">
        <v>1</v>
      </c>
      <c r="B422" s="254"/>
      <c r="C422" s="254"/>
      <c r="D422" s="254"/>
      <c r="E422" s="4" t="s">
        <v>670</v>
      </c>
      <c r="F422" s="254"/>
      <c r="G422" s="13" t="s">
        <v>684</v>
      </c>
      <c r="H422" s="254"/>
      <c r="I422" s="13" t="s">
        <v>196</v>
      </c>
      <c r="J422" s="13" t="s">
        <v>503</v>
      </c>
      <c r="K422" s="254"/>
      <c r="L422" s="13" t="s">
        <v>505</v>
      </c>
      <c r="M422" s="13" t="s">
        <v>685</v>
      </c>
      <c r="N422" s="254" t="s">
        <v>688</v>
      </c>
      <c r="O422" s="254"/>
      <c r="P422" s="254" t="s">
        <v>689</v>
      </c>
      <c r="Q422" s="13" t="s">
        <v>505</v>
      </c>
      <c r="R422" s="13" t="s">
        <v>685</v>
      </c>
      <c r="S422" s="254"/>
      <c r="T422" s="13" t="s">
        <v>690</v>
      </c>
      <c r="U422" s="13" t="s">
        <v>691</v>
      </c>
      <c r="V422" s="13" t="s">
        <v>692</v>
      </c>
      <c r="W422" s="254" t="s">
        <v>693</v>
      </c>
      <c r="X422" s="254"/>
      <c r="Z422" s="938"/>
      <c r="AB422" s="938"/>
      <c r="AD422" s="938"/>
      <c r="AF422" s="949"/>
    </row>
    <row r="423" spans="1:32" ht="14.25">
      <c r="A423" s="255" t="s">
        <v>2</v>
      </c>
      <c r="B423" s="256"/>
      <c r="C423" s="449" t="s">
        <v>3</v>
      </c>
      <c r="D423" s="256"/>
      <c r="E423" s="255" t="s">
        <v>4</v>
      </c>
      <c r="F423" s="256"/>
      <c r="G423" s="255" t="s">
        <v>694</v>
      </c>
      <c r="H423" s="256"/>
      <c r="I423" s="255" t="s">
        <v>77</v>
      </c>
      <c r="J423" s="255" t="s">
        <v>20</v>
      </c>
      <c r="K423" s="256"/>
      <c r="L423" s="255" t="s">
        <v>20</v>
      </c>
      <c r="M423" s="255" t="s">
        <v>20</v>
      </c>
      <c r="N423" s="255" t="s">
        <v>20</v>
      </c>
      <c r="O423" s="256"/>
      <c r="P423" s="255" t="s">
        <v>20</v>
      </c>
      <c r="Q423" s="255" t="s">
        <v>20</v>
      </c>
      <c r="R423" s="255" t="s">
        <v>20</v>
      </c>
      <c r="S423" s="256"/>
      <c r="T423" s="255" t="s">
        <v>20</v>
      </c>
      <c r="U423" s="255" t="s">
        <v>77</v>
      </c>
      <c r="V423" s="255" t="s">
        <v>20</v>
      </c>
      <c r="W423" s="255" t="s">
        <v>76</v>
      </c>
      <c r="X423" s="4"/>
      <c r="Z423" s="938"/>
      <c r="AB423" s="938"/>
      <c r="AD423" s="938"/>
      <c r="AF423" s="949"/>
    </row>
    <row r="424" spans="1:32">
      <c r="A424" s="4"/>
      <c r="B424" s="256"/>
      <c r="C424" s="256"/>
      <c r="D424" s="256"/>
      <c r="E424" s="4"/>
      <c r="F424" s="256"/>
      <c r="G424" s="4" t="s">
        <v>8</v>
      </c>
      <c r="H424" s="4"/>
      <c r="I424" s="4" t="s">
        <v>9</v>
      </c>
      <c r="J424" s="4" t="s">
        <v>370</v>
      </c>
      <c r="K424" s="4"/>
      <c r="L424" s="132" t="s">
        <v>79</v>
      </c>
      <c r="M424" s="132" t="s">
        <v>115</v>
      </c>
      <c r="N424" s="4" t="s">
        <v>927</v>
      </c>
      <c r="O424" s="4"/>
      <c r="P424" s="4" t="s">
        <v>928</v>
      </c>
      <c r="Q424" s="4" t="s">
        <v>118</v>
      </c>
      <c r="R424" s="4" t="s">
        <v>84</v>
      </c>
      <c r="S424" s="4"/>
      <c r="T424" s="4" t="s">
        <v>929</v>
      </c>
      <c r="U424" s="4" t="s">
        <v>517</v>
      </c>
      <c r="V424" s="4" t="s">
        <v>930</v>
      </c>
      <c r="W424" s="4" t="s">
        <v>931</v>
      </c>
    </row>
    <row r="425" spans="1:32">
      <c r="A425" s="4"/>
      <c r="B425" s="256"/>
      <c r="C425" s="6" t="s">
        <v>164</v>
      </c>
      <c r="D425" s="256"/>
      <c r="E425" s="36"/>
      <c r="F425" s="256"/>
      <c r="G425" s="35"/>
      <c r="H425" s="256"/>
      <c r="I425" s="256"/>
      <c r="J425" s="256"/>
      <c r="K425" s="256"/>
      <c r="L425" s="504"/>
      <c r="M425" s="504"/>
      <c r="N425" s="504"/>
      <c r="O425" s="256"/>
      <c r="P425" s="256"/>
      <c r="Q425" s="504"/>
      <c r="R425" s="504"/>
      <c r="S425" s="256"/>
      <c r="T425" s="256"/>
      <c r="U425" s="256"/>
      <c r="V425" s="504"/>
      <c r="W425" s="504"/>
    </row>
    <row r="426" spans="1:32">
      <c r="A426" s="4">
        <v>194</v>
      </c>
      <c r="B426" s="256"/>
      <c r="C426" s="9" t="s">
        <v>200</v>
      </c>
      <c r="D426" s="256"/>
      <c r="E426" s="36" t="s">
        <v>704</v>
      </c>
      <c r="F426" s="256"/>
      <c r="G426" s="35">
        <v>144.00000000000003</v>
      </c>
      <c r="H426" s="256"/>
      <c r="I426" s="778">
        <v>1620.86</v>
      </c>
      <c r="J426" s="750">
        <f>G426*I426/1000</f>
        <v>233.40384000000003</v>
      </c>
      <c r="K426" s="256"/>
      <c r="L426" s="35">
        <v>0</v>
      </c>
      <c r="M426" s="35">
        <v>0</v>
      </c>
      <c r="N426" s="762">
        <f>J426-L426-M426</f>
        <v>233.40384000000003</v>
      </c>
      <c r="O426" s="771"/>
      <c r="P426" s="35">
        <v>6.2937757328906798</v>
      </c>
      <c r="Q426" s="35">
        <v>0</v>
      </c>
      <c r="R426" s="35">
        <v>0</v>
      </c>
      <c r="S426" s="750"/>
      <c r="T426" s="750">
        <f>N426+P426+Q426+R426</f>
        <v>239.69761573289071</v>
      </c>
      <c r="U426" s="811">
        <f>T426/G426*1000</f>
        <v>1664.5667759228518</v>
      </c>
      <c r="V426" s="753">
        <f>T426-J426</f>
        <v>6.2937757328906798</v>
      </c>
      <c r="W426" s="770">
        <f>U426/I426-1</f>
        <v>2.696517646363783E-2</v>
      </c>
      <c r="X426" s="769"/>
      <c r="Z426" s="938"/>
      <c r="AB426" s="938"/>
      <c r="AD426" s="938"/>
      <c r="AF426" s="954"/>
    </row>
    <row r="427" spans="1:32">
      <c r="A427" s="4">
        <v>195</v>
      </c>
      <c r="B427" s="256"/>
      <c r="C427" s="9" t="s">
        <v>221</v>
      </c>
      <c r="D427" s="256"/>
      <c r="E427" s="513" t="s">
        <v>675</v>
      </c>
      <c r="F427" s="256"/>
      <c r="G427" s="35">
        <v>42050.04</v>
      </c>
      <c r="H427" s="256"/>
      <c r="I427" s="861">
        <v>19.945999999999998</v>
      </c>
      <c r="J427" s="750">
        <f>G427*I427/100</f>
        <v>8387.3009783999987</v>
      </c>
      <c r="K427" s="256"/>
      <c r="L427" s="762">
        <v>909.03776471999993</v>
      </c>
      <c r="M427" s="35">
        <v>0</v>
      </c>
      <c r="N427" s="762">
        <f>J427-L427-M427</f>
        <v>7478.2632136799984</v>
      </c>
      <c r="O427" s="771"/>
      <c r="P427" s="35">
        <v>201.65268719841242</v>
      </c>
      <c r="Q427" s="35">
        <v>679.09289964212871</v>
      </c>
      <c r="R427" s="35">
        <v>0</v>
      </c>
      <c r="S427" s="750"/>
      <c r="T427" s="750">
        <f>N427+P427+Q427+R427</f>
        <v>8359.0088005205398</v>
      </c>
      <c r="U427" s="848">
        <f>T427/G427*100</f>
        <v>19.878717833610953</v>
      </c>
      <c r="V427" s="847">
        <f>T427-J427</f>
        <v>-28.292177879458904</v>
      </c>
      <c r="W427" s="770">
        <f>U427/I427-1</f>
        <v>-3.3732160026594959E-3</v>
      </c>
      <c r="X427" s="769"/>
      <c r="Z427" s="938"/>
      <c r="AB427" s="938"/>
      <c r="AD427" s="938"/>
      <c r="AF427" s="949"/>
    </row>
    <row r="428" spans="1:32">
      <c r="A428" s="4">
        <v>196</v>
      </c>
      <c r="B428" s="256"/>
      <c r="C428" s="9" t="s">
        <v>202</v>
      </c>
      <c r="D428" s="256"/>
      <c r="E428" s="513" t="s">
        <v>674</v>
      </c>
      <c r="F428" s="256"/>
      <c r="G428" s="35">
        <v>1076377.9679700001</v>
      </c>
      <c r="H428" s="256"/>
      <c r="I428" s="861">
        <v>0.28500000000000003</v>
      </c>
      <c r="J428" s="750">
        <f>G428*I428/100</f>
        <v>3067.6772087145009</v>
      </c>
      <c r="K428" s="256"/>
      <c r="L428" s="762">
        <v>307.84409883942004</v>
      </c>
      <c r="M428" s="762">
        <v>13.760700020675317</v>
      </c>
      <c r="N428" s="762">
        <f>J428-L428-M428</f>
        <v>2746.0724098544056</v>
      </c>
      <c r="O428" s="771"/>
      <c r="P428" s="35">
        <v>74.048327113651339</v>
      </c>
      <c r="Q428" s="35">
        <v>220.60521502648581</v>
      </c>
      <c r="R428" s="35">
        <v>13.37923487947986</v>
      </c>
      <c r="S428" s="750"/>
      <c r="T428" s="750">
        <f>N428+P428+Q428+R428</f>
        <v>3054.1051868740228</v>
      </c>
      <c r="U428" s="848">
        <f>T428/G428*100</f>
        <v>0.28373910259738278</v>
      </c>
      <c r="V428" s="847">
        <f>T428-J428</f>
        <v>-13.572021840478101</v>
      </c>
      <c r="W428" s="770">
        <f>U428/I428-1</f>
        <v>-4.4242014126921747E-3</v>
      </c>
      <c r="X428" s="769"/>
      <c r="Z428" s="938"/>
      <c r="AB428" s="938"/>
      <c r="AD428" s="938"/>
      <c r="AF428" s="949"/>
    </row>
    <row r="429" spans="1:32">
      <c r="A429" s="4">
        <v>197</v>
      </c>
      <c r="B429" s="256"/>
      <c r="C429" s="9" t="s">
        <v>782</v>
      </c>
      <c r="D429" s="256"/>
      <c r="E429" s="513" t="s">
        <v>674</v>
      </c>
      <c r="F429" s="256"/>
      <c r="G429" s="35">
        <v>28099.753000000001</v>
      </c>
      <c r="H429" s="256"/>
      <c r="I429" s="861">
        <v>0.28500000000000003</v>
      </c>
      <c r="J429" s="750">
        <f>G429*I429/100</f>
        <v>80.084296050000006</v>
      </c>
      <c r="K429" s="256"/>
      <c r="L429" s="762">
        <v>8.036529358000001</v>
      </c>
      <c r="M429" s="35">
        <v>0</v>
      </c>
      <c r="N429" s="762">
        <f>J429-L429-M429</f>
        <v>72.04776669200001</v>
      </c>
      <c r="O429" s="771"/>
      <c r="P429" s="35">
        <v>1.942780742660787</v>
      </c>
      <c r="Q429" s="35">
        <v>5.7590848542237278</v>
      </c>
      <c r="R429" s="35">
        <v>0</v>
      </c>
      <c r="S429" s="750"/>
      <c r="T429" s="750">
        <f>N429+P429+Q429+R429</f>
        <v>79.749632288884527</v>
      </c>
      <c r="U429" s="848">
        <f>T429/G429*100</f>
        <v>0.28380901529235691</v>
      </c>
      <c r="V429" s="753">
        <f>T429-J429</f>
        <v>-0.33466376111547902</v>
      </c>
      <c r="W429" s="770">
        <f>U429/I429-1</f>
        <v>-4.1788937110285307E-3</v>
      </c>
      <c r="X429" s="769"/>
      <c r="Z429" s="938"/>
      <c r="AB429" s="938"/>
      <c r="AD429" s="938"/>
      <c r="AF429" s="949"/>
    </row>
    <row r="430" spans="1:32">
      <c r="A430" s="4">
        <v>198</v>
      </c>
      <c r="B430" s="256"/>
      <c r="C430" s="9" t="s">
        <v>770</v>
      </c>
      <c r="D430" s="256"/>
      <c r="E430" s="36" t="s">
        <v>704</v>
      </c>
      <c r="F430" s="256"/>
      <c r="G430" s="35">
        <v>143.99999999999989</v>
      </c>
      <c r="H430" s="256"/>
      <c r="I430" s="778">
        <v>248.07</v>
      </c>
      <c r="J430" s="750">
        <f>G430*I430/1000</f>
        <v>35.72207999999997</v>
      </c>
      <c r="K430" s="256"/>
      <c r="L430" s="35">
        <v>0</v>
      </c>
      <c r="M430" s="35">
        <v>0</v>
      </c>
      <c r="N430" s="762">
        <f>J430-L430-M430</f>
        <v>35.72207999999997</v>
      </c>
      <c r="O430" s="771"/>
      <c r="P430" s="35">
        <v>0.96325219084818769</v>
      </c>
      <c r="Q430" s="35">
        <v>0</v>
      </c>
      <c r="R430" s="35">
        <v>0</v>
      </c>
      <c r="S430" s="750"/>
      <c r="T430" s="750">
        <f>N430+P430+Q430+R430</f>
        <v>36.685332190848158</v>
      </c>
      <c r="U430" s="811">
        <f>T430/G430*1000</f>
        <v>254.75925132533462</v>
      </c>
      <c r="V430" s="753">
        <f>T430-J430</f>
        <v>0.96325219084818769</v>
      </c>
      <c r="W430" s="770">
        <f>U430/I430-1</f>
        <v>2.696517646363783E-2</v>
      </c>
      <c r="X430" s="769"/>
      <c r="Z430" s="938"/>
      <c r="AB430" s="938"/>
      <c r="AD430" s="938"/>
      <c r="AF430" s="949"/>
    </row>
    <row r="431" spans="1:32">
      <c r="A431" s="4"/>
      <c r="B431" s="256"/>
      <c r="C431" s="7"/>
      <c r="D431" s="256"/>
      <c r="E431" s="36"/>
      <c r="F431" s="256"/>
      <c r="G431" s="453"/>
      <c r="H431" s="256"/>
      <c r="I431" s="256"/>
      <c r="J431" s="750"/>
      <c r="K431" s="256"/>
      <c r="L431" s="762"/>
      <c r="M431" s="762"/>
      <c r="N431" s="762"/>
      <c r="O431" s="771"/>
      <c r="P431" s="771"/>
      <c r="Q431" s="762"/>
      <c r="R431" s="762"/>
      <c r="S431" s="750"/>
      <c r="T431" s="750"/>
      <c r="U431" s="848"/>
      <c r="V431" s="753"/>
      <c r="W431" s="770"/>
      <c r="X431" s="769"/>
      <c r="Z431" s="938"/>
      <c r="AB431" s="938"/>
      <c r="AD431" s="938"/>
      <c r="AF431" s="949"/>
    </row>
    <row r="432" spans="1:32">
      <c r="A432" s="4">
        <v>199</v>
      </c>
      <c r="B432" s="256"/>
      <c r="C432" s="9" t="s">
        <v>779</v>
      </c>
      <c r="D432" s="256"/>
      <c r="E432" s="36"/>
      <c r="F432" s="256"/>
      <c r="G432" s="420">
        <f>SUM(G426:G431)</f>
        <v>1146815.7609700002</v>
      </c>
      <c r="H432" s="256"/>
      <c r="I432" s="806">
        <f>J432/G432*100</f>
        <v>1.0293012011955851</v>
      </c>
      <c r="J432" s="808">
        <f>SUM(J426:J431)</f>
        <v>11804.1884031645</v>
      </c>
      <c r="K432" s="256"/>
      <c r="L432" s="805">
        <f>SUM(L426:L431)</f>
        <v>1224.9183929174201</v>
      </c>
      <c r="M432" s="805">
        <f>SUM(M426:M431)</f>
        <v>13.760700020675317</v>
      </c>
      <c r="N432" s="805">
        <f>SUM(N426:N431)</f>
        <v>10565.509310226404</v>
      </c>
      <c r="O432" s="771"/>
      <c r="P432" s="807">
        <f>SUM(P426:P431)</f>
        <v>284.90082297846345</v>
      </c>
      <c r="Q432" s="807">
        <f>SUM(Q426:Q431)</f>
        <v>905.45719952283821</v>
      </c>
      <c r="R432" s="807">
        <f>SUM(R426:R431)</f>
        <v>13.37923487947986</v>
      </c>
      <c r="S432" s="750"/>
      <c r="T432" s="808">
        <f>SUM(T426:T431)</f>
        <v>11769.246567607184</v>
      </c>
      <c r="U432" s="850">
        <f>T432/G432*100</f>
        <v>1.0262543442594925</v>
      </c>
      <c r="V432" s="851">
        <f>SUM(V426:V431)</f>
        <v>-34.941835557313617</v>
      </c>
      <c r="W432" s="804">
        <f>U432/I432-1</f>
        <v>-2.9601218113353145E-3</v>
      </c>
      <c r="X432" s="769"/>
      <c r="Z432" s="938"/>
      <c r="AF432" s="949"/>
    </row>
    <row r="433" spans="1:32">
      <c r="A433" s="4"/>
      <c r="B433" s="256"/>
      <c r="C433" s="7"/>
      <c r="D433" s="256"/>
      <c r="E433" s="36"/>
      <c r="F433" s="256"/>
      <c r="G433" s="453"/>
      <c r="H433" s="256"/>
      <c r="I433" s="256"/>
      <c r="J433" s="750"/>
      <c r="K433" s="256"/>
      <c r="L433" s="753"/>
      <c r="M433" s="753"/>
      <c r="N433" s="753"/>
      <c r="O433" s="750"/>
      <c r="P433" s="750"/>
      <c r="Q433" s="753"/>
      <c r="R433" s="753"/>
      <c r="S433" s="750"/>
      <c r="T433" s="750"/>
      <c r="U433" s="750"/>
      <c r="V433" s="753"/>
      <c r="W433" s="753"/>
      <c r="X433" s="728"/>
      <c r="AF433" s="949"/>
    </row>
    <row r="434" spans="1:32">
      <c r="A434" s="4"/>
      <c r="C434" s="9" t="s">
        <v>275</v>
      </c>
      <c r="G434" s="135"/>
      <c r="L434" s="753"/>
      <c r="M434" s="753"/>
      <c r="N434" s="753"/>
      <c r="O434" s="752"/>
      <c r="P434" s="752"/>
      <c r="Q434" s="753"/>
      <c r="R434" s="753"/>
      <c r="S434" s="752"/>
      <c r="T434" s="752"/>
      <c r="U434" s="752"/>
      <c r="V434" s="753"/>
      <c r="W434" s="753"/>
      <c r="X434" s="728"/>
      <c r="AF434" s="949"/>
    </row>
    <row r="435" spans="1:32">
      <c r="A435" s="4">
        <v>200</v>
      </c>
      <c r="B435" s="256"/>
      <c r="C435" s="519" t="s">
        <v>783</v>
      </c>
      <c r="D435" s="256"/>
      <c r="E435" s="513" t="s">
        <v>675</v>
      </c>
      <c r="F435" s="256"/>
      <c r="G435" s="136">
        <v>0</v>
      </c>
      <c r="H435" s="771"/>
      <c r="I435" s="861">
        <v>10.013400000000001</v>
      </c>
      <c r="J435" s="771">
        <f>G435*I435/100</f>
        <v>0</v>
      </c>
      <c r="K435" s="771"/>
      <c r="L435" s="35">
        <v>0</v>
      </c>
      <c r="M435" s="35">
        <v>0</v>
      </c>
      <c r="N435" s="762">
        <f>J435-L435-M435</f>
        <v>0</v>
      </c>
      <c r="O435" s="771"/>
      <c r="P435" s="35">
        <v>0</v>
      </c>
      <c r="Q435" s="35">
        <v>0</v>
      </c>
      <c r="R435" s="35">
        <v>0</v>
      </c>
      <c r="S435" s="771"/>
      <c r="T435" s="771">
        <f>N435+P435+Q435+R435</f>
        <v>0</v>
      </c>
      <c r="U435" s="861">
        <v>10.283413098000992</v>
      </c>
      <c r="V435" s="762">
        <f>T435-J435</f>
        <v>0</v>
      </c>
      <c r="W435" s="35"/>
      <c r="X435" s="782"/>
      <c r="AF435" s="949"/>
    </row>
    <row r="436" spans="1:32">
      <c r="A436" s="4">
        <v>201</v>
      </c>
      <c r="B436" s="256"/>
      <c r="C436" s="519" t="s">
        <v>784</v>
      </c>
      <c r="D436" s="256"/>
      <c r="E436" s="513" t="s">
        <v>675</v>
      </c>
      <c r="F436" s="256"/>
      <c r="G436" s="35">
        <v>0</v>
      </c>
      <c r="H436" s="771"/>
      <c r="I436" s="861">
        <v>8.4962</v>
      </c>
      <c r="J436" s="771">
        <f>G436*I436/100</f>
        <v>0</v>
      </c>
      <c r="K436" s="771"/>
      <c r="L436" s="35">
        <v>0</v>
      </c>
      <c r="M436" s="35">
        <v>0</v>
      </c>
      <c r="N436" s="762"/>
      <c r="O436" s="771"/>
      <c r="P436" s="35">
        <v>0</v>
      </c>
      <c r="Q436" s="35">
        <v>0</v>
      </c>
      <c r="R436" s="35">
        <v>0</v>
      </c>
      <c r="S436" s="771"/>
      <c r="T436" s="771">
        <f>N436+P436+Q436+R436</f>
        <v>0</v>
      </c>
      <c r="U436" s="861">
        <v>8.7253015322703593</v>
      </c>
      <c r="V436" s="762">
        <f>T436-J436</f>
        <v>0</v>
      </c>
      <c r="W436" s="35"/>
      <c r="X436" s="782"/>
      <c r="AF436" s="949"/>
    </row>
    <row r="437" spans="1:32">
      <c r="A437" s="4"/>
      <c r="B437" s="256"/>
      <c r="C437" s="9" t="s">
        <v>771</v>
      </c>
      <c r="D437" s="256"/>
      <c r="E437" s="36"/>
      <c r="F437" s="256"/>
      <c r="G437" s="35"/>
      <c r="H437" s="771"/>
      <c r="I437" s="861"/>
      <c r="J437" s="771"/>
      <c r="K437" s="771"/>
      <c r="L437" s="762"/>
      <c r="M437" s="762"/>
      <c r="N437" s="762"/>
      <c r="O437" s="771"/>
      <c r="P437" s="771"/>
      <c r="Q437" s="762"/>
      <c r="R437" s="762"/>
      <c r="S437" s="771"/>
      <c r="T437" s="771"/>
      <c r="U437" s="861"/>
      <c r="V437" s="762"/>
      <c r="W437" s="762"/>
      <c r="X437" s="782"/>
      <c r="AF437" s="949"/>
    </row>
    <row r="438" spans="1:32">
      <c r="A438" s="4">
        <v>202</v>
      </c>
      <c r="B438" s="256"/>
      <c r="C438" s="519" t="s">
        <v>783</v>
      </c>
      <c r="D438" s="256"/>
      <c r="E438" s="513" t="s">
        <v>674</v>
      </c>
      <c r="F438" s="256"/>
      <c r="G438" s="453">
        <v>0</v>
      </c>
      <c r="H438" s="771"/>
      <c r="I438" s="861">
        <v>0.33329999999999999</v>
      </c>
      <c r="J438" s="771">
        <f>G438*I438/100</f>
        <v>0</v>
      </c>
      <c r="K438" s="771"/>
      <c r="L438" s="35">
        <v>0</v>
      </c>
      <c r="M438" s="35">
        <v>0</v>
      </c>
      <c r="N438" s="762">
        <f>J438-L438-M438</f>
        <v>0</v>
      </c>
      <c r="O438" s="771"/>
      <c r="P438" s="35">
        <v>0</v>
      </c>
      <c r="Q438" s="35">
        <v>0</v>
      </c>
      <c r="R438" s="35">
        <v>0</v>
      </c>
      <c r="S438" s="771"/>
      <c r="T438" s="771">
        <f>N438+P438+Q438+R438</f>
        <v>0</v>
      </c>
      <c r="U438" s="861">
        <v>0.34228749331533048</v>
      </c>
      <c r="V438" s="762">
        <f>T438-J438</f>
        <v>0</v>
      </c>
      <c r="W438" s="35"/>
      <c r="X438" s="782"/>
      <c r="AF438" s="949"/>
    </row>
    <row r="439" spans="1:32">
      <c r="A439" s="4">
        <v>203</v>
      </c>
      <c r="C439" s="519" t="s">
        <v>784</v>
      </c>
      <c r="E439" s="513" t="s">
        <v>674</v>
      </c>
      <c r="G439" s="35">
        <v>0</v>
      </c>
      <c r="H439" s="68"/>
      <c r="I439" s="861">
        <v>0.27150000000000002</v>
      </c>
      <c r="J439" s="771">
        <f>G439*I439/100</f>
        <v>0</v>
      </c>
      <c r="K439" s="68"/>
      <c r="L439" s="35">
        <v>0</v>
      </c>
      <c r="M439" s="35">
        <v>0</v>
      </c>
      <c r="N439" s="762">
        <f>J439-L439-M439</f>
        <v>0</v>
      </c>
      <c r="O439" s="68"/>
      <c r="P439" s="35">
        <v>0</v>
      </c>
      <c r="Q439" s="35">
        <v>0</v>
      </c>
      <c r="R439" s="35">
        <v>0</v>
      </c>
      <c r="S439" s="771"/>
      <c r="T439" s="771">
        <f>N439+P439+Q439+R439</f>
        <v>0</v>
      </c>
      <c r="U439" s="861">
        <v>0.27882104540987768</v>
      </c>
      <c r="V439" s="762">
        <f>T439-J439</f>
        <v>0</v>
      </c>
      <c r="W439" s="35"/>
      <c r="X439" s="782"/>
      <c r="AF439" s="949"/>
    </row>
    <row r="440" spans="1:32">
      <c r="A440" s="4"/>
      <c r="B440" s="256"/>
      <c r="C440" s="9" t="s">
        <v>772</v>
      </c>
      <c r="D440" s="256"/>
      <c r="E440" s="742"/>
      <c r="F440" s="256"/>
      <c r="G440" s="35"/>
      <c r="H440" s="771"/>
      <c r="I440" s="771"/>
      <c r="J440" s="771"/>
      <c r="K440" s="771"/>
      <c r="L440" s="762"/>
      <c r="M440" s="762"/>
      <c r="N440" s="762"/>
      <c r="O440" s="771"/>
      <c r="P440" s="771"/>
      <c r="Q440" s="762"/>
      <c r="R440" s="762"/>
      <c r="S440" s="771"/>
      <c r="T440" s="771"/>
      <c r="V440" s="762"/>
      <c r="W440" s="762"/>
      <c r="X440" s="782"/>
      <c r="AF440" s="949"/>
    </row>
    <row r="441" spans="1:32">
      <c r="A441" s="4">
        <v>204</v>
      </c>
      <c r="B441" s="256"/>
      <c r="C441" s="519" t="s">
        <v>783</v>
      </c>
      <c r="D441" s="256"/>
      <c r="E441" s="513" t="s">
        <v>674</v>
      </c>
      <c r="F441" s="256"/>
      <c r="G441" s="35">
        <v>0</v>
      </c>
      <c r="H441" s="771"/>
      <c r="I441" s="771">
        <v>0</v>
      </c>
      <c r="J441" s="771">
        <f>G441*I441/100</f>
        <v>0</v>
      </c>
      <c r="K441" s="771"/>
      <c r="L441" s="35">
        <v>0</v>
      </c>
      <c r="M441" s="35">
        <v>0</v>
      </c>
      <c r="N441" s="762">
        <f>J441-L441-M441</f>
        <v>0</v>
      </c>
      <c r="O441" s="771"/>
      <c r="P441" s="35">
        <v>0</v>
      </c>
      <c r="Q441" s="35">
        <v>0</v>
      </c>
      <c r="R441" s="35">
        <v>0</v>
      </c>
      <c r="S441" s="771"/>
      <c r="T441" s="771">
        <f>N441+P441+Q441+R441</f>
        <v>0</v>
      </c>
      <c r="U441" s="453" t="str">
        <f>IFERROR(T441/G441*1000,"-")</f>
        <v>-</v>
      </c>
      <c r="V441" s="762">
        <f>T441-J441</f>
        <v>0</v>
      </c>
      <c r="W441" s="35"/>
      <c r="X441" s="782"/>
      <c r="AF441" s="949"/>
    </row>
    <row r="442" spans="1:32">
      <c r="A442" s="4">
        <v>205</v>
      </c>
      <c r="B442" s="256"/>
      <c r="C442" s="519" t="s">
        <v>784</v>
      </c>
      <c r="D442" s="256"/>
      <c r="E442" s="513" t="s">
        <v>674</v>
      </c>
      <c r="F442" s="256"/>
      <c r="G442" s="35">
        <v>0</v>
      </c>
      <c r="H442" s="771"/>
      <c r="I442" s="771">
        <v>0</v>
      </c>
      <c r="J442" s="771">
        <f>G442*I442/100</f>
        <v>0</v>
      </c>
      <c r="K442" s="771"/>
      <c r="L442" s="35">
        <v>0</v>
      </c>
      <c r="M442" s="35">
        <v>0</v>
      </c>
      <c r="N442" s="762">
        <f>J442-L442-M442</f>
        <v>0</v>
      </c>
      <c r="O442" s="771"/>
      <c r="P442" s="35">
        <v>0</v>
      </c>
      <c r="Q442" s="35">
        <v>0</v>
      </c>
      <c r="R442" s="35">
        <v>0</v>
      </c>
      <c r="S442" s="771"/>
      <c r="T442" s="771">
        <f>N442+P442+Q442+R442</f>
        <v>0</v>
      </c>
      <c r="U442" s="453" t="str">
        <f>IFERROR(T442/G442*1000,"-")</f>
        <v>-</v>
      </c>
      <c r="V442" s="762">
        <f>T442-J442</f>
        <v>0</v>
      </c>
      <c r="W442" s="35"/>
      <c r="X442" s="782"/>
      <c r="AF442" s="949"/>
    </row>
    <row r="443" spans="1:32">
      <c r="A443" s="4">
        <v>206</v>
      </c>
      <c r="B443" s="256"/>
      <c r="C443" s="9" t="s">
        <v>773</v>
      </c>
      <c r="D443" s="256"/>
      <c r="E443" s="742"/>
      <c r="F443" s="256"/>
      <c r="G443" s="420">
        <f>SUM(G438:G442)</f>
        <v>0</v>
      </c>
      <c r="H443" s="420"/>
      <c r="I443" s="420"/>
      <c r="J443" s="420">
        <f>SUM(J438:J442)</f>
        <v>0</v>
      </c>
      <c r="K443" s="771"/>
      <c r="L443" s="805">
        <f>SUM(L435:L442)</f>
        <v>0</v>
      </c>
      <c r="M443" s="805">
        <f>SUM(M435:M442)</f>
        <v>0</v>
      </c>
      <c r="N443" s="805">
        <f>SUM(N435:N442)</f>
        <v>0</v>
      </c>
      <c r="O443" s="762"/>
      <c r="P443" s="805">
        <f>SUM(P435:P442)</f>
        <v>0</v>
      </c>
      <c r="Q443" s="805">
        <f>SUM(Q435:Q442)</f>
        <v>0</v>
      </c>
      <c r="R443" s="805">
        <f>SUM(R435:R442)</f>
        <v>0</v>
      </c>
      <c r="S443" s="762"/>
      <c r="T443" s="805">
        <f>SUM(T435:T442)</f>
        <v>0</v>
      </c>
      <c r="U443" s="805">
        <f>SUM(U435:U442)</f>
        <v>19.629823168996555</v>
      </c>
      <c r="V443" s="805">
        <f>SUM(V435:V442)</f>
        <v>0</v>
      </c>
      <c r="W443" s="805"/>
      <c r="X443" s="782"/>
      <c r="Z443" s="962"/>
      <c r="AB443" s="962"/>
      <c r="AD443" s="962"/>
      <c r="AF443" s="962"/>
    </row>
    <row r="444" spans="1:32">
      <c r="A444" s="4"/>
      <c r="B444" s="256"/>
      <c r="C444" s="519"/>
      <c r="D444" s="256"/>
      <c r="E444" s="742"/>
      <c r="F444" s="256"/>
      <c r="G444" s="35"/>
      <c r="H444" s="256"/>
      <c r="I444" s="256"/>
      <c r="J444" s="256"/>
      <c r="K444" s="256"/>
      <c r="L444" s="504"/>
      <c r="M444" s="504"/>
      <c r="N444" s="504"/>
      <c r="O444" s="256"/>
      <c r="P444" s="256"/>
      <c r="Q444" s="504"/>
      <c r="R444" s="504"/>
      <c r="S444" s="256"/>
      <c r="T444" s="256"/>
      <c r="U444" s="256"/>
      <c r="V444" s="504"/>
      <c r="W444" s="504"/>
      <c r="Z444" s="938"/>
      <c r="AB444" s="938"/>
      <c r="AD444" s="938"/>
      <c r="AF444" s="949"/>
    </row>
    <row r="445" spans="1:32">
      <c r="A445" s="4"/>
      <c r="B445" s="256"/>
      <c r="C445" s="9" t="s">
        <v>282</v>
      </c>
      <c r="D445" s="256"/>
      <c r="E445" s="36"/>
      <c r="F445" s="256"/>
      <c r="G445" s="453"/>
      <c r="H445" s="256"/>
      <c r="I445" s="256"/>
      <c r="J445" s="256"/>
      <c r="K445" s="256"/>
      <c r="L445" s="504"/>
      <c r="M445" s="504"/>
      <c r="N445" s="504"/>
      <c r="O445" s="256"/>
      <c r="P445" s="256"/>
      <c r="Q445" s="504"/>
      <c r="R445" s="504"/>
      <c r="S445" s="256"/>
      <c r="T445" s="256"/>
      <c r="U445" s="256"/>
      <c r="V445" s="504"/>
      <c r="W445" s="504"/>
      <c r="Z445" s="938"/>
      <c r="AB445" s="938"/>
      <c r="AD445" s="938"/>
      <c r="AF445" s="949"/>
    </row>
    <row r="446" spans="1:32">
      <c r="A446" s="4">
        <v>207</v>
      </c>
      <c r="C446" s="519" t="s">
        <v>785</v>
      </c>
      <c r="E446" s="513" t="s">
        <v>775</v>
      </c>
      <c r="G446" s="136">
        <v>0</v>
      </c>
      <c r="H446" s="68"/>
      <c r="I446" s="784">
        <v>7.8860000000000001</v>
      </c>
      <c r="J446" s="68">
        <f>G446*I446/1000</f>
        <v>0</v>
      </c>
      <c r="K446" s="68"/>
      <c r="L446" s="35">
        <v>0</v>
      </c>
      <c r="M446" s="35">
        <v>0</v>
      </c>
      <c r="N446" s="762">
        <f>J446-L446-M446</f>
        <v>0</v>
      </c>
      <c r="O446" s="68"/>
      <c r="P446" s="35">
        <v>0</v>
      </c>
      <c r="Q446" s="35">
        <v>0</v>
      </c>
      <c r="R446" s="35">
        <v>0</v>
      </c>
      <c r="S446" s="35"/>
      <c r="T446" s="68">
        <f>N446+P446+Q446+R446</f>
        <v>0</v>
      </c>
      <c r="U446" s="784">
        <v>8.0986473815922491</v>
      </c>
      <c r="V446" s="762">
        <f>T446-J446</f>
        <v>0</v>
      </c>
      <c r="W446" s="762"/>
      <c r="X446" s="782"/>
      <c r="Z446" s="938"/>
      <c r="AB446" s="938"/>
      <c r="AD446" s="938"/>
      <c r="AF446" s="949"/>
    </row>
    <row r="447" spans="1:32">
      <c r="A447" s="4">
        <v>208</v>
      </c>
      <c r="B447" s="256"/>
      <c r="C447" s="519" t="s">
        <v>786</v>
      </c>
      <c r="D447" s="256"/>
      <c r="E447" s="513" t="s">
        <v>777</v>
      </c>
      <c r="F447" s="256"/>
      <c r="G447" s="136">
        <v>0</v>
      </c>
      <c r="H447" s="771"/>
      <c r="I447" s="784">
        <v>0.14299999999999999</v>
      </c>
      <c r="J447" s="68">
        <f>G447*I447/1000</f>
        <v>0</v>
      </c>
      <c r="K447" s="771"/>
      <c r="L447" s="35">
        <v>0</v>
      </c>
      <c r="M447" s="35">
        <v>0</v>
      </c>
      <c r="N447" s="762">
        <f>J447-L447-M447</f>
        <v>0</v>
      </c>
      <c r="O447" s="771"/>
      <c r="P447" s="35">
        <v>0</v>
      </c>
      <c r="Q447" s="35">
        <v>0</v>
      </c>
      <c r="R447" s="35">
        <v>0</v>
      </c>
      <c r="S447" s="771"/>
      <c r="T447" s="68">
        <f>N447+P447+Q447+R447</f>
        <v>0</v>
      </c>
      <c r="U447" s="784">
        <v>0.14685602023430022</v>
      </c>
      <c r="V447" s="762">
        <f>T447-J447</f>
        <v>0</v>
      </c>
      <c r="W447" s="762"/>
      <c r="X447" s="782"/>
      <c r="Z447" s="938"/>
      <c r="AB447" s="938"/>
      <c r="AD447" s="938"/>
      <c r="AF447" s="949"/>
    </row>
    <row r="448" spans="1:32">
      <c r="A448" s="4">
        <v>209</v>
      </c>
      <c r="B448" s="256"/>
      <c r="C448" s="9" t="s">
        <v>282</v>
      </c>
      <c r="D448" s="256"/>
      <c r="E448" s="36"/>
      <c r="F448" s="256"/>
      <c r="G448" s="420">
        <f>SUM(G446:G447)</f>
        <v>0</v>
      </c>
      <c r="H448" s="807"/>
      <c r="I448" s="807"/>
      <c r="J448" s="807">
        <f>SUM(J446:J447)</f>
        <v>0</v>
      </c>
      <c r="K448" s="771"/>
      <c r="L448" s="805">
        <f>SUM(L446:L447)</f>
        <v>0</v>
      </c>
      <c r="M448" s="805">
        <f>SUM(M446:M447)</f>
        <v>0</v>
      </c>
      <c r="N448" s="805">
        <f>SUM(N446:N447)</f>
        <v>0</v>
      </c>
      <c r="O448" s="762"/>
      <c r="P448" s="805">
        <f>SUM(P446:P447)</f>
        <v>0</v>
      </c>
      <c r="Q448" s="805">
        <f>SUM(Q446:Q447)</f>
        <v>0</v>
      </c>
      <c r="R448" s="805">
        <f>SUM(R446:R447)</f>
        <v>0</v>
      </c>
      <c r="S448" s="762"/>
      <c r="T448" s="805">
        <f>SUM(T446:T447)</f>
        <v>0</v>
      </c>
      <c r="U448" s="963">
        <v>1.8417995323709837</v>
      </c>
      <c r="V448" s="805">
        <f>SUM(V446:V447)</f>
        <v>0</v>
      </c>
      <c r="W448" s="805"/>
      <c r="X448" s="782"/>
      <c r="Z448" s="962"/>
      <c r="AB448" s="962"/>
      <c r="AD448" s="962"/>
      <c r="AF448" s="962"/>
    </row>
    <row r="449" spans="1:32">
      <c r="A449" s="4"/>
      <c r="B449" s="256"/>
      <c r="C449" s="7"/>
      <c r="D449" s="256"/>
      <c r="E449" s="36"/>
      <c r="F449" s="256"/>
      <c r="G449" s="453"/>
      <c r="H449" s="771"/>
      <c r="I449" s="771"/>
      <c r="J449" s="771"/>
      <c r="K449" s="771"/>
      <c r="L449" s="762"/>
      <c r="M449" s="762"/>
      <c r="N449" s="762"/>
      <c r="O449" s="771"/>
      <c r="P449" s="771"/>
      <c r="Q449" s="762"/>
      <c r="R449" s="762"/>
      <c r="S449" s="771"/>
      <c r="T449" s="771"/>
      <c r="U449" s="864"/>
      <c r="V449" s="762"/>
      <c r="W449" s="762"/>
      <c r="X449" s="782"/>
    </row>
    <row r="450" spans="1:32" ht="13.5" thickBot="1">
      <c r="A450" s="4">
        <v>210</v>
      </c>
      <c r="B450" s="256"/>
      <c r="C450" s="9" t="s">
        <v>223</v>
      </c>
      <c r="D450" s="256"/>
      <c r="E450" s="860"/>
      <c r="F450" s="256"/>
      <c r="G450" s="458">
        <f>G428</f>
        <v>1076377.9679700001</v>
      </c>
      <c r="H450" s="771"/>
      <c r="I450" s="901">
        <f>J450/G450*100</f>
        <v>1.0966583072511846</v>
      </c>
      <c r="J450" s="781">
        <f>J432+J443+J448</f>
        <v>11804.1884031645</v>
      </c>
      <c r="K450" s="771"/>
      <c r="L450" s="781">
        <f>L432+L443+L448</f>
        <v>1224.9183929174201</v>
      </c>
      <c r="M450" s="781">
        <f>M432+M443+M448</f>
        <v>13.760700020675317</v>
      </c>
      <c r="N450" s="781">
        <f>N432+N443+N448</f>
        <v>10565.509310226404</v>
      </c>
      <c r="O450" s="771"/>
      <c r="P450" s="781">
        <f>P432+P443+P448</f>
        <v>284.90082297846345</v>
      </c>
      <c r="Q450" s="781">
        <f>Q432+Q443+Q448</f>
        <v>905.45719952283821</v>
      </c>
      <c r="R450" s="781">
        <f>R432+R443+R448</f>
        <v>13.37923487947986</v>
      </c>
      <c r="S450" s="750"/>
      <c r="T450" s="756">
        <f>T432+T443+T448</f>
        <v>11769.246567607184</v>
      </c>
      <c r="U450" s="845">
        <f>T450/G450*100</f>
        <v>1.0934120650763084</v>
      </c>
      <c r="V450" s="844">
        <f>V432+V443+V448</f>
        <v>-34.941835557313617</v>
      </c>
      <c r="W450" s="780">
        <f>U450/I450-1</f>
        <v>-2.9601218113352035E-3</v>
      </c>
      <c r="X450" s="779"/>
      <c r="Z450" s="938"/>
      <c r="AB450" s="938"/>
      <c r="AD450" s="938"/>
      <c r="AF450" s="949"/>
    </row>
    <row r="451" spans="1:32" ht="13.5" thickTop="1">
      <c r="A451" s="4"/>
      <c r="L451" s="504"/>
      <c r="M451" s="504"/>
      <c r="N451" s="504"/>
      <c r="Q451" s="504"/>
      <c r="R451" s="504"/>
      <c r="V451" s="753"/>
      <c r="W451" s="504"/>
    </row>
    <row r="452" spans="1:32">
      <c r="A452" s="4"/>
      <c r="B452" s="734"/>
      <c r="C452" s="802" t="s">
        <v>177</v>
      </c>
      <c r="D452" s="734"/>
      <c r="E452" s="734"/>
      <c r="F452" s="734"/>
      <c r="G452" s="734"/>
      <c r="H452" s="734"/>
      <c r="I452" s="734"/>
      <c r="J452" s="734"/>
      <c r="K452" s="734"/>
      <c r="L452" s="504"/>
      <c r="M452" s="504"/>
      <c r="N452" s="504"/>
      <c r="O452" s="734"/>
      <c r="P452" s="734"/>
      <c r="Q452" s="504"/>
      <c r="R452" s="504"/>
      <c r="S452" s="734"/>
      <c r="T452" s="734"/>
      <c r="U452" s="734"/>
      <c r="V452" s="504"/>
      <c r="W452" s="504"/>
    </row>
    <row r="453" spans="1:32">
      <c r="A453" s="4"/>
      <c r="B453" s="385"/>
      <c r="C453" s="6" t="s">
        <v>178</v>
      </c>
      <c r="D453" s="385"/>
      <c r="E453" s="447"/>
      <c r="F453" s="385"/>
      <c r="G453" s="447"/>
      <c r="H453" s="385"/>
      <c r="I453" s="385"/>
      <c r="J453" s="385"/>
      <c r="K453" s="385"/>
      <c r="L453" s="504"/>
      <c r="M453" s="504"/>
      <c r="N453" s="504"/>
      <c r="O453" s="385"/>
      <c r="P453" s="385"/>
      <c r="Q453" s="504"/>
      <c r="R453" s="504"/>
      <c r="S453" s="385"/>
      <c r="T453" s="385"/>
      <c r="U453" s="385"/>
      <c r="V453" s="504"/>
      <c r="W453" s="504"/>
    </row>
    <row r="454" spans="1:32">
      <c r="A454" s="4">
        <v>211</v>
      </c>
      <c r="B454" s="447"/>
      <c r="C454" s="7" t="s">
        <v>703</v>
      </c>
      <c r="D454" s="447"/>
      <c r="E454" s="385" t="s">
        <v>704</v>
      </c>
      <c r="F454" s="447"/>
      <c r="G454" s="828">
        <v>14450119.000000004</v>
      </c>
      <c r="H454" s="856"/>
      <c r="I454" s="778">
        <v>22.98</v>
      </c>
      <c r="J454" s="818">
        <f>G454*I454/1000</f>
        <v>332063.73462000006</v>
      </c>
      <c r="K454" s="856"/>
      <c r="L454" s="35">
        <v>0</v>
      </c>
      <c r="M454" s="35">
        <v>0</v>
      </c>
      <c r="N454" s="762">
        <f>J454-L454-M454</f>
        <v>332063.73462000006</v>
      </c>
      <c r="O454" s="787"/>
      <c r="P454" s="35">
        <v>8954.1572012028773</v>
      </c>
      <c r="Q454" s="35">
        <v>32546.953093803524</v>
      </c>
      <c r="R454" s="35">
        <v>0</v>
      </c>
      <c r="S454" s="856"/>
      <c r="T454" s="818">
        <f>N454+P454+Q454+R454</f>
        <v>373564.84491500648</v>
      </c>
      <c r="U454" s="858">
        <f>T454/G454*1000</f>
        <v>25.852025503389029</v>
      </c>
      <c r="V454" s="753">
        <f>T454-J454</f>
        <v>41501.110295006423</v>
      </c>
      <c r="W454" s="770">
        <f>U454/I454-1</f>
        <v>0.12497935175757302</v>
      </c>
      <c r="X454" s="769"/>
      <c r="Z454" s="938"/>
      <c r="AB454" s="938"/>
      <c r="AD454" s="938"/>
      <c r="AF454" s="954"/>
    </row>
    <row r="455" spans="1:32">
      <c r="A455" s="4"/>
      <c r="B455" s="254"/>
      <c r="C455" s="512" t="s">
        <v>705</v>
      </c>
      <c r="D455" s="254"/>
      <c r="E455" s="4"/>
      <c r="F455" s="254"/>
      <c r="G455" s="828"/>
      <c r="H455" s="854"/>
      <c r="I455" s="855"/>
      <c r="J455" s="854"/>
      <c r="K455" s="854"/>
      <c r="L455" s="762"/>
      <c r="M455" s="762"/>
      <c r="N455" s="762"/>
      <c r="O455" s="786"/>
      <c r="P455" s="813"/>
      <c r="Q455" s="762"/>
      <c r="R455" s="762"/>
      <c r="S455" s="854"/>
      <c r="T455" s="818"/>
      <c r="U455" s="853"/>
      <c r="V455" s="753"/>
      <c r="W455" s="770"/>
      <c r="X455" s="769"/>
      <c r="Z455" s="938"/>
      <c r="AB455" s="938"/>
      <c r="AD455" s="938"/>
    </row>
    <row r="456" spans="1:32">
      <c r="A456" s="4">
        <v>212</v>
      </c>
      <c r="B456" s="256"/>
      <c r="C456" s="519" t="s">
        <v>942</v>
      </c>
      <c r="D456" s="256"/>
      <c r="E456" s="513" t="s">
        <v>674</v>
      </c>
      <c r="F456" s="256"/>
      <c r="G456" s="828">
        <v>1046589.5733471487</v>
      </c>
      <c r="H456" s="750"/>
      <c r="I456" s="772">
        <v>6.3948999999999998</v>
      </c>
      <c r="J456" s="750">
        <f>G456*I456/100</f>
        <v>66928.356625976812</v>
      </c>
      <c r="K456" s="750"/>
      <c r="L456" s="35">
        <v>10200.061981841312</v>
      </c>
      <c r="M456" s="35">
        <v>2516.2061097543501</v>
      </c>
      <c r="N456" s="762">
        <f>J456-L456-M456</f>
        <v>54212.088534381153</v>
      </c>
      <c r="O456" s="771"/>
      <c r="P456" s="35">
        <v>1461.8385337919462</v>
      </c>
      <c r="Q456" s="35">
        <v>2187.6249311468928</v>
      </c>
      <c r="R456" s="35">
        <v>2446.4217884023064</v>
      </c>
      <c r="S456" s="750"/>
      <c r="T456" s="818">
        <f>N456+P456+Q456+R456</f>
        <v>60307.973787722301</v>
      </c>
      <c r="U456" s="848">
        <f>T456/G456*100</f>
        <v>5.7623327542666472</v>
      </c>
      <c r="V456" s="847">
        <f>T456-J456</f>
        <v>-6620.3828382545107</v>
      </c>
      <c r="W456" s="770"/>
      <c r="X456" s="769"/>
      <c r="Z456" s="938"/>
      <c r="AB456" s="938"/>
      <c r="AD456" s="938"/>
      <c r="AF456" s="949"/>
    </row>
    <row r="457" spans="1:32">
      <c r="A457" s="4">
        <v>213</v>
      </c>
      <c r="B457" s="256"/>
      <c r="C457" s="519" t="s">
        <v>943</v>
      </c>
      <c r="D457" s="256"/>
      <c r="E457" s="513" t="s">
        <v>674</v>
      </c>
      <c r="F457" s="256"/>
      <c r="G457" s="828">
        <v>935574.92126953974</v>
      </c>
      <c r="H457" s="750"/>
      <c r="I457" s="772">
        <v>6.0808</v>
      </c>
      <c r="J457" s="750">
        <f>G457*I457/100</f>
        <v>56890.439812558172</v>
      </c>
      <c r="K457" s="750"/>
      <c r="L457" s="35">
        <v>8656.8747465070519</v>
      </c>
      <c r="M457" s="35">
        <v>2249.3051650635143</v>
      </c>
      <c r="N457" s="762">
        <f>J457-L457-M457</f>
        <v>45984.259900987599</v>
      </c>
      <c r="O457" s="771"/>
      <c r="P457" s="35">
        <v>1239.9736827799134</v>
      </c>
      <c r="Q457" s="35">
        <v>1955.577501292534</v>
      </c>
      <c r="R457" s="35">
        <v>2186.9230597784554</v>
      </c>
      <c r="S457" s="750"/>
      <c r="T457" s="818">
        <f>N457+P457+Q457+R457</f>
        <v>51366.734144838505</v>
      </c>
      <c r="U457" s="848">
        <f>T457/G457*100</f>
        <v>5.4903923755390744</v>
      </c>
      <c r="V457" s="847">
        <f>T457-J457</f>
        <v>-5523.705667719667</v>
      </c>
      <c r="W457" s="770"/>
      <c r="X457" s="769"/>
      <c r="Z457" s="938"/>
      <c r="AB457" s="938"/>
      <c r="AD457" s="938"/>
      <c r="AF457" s="949"/>
    </row>
    <row r="458" spans="1:32">
      <c r="A458" s="4">
        <v>214</v>
      </c>
      <c r="B458" s="256"/>
      <c r="C458" s="519" t="s">
        <v>944</v>
      </c>
      <c r="D458" s="256"/>
      <c r="E458" s="513" t="s">
        <v>674</v>
      </c>
      <c r="F458" s="256"/>
      <c r="G458" s="828">
        <v>1256700.005050699</v>
      </c>
      <c r="H458" s="750"/>
      <c r="I458" s="772">
        <v>5.2693000000000003</v>
      </c>
      <c r="J458" s="750">
        <f>G458*I458/100</f>
        <v>66219.29336613648</v>
      </c>
      <c r="K458" s="750"/>
      <c r="L458" s="35">
        <v>10027.209340299527</v>
      </c>
      <c r="M458" s="35">
        <v>3021.3526977189108</v>
      </c>
      <c r="N458" s="762">
        <f>J458-L458-M458</f>
        <v>53170.731328118047</v>
      </c>
      <c r="O458" s="771"/>
      <c r="P458" s="35">
        <v>1433.7581529633826</v>
      </c>
      <c r="Q458" s="35">
        <v>2626.8064693488427</v>
      </c>
      <c r="R458" s="35">
        <v>2937.5586687806117</v>
      </c>
      <c r="S458" s="750"/>
      <c r="T458" s="818">
        <f>N458+P458+Q458+R458</f>
        <v>60168.854619210884</v>
      </c>
      <c r="U458" s="848">
        <f>T458/G458*100</f>
        <v>4.7878454983203005</v>
      </c>
      <c r="V458" s="847">
        <f>T458-J458</f>
        <v>-6050.4387469255962</v>
      </c>
      <c r="W458" s="770"/>
      <c r="X458" s="769"/>
      <c r="Z458" s="938"/>
      <c r="AB458" s="938"/>
      <c r="AD458" s="938"/>
      <c r="AF458" s="949"/>
    </row>
    <row r="459" spans="1:32">
      <c r="A459" s="4">
        <v>215</v>
      </c>
      <c r="B459" s="256"/>
      <c r="C459" s="512" t="s">
        <v>705</v>
      </c>
      <c r="D459" s="256"/>
      <c r="E459" s="134"/>
      <c r="F459" s="256"/>
      <c r="G459" s="852">
        <f>SUM(G456:G458)</f>
        <v>3238864.4996673875</v>
      </c>
      <c r="H459" s="750"/>
      <c r="I459" s="806">
        <f>J459/G459*100</f>
        <v>5.8674294594351588</v>
      </c>
      <c r="J459" s="808">
        <f>SUM(J456:J458)</f>
        <v>190038.08980467147</v>
      </c>
      <c r="K459" s="750"/>
      <c r="L459" s="805">
        <f>SUM(L456:L458)</f>
        <v>28884.146068647893</v>
      </c>
      <c r="M459" s="805">
        <f>SUM(M456:M458)</f>
        <v>7786.8639725367757</v>
      </c>
      <c r="N459" s="805">
        <f>SUM(N456:N458)</f>
        <v>153367.07976348681</v>
      </c>
      <c r="O459" s="762"/>
      <c r="P459" s="807">
        <f>SUM(P456:P458)</f>
        <v>4135.5703695352422</v>
      </c>
      <c r="Q459" s="807">
        <f>SUM(Q456:Q458)</f>
        <v>6770.0089017882692</v>
      </c>
      <c r="R459" s="807">
        <f>SUM(R456:R458)</f>
        <v>7570.9035169613735</v>
      </c>
      <c r="S459" s="750"/>
      <c r="T459" s="808">
        <f>SUM(T456:T458)</f>
        <v>171843.5625517717</v>
      </c>
      <c r="U459" s="850">
        <f>T459/G459*100</f>
        <v>5.3056731014656222</v>
      </c>
      <c r="V459" s="851">
        <f>SUM(V455:V458)</f>
        <v>-18194.527252899774</v>
      </c>
      <c r="W459" s="816">
        <f>U459/I459-1</f>
        <v>-9.5741476204064258E-2</v>
      </c>
      <c r="X459" s="785"/>
      <c r="Z459" s="938"/>
      <c r="AB459" s="938"/>
      <c r="AD459" s="938"/>
      <c r="AF459" s="949"/>
    </row>
    <row r="460" spans="1:32">
      <c r="A460" s="4"/>
      <c r="B460" s="256"/>
      <c r="C460" s="7"/>
      <c r="D460" s="256"/>
      <c r="E460" s="36"/>
      <c r="F460" s="256"/>
      <c r="G460" s="828"/>
      <c r="H460" s="750"/>
      <c r="I460" s="792"/>
      <c r="J460" s="750"/>
      <c r="K460" s="750"/>
      <c r="L460" s="762"/>
      <c r="M460" s="762"/>
      <c r="N460" s="762"/>
      <c r="O460" s="771"/>
      <c r="P460" s="771"/>
      <c r="Q460" s="762"/>
      <c r="R460" s="762"/>
      <c r="S460" s="750"/>
      <c r="T460" s="750"/>
      <c r="U460" s="750"/>
      <c r="V460" s="753"/>
      <c r="W460" s="753"/>
      <c r="X460" s="728"/>
      <c r="Z460" s="938"/>
      <c r="AB460" s="938"/>
      <c r="AD460" s="938"/>
      <c r="AF460" s="949"/>
    </row>
    <row r="461" spans="1:32">
      <c r="A461" s="4">
        <v>216</v>
      </c>
      <c r="B461" s="256"/>
      <c r="C461" s="7" t="s">
        <v>710</v>
      </c>
      <c r="D461" s="256"/>
      <c r="E461" s="36"/>
      <c r="F461" s="256"/>
      <c r="G461" s="830">
        <f>G459</f>
        <v>3238864.4996673875</v>
      </c>
      <c r="H461" s="750"/>
      <c r="I461" s="806">
        <f>J461/G461*100</f>
        <v>16.119903270985507</v>
      </c>
      <c r="J461" s="808">
        <f>J454+J459</f>
        <v>522101.82442467153</v>
      </c>
      <c r="K461" s="750"/>
      <c r="L461" s="807">
        <f>L454+L459</f>
        <v>28884.146068647893</v>
      </c>
      <c r="M461" s="807">
        <f>M454+M459</f>
        <v>7786.8639725367757</v>
      </c>
      <c r="N461" s="807">
        <f>N454+N459</f>
        <v>485430.81438348687</v>
      </c>
      <c r="O461" s="771"/>
      <c r="P461" s="807">
        <f>P454+P459</f>
        <v>13089.72757073812</v>
      </c>
      <c r="Q461" s="807">
        <f>Q454+Q459</f>
        <v>39316.961995591795</v>
      </c>
      <c r="R461" s="807">
        <f>R454+R459</f>
        <v>7570.9035169613735</v>
      </c>
      <c r="S461" s="750"/>
      <c r="T461" s="808">
        <f>T454+T459</f>
        <v>545408.40746677818</v>
      </c>
      <c r="U461" s="850">
        <f>T461/G461*100</f>
        <v>16.839494443895028</v>
      </c>
      <c r="V461" s="808">
        <f>V454+V459</f>
        <v>23306.583042106649</v>
      </c>
      <c r="W461" s="841">
        <f>U461/I461-1</f>
        <v>4.4639918789384225E-2</v>
      </c>
      <c r="X461" s="779"/>
      <c r="Z461" s="938"/>
      <c r="AB461" s="938"/>
      <c r="AD461" s="938"/>
      <c r="AF461" s="949"/>
    </row>
    <row r="462" spans="1:32">
      <c r="A462" s="4"/>
      <c r="B462" s="256"/>
      <c r="C462" s="519"/>
      <c r="D462" s="256"/>
      <c r="E462" s="513"/>
      <c r="F462" s="256"/>
      <c r="G462" s="828"/>
      <c r="H462" s="750"/>
      <c r="I462" s="792"/>
      <c r="J462" s="750"/>
      <c r="K462" s="750"/>
      <c r="L462" s="762"/>
      <c r="M462" s="762"/>
      <c r="N462" s="762"/>
      <c r="O462" s="771"/>
      <c r="P462" s="771"/>
      <c r="Q462" s="762"/>
      <c r="R462" s="762"/>
      <c r="S462" s="750"/>
      <c r="T462" s="750"/>
      <c r="U462" s="750"/>
      <c r="V462" s="753"/>
      <c r="W462" s="753"/>
      <c r="X462" s="728"/>
      <c r="Z462" s="938"/>
      <c r="AB462" s="938"/>
      <c r="AD462" s="938"/>
      <c r="AF462" s="949"/>
    </row>
    <row r="463" spans="1:32">
      <c r="A463" s="4">
        <v>217</v>
      </c>
      <c r="B463" s="256"/>
      <c r="C463" s="512" t="s">
        <v>790</v>
      </c>
      <c r="D463" s="256"/>
      <c r="E463" s="513" t="s">
        <v>674</v>
      </c>
      <c r="F463" s="256"/>
      <c r="G463" s="828">
        <v>3238864.4996673875</v>
      </c>
      <c r="H463" s="750"/>
      <c r="I463" s="772">
        <v>0.8518</v>
      </c>
      <c r="J463" s="750">
        <f>G463*I463/100</f>
        <v>27588.647808166806</v>
      </c>
      <c r="K463" s="750"/>
      <c r="L463" s="35">
        <v>0</v>
      </c>
      <c r="M463" s="35">
        <v>0</v>
      </c>
      <c r="N463" s="762">
        <f>J463-L463-M463</f>
        <v>27588.647808166806</v>
      </c>
      <c r="O463" s="771"/>
      <c r="P463" s="35">
        <v>743.93275654037279</v>
      </c>
      <c r="Q463" s="35">
        <v>0</v>
      </c>
      <c r="R463" s="35">
        <v>0</v>
      </c>
      <c r="S463" s="750"/>
      <c r="T463" s="750">
        <f>N463+P463+Q463+R463</f>
        <v>28332.580564707179</v>
      </c>
      <c r="U463" s="848">
        <f>T463/G463*100</f>
        <v>0.87476893731172678</v>
      </c>
      <c r="V463" s="753">
        <f>T463-J463</f>
        <v>743.93275654037279</v>
      </c>
      <c r="W463" s="770">
        <f>U463/I463-1</f>
        <v>2.696517646363783E-2</v>
      </c>
      <c r="X463" s="769"/>
      <c r="Z463" s="938"/>
      <c r="AB463" s="938"/>
      <c r="AD463" s="938"/>
      <c r="AF463" s="949"/>
    </row>
    <row r="464" spans="1:32">
      <c r="A464" s="4"/>
      <c r="B464" s="256"/>
      <c r="C464" s="7"/>
      <c r="D464" s="256"/>
      <c r="E464" s="36"/>
      <c r="F464" s="256"/>
      <c r="G464" s="818"/>
      <c r="H464" s="750"/>
      <c r="I464" s="792"/>
      <c r="J464" s="750"/>
      <c r="K464" s="750"/>
      <c r="L464" s="762"/>
      <c r="M464" s="762"/>
      <c r="N464" s="762"/>
      <c r="O464" s="771"/>
      <c r="P464" s="771"/>
      <c r="Q464" s="762"/>
      <c r="R464" s="762"/>
      <c r="S464" s="750"/>
      <c r="T464" s="750"/>
      <c r="U464" s="848"/>
      <c r="V464" s="753"/>
      <c r="W464" s="770"/>
      <c r="X464" s="769"/>
      <c r="Z464" s="938"/>
      <c r="AB464" s="938"/>
      <c r="AD464" s="938"/>
      <c r="AF464" s="949"/>
    </row>
    <row r="465" spans="1:32">
      <c r="A465" s="4">
        <v>218</v>
      </c>
      <c r="B465" s="256"/>
      <c r="C465" s="7" t="s">
        <v>715</v>
      </c>
      <c r="D465" s="256"/>
      <c r="E465" s="513" t="s">
        <v>674</v>
      </c>
      <c r="F465" s="256"/>
      <c r="G465" s="828">
        <v>3057016.7994900364</v>
      </c>
      <c r="H465" s="750"/>
      <c r="I465" s="836">
        <v>-7.3899999999999993E-2</v>
      </c>
      <c r="J465" s="896">
        <f>G465*I465/100</f>
        <v>-2259.1354148231367</v>
      </c>
      <c r="K465" s="750"/>
      <c r="L465" s="35">
        <v>0</v>
      </c>
      <c r="M465" s="35">
        <v>0</v>
      </c>
      <c r="N465" s="762">
        <f>J465-L465-M465</f>
        <v>-2259.1354148231367</v>
      </c>
      <c r="O465" s="771"/>
      <c r="P465" s="35">
        <v>-60.917985115959709</v>
      </c>
      <c r="Q465" s="35">
        <v>0</v>
      </c>
      <c r="R465" s="35">
        <v>0</v>
      </c>
      <c r="S465" s="750"/>
      <c r="T465" s="896">
        <f>N465+P465+Q465+R465</f>
        <v>-2320.0533999390964</v>
      </c>
      <c r="U465" s="821">
        <f>T465/G465*100</f>
        <v>-7.5892726540662842E-2</v>
      </c>
      <c r="V465" s="847">
        <f>T465-J465</f>
        <v>-60.917985115959709</v>
      </c>
      <c r="W465" s="770">
        <f>U465/I465-1</f>
        <v>2.6965176463638052E-2</v>
      </c>
      <c r="X465" s="769"/>
      <c r="Z465" s="938"/>
      <c r="AB465" s="938"/>
      <c r="AD465" s="938"/>
      <c r="AF465" s="949"/>
    </row>
    <row r="466" spans="1:32">
      <c r="A466" s="4"/>
      <c r="B466" s="256"/>
      <c r="C466" s="7"/>
      <c r="D466" s="256"/>
      <c r="E466" s="36"/>
      <c r="F466" s="256"/>
      <c r="G466" s="828"/>
      <c r="H466" s="750"/>
      <c r="I466" s="750"/>
      <c r="J466" s="750"/>
      <c r="K466" s="750"/>
      <c r="L466" s="762"/>
      <c r="M466" s="762"/>
      <c r="N466" s="762"/>
      <c r="O466" s="771"/>
      <c r="P466" s="771"/>
      <c r="Q466" s="762"/>
      <c r="R466" s="762"/>
      <c r="S466" s="750"/>
      <c r="T466" s="750"/>
      <c r="U466" s="750"/>
      <c r="V466" s="753"/>
      <c r="W466" s="753"/>
      <c r="X466" s="728"/>
      <c r="Z466" s="938"/>
      <c r="AB466" s="938"/>
      <c r="AD466" s="938"/>
      <c r="AF466" s="949"/>
    </row>
    <row r="467" spans="1:32" ht="13.5" thickBot="1">
      <c r="A467" s="4">
        <v>219</v>
      </c>
      <c r="B467" s="256"/>
      <c r="C467" s="7" t="s">
        <v>791</v>
      </c>
      <c r="D467" s="256"/>
      <c r="E467" s="36"/>
      <c r="F467" s="256"/>
      <c r="G467" s="846">
        <f>G459</f>
        <v>3238864.4996673875</v>
      </c>
      <c r="H467" s="750"/>
      <c r="I467" s="845">
        <f>J467/G467*100</f>
        <v>16.901952424197837</v>
      </c>
      <c r="J467" s="756">
        <f>J461+J463+J465</f>
        <v>547431.3368180152</v>
      </c>
      <c r="K467" s="750"/>
      <c r="L467" s="781">
        <f>L461+L463+L465</f>
        <v>28884.146068647893</v>
      </c>
      <c r="M467" s="781">
        <f>M461+M463+M465</f>
        <v>7786.8639725367757</v>
      </c>
      <c r="N467" s="781">
        <f>N461+N463+N465</f>
        <v>510760.32677683054</v>
      </c>
      <c r="O467" s="771"/>
      <c r="P467" s="781">
        <f>P461+P463+P465</f>
        <v>13772.742342162532</v>
      </c>
      <c r="Q467" s="781">
        <f>Q461+Q463+Q465</f>
        <v>39316.961995591795</v>
      </c>
      <c r="R467" s="781">
        <f>R461+R463+R465</f>
        <v>7570.9035169613735</v>
      </c>
      <c r="S467" s="750"/>
      <c r="T467" s="756">
        <f>T461+T463+T465</f>
        <v>571420.93463154626</v>
      </c>
      <c r="U467" s="845">
        <f>T467/G467*100</f>
        <v>17.642631690526969</v>
      </c>
      <c r="V467" s="756">
        <f>V461+V463+V465</f>
        <v>23989.597813531062</v>
      </c>
      <c r="W467" s="780">
        <f>U467/I467-1</f>
        <v>4.3822112838794336E-2</v>
      </c>
      <c r="X467" s="779"/>
      <c r="Z467" s="938"/>
      <c r="AB467" s="938"/>
      <c r="AD467" s="938"/>
      <c r="AF467" s="949"/>
    </row>
    <row r="468" spans="1:32" ht="13.5" thickTop="1">
      <c r="A468" s="4"/>
      <c r="B468" s="256"/>
      <c r="C468" s="7"/>
      <c r="D468" s="256"/>
      <c r="E468" s="36"/>
      <c r="F468" s="256"/>
      <c r="G468" s="828"/>
      <c r="H468" s="750"/>
      <c r="I468" s="848"/>
      <c r="J468" s="750"/>
      <c r="K468" s="750"/>
      <c r="L468" s="771"/>
      <c r="M468" s="771"/>
      <c r="N468" s="771"/>
      <c r="O468" s="771"/>
      <c r="P468" s="771"/>
      <c r="Q468" s="771"/>
      <c r="R468" s="771"/>
      <c r="S468" s="750"/>
      <c r="T468" s="750"/>
      <c r="U468" s="848"/>
      <c r="V468" s="750"/>
      <c r="W468" s="779"/>
      <c r="X468" s="779"/>
      <c r="Z468" s="938"/>
      <c r="AB468" s="938"/>
      <c r="AD468" s="938"/>
      <c r="AF468" s="949"/>
    </row>
    <row r="469" spans="1:32">
      <c r="A469" s="4"/>
      <c r="B469" s="256"/>
      <c r="C469" s="7"/>
      <c r="D469" s="256"/>
      <c r="E469" s="36"/>
      <c r="F469" s="256"/>
      <c r="G469" s="828"/>
      <c r="H469" s="750"/>
      <c r="I469" s="848"/>
      <c r="J469" s="750"/>
      <c r="K469" s="750"/>
      <c r="L469" s="771"/>
      <c r="M469" s="771"/>
      <c r="N469" s="771"/>
      <c r="O469" s="771"/>
      <c r="P469" s="771"/>
      <c r="Q469" s="771"/>
      <c r="R469" s="771"/>
      <c r="S469" s="750"/>
      <c r="T469" s="750"/>
      <c r="U469" s="848"/>
      <c r="V469" s="750"/>
      <c r="W469" s="779"/>
      <c r="X469" s="779"/>
      <c r="Z469" s="938"/>
      <c r="AB469" s="938"/>
      <c r="AD469" s="938"/>
      <c r="AF469" s="949"/>
    </row>
    <row r="470" spans="1:32">
      <c r="L470" s="2"/>
      <c r="M470" s="2"/>
      <c r="N470" s="504"/>
      <c r="Q470" s="504"/>
      <c r="R470" s="504"/>
      <c r="V470" s="753"/>
      <c r="W470" s="504"/>
      <c r="Z470" s="938"/>
      <c r="AB470" s="938"/>
      <c r="AD470" s="938"/>
      <c r="AF470" s="949"/>
    </row>
    <row r="471" spans="1:32">
      <c r="L471" s="2"/>
      <c r="M471" s="2"/>
      <c r="N471" s="504"/>
      <c r="Q471" s="504"/>
      <c r="R471" s="504"/>
      <c r="V471" s="753"/>
      <c r="W471" s="504"/>
      <c r="Z471" s="938"/>
      <c r="AB471" s="938"/>
      <c r="AD471" s="938"/>
      <c r="AF471" s="949"/>
    </row>
    <row r="472" spans="1:32">
      <c r="L472" s="2"/>
      <c r="M472" s="2"/>
      <c r="N472" s="504"/>
      <c r="Q472" s="504"/>
      <c r="R472" s="504"/>
      <c r="V472" s="504"/>
      <c r="W472" s="504"/>
      <c r="Z472" s="938"/>
      <c r="AB472" s="938"/>
      <c r="AD472" s="938"/>
      <c r="AF472" s="949"/>
    </row>
    <row r="473" spans="1:32">
      <c r="A473" s="1324" t="s">
        <v>724</v>
      </c>
      <c r="B473" s="1324"/>
      <c r="C473" s="1324"/>
      <c r="D473" s="1324"/>
      <c r="E473" s="1324"/>
      <c r="F473" s="1324"/>
      <c r="G473" s="1324"/>
      <c r="H473" s="1324"/>
      <c r="I473" s="1324"/>
      <c r="J473" s="1324"/>
      <c r="K473" s="1324"/>
      <c r="L473" s="1324"/>
      <c r="M473" s="1324"/>
      <c r="N473" s="1324"/>
      <c r="O473" s="1324"/>
      <c r="P473" s="1324"/>
      <c r="Q473" s="1324"/>
      <c r="R473" s="1324"/>
      <c r="S473" s="1324"/>
      <c r="T473" s="1324"/>
      <c r="U473" s="1324"/>
      <c r="V473" s="1324"/>
      <c r="W473" s="1324"/>
      <c r="X473" s="665"/>
      <c r="Z473" s="938"/>
      <c r="AB473" s="938"/>
      <c r="AD473" s="938"/>
      <c r="AF473" s="949"/>
    </row>
    <row r="474" spans="1:32">
      <c r="A474" s="1324" t="s">
        <v>938</v>
      </c>
      <c r="B474" s="1324"/>
      <c r="C474" s="1324"/>
      <c r="D474" s="1324"/>
      <c r="E474" s="1324"/>
      <c r="F474" s="1324"/>
      <c r="G474" s="1324"/>
      <c r="H474" s="1324"/>
      <c r="I474" s="1324"/>
      <c r="J474" s="1324"/>
      <c r="K474" s="1324"/>
      <c r="L474" s="1324"/>
      <c r="M474" s="1324"/>
      <c r="N474" s="1324"/>
      <c r="O474" s="1324"/>
      <c r="P474" s="1324"/>
      <c r="Q474" s="1324"/>
      <c r="R474" s="1324"/>
      <c r="S474" s="1324"/>
      <c r="T474" s="1324"/>
      <c r="U474" s="1324"/>
      <c r="V474" s="1324"/>
      <c r="W474" s="1324"/>
      <c r="X474" s="644"/>
      <c r="Y474" s="644"/>
      <c r="Z474" s="938"/>
      <c r="AB474" s="938"/>
      <c r="AD474" s="938"/>
      <c r="AF474" s="949"/>
    </row>
    <row r="475" spans="1:32">
      <c r="A475" s="385"/>
      <c r="B475" s="385"/>
      <c r="C475" s="385"/>
      <c r="D475" s="385"/>
      <c r="E475" s="447"/>
      <c r="F475" s="385"/>
      <c r="G475" s="447"/>
      <c r="H475" s="385"/>
      <c r="I475" s="385"/>
      <c r="J475" s="385"/>
      <c r="K475" s="385"/>
      <c r="L475" s="385"/>
      <c r="M475" s="385"/>
      <c r="N475" s="504"/>
      <c r="O475" s="385"/>
      <c r="P475" s="385"/>
      <c r="Q475" s="504"/>
      <c r="R475" s="504"/>
      <c r="S475" s="385"/>
      <c r="T475" s="385"/>
      <c r="U475" s="385"/>
      <c r="V475" s="504"/>
      <c r="W475" s="504"/>
      <c r="Z475" s="938"/>
      <c r="AB475" s="938"/>
      <c r="AD475" s="938"/>
      <c r="AF475" s="949"/>
    </row>
    <row r="476" spans="1:32" ht="26.45" customHeight="1">
      <c r="A476" s="447"/>
      <c r="B476" s="447"/>
      <c r="C476" s="447"/>
      <c r="D476" s="447"/>
      <c r="E476" s="385"/>
      <c r="F476" s="1313" t="s">
        <v>682</v>
      </c>
      <c r="G476" s="1313"/>
      <c r="H476" s="1313"/>
      <c r="I476" s="1313"/>
      <c r="J476" s="1313"/>
      <c r="K476" s="447"/>
      <c r="L476" s="1325" t="s">
        <v>496</v>
      </c>
      <c r="M476" s="1325"/>
      <c r="N476" s="256"/>
      <c r="O476" s="447"/>
      <c r="P476" s="449"/>
      <c r="Q476" s="1325" t="s">
        <v>497</v>
      </c>
      <c r="R476" s="1325"/>
      <c r="S476" s="447"/>
      <c r="T476" s="1313" t="s">
        <v>926</v>
      </c>
      <c r="U476" s="1313"/>
      <c r="V476" s="1313"/>
      <c r="W476" s="1313"/>
      <c r="X476" s="4"/>
      <c r="Z476" s="938"/>
      <c r="AB476" s="938"/>
      <c r="AD476" s="938"/>
      <c r="AF476" s="949"/>
    </row>
    <row r="477" spans="1:32" ht="38.25">
      <c r="A477" s="254" t="s">
        <v>1</v>
      </c>
      <c r="B477" s="254"/>
      <c r="C477" s="254"/>
      <c r="D477" s="254"/>
      <c r="E477" s="4" t="s">
        <v>670</v>
      </c>
      <c r="F477" s="254"/>
      <c r="G477" s="13" t="s">
        <v>684</v>
      </c>
      <c r="H477" s="254"/>
      <c r="I477" s="13" t="s">
        <v>196</v>
      </c>
      <c r="J477" s="13" t="s">
        <v>503</v>
      </c>
      <c r="K477" s="254"/>
      <c r="L477" s="13" t="s">
        <v>505</v>
      </c>
      <c r="M477" s="13" t="s">
        <v>685</v>
      </c>
      <c r="N477" s="254" t="s">
        <v>688</v>
      </c>
      <c r="O477" s="254"/>
      <c r="P477" s="254" t="s">
        <v>689</v>
      </c>
      <c r="Q477" s="13" t="s">
        <v>505</v>
      </c>
      <c r="R477" s="13" t="s">
        <v>685</v>
      </c>
      <c r="S477" s="254"/>
      <c r="T477" s="13" t="s">
        <v>690</v>
      </c>
      <c r="U477" s="13" t="s">
        <v>691</v>
      </c>
      <c r="V477" s="13" t="s">
        <v>692</v>
      </c>
      <c r="W477" s="254" t="s">
        <v>693</v>
      </c>
      <c r="X477" s="254"/>
      <c r="Z477" s="938"/>
      <c r="AB477" s="938"/>
      <c r="AD477" s="938"/>
      <c r="AF477" s="949"/>
    </row>
    <row r="478" spans="1:32" ht="14.25">
      <c r="A478" s="255" t="s">
        <v>2</v>
      </c>
      <c r="B478" s="256"/>
      <c r="C478" s="449" t="s">
        <v>3</v>
      </c>
      <c r="D478" s="256"/>
      <c r="E478" s="255" t="s">
        <v>4</v>
      </c>
      <c r="F478" s="256"/>
      <c r="G478" s="255" t="s">
        <v>694</v>
      </c>
      <c r="H478" s="256"/>
      <c r="I478" s="255" t="s">
        <v>77</v>
      </c>
      <c r="J478" s="255" t="s">
        <v>20</v>
      </c>
      <c r="K478" s="256"/>
      <c r="L478" s="255" t="s">
        <v>20</v>
      </c>
      <c r="M478" s="255" t="s">
        <v>20</v>
      </c>
      <c r="N478" s="255" t="s">
        <v>20</v>
      </c>
      <c r="O478" s="256"/>
      <c r="P478" s="255" t="s">
        <v>20</v>
      </c>
      <c r="Q478" s="255" t="s">
        <v>20</v>
      </c>
      <c r="R478" s="255" t="s">
        <v>20</v>
      </c>
      <c r="S478" s="256"/>
      <c r="T478" s="255" t="s">
        <v>20</v>
      </c>
      <c r="U478" s="255" t="s">
        <v>77</v>
      </c>
      <c r="V478" s="255" t="s">
        <v>20</v>
      </c>
      <c r="W478" s="255" t="s">
        <v>76</v>
      </c>
      <c r="X478" s="4"/>
      <c r="Z478" s="938"/>
      <c r="AB478" s="938"/>
      <c r="AD478" s="938"/>
      <c r="AF478" s="949"/>
    </row>
    <row r="479" spans="1:32">
      <c r="A479" s="4"/>
      <c r="B479" s="256"/>
      <c r="C479" s="256"/>
      <c r="D479" s="256"/>
      <c r="E479" s="4"/>
      <c r="F479" s="256"/>
      <c r="G479" s="4" t="s">
        <v>8</v>
      </c>
      <c r="H479" s="4"/>
      <c r="I479" s="4" t="s">
        <v>9</v>
      </c>
      <c r="J479" s="4" t="s">
        <v>370</v>
      </c>
      <c r="K479" s="4"/>
      <c r="L479" s="132" t="s">
        <v>79</v>
      </c>
      <c r="M479" s="132" t="s">
        <v>115</v>
      </c>
      <c r="N479" s="4" t="s">
        <v>927</v>
      </c>
      <c r="O479" s="4"/>
      <c r="P479" s="4" t="s">
        <v>928</v>
      </c>
      <c r="Q479" s="4" t="s">
        <v>118</v>
      </c>
      <c r="R479" s="4" t="s">
        <v>84</v>
      </c>
      <c r="S479" s="4"/>
      <c r="T479" s="4" t="s">
        <v>929</v>
      </c>
      <c r="U479" s="4" t="s">
        <v>517</v>
      </c>
      <c r="V479" s="4" t="s">
        <v>930</v>
      </c>
      <c r="W479" s="4" t="s">
        <v>931</v>
      </c>
    </row>
    <row r="480" spans="1:32">
      <c r="A480" s="4"/>
      <c r="B480" s="256"/>
      <c r="C480" s="256"/>
      <c r="D480" s="256"/>
      <c r="E480" s="4"/>
      <c r="F480" s="256"/>
      <c r="G480" s="4"/>
      <c r="H480" s="4"/>
      <c r="I480" s="4"/>
      <c r="J480" s="4"/>
      <c r="K480" s="4"/>
      <c r="L480" s="132"/>
      <c r="M480" s="132"/>
      <c r="N480" s="4"/>
      <c r="O480" s="4"/>
      <c r="P480" s="4"/>
      <c r="Q480" s="4"/>
      <c r="R480" s="4"/>
      <c r="S480" s="4"/>
      <c r="T480" s="4"/>
      <c r="U480" s="4"/>
      <c r="V480" s="4"/>
      <c r="W480" s="4"/>
    </row>
    <row r="481" spans="1:32">
      <c r="A481" s="4"/>
      <c r="B481" s="256"/>
      <c r="C481" s="6" t="s">
        <v>179</v>
      </c>
      <c r="D481" s="256"/>
      <c r="E481" s="36"/>
      <c r="F481" s="256"/>
      <c r="G481" s="828"/>
      <c r="H481" s="256"/>
      <c r="I481" s="256"/>
      <c r="J481" s="256"/>
      <c r="K481" s="256"/>
      <c r="L481" s="762"/>
      <c r="M481" s="762"/>
      <c r="N481" s="762"/>
      <c r="O481" s="771"/>
      <c r="P481" s="771"/>
      <c r="Q481" s="762"/>
      <c r="R481" s="762"/>
      <c r="S481" s="256"/>
      <c r="T481" s="256"/>
      <c r="U481" s="256"/>
      <c r="V481" s="504"/>
      <c r="W481" s="504"/>
    </row>
    <row r="482" spans="1:32">
      <c r="A482" s="4">
        <v>220</v>
      </c>
      <c r="B482" s="256"/>
      <c r="C482" s="7" t="s">
        <v>703</v>
      </c>
      <c r="D482" s="256"/>
      <c r="E482" s="385" t="s">
        <v>704</v>
      </c>
      <c r="F482" s="256"/>
      <c r="G482" s="828">
        <v>96924.000000000073</v>
      </c>
      <c r="H482" s="856"/>
      <c r="I482" s="778">
        <v>76.58</v>
      </c>
      <c r="J482" s="818">
        <f>G482*I482/1000</f>
        <v>7422.4399200000053</v>
      </c>
      <c r="K482" s="856"/>
      <c r="L482" s="35">
        <v>0</v>
      </c>
      <c r="M482" s="35">
        <v>0</v>
      </c>
      <c r="N482" s="762">
        <f>J482-L482-M482</f>
        <v>7422.4399200000053</v>
      </c>
      <c r="O482" s="787"/>
      <c r="P482" s="35">
        <v>200.14740223354966</v>
      </c>
      <c r="Q482" s="35">
        <v>0</v>
      </c>
      <c r="R482" s="35">
        <v>0</v>
      </c>
      <c r="S482" s="856"/>
      <c r="T482" s="818">
        <f>N482+P482+Q482+R482</f>
        <v>7622.5873222335549</v>
      </c>
      <c r="U482" s="858">
        <f>T482/G482*1000</f>
        <v>78.64499321358538</v>
      </c>
      <c r="V482" s="753">
        <f>T482-J482</f>
        <v>200.14740223354966</v>
      </c>
      <c r="W482" s="770">
        <f>U482/I482-1</f>
        <v>2.696517646363783E-2</v>
      </c>
      <c r="X482" s="769"/>
      <c r="Z482" s="938"/>
      <c r="AB482" s="938"/>
      <c r="AD482" s="938"/>
      <c r="AF482" s="954"/>
    </row>
    <row r="483" spans="1:32">
      <c r="A483" s="4"/>
      <c r="B483" s="256"/>
      <c r="C483" s="512" t="s">
        <v>705</v>
      </c>
      <c r="D483" s="256"/>
      <c r="E483" s="36"/>
      <c r="F483" s="256"/>
      <c r="G483" s="828"/>
      <c r="H483" s="854"/>
      <c r="I483" s="855"/>
      <c r="J483" s="854"/>
      <c r="K483" s="854"/>
      <c r="L483" s="762"/>
      <c r="M483" s="762"/>
      <c r="N483" s="762"/>
      <c r="O483" s="786"/>
      <c r="P483" s="813"/>
      <c r="Q483" s="762"/>
      <c r="R483" s="762"/>
      <c r="S483" s="854"/>
      <c r="T483" s="818"/>
      <c r="U483" s="853"/>
      <c r="V483" s="753"/>
      <c r="W483" s="770"/>
      <c r="X483" s="769"/>
      <c r="Z483" s="938"/>
      <c r="AB483" s="938"/>
      <c r="AD483" s="938"/>
      <c r="AF483" s="949"/>
    </row>
    <row r="484" spans="1:32">
      <c r="A484" s="4">
        <v>221</v>
      </c>
      <c r="B484" s="256"/>
      <c r="C484" s="519" t="s">
        <v>792</v>
      </c>
      <c r="D484" s="256"/>
      <c r="E484" s="513" t="s">
        <v>674</v>
      </c>
      <c r="F484" s="256"/>
      <c r="G484" s="828">
        <v>89658.492055731243</v>
      </c>
      <c r="H484" s="750"/>
      <c r="I484" s="772">
        <v>6.1420000000000003</v>
      </c>
      <c r="J484" s="750">
        <f>G484*I484/100</f>
        <v>5506.8245820630136</v>
      </c>
      <c r="K484" s="750"/>
      <c r="L484" s="35">
        <v>875.694491908327</v>
      </c>
      <c r="M484" s="35">
        <v>177.24151179358938</v>
      </c>
      <c r="N484" s="762">
        <f>J484-L484-M484</f>
        <v>4453.8885783610967</v>
      </c>
      <c r="O484" s="771"/>
      <c r="P484" s="35">
        <v>120.09989146488806</v>
      </c>
      <c r="Q484" s="35">
        <v>511.15731549004573</v>
      </c>
      <c r="R484" s="35">
        <v>172.28932370878272</v>
      </c>
      <c r="S484" s="750"/>
      <c r="T484" s="818">
        <f>N484+P484+Q484+R484</f>
        <v>5257.4351090248138</v>
      </c>
      <c r="U484" s="848">
        <f>T484/G484*100</f>
        <v>5.8638451177126871</v>
      </c>
      <c r="V484" s="847">
        <f>T484-J484</f>
        <v>-249.38947303819987</v>
      </c>
      <c r="W484" s="770"/>
      <c r="X484" s="769"/>
      <c r="Z484" s="938"/>
      <c r="AB484" s="938"/>
      <c r="AD484" s="938"/>
      <c r="AF484" s="949"/>
    </row>
    <row r="485" spans="1:32">
      <c r="A485" s="4">
        <v>222</v>
      </c>
      <c r="B485" s="256"/>
      <c r="C485" s="519" t="s">
        <v>793</v>
      </c>
      <c r="D485" s="256"/>
      <c r="E485" s="513" t="s">
        <v>674</v>
      </c>
      <c r="F485" s="256"/>
      <c r="G485" s="828">
        <v>391300.86243960465</v>
      </c>
      <c r="H485" s="750"/>
      <c r="I485" s="772">
        <v>6.0324000000000009</v>
      </c>
      <c r="J485" s="750">
        <f>G485*I485/100</f>
        <v>23604.833225806713</v>
      </c>
      <c r="K485" s="750"/>
      <c r="L485" s="35">
        <v>3751.4013682084897</v>
      </c>
      <c r="M485" s="35">
        <v>773.54364137443145</v>
      </c>
      <c r="N485" s="762">
        <f>J485-L485-M485</f>
        <v>19079.888216223793</v>
      </c>
      <c r="O485" s="771"/>
      <c r="P485" s="35">
        <v>514.49255265695683</v>
      </c>
      <c r="Q485" s="35">
        <v>2191.0600209773543</v>
      </c>
      <c r="R485" s="35">
        <v>751.93056910300106</v>
      </c>
      <c r="S485" s="750"/>
      <c r="T485" s="818">
        <f>N485+P485+Q485+R485</f>
        <v>22537.371358961107</v>
      </c>
      <c r="U485" s="848">
        <f>T485/G485*100</f>
        <v>5.7596017597430258</v>
      </c>
      <c r="V485" s="847">
        <f>T485-J485</f>
        <v>-1067.461866845606</v>
      </c>
      <c r="W485" s="770"/>
      <c r="X485" s="769"/>
      <c r="Z485" s="938"/>
      <c r="AB485" s="938"/>
      <c r="AD485" s="938"/>
      <c r="AF485" s="949"/>
    </row>
    <row r="486" spans="1:32">
      <c r="A486" s="4">
        <v>223</v>
      </c>
      <c r="B486" s="256"/>
      <c r="C486" s="519" t="s">
        <v>794</v>
      </c>
      <c r="D486" s="256"/>
      <c r="E486" s="513" t="s">
        <v>674</v>
      </c>
      <c r="F486" s="256"/>
      <c r="G486" s="828">
        <v>373385.94021697668</v>
      </c>
      <c r="H486" s="750"/>
      <c r="I486" s="772">
        <v>5.6587000000000005</v>
      </c>
      <c r="J486" s="750">
        <f>G486*I486/100</f>
        <v>21128.790199058061</v>
      </c>
      <c r="K486" s="750"/>
      <c r="L486" s="35">
        <v>3357.4863744310546</v>
      </c>
      <c r="M486" s="35">
        <v>738.12850304677124</v>
      </c>
      <c r="N486" s="762">
        <f>J486-L486-M486</f>
        <v>17033.175321580238</v>
      </c>
      <c r="O486" s="771"/>
      <c r="P486" s="35">
        <v>459.3025782824916</v>
      </c>
      <c r="Q486" s="35">
        <v>1961.2274763357125</v>
      </c>
      <c r="R486" s="35">
        <v>717.50494177800169</v>
      </c>
      <c r="S486" s="750"/>
      <c r="T486" s="818">
        <f>N486+P486+Q486+R486</f>
        <v>20171.210317976445</v>
      </c>
      <c r="U486" s="848">
        <f>T486/G486*100</f>
        <v>5.402241526891677</v>
      </c>
      <c r="V486" s="847">
        <f>T486-J486</f>
        <v>-957.57988108161589</v>
      </c>
      <c r="W486" s="770"/>
      <c r="X486" s="769"/>
      <c r="Z486" s="938"/>
      <c r="AB486" s="938"/>
      <c r="AD486" s="938"/>
      <c r="AF486" s="949"/>
    </row>
    <row r="487" spans="1:32">
      <c r="A487" s="4">
        <v>224</v>
      </c>
      <c r="B487" s="256"/>
      <c r="C487" s="519" t="s">
        <v>795</v>
      </c>
      <c r="D487" s="256"/>
      <c r="E487" s="513" t="s">
        <v>674</v>
      </c>
      <c r="F487" s="256"/>
      <c r="G487" s="828">
        <v>488968.96402614162</v>
      </c>
      <c r="H487" s="750"/>
      <c r="I487" s="772">
        <v>5.2688000000000006</v>
      </c>
      <c r="J487" s="750">
        <f>G487*I487/100</f>
        <v>25762.79677660935</v>
      </c>
      <c r="K487" s="750"/>
      <c r="L487" s="35">
        <v>4083.3798185823084</v>
      </c>
      <c r="M487" s="35">
        <v>966.61896064756138</v>
      </c>
      <c r="N487" s="762">
        <f>J487-L487-M487</f>
        <v>20712.797997379483</v>
      </c>
      <c r="O487" s="771"/>
      <c r="P487" s="35">
        <v>558.52425305502038</v>
      </c>
      <c r="Q487" s="35">
        <v>2391.3676282228366</v>
      </c>
      <c r="R487" s="35">
        <v>939.61129832835377</v>
      </c>
      <c r="S487" s="750"/>
      <c r="T487" s="818">
        <f>N487+P487+Q487+R487</f>
        <v>24602.301176985693</v>
      </c>
      <c r="U487" s="848">
        <f>T487/G487*100</f>
        <v>5.0314647732264639</v>
      </c>
      <c r="V487" s="847">
        <f>T487-J487</f>
        <v>-1160.4955996236567</v>
      </c>
      <c r="W487" s="770"/>
      <c r="X487" s="769"/>
      <c r="Z487" s="938"/>
      <c r="AB487" s="938"/>
      <c r="AD487" s="938"/>
      <c r="AF487" s="949"/>
    </row>
    <row r="488" spans="1:32">
      <c r="A488" s="4">
        <v>225</v>
      </c>
      <c r="C488" s="512" t="s">
        <v>705</v>
      </c>
      <c r="G488" s="852">
        <f>SUM(G484:G487)</f>
        <v>1343314.2587384542</v>
      </c>
      <c r="H488" s="750"/>
      <c r="I488" s="806">
        <f>J488/G488*100</f>
        <v>5.6578901243044957</v>
      </c>
      <c r="J488" s="808">
        <f>SUM(J484:J487)</f>
        <v>76003.244783537142</v>
      </c>
      <c r="K488" s="750"/>
      <c r="L488" s="805">
        <f>SUM(L484:L487)</f>
        <v>12067.962053130181</v>
      </c>
      <c r="M488" s="805">
        <f>SUM(M484:M487)</f>
        <v>2655.5326168623533</v>
      </c>
      <c r="N488" s="805">
        <f>SUM(N484:N487)</f>
        <v>61279.750113544607</v>
      </c>
      <c r="O488" s="762"/>
      <c r="P488" s="805">
        <f>SUM(P484:P487)</f>
        <v>1652.4192754593569</v>
      </c>
      <c r="Q488" s="805">
        <f>SUM(Q484:Q487)</f>
        <v>7054.8124410259497</v>
      </c>
      <c r="R488" s="805">
        <f>SUM(R484:R487)</f>
        <v>2581.3361329181394</v>
      </c>
      <c r="S488" s="762"/>
      <c r="T488" s="808">
        <f>SUM(T484:T487)</f>
        <v>72568.317962948058</v>
      </c>
      <c r="U488" s="850">
        <f>T488/G488*100</f>
        <v>5.4021847449977258</v>
      </c>
      <c r="V488" s="851">
        <f>SUM(V484:V487)</f>
        <v>-3434.9268205890785</v>
      </c>
      <c r="W488" s="816">
        <f>U488/I488-1</f>
        <v>-4.5194475977598292E-2</v>
      </c>
      <c r="X488" s="785"/>
      <c r="Z488" s="938"/>
      <c r="AB488" s="938"/>
      <c r="AD488" s="938"/>
      <c r="AF488" s="949"/>
    </row>
    <row r="489" spans="1:32">
      <c r="A489" s="4"/>
      <c r="B489" s="256"/>
      <c r="C489" s="7"/>
      <c r="D489" s="256"/>
      <c r="E489" s="36"/>
      <c r="F489" s="256"/>
      <c r="G489" s="828"/>
      <c r="H489" s="750"/>
      <c r="I489" s="792"/>
      <c r="J489" s="750"/>
      <c r="K489" s="750"/>
      <c r="L489" s="762"/>
      <c r="M489" s="762"/>
      <c r="N489" s="762"/>
      <c r="O489" s="771"/>
      <c r="P489" s="771"/>
      <c r="Q489" s="762"/>
      <c r="R489" s="762"/>
      <c r="S489" s="750"/>
      <c r="T489" s="750"/>
      <c r="U489" s="750"/>
      <c r="V489" s="753"/>
      <c r="W489" s="753"/>
      <c r="X489" s="728"/>
      <c r="Z489" s="938"/>
      <c r="AB489" s="938"/>
      <c r="AD489" s="938"/>
      <c r="AF489" s="949"/>
    </row>
    <row r="490" spans="1:32">
      <c r="A490" s="4">
        <v>226</v>
      </c>
      <c r="B490" s="256"/>
      <c r="C490" s="7" t="s">
        <v>710</v>
      </c>
      <c r="D490" s="256"/>
      <c r="E490" s="513"/>
      <c r="F490" s="256"/>
      <c r="G490" s="830">
        <f>G488</f>
        <v>1343314.2587384542</v>
      </c>
      <c r="H490" s="750"/>
      <c r="I490" s="806">
        <f>J490/G490*100</f>
        <v>6.2104369220263207</v>
      </c>
      <c r="J490" s="808">
        <f>J482+J488</f>
        <v>83425.684703537147</v>
      </c>
      <c r="K490" s="750"/>
      <c r="L490" s="807">
        <f>L482+L488</f>
        <v>12067.962053130181</v>
      </c>
      <c r="M490" s="807">
        <f>M482+M488</f>
        <v>2655.5326168623533</v>
      </c>
      <c r="N490" s="807">
        <f>N482+N488</f>
        <v>68702.190033544612</v>
      </c>
      <c r="O490" s="771"/>
      <c r="P490" s="807">
        <f>P482+P488</f>
        <v>1852.5666776929065</v>
      </c>
      <c r="Q490" s="807">
        <f>Q482+Q488</f>
        <v>7054.8124410259497</v>
      </c>
      <c r="R490" s="807">
        <f>R482+R488</f>
        <v>2581.3361329181394</v>
      </c>
      <c r="S490" s="750"/>
      <c r="T490" s="808">
        <f>T482+T488</f>
        <v>80190.905285181609</v>
      </c>
      <c r="U490" s="850">
        <f>T490/G490*100</f>
        <v>5.9696310646245383</v>
      </c>
      <c r="V490" s="849">
        <f>V482+V488</f>
        <v>-3234.7794183555288</v>
      </c>
      <c r="W490" s="816">
        <f>U490/I490-1</f>
        <v>-3.8774382611910241E-2</v>
      </c>
      <c r="X490" s="785"/>
      <c r="Z490" s="938"/>
      <c r="AB490" s="938"/>
      <c r="AD490" s="938"/>
      <c r="AF490" s="949"/>
    </row>
    <row r="491" spans="1:32">
      <c r="A491" s="4"/>
      <c r="B491" s="256"/>
      <c r="C491" s="519"/>
      <c r="D491" s="256"/>
      <c r="E491" s="513"/>
      <c r="F491" s="256"/>
      <c r="G491" s="35"/>
      <c r="H491" s="256"/>
      <c r="I491" s="256"/>
      <c r="J491" s="256"/>
      <c r="K491" s="256"/>
      <c r="L491" s="762"/>
      <c r="M491" s="762"/>
      <c r="N491" s="762"/>
      <c r="O491" s="771"/>
      <c r="P491" s="771"/>
      <c r="Q491" s="762"/>
      <c r="R491" s="762"/>
      <c r="S491" s="256"/>
      <c r="T491" s="256"/>
      <c r="U491" s="256"/>
      <c r="V491" s="504"/>
      <c r="W491" s="504"/>
      <c r="Z491" s="938"/>
      <c r="AB491" s="938"/>
      <c r="AD491" s="938"/>
      <c r="AF491" s="949"/>
    </row>
    <row r="492" spans="1:32">
      <c r="A492" s="4">
        <v>227</v>
      </c>
      <c r="B492" s="256"/>
      <c r="C492" s="512" t="s">
        <v>790</v>
      </c>
      <c r="D492" s="256"/>
      <c r="E492" s="513" t="s">
        <v>674</v>
      </c>
      <c r="F492" s="256"/>
      <c r="G492" s="828">
        <v>1343314.2587384542</v>
      </c>
      <c r="H492" s="750"/>
      <c r="I492" s="772">
        <v>0.80449999999999999</v>
      </c>
      <c r="J492" s="750">
        <f>G492*I492/100</f>
        <v>10806.963211550865</v>
      </c>
      <c r="K492" s="750"/>
      <c r="L492" s="35">
        <v>0</v>
      </c>
      <c r="M492" s="35">
        <v>0</v>
      </c>
      <c r="N492" s="762">
        <f>J492-L492-M492</f>
        <v>10806.963211550865</v>
      </c>
      <c r="O492" s="771"/>
      <c r="P492" s="35">
        <v>291.41167003551163</v>
      </c>
      <c r="Q492" s="35">
        <v>0</v>
      </c>
      <c r="R492" s="35">
        <v>0</v>
      </c>
      <c r="S492" s="750"/>
      <c r="T492" s="750">
        <f>N492+P492+Q492+R492</f>
        <v>11098.374881586376</v>
      </c>
      <c r="U492" s="848">
        <f>T492/G492*100</f>
        <v>0.82619348446499663</v>
      </c>
      <c r="V492" s="753">
        <f>T492-J492</f>
        <v>291.41167003551163</v>
      </c>
      <c r="W492" s="770">
        <f>U492/I492-1</f>
        <v>2.696517646363783E-2</v>
      </c>
      <c r="X492" s="769"/>
      <c r="Z492" s="938"/>
      <c r="AB492" s="938"/>
      <c r="AD492" s="938"/>
      <c r="AF492" s="949"/>
    </row>
    <row r="493" spans="1:32">
      <c r="A493" s="4"/>
      <c r="B493" s="256"/>
      <c r="C493" s="7"/>
      <c r="D493" s="256"/>
      <c r="E493" s="36"/>
      <c r="F493" s="256"/>
      <c r="G493" s="818"/>
      <c r="H493" s="750"/>
      <c r="I493" s="792"/>
      <c r="J493" s="750"/>
      <c r="K493" s="750"/>
      <c r="L493" s="762"/>
      <c r="M493" s="762"/>
      <c r="N493" s="762"/>
      <c r="O493" s="771"/>
      <c r="P493" s="771"/>
      <c r="Q493" s="762"/>
      <c r="R493" s="762"/>
      <c r="S493" s="750"/>
      <c r="T493" s="750"/>
      <c r="U493" s="848"/>
      <c r="V493" s="753"/>
      <c r="W493" s="770"/>
      <c r="X493" s="769"/>
      <c r="Z493" s="938"/>
      <c r="AB493" s="938"/>
      <c r="AD493" s="938"/>
      <c r="AF493" s="949"/>
    </row>
    <row r="494" spans="1:32">
      <c r="A494" s="4">
        <v>228</v>
      </c>
      <c r="B494" s="256"/>
      <c r="C494" s="7" t="s">
        <v>715</v>
      </c>
      <c r="D494" s="256"/>
      <c r="E494" s="513" t="s">
        <v>674</v>
      </c>
      <c r="F494" s="256"/>
      <c r="G494" s="828">
        <v>712317.1393682817</v>
      </c>
      <c r="H494" s="750"/>
      <c r="I494" s="836">
        <v>-7.3899999999999993E-2</v>
      </c>
      <c r="J494" s="896">
        <f>G494*I494/100</f>
        <v>-526.40236599316017</v>
      </c>
      <c r="K494" s="750"/>
      <c r="L494" s="35">
        <v>0</v>
      </c>
      <c r="M494" s="35">
        <v>0</v>
      </c>
      <c r="N494" s="762">
        <f>J494-L494-M494</f>
        <v>-526.40236599316017</v>
      </c>
      <c r="O494" s="771"/>
      <c r="P494" s="35">
        <v>-14.194532689882067</v>
      </c>
      <c r="Q494" s="35">
        <v>0</v>
      </c>
      <c r="R494" s="35">
        <v>0</v>
      </c>
      <c r="S494" s="750"/>
      <c r="T494" s="896">
        <f>N494+P494+Q494+R494</f>
        <v>-540.59689868304224</v>
      </c>
      <c r="U494" s="821">
        <f>T494/G494*100</f>
        <v>-7.5892726540662842E-2</v>
      </c>
      <c r="V494" s="847">
        <f>T494-J494</f>
        <v>-14.194532689882067</v>
      </c>
      <c r="W494" s="770">
        <f>U494/I494-1</f>
        <v>2.6965176463638052E-2</v>
      </c>
      <c r="X494" s="769"/>
      <c r="Z494" s="938"/>
      <c r="AB494" s="938"/>
      <c r="AD494" s="938"/>
      <c r="AF494" s="949"/>
    </row>
    <row r="495" spans="1:32">
      <c r="A495" s="4"/>
      <c r="B495" s="256"/>
      <c r="C495" s="7"/>
      <c r="D495" s="256"/>
      <c r="E495" s="36"/>
      <c r="F495" s="256"/>
      <c r="G495" s="828"/>
      <c r="H495" s="750"/>
      <c r="I495" s="750"/>
      <c r="J495" s="750"/>
      <c r="K495" s="750"/>
      <c r="L495" s="762"/>
      <c r="M495" s="762"/>
      <c r="N495" s="762"/>
      <c r="O495" s="771"/>
      <c r="P495" s="35"/>
      <c r="Q495" s="762"/>
      <c r="R495" s="762"/>
      <c r="S495" s="750"/>
      <c r="T495" s="750"/>
      <c r="U495" s="750"/>
      <c r="V495" s="753"/>
      <c r="W495" s="753"/>
      <c r="X495" s="728"/>
      <c r="Z495" s="938"/>
      <c r="AB495" s="938"/>
      <c r="AD495" s="938"/>
    </row>
    <row r="496" spans="1:32" ht="13.5" thickBot="1">
      <c r="A496" s="4">
        <v>229</v>
      </c>
      <c r="B496" s="256"/>
      <c r="C496" s="7" t="s">
        <v>796</v>
      </c>
      <c r="D496" s="256"/>
      <c r="E496" s="36"/>
      <c r="F496" s="256"/>
      <c r="G496" s="846">
        <f>G488</f>
        <v>1343314.2587384542</v>
      </c>
      <c r="H496" s="750"/>
      <c r="I496" s="845">
        <f>J496/G496*100</f>
        <v>6.9757500852478964</v>
      </c>
      <c r="J496" s="756">
        <f>J490+J492+J494</f>
        <v>93706.245549094863</v>
      </c>
      <c r="K496" s="750"/>
      <c r="L496" s="781">
        <f>L490+L492+L494</f>
        <v>12067.962053130181</v>
      </c>
      <c r="M496" s="781">
        <f>M490+M492+M494</f>
        <v>2655.5326168623533</v>
      </c>
      <c r="N496" s="781">
        <f>N490+N492+N494</f>
        <v>78982.750879102328</v>
      </c>
      <c r="O496" s="771"/>
      <c r="P496" s="768">
        <f>SUM(P490+P492+P494)</f>
        <v>2129.783815038536</v>
      </c>
      <c r="Q496" s="781">
        <f>Q490+Q492+Q494</f>
        <v>7054.8124410259497</v>
      </c>
      <c r="R496" s="781">
        <f>R490+R492+R494</f>
        <v>2581.3361329181394</v>
      </c>
      <c r="S496" s="750"/>
      <c r="T496" s="756">
        <f>T490+T492+T494</f>
        <v>90748.683268084947</v>
      </c>
      <c r="U496" s="845">
        <f>T496/G496*100</f>
        <v>6.7555810323423264</v>
      </c>
      <c r="V496" s="844">
        <f>V490+V492+V494</f>
        <v>-2957.5622810098994</v>
      </c>
      <c r="W496" s="815">
        <f>U496/I496-1</f>
        <v>-3.1562061457903523E-2</v>
      </c>
      <c r="X496" s="785"/>
      <c r="Z496" s="938"/>
      <c r="AB496" s="938"/>
      <c r="AD496" s="938"/>
      <c r="AF496" s="949"/>
    </row>
    <row r="497" spans="1:32" ht="13.5" thickTop="1">
      <c r="A497" s="4"/>
      <c r="L497" s="2"/>
      <c r="M497" s="2"/>
      <c r="N497" s="504"/>
      <c r="Q497" s="504"/>
      <c r="R497" s="504"/>
      <c r="V497" s="753"/>
      <c r="W497" s="504"/>
    </row>
    <row r="498" spans="1:32">
      <c r="A498" s="4"/>
      <c r="B498" s="256"/>
      <c r="C498" s="6" t="s">
        <v>180</v>
      </c>
      <c r="D498" s="256"/>
      <c r="E498" s="36"/>
      <c r="F498" s="256"/>
      <c r="G498" s="35"/>
      <c r="H498" s="256"/>
      <c r="I498" s="256"/>
      <c r="J498" s="256"/>
      <c r="K498" s="256"/>
      <c r="L498" s="762"/>
      <c r="M498" s="762"/>
      <c r="N498" s="762"/>
      <c r="O498" s="771"/>
      <c r="P498" s="771"/>
      <c r="Q498" s="762"/>
      <c r="R498" s="762"/>
      <c r="S498" s="256"/>
      <c r="T498" s="256"/>
      <c r="U498" s="256"/>
      <c r="V498" s="504"/>
      <c r="W498" s="504"/>
    </row>
    <row r="499" spans="1:32">
      <c r="A499" s="4"/>
      <c r="B499" s="256"/>
      <c r="C499" s="512" t="s">
        <v>726</v>
      </c>
      <c r="D499" s="256"/>
      <c r="E499" s="36"/>
      <c r="F499" s="256"/>
      <c r="G499" s="35"/>
      <c r="H499" s="256"/>
      <c r="I499" s="256"/>
      <c r="J499" s="256"/>
      <c r="K499" s="256"/>
      <c r="L499" s="762"/>
      <c r="M499" s="762"/>
      <c r="N499" s="762"/>
      <c r="O499" s="771"/>
      <c r="P499" s="771"/>
      <c r="Q499" s="762"/>
      <c r="R499" s="762"/>
      <c r="S499" s="256"/>
      <c r="T499" s="256"/>
      <c r="U499" s="256"/>
      <c r="V499" s="504"/>
      <c r="W499" s="504"/>
    </row>
    <row r="500" spans="1:32">
      <c r="A500" s="4">
        <v>230</v>
      </c>
      <c r="B500" s="256"/>
      <c r="C500" s="519" t="s">
        <v>797</v>
      </c>
      <c r="D500" s="256"/>
      <c r="E500" s="513" t="s">
        <v>675</v>
      </c>
      <c r="F500" s="256"/>
      <c r="G500" s="35">
        <v>20879.34</v>
      </c>
      <c r="H500" s="256"/>
      <c r="I500" s="772">
        <v>69.394599999999997</v>
      </c>
      <c r="J500" s="750">
        <f>G500*I500/100</f>
        <v>14489.134475639999</v>
      </c>
      <c r="K500" s="256"/>
      <c r="L500" s="35">
        <v>1995.4594031400002</v>
      </c>
      <c r="M500" s="35">
        <v>0</v>
      </c>
      <c r="N500" s="762">
        <f>J500-L500-M500</f>
        <v>12493.675072499998</v>
      </c>
      <c r="O500" s="771"/>
      <c r="P500" s="35">
        <v>336.89415300931614</v>
      </c>
      <c r="Q500" s="35">
        <v>2105.7548294816397</v>
      </c>
      <c r="R500" s="35">
        <v>0</v>
      </c>
      <c r="S500" s="750"/>
      <c r="T500" s="771">
        <f>N500+P500+Q500+R500</f>
        <v>14936.324054990953</v>
      </c>
      <c r="U500" s="792">
        <f>T500/G500*100</f>
        <v>71.536380244734517</v>
      </c>
      <c r="V500" s="753">
        <f>T500-J500</f>
        <v>447.18957935095386</v>
      </c>
      <c r="W500" s="770"/>
      <c r="X500" s="769"/>
      <c r="Z500" s="938"/>
      <c r="AB500" s="938"/>
      <c r="AD500" s="938"/>
      <c r="AF500" s="949"/>
    </row>
    <row r="501" spans="1:32">
      <c r="A501" s="4">
        <v>231</v>
      </c>
      <c r="B501" s="256"/>
      <c r="C501" s="519" t="s">
        <v>945</v>
      </c>
      <c r="D501" s="256"/>
      <c r="E501" s="513" t="s">
        <v>675</v>
      </c>
      <c r="F501" s="256"/>
      <c r="G501" s="35">
        <v>20175.232</v>
      </c>
      <c r="H501" s="256"/>
      <c r="I501" s="772">
        <v>33.057699999999997</v>
      </c>
      <c r="J501" s="750">
        <f>G501*I501/100</f>
        <v>6669.4676688639993</v>
      </c>
      <c r="K501" s="256"/>
      <c r="L501" s="35">
        <v>864.54904166400001</v>
      </c>
      <c r="M501" s="35">
        <v>0</v>
      </c>
      <c r="N501" s="762">
        <f>J501-L501-M501</f>
        <v>5804.9186271999988</v>
      </c>
      <c r="O501" s="771"/>
      <c r="P501" s="35">
        <v>156.53065513950605</v>
      </c>
      <c r="Q501" s="35">
        <v>969.29625281579604</v>
      </c>
      <c r="R501" s="35">
        <v>0</v>
      </c>
      <c r="S501" s="750"/>
      <c r="T501" s="771">
        <f>N501+P501+Q501+R501</f>
        <v>6930.7455351553008</v>
      </c>
      <c r="U501" s="792">
        <f>T501/G501*100</f>
        <v>34.352742685463546</v>
      </c>
      <c r="V501" s="753">
        <f>T501-J501</f>
        <v>261.27786629130151</v>
      </c>
      <c r="W501" s="770"/>
      <c r="X501" s="769"/>
      <c r="Z501" s="938"/>
      <c r="AB501" s="938"/>
      <c r="AD501" s="938"/>
      <c r="AF501" s="949"/>
    </row>
    <row r="502" spans="1:32">
      <c r="A502" s="4">
        <v>232</v>
      </c>
      <c r="C502" s="519" t="s">
        <v>946</v>
      </c>
      <c r="E502" s="513" t="s">
        <v>675</v>
      </c>
      <c r="G502" s="35">
        <v>5781.4719999999998</v>
      </c>
      <c r="I502" s="772">
        <v>28.335999999999999</v>
      </c>
      <c r="J502" s="750">
        <f>G502*I502/100</f>
        <v>1638.2379059199998</v>
      </c>
      <c r="L502" s="35">
        <v>208.138773472</v>
      </c>
      <c r="M502" s="35">
        <v>0</v>
      </c>
      <c r="N502" s="762">
        <f>J502-L502-M502</f>
        <v>1430.0991324479999</v>
      </c>
      <c r="O502" s="68"/>
      <c r="P502" s="35">
        <v>38.562875466955575</v>
      </c>
      <c r="Q502" s="35">
        <v>238.09064565111296</v>
      </c>
      <c r="R502" s="35">
        <v>0</v>
      </c>
      <c r="S502" s="752"/>
      <c r="T502" s="771">
        <f>N502+P502+Q502+R502</f>
        <v>1706.7526535660684</v>
      </c>
      <c r="U502" s="792">
        <f>T502/G502*100</f>
        <v>29.521074452424372</v>
      </c>
      <c r="V502" s="753">
        <f>T502-J502</f>
        <v>68.514747646068599</v>
      </c>
      <c r="W502" s="770"/>
      <c r="X502" s="769"/>
      <c r="Z502" s="938"/>
      <c r="AB502" s="938"/>
      <c r="AD502" s="938"/>
      <c r="AF502" s="949"/>
    </row>
    <row r="503" spans="1:32">
      <c r="A503" s="4">
        <v>233</v>
      </c>
      <c r="B503" s="256"/>
      <c r="C503" s="512" t="s">
        <v>726</v>
      </c>
      <c r="D503" s="256"/>
      <c r="E503" s="742"/>
      <c r="F503" s="256"/>
      <c r="G503" s="420">
        <f>SUM(G500:G502)</f>
        <v>46836.044000000002</v>
      </c>
      <c r="H503" s="256"/>
      <c r="I503" s="806">
        <f>J503/G503*100</f>
        <v>48.673709612246498</v>
      </c>
      <c r="J503" s="808">
        <f>SUM(J500:J502)</f>
        <v>22796.840050423998</v>
      </c>
      <c r="K503" s="256"/>
      <c r="L503" s="807">
        <f>SUM(L500:L502)</f>
        <v>3068.1472182760003</v>
      </c>
      <c r="M503" s="807">
        <f>SUM(M500:M502)</f>
        <v>0</v>
      </c>
      <c r="N503" s="807">
        <f>SUM(N500:N502)</f>
        <v>19728.692832147994</v>
      </c>
      <c r="O503" s="771"/>
      <c r="P503" s="807">
        <f>SUM(P500:P502)</f>
        <v>531.98768361577777</v>
      </c>
      <c r="Q503" s="807">
        <f>SUM(Q500:Q502)</f>
        <v>3313.1417279485486</v>
      </c>
      <c r="R503" s="807">
        <f>SUM(R500:R502)</f>
        <v>0</v>
      </c>
      <c r="S503" s="843"/>
      <c r="T503" s="807">
        <f>SUM(T500:T502)</f>
        <v>23573.822243712322</v>
      </c>
      <c r="U503" s="806">
        <f>T503/G503*100</f>
        <v>50.332650306059847</v>
      </c>
      <c r="V503" s="842">
        <f>SUM(V500:V502)</f>
        <v>776.98219328832397</v>
      </c>
      <c r="W503" s="804">
        <f>U503/I503-1</f>
        <v>3.4082890065892046E-2</v>
      </c>
      <c r="X503" s="769"/>
      <c r="Z503" s="938"/>
      <c r="AB503" s="938"/>
      <c r="AD503" s="938"/>
      <c r="AF503" s="949"/>
    </row>
    <row r="504" spans="1:32">
      <c r="A504" s="4"/>
      <c r="B504" s="256"/>
      <c r="C504" s="7"/>
      <c r="D504" s="256"/>
      <c r="E504" s="36"/>
      <c r="F504" s="256"/>
      <c r="G504" s="135"/>
      <c r="H504" s="256"/>
      <c r="I504" s="792"/>
      <c r="J504" s="750"/>
      <c r="K504" s="256"/>
      <c r="L504" s="504"/>
      <c r="M504" s="504"/>
      <c r="N504" s="753"/>
      <c r="O504" s="256"/>
      <c r="P504" s="750"/>
      <c r="Q504" s="753"/>
      <c r="R504" s="753"/>
      <c r="S504" s="750"/>
      <c r="T504" s="750"/>
      <c r="U504" s="792"/>
      <c r="V504" s="753"/>
      <c r="W504" s="770"/>
      <c r="X504" s="769"/>
      <c r="Z504" s="938"/>
      <c r="AB504" s="938"/>
      <c r="AD504" s="938"/>
      <c r="AF504" s="949"/>
    </row>
    <row r="505" spans="1:32">
      <c r="A505" s="4"/>
      <c r="B505" s="256"/>
      <c r="C505" s="512" t="s">
        <v>705</v>
      </c>
      <c r="D505" s="256"/>
      <c r="E505" s="36"/>
      <c r="F505" s="256"/>
      <c r="G505" s="35"/>
      <c r="H505" s="256"/>
      <c r="I505" s="792"/>
      <c r="J505" s="750"/>
      <c r="K505" s="256"/>
      <c r="L505" s="753"/>
      <c r="M505" s="753"/>
      <c r="N505" s="753"/>
      <c r="O505" s="750"/>
      <c r="P505" s="750"/>
      <c r="Q505" s="753"/>
      <c r="R505" s="753"/>
      <c r="S505" s="750"/>
      <c r="T505" s="750"/>
      <c r="U505" s="792"/>
      <c r="V505" s="753"/>
      <c r="W505" s="770"/>
      <c r="X505" s="769"/>
      <c r="Z505" s="938"/>
      <c r="AB505" s="938"/>
      <c r="AD505" s="938"/>
      <c r="AF505" s="949"/>
    </row>
    <row r="506" spans="1:32">
      <c r="A506" s="4">
        <v>234</v>
      </c>
      <c r="B506" s="256"/>
      <c r="C506" s="519" t="s">
        <v>800</v>
      </c>
      <c r="D506" s="256"/>
      <c r="E506" s="513" t="s">
        <v>674</v>
      </c>
      <c r="F506" s="256"/>
      <c r="G506" s="35">
        <v>592384.97535999969</v>
      </c>
      <c r="H506" s="256"/>
      <c r="I506" s="772">
        <v>1.8164</v>
      </c>
      <c r="J506" s="750">
        <f>G506*I506/100</f>
        <v>10760.080692439034</v>
      </c>
      <c r="K506" s="256"/>
      <c r="L506" s="35">
        <v>1883.7842216447991</v>
      </c>
      <c r="M506" s="35">
        <v>353.88968430340589</v>
      </c>
      <c r="N506" s="762">
        <f>J506-L506-M506</f>
        <v>8522.4067864908302</v>
      </c>
      <c r="O506" s="771"/>
      <c r="P506" s="35">
        <v>229.8082028926292</v>
      </c>
      <c r="Q506" s="35">
        <v>2009.0744229661855</v>
      </c>
      <c r="R506" s="35">
        <v>344.07938554043716</v>
      </c>
      <c r="S506" s="771"/>
      <c r="T506" s="771">
        <f>N506+P506+Q506+R506</f>
        <v>11105.368797890082</v>
      </c>
      <c r="U506" s="792">
        <f>T506/G506*100</f>
        <v>1.8746877891596105</v>
      </c>
      <c r="V506" s="750">
        <f>T506-J506</f>
        <v>345.28810545104716</v>
      </c>
      <c r="W506" s="770"/>
      <c r="X506" s="769"/>
      <c r="Z506" s="938"/>
      <c r="AB506" s="938"/>
      <c r="AD506" s="938"/>
      <c r="AF506" s="949"/>
    </row>
    <row r="507" spans="1:32">
      <c r="A507" s="4">
        <v>235</v>
      </c>
      <c r="B507" s="256"/>
      <c r="C507" s="519" t="s">
        <v>801</v>
      </c>
      <c r="D507" s="256"/>
      <c r="E507" s="513" t="s">
        <v>674</v>
      </c>
      <c r="F507" s="256"/>
      <c r="G507" s="453">
        <v>0</v>
      </c>
      <c r="H507" s="256"/>
      <c r="I507" s="772">
        <v>0.65500000000000003</v>
      </c>
      <c r="J507" s="453">
        <f>G507*I507/100</f>
        <v>0</v>
      </c>
      <c r="K507" s="256"/>
      <c r="L507" s="762">
        <v>0</v>
      </c>
      <c r="M507" s="762">
        <v>0</v>
      </c>
      <c r="N507" s="762">
        <f>J507-L507-M507</f>
        <v>0</v>
      </c>
      <c r="O507" s="771"/>
      <c r="P507" s="771">
        <v>0</v>
      </c>
      <c r="Q507" s="762">
        <v>0</v>
      </c>
      <c r="R507" s="762">
        <v>0</v>
      </c>
      <c r="S507" s="771"/>
      <c r="T507" s="771">
        <f>N507+P507+Q507+R507</f>
        <v>0</v>
      </c>
      <c r="U507" s="823" t="str">
        <f>IFERROR(T507/G507*100,"-")</f>
        <v>-</v>
      </c>
      <c r="V507" s="762">
        <f>T507-J507</f>
        <v>0</v>
      </c>
      <c r="W507" s="770"/>
      <c r="X507" s="769"/>
      <c r="Z507" s="938"/>
      <c r="AB507" s="938"/>
      <c r="AD507" s="938"/>
      <c r="AF507" s="949"/>
    </row>
    <row r="508" spans="1:32">
      <c r="A508" s="4">
        <v>236</v>
      </c>
      <c r="B508" s="256"/>
      <c r="C508" s="512" t="s">
        <v>705</v>
      </c>
      <c r="D508" s="256"/>
      <c r="E508" s="742"/>
      <c r="F508" s="256"/>
      <c r="G508" s="420">
        <f>SUM(G506:G507)</f>
        <v>592384.97535999969</v>
      </c>
      <c r="H508" s="256"/>
      <c r="I508" s="806">
        <f>J508/G508*100</f>
        <v>1.8164</v>
      </c>
      <c r="J508" s="808">
        <f>SUM(J506:J507)</f>
        <v>10760.080692439034</v>
      </c>
      <c r="K508" s="256"/>
      <c r="L508" s="805">
        <f>SUM(L506:L507)</f>
        <v>1883.7842216447991</v>
      </c>
      <c r="M508" s="805">
        <f>SUM(M506:M507)</f>
        <v>353.88968430340589</v>
      </c>
      <c r="N508" s="805">
        <f>SUM(N506:N507)</f>
        <v>8522.4067864908302</v>
      </c>
      <c r="O508" s="771"/>
      <c r="P508" s="807">
        <f>SUM(P506:P507)</f>
        <v>229.8082028926292</v>
      </c>
      <c r="Q508" s="807">
        <f>SUM(Q506:Q507)</f>
        <v>2009.0744229661855</v>
      </c>
      <c r="R508" s="807">
        <f>SUM(R506:R507)</f>
        <v>344.07938554043716</v>
      </c>
      <c r="S508" s="771"/>
      <c r="T508" s="807">
        <f>SUM(T506:T507)</f>
        <v>11105.368797890082</v>
      </c>
      <c r="U508" s="806">
        <f>T508/G508*100</f>
        <v>1.8746877891596105</v>
      </c>
      <c r="V508" s="808">
        <f>SUM(V506:V507)</f>
        <v>345.28810545104716</v>
      </c>
      <c r="W508" s="804">
        <f>U508/I508-1</f>
        <v>3.2089731975121438E-2</v>
      </c>
      <c r="X508" s="769"/>
      <c r="Z508" s="938"/>
      <c r="AB508" s="938"/>
      <c r="AD508" s="938"/>
      <c r="AF508" s="949"/>
    </row>
    <row r="509" spans="1:32">
      <c r="A509" s="4"/>
      <c r="B509" s="256"/>
      <c r="C509" s="7"/>
      <c r="D509" s="256"/>
      <c r="E509" s="36"/>
      <c r="F509" s="256"/>
      <c r="G509" s="135"/>
      <c r="H509" s="256"/>
      <c r="I509" s="792"/>
      <c r="J509" s="750"/>
      <c r="K509" s="256"/>
      <c r="L509" s="762"/>
      <c r="M509" s="762"/>
      <c r="N509" s="762"/>
      <c r="O509" s="771"/>
      <c r="P509" s="771"/>
      <c r="Q509" s="762"/>
      <c r="R509" s="762"/>
      <c r="S509" s="771"/>
      <c r="T509" s="771"/>
      <c r="U509" s="792"/>
      <c r="V509" s="762"/>
      <c r="W509" s="770"/>
      <c r="X509" s="769"/>
      <c r="Z509" s="938"/>
      <c r="AB509" s="938"/>
      <c r="AD509" s="938"/>
      <c r="AF509" s="949"/>
    </row>
    <row r="510" spans="1:32">
      <c r="A510" s="4">
        <v>237</v>
      </c>
      <c r="B510" s="256"/>
      <c r="C510" s="519" t="s">
        <v>802</v>
      </c>
      <c r="D510" s="256"/>
      <c r="E510" s="513" t="s">
        <v>674</v>
      </c>
      <c r="F510" s="256"/>
      <c r="G510" s="35">
        <v>57602.159589999996</v>
      </c>
      <c r="H510" s="256"/>
      <c r="I510" s="772">
        <v>2.0249000000000001</v>
      </c>
      <c r="J510" s="750">
        <f>G510*I510/100</f>
        <v>1166.3861295379099</v>
      </c>
      <c r="K510" s="256"/>
      <c r="L510" s="35">
        <v>183.17486749619999</v>
      </c>
      <c r="M510" s="35">
        <v>34.411423179852598</v>
      </c>
      <c r="N510" s="762">
        <f>J510-L510-M510</f>
        <v>948.79983886185732</v>
      </c>
      <c r="O510" s="771"/>
      <c r="P510" s="35">
        <v>25.584555083581108</v>
      </c>
      <c r="Q510" s="35">
        <v>195.35780000084677</v>
      </c>
      <c r="R510" s="35">
        <v>33.457492174720862</v>
      </c>
      <c r="S510" s="771"/>
      <c r="T510" s="771">
        <f>N510+P510+Q510+R510</f>
        <v>1203.1996861210059</v>
      </c>
      <c r="U510" s="792">
        <f>T510/G510*100</f>
        <v>2.0888100284522788</v>
      </c>
      <c r="V510" s="750">
        <f>T510-J510</f>
        <v>36.813556583095988</v>
      </c>
      <c r="W510" s="770">
        <f>U510/I510-1</f>
        <v>3.1562066498236341E-2</v>
      </c>
      <c r="X510" s="769"/>
      <c r="Z510" s="938"/>
      <c r="AB510" s="938"/>
      <c r="AD510" s="938"/>
      <c r="AF510" s="949"/>
    </row>
    <row r="511" spans="1:32">
      <c r="A511" s="4">
        <v>238</v>
      </c>
      <c r="B511" s="256"/>
      <c r="C511" s="519" t="s">
        <v>803</v>
      </c>
      <c r="D511" s="256"/>
      <c r="E511" s="513" t="s">
        <v>674</v>
      </c>
      <c r="F511" s="256"/>
      <c r="G511" s="35">
        <v>1276.4049299999999</v>
      </c>
      <c r="H511" s="256"/>
      <c r="I511" s="772">
        <v>7.2466999999999997</v>
      </c>
      <c r="J511" s="750">
        <f>G511*I511/100</f>
        <v>92.49723606230998</v>
      </c>
      <c r="K511" s="256"/>
      <c r="L511" s="35">
        <v>4.0589676774000001</v>
      </c>
      <c r="M511" s="35">
        <v>0</v>
      </c>
      <c r="N511" s="762">
        <f>J511-L511-M511</f>
        <v>88.438268384909975</v>
      </c>
      <c r="O511" s="771"/>
      <c r="P511" s="35">
        <v>2.3847535131376532</v>
      </c>
      <c r="Q511" s="35">
        <v>4.328928998667684</v>
      </c>
      <c r="R511" s="35">
        <v>0</v>
      </c>
      <c r="S511" s="771"/>
      <c r="T511" s="771">
        <f>N511+P511+Q511+R511</f>
        <v>95.151950896715306</v>
      </c>
      <c r="U511" s="792">
        <f>T511/G511*100</f>
        <v>7.4546837496714549</v>
      </c>
      <c r="V511" s="750">
        <f>T511-J511</f>
        <v>2.6547148344053255</v>
      </c>
      <c r="W511" s="770">
        <f>U511/I511-1</f>
        <v>2.870047741336812E-2</v>
      </c>
      <c r="X511" s="769"/>
      <c r="Z511" s="938"/>
      <c r="AB511" s="938"/>
      <c r="AD511" s="938"/>
      <c r="AF511" s="949"/>
    </row>
    <row r="512" spans="1:32">
      <c r="A512" s="4"/>
      <c r="B512" s="256"/>
      <c r="C512" s="7"/>
      <c r="D512" s="256"/>
      <c r="E512" s="36"/>
      <c r="F512" s="256"/>
      <c r="G512" s="453"/>
      <c r="H512" s="256"/>
      <c r="I512" s="792"/>
      <c r="J512" s="750"/>
      <c r="K512" s="256"/>
      <c r="L512" s="762"/>
      <c r="M512" s="762"/>
      <c r="N512" s="762"/>
      <c r="O512" s="771"/>
      <c r="P512" s="771"/>
      <c r="Q512" s="762"/>
      <c r="R512" s="762"/>
      <c r="S512" s="771"/>
      <c r="T512" s="771"/>
      <c r="U512" s="792"/>
      <c r="V512" s="762"/>
      <c r="W512" s="770"/>
      <c r="X512" s="769"/>
      <c r="Z512" s="938"/>
      <c r="AB512" s="938"/>
      <c r="AD512" s="938"/>
      <c r="AF512" s="949"/>
    </row>
    <row r="513" spans="1:32">
      <c r="A513" s="4">
        <v>239</v>
      </c>
      <c r="B513" s="256"/>
      <c r="C513" s="7" t="s">
        <v>804</v>
      </c>
      <c r="D513" s="256"/>
      <c r="E513" s="36"/>
      <c r="F513" s="256"/>
      <c r="G513" s="420">
        <f>G508</f>
        <v>592384.97535999969</v>
      </c>
      <c r="H513" s="256"/>
      <c r="I513" s="806">
        <f>J513/G513*100</f>
        <v>5.8772260534300775</v>
      </c>
      <c r="J513" s="808">
        <f>J503+J508+J510+J511</f>
        <v>34815.80410846325</v>
      </c>
      <c r="K513" s="750"/>
      <c r="L513" s="807">
        <f>L503+L508+L510+L511</f>
        <v>5139.1652750943995</v>
      </c>
      <c r="M513" s="807">
        <f>M503+M508+M510+M511</f>
        <v>388.30110748325848</v>
      </c>
      <c r="N513" s="807">
        <f>N503+N508+N510+N511</f>
        <v>29288.337725885591</v>
      </c>
      <c r="O513" s="771"/>
      <c r="P513" s="807">
        <f>P503+P508+P510+P511</f>
        <v>789.76519510512571</v>
      </c>
      <c r="Q513" s="807">
        <f>Q503+Q508+Q510+Q511</f>
        <v>5521.9028799142479</v>
      </c>
      <c r="R513" s="807">
        <f>R503+R508+R510+R511</f>
        <v>377.53687771515803</v>
      </c>
      <c r="S513" s="771"/>
      <c r="T513" s="807">
        <f>T503+T508+T510+T511</f>
        <v>35977.542678620128</v>
      </c>
      <c r="U513" s="806">
        <f>T513/G513*100</f>
        <v>6.0733381458157556</v>
      </c>
      <c r="V513" s="808">
        <f>V503+V508+V510+V511</f>
        <v>1161.7385701568724</v>
      </c>
      <c r="W513" s="841">
        <f>U513/I513-1</f>
        <v>3.3368138404549219E-2</v>
      </c>
      <c r="X513" s="779"/>
      <c r="Z513" s="938"/>
      <c r="AB513" s="938"/>
      <c r="AD513" s="938"/>
      <c r="AF513" s="949"/>
    </row>
    <row r="514" spans="1:32">
      <c r="A514" s="4"/>
      <c r="B514" s="256"/>
      <c r="D514" s="256"/>
      <c r="E514" s="36"/>
      <c r="F514" s="256"/>
      <c r="G514" s="453"/>
      <c r="H514" s="256"/>
      <c r="I514" s="792"/>
      <c r="J514" s="750"/>
      <c r="K514" s="256"/>
      <c r="L514" s="762"/>
      <c r="M514" s="762"/>
      <c r="N514" s="762"/>
      <c r="O514" s="771"/>
      <c r="P514" s="771"/>
      <c r="Q514" s="762"/>
      <c r="R514" s="762"/>
      <c r="S514" s="771"/>
      <c r="T514" s="771"/>
      <c r="U514" s="792"/>
      <c r="V514" s="762"/>
      <c r="W514" s="770"/>
      <c r="X514" s="769"/>
      <c r="Z514" s="938"/>
      <c r="AB514" s="938"/>
      <c r="AD514" s="938"/>
      <c r="AF514" s="949"/>
    </row>
    <row r="515" spans="1:32">
      <c r="A515" s="4"/>
      <c r="B515" s="256"/>
      <c r="C515" s="7" t="s">
        <v>805</v>
      </c>
      <c r="D515" s="256"/>
      <c r="E515" s="742"/>
      <c r="F515" s="256"/>
      <c r="G515" s="453"/>
      <c r="H515" s="256"/>
      <c r="I515" s="792"/>
      <c r="J515" s="750"/>
      <c r="K515" s="256"/>
      <c r="L515" s="762"/>
      <c r="M515" s="762"/>
      <c r="N515" s="762"/>
      <c r="O515" s="771"/>
      <c r="P515" s="771"/>
      <c r="Q515" s="762"/>
      <c r="R515" s="762"/>
      <c r="S515" s="771"/>
      <c r="T515" s="771"/>
      <c r="U515" s="792"/>
      <c r="V515" s="762"/>
      <c r="W515" s="770"/>
      <c r="X515" s="769"/>
      <c r="Z515" s="938"/>
      <c r="AB515" s="938"/>
      <c r="AD515" s="938"/>
      <c r="AF515" s="949"/>
    </row>
    <row r="516" spans="1:32">
      <c r="A516" s="4">
        <v>240</v>
      </c>
      <c r="B516" s="256"/>
      <c r="C516" s="9" t="s">
        <v>806</v>
      </c>
      <c r="D516" s="256"/>
      <c r="E516" s="4" t="s">
        <v>704</v>
      </c>
      <c r="F516" s="256"/>
      <c r="G516" s="35">
        <v>36.000000000000014</v>
      </c>
      <c r="H516" s="256"/>
      <c r="I516" s="778">
        <v>755.88</v>
      </c>
      <c r="J516" s="750">
        <f>G516*I516/1000</f>
        <v>27.211680000000012</v>
      </c>
      <c r="K516" s="256"/>
      <c r="L516" s="35">
        <v>0</v>
      </c>
      <c r="M516" s="35">
        <v>0</v>
      </c>
      <c r="N516" s="762">
        <f>J516-L516-M516</f>
        <v>27.211680000000012</v>
      </c>
      <c r="O516" s="771"/>
      <c r="P516" s="35">
        <v>0.73376775307204412</v>
      </c>
      <c r="Q516" s="35">
        <v>0</v>
      </c>
      <c r="R516" s="35">
        <v>0</v>
      </c>
      <c r="S516" s="771"/>
      <c r="T516" s="771">
        <f>N516+P516+Q516+R516</f>
        <v>27.945447753072056</v>
      </c>
      <c r="U516" s="811">
        <f>T516/G516*1000</f>
        <v>776.26243758533451</v>
      </c>
      <c r="V516" s="750">
        <f>T516-J516</f>
        <v>0.73376775307204412</v>
      </c>
      <c r="W516" s="770">
        <f>U516/I516-1</f>
        <v>2.696517646363783E-2</v>
      </c>
      <c r="X516" s="769"/>
      <c r="Z516" s="938"/>
      <c r="AB516" s="938"/>
      <c r="AD516" s="938"/>
      <c r="AF516" s="949"/>
    </row>
    <row r="517" spans="1:32">
      <c r="A517" s="4">
        <v>241</v>
      </c>
      <c r="B517" s="256"/>
      <c r="C517" s="519" t="s">
        <v>807</v>
      </c>
      <c r="D517" s="256"/>
      <c r="E517" s="513" t="s">
        <v>674</v>
      </c>
      <c r="F517" s="256"/>
      <c r="G517" s="35">
        <v>238.00964000000002</v>
      </c>
      <c r="H517" s="256"/>
      <c r="I517" s="772">
        <v>3.4451999999999998</v>
      </c>
      <c r="J517" s="750">
        <f>G517*I517/100</f>
        <v>8.1999081172799997</v>
      </c>
      <c r="K517" s="256"/>
      <c r="L517" s="35">
        <v>1.7641274516800001</v>
      </c>
      <c r="M517" s="35">
        <v>1.85773206127288</v>
      </c>
      <c r="N517" s="762">
        <f>J517-L517-M517</f>
        <v>4.5780486043271189</v>
      </c>
      <c r="O517" s="771"/>
      <c r="P517" s="35">
        <v>0.12344788847479204</v>
      </c>
      <c r="Q517" s="35">
        <v>1.2722303705276734</v>
      </c>
      <c r="R517" s="35">
        <v>1.8062332260397864</v>
      </c>
      <c r="S517" s="771"/>
      <c r="T517" s="771">
        <f>N517+P517+Q517+R517</f>
        <v>7.7799600893693714</v>
      </c>
      <c r="U517" s="772">
        <v>3.1116138213815785</v>
      </c>
      <c r="V517" s="771">
        <f>T517-J517</f>
        <v>-0.41994802791062824</v>
      </c>
      <c r="W517" s="785">
        <f>U517/I517-1</f>
        <v>-9.6826360913276788E-2</v>
      </c>
      <c r="X517" s="785"/>
      <c r="Z517" s="938"/>
      <c r="AB517" s="938"/>
      <c r="AD517" s="938"/>
      <c r="AF517" s="949"/>
    </row>
    <row r="518" spans="1:32">
      <c r="A518" s="4">
        <v>242</v>
      </c>
      <c r="B518" s="256"/>
      <c r="C518" s="9" t="s">
        <v>808</v>
      </c>
      <c r="D518" s="256"/>
      <c r="E518" s="513" t="s">
        <v>674</v>
      </c>
      <c r="F518" s="256"/>
      <c r="G518" s="35">
        <v>2278.64</v>
      </c>
      <c r="H518" s="256"/>
      <c r="I518" s="772">
        <v>3.6536999999999997</v>
      </c>
      <c r="J518" s="750">
        <f>G518*I518/100</f>
        <v>83.254669679999992</v>
      </c>
      <c r="K518" s="256"/>
      <c r="L518" s="35">
        <v>16.889279679999998</v>
      </c>
      <c r="M518" s="35">
        <v>17.785424926901428</v>
      </c>
      <c r="N518" s="762">
        <f>J518-L518-M518</f>
        <v>48.579965073098563</v>
      </c>
      <c r="O518" s="771"/>
      <c r="P518" s="35">
        <v>1.3099673307934623</v>
      </c>
      <c r="Q518" s="35">
        <v>12.179989900825769</v>
      </c>
      <c r="R518" s="35">
        <v>17.292388989720326</v>
      </c>
      <c r="S518" s="771"/>
      <c r="T518" s="771">
        <f>N518+P518+Q518+R518</f>
        <v>79.362311294438115</v>
      </c>
      <c r="U518" s="792">
        <f>T518/G518*100</f>
        <v>3.4828806346960519</v>
      </c>
      <c r="V518" s="961">
        <f>T518-J518</f>
        <v>-3.8923583855618773</v>
      </c>
      <c r="W518" s="785">
        <f>U518/I518-1</f>
        <v>-4.6752433233146595E-2</v>
      </c>
      <c r="X518" s="785"/>
      <c r="Z518" s="938"/>
      <c r="AB518" s="938"/>
      <c r="AD518" s="938"/>
      <c r="AF518" s="949"/>
    </row>
    <row r="519" spans="1:32">
      <c r="A519" s="4"/>
      <c r="B519" s="256"/>
      <c r="C519" s="7"/>
      <c r="D519" s="256"/>
      <c r="E519" s="36"/>
      <c r="F519" s="256"/>
      <c r="G519" s="35"/>
      <c r="H519" s="256"/>
      <c r="I519" s="792"/>
      <c r="J519" s="750"/>
      <c r="K519" s="256"/>
      <c r="L519" s="762"/>
      <c r="M519" s="762"/>
      <c r="N519" s="762">
        <f>J519-L519-M519</f>
        <v>0</v>
      </c>
      <c r="O519" s="771"/>
      <c r="P519" s="771"/>
      <c r="Q519" s="762"/>
      <c r="R519" s="762"/>
      <c r="S519" s="771"/>
      <c r="T519" s="771"/>
      <c r="U519" s="792"/>
      <c r="V519" s="840"/>
      <c r="W519" s="770"/>
      <c r="X519" s="769"/>
      <c r="Z519" s="938"/>
      <c r="AB519" s="938"/>
      <c r="AD519" s="938"/>
      <c r="AF519" s="949"/>
    </row>
    <row r="520" spans="1:32">
      <c r="A520" s="4">
        <v>243</v>
      </c>
      <c r="B520" s="256"/>
      <c r="C520" s="7" t="s">
        <v>809</v>
      </c>
      <c r="D520" s="256"/>
      <c r="E520" s="36"/>
      <c r="F520" s="256"/>
      <c r="G520" s="420">
        <f>G517</f>
        <v>238.00964000000002</v>
      </c>
      <c r="H520" s="256"/>
      <c r="I520" s="806">
        <f>J520/G520*100</f>
        <v>49.857752735258956</v>
      </c>
      <c r="J520" s="808">
        <f>J516+J517+J518</f>
        <v>118.66625779728</v>
      </c>
      <c r="K520" s="256"/>
      <c r="L520" s="805">
        <f>SUM(L516:L519)</f>
        <v>18.653407131679998</v>
      </c>
      <c r="M520" s="805">
        <f>SUM(M516:M519)</f>
        <v>19.643156988174308</v>
      </c>
      <c r="N520" s="805">
        <f>SUM(N516:N519)</f>
        <v>80.369693677425687</v>
      </c>
      <c r="O520" s="771"/>
      <c r="P520" s="807">
        <f>SUM(P516:P519)</f>
        <v>2.1671829723402984</v>
      </c>
      <c r="Q520" s="807">
        <f>SUM(Q516:Q519)</f>
        <v>13.452220271353442</v>
      </c>
      <c r="R520" s="807">
        <f>SUM(R516:R519)</f>
        <v>19.098622215760113</v>
      </c>
      <c r="S520" s="771"/>
      <c r="T520" s="807">
        <f>SUM(T516:T519)</f>
        <v>115.08771913687954</v>
      </c>
      <c r="U520" s="806">
        <f>T520/G520*100</f>
        <v>48.354225961973448</v>
      </c>
      <c r="V520" s="805">
        <f>SUM(V516:V519)</f>
        <v>-3.5785386604004614</v>
      </c>
      <c r="W520" s="816">
        <f>U520/I520-1</f>
        <v>-3.015632857078665E-2</v>
      </c>
      <c r="X520" s="785"/>
      <c r="Z520" s="938"/>
      <c r="AB520" s="938"/>
      <c r="AD520" s="938"/>
      <c r="AF520" s="949"/>
    </row>
    <row r="521" spans="1:32">
      <c r="A521" s="4"/>
      <c r="B521" s="256"/>
      <c r="D521" s="256"/>
      <c r="E521" s="36"/>
      <c r="F521" s="256"/>
      <c r="G521" s="453"/>
      <c r="H521" s="256"/>
      <c r="I521" s="792"/>
      <c r="J521" s="750"/>
      <c r="K521" s="256"/>
      <c r="L521" s="762"/>
      <c r="M521" s="762"/>
      <c r="N521" s="762"/>
      <c r="O521" s="771"/>
      <c r="P521" s="771"/>
      <c r="Q521" s="762"/>
      <c r="R521" s="762"/>
      <c r="S521" s="771"/>
      <c r="T521" s="771"/>
      <c r="U521" s="792"/>
      <c r="V521" s="762"/>
      <c r="W521" s="770"/>
      <c r="X521" s="769"/>
      <c r="Z521" s="938"/>
      <c r="AB521" s="938"/>
      <c r="AD521" s="938"/>
      <c r="AF521" s="949"/>
    </row>
    <row r="522" spans="1:32">
      <c r="A522" s="4">
        <v>244</v>
      </c>
      <c r="B522" s="256"/>
      <c r="C522" s="7" t="s">
        <v>810</v>
      </c>
      <c r="D522" s="256"/>
      <c r="E522" s="513" t="s">
        <v>674</v>
      </c>
      <c r="F522" s="256"/>
      <c r="G522" s="35">
        <v>16020.952840000002</v>
      </c>
      <c r="H522" s="256"/>
      <c r="I522" s="772">
        <v>0.20849999999999999</v>
      </c>
      <c r="J522" s="750">
        <f>G522*I522/100</f>
        <v>33.403686671400003</v>
      </c>
      <c r="K522" s="256"/>
      <c r="L522" s="35">
        <v>0</v>
      </c>
      <c r="M522" s="35">
        <v>0</v>
      </c>
      <c r="N522" s="762">
        <f>J522-L522-M522</f>
        <v>33.403686671400003</v>
      </c>
      <c r="O522" s="771"/>
      <c r="P522" s="35">
        <v>0.90073630563036744</v>
      </c>
      <c r="Q522" s="35">
        <v>0</v>
      </c>
      <c r="R522" s="35">
        <v>0</v>
      </c>
      <c r="S522" s="771"/>
      <c r="T522" s="771">
        <f>N522+P522+Q522+R522</f>
        <v>34.30442297703037</v>
      </c>
      <c r="U522" s="792">
        <f>T522/G522*100</f>
        <v>0.21412223929266846</v>
      </c>
      <c r="V522" s="750">
        <f>T522-J522</f>
        <v>0.90073630563036744</v>
      </c>
      <c r="W522" s="770">
        <f>U522/I522-1</f>
        <v>2.696517646363783E-2</v>
      </c>
      <c r="X522" s="769"/>
      <c r="Z522" s="938"/>
      <c r="AB522" s="938"/>
      <c r="AD522" s="938"/>
      <c r="AF522" s="949"/>
    </row>
    <row r="523" spans="1:32">
      <c r="A523" s="4">
        <v>245</v>
      </c>
      <c r="B523" s="256"/>
      <c r="C523" s="7" t="s">
        <v>715</v>
      </c>
      <c r="D523" s="256"/>
      <c r="E523" s="513" t="s">
        <v>674</v>
      </c>
      <c r="F523" s="256"/>
      <c r="G523" s="35">
        <v>59361.556339999981</v>
      </c>
      <c r="H523" s="256"/>
      <c r="I523" s="836">
        <v>-7.3899999999999993E-2</v>
      </c>
      <c r="J523" s="896">
        <f>G523*I523/100</f>
        <v>-43.868190135259987</v>
      </c>
      <c r="K523" s="256"/>
      <c r="L523" s="35">
        <v>0</v>
      </c>
      <c r="M523" s="35">
        <v>0</v>
      </c>
      <c r="N523" s="762">
        <f>J523-L523-M523</f>
        <v>-43.868190135259987</v>
      </c>
      <c r="O523" s="771"/>
      <c r="P523" s="35">
        <v>-1.1829134881377001</v>
      </c>
      <c r="Q523" s="35">
        <v>0</v>
      </c>
      <c r="R523" s="35">
        <v>0</v>
      </c>
      <c r="S523" s="771"/>
      <c r="T523" s="771">
        <f>N523+P523+Q523+R523</f>
        <v>-45.051103623397687</v>
      </c>
      <c r="U523" s="960">
        <f>T523/G523*100</f>
        <v>-7.5892726540662842E-2</v>
      </c>
      <c r="V523" s="771">
        <f>T523-J523</f>
        <v>-1.1829134881377001</v>
      </c>
      <c r="W523" s="770">
        <f>U523/I523-1</f>
        <v>2.6965176463638052E-2</v>
      </c>
      <c r="X523" s="769"/>
      <c r="Z523" s="938"/>
      <c r="AB523" s="938"/>
      <c r="AD523" s="938"/>
      <c r="AF523" s="949"/>
    </row>
    <row r="524" spans="1:32">
      <c r="A524" s="4"/>
      <c r="B524" s="256"/>
      <c r="C524" s="7"/>
      <c r="D524" s="256"/>
      <c r="E524" s="742"/>
      <c r="F524" s="256"/>
      <c r="G524" s="453"/>
      <c r="H524" s="256"/>
      <c r="I524" s="772"/>
      <c r="J524" s="750"/>
      <c r="K524" s="256"/>
      <c r="L524" s="762"/>
      <c r="M524" s="762"/>
      <c r="N524" s="762"/>
      <c r="O524" s="771"/>
      <c r="P524" s="771"/>
      <c r="Q524" s="762"/>
      <c r="R524" s="762"/>
      <c r="S524" s="771"/>
      <c r="T524" s="771"/>
      <c r="U524" s="792"/>
      <c r="V524" s="750"/>
      <c r="W524" s="770"/>
      <c r="X524" s="769"/>
      <c r="Z524" s="938"/>
      <c r="AB524" s="938"/>
      <c r="AD524" s="938"/>
      <c r="AF524" s="949"/>
    </row>
    <row r="525" spans="1:32" ht="13.5" thickBot="1">
      <c r="A525" s="4">
        <v>246</v>
      </c>
      <c r="B525" s="256"/>
      <c r="C525" s="7" t="s">
        <v>811</v>
      </c>
      <c r="D525" s="256"/>
      <c r="E525" s="36"/>
      <c r="F525" s="256"/>
      <c r="G525" s="458">
        <f>G513+G520</f>
        <v>592622.98499999964</v>
      </c>
      <c r="H525" s="256"/>
      <c r="I525" s="803">
        <f>J525/G525*100</f>
        <v>5.8931237476043377</v>
      </c>
      <c r="J525" s="756">
        <f>J513+J520+J522+J523</f>
        <v>34924.005862796672</v>
      </c>
      <c r="K525" s="750"/>
      <c r="L525" s="781">
        <f>L513+L520+L522+L523</f>
        <v>5157.8186822260795</v>
      </c>
      <c r="M525" s="781">
        <f>M513+M520+M522+M523</f>
        <v>407.9442644714328</v>
      </c>
      <c r="N525" s="781">
        <f>N513+N520+N522+N523</f>
        <v>29358.242916099156</v>
      </c>
      <c r="O525" s="771"/>
      <c r="P525" s="781">
        <f>P513+P520+P522+P523</f>
        <v>791.65020089495863</v>
      </c>
      <c r="Q525" s="781">
        <f>Q513+Q520+Q522+Q523</f>
        <v>5535.3551001856013</v>
      </c>
      <c r="R525" s="781">
        <f>R513+R520+R522+R523</f>
        <v>396.63549993091812</v>
      </c>
      <c r="S525" s="771"/>
      <c r="T525" s="781">
        <f>T513+T520+T522+T523</f>
        <v>36081.883717110642</v>
      </c>
      <c r="U525" s="803">
        <f>T525/G525*100</f>
        <v>6.0885056149333563</v>
      </c>
      <c r="V525" s="756">
        <f>V513+V520+V522+V523</f>
        <v>1157.8778543139645</v>
      </c>
      <c r="W525" s="798">
        <f>U525/I525-1</f>
        <v>3.3154210856075172E-2</v>
      </c>
      <c r="X525" s="769"/>
      <c r="Z525" s="938"/>
      <c r="AB525" s="938"/>
      <c r="AD525" s="938"/>
      <c r="AF525" s="949"/>
    </row>
    <row r="526" spans="1:32" ht="13.5" thickTop="1">
      <c r="A526" s="4"/>
      <c r="B526" s="256"/>
      <c r="C526" s="7"/>
      <c r="D526" s="256"/>
      <c r="E526" s="36"/>
      <c r="F526" s="256"/>
      <c r="G526" s="453"/>
      <c r="H526" s="256"/>
      <c r="I526" s="792"/>
      <c r="J526" s="750"/>
      <c r="K526" s="750"/>
      <c r="L526" s="771"/>
      <c r="M526" s="771"/>
      <c r="N526" s="771"/>
      <c r="O526" s="771"/>
      <c r="P526" s="771"/>
      <c r="Q526" s="771"/>
      <c r="R526" s="771"/>
      <c r="S526" s="771"/>
      <c r="T526" s="771"/>
      <c r="U526" s="792"/>
      <c r="V526" s="771"/>
      <c r="W526" s="770"/>
      <c r="X526" s="769"/>
      <c r="Z526" s="938"/>
      <c r="AB526" s="938"/>
      <c r="AD526" s="938"/>
      <c r="AF526" s="949"/>
    </row>
    <row r="527" spans="1:32">
      <c r="A527" s="4"/>
      <c r="B527" s="256"/>
      <c r="C527" s="7"/>
      <c r="D527" s="256"/>
      <c r="E527" s="36"/>
      <c r="F527" s="256"/>
      <c r="G527" s="453"/>
      <c r="H527" s="256"/>
      <c r="I527" s="792"/>
      <c r="J527" s="750"/>
      <c r="K527" s="750"/>
      <c r="L527" s="771"/>
      <c r="M527" s="771"/>
      <c r="N527" s="771"/>
      <c r="O527" s="771"/>
      <c r="P527" s="771"/>
      <c r="Q527" s="771"/>
      <c r="R527" s="771"/>
      <c r="S527" s="771"/>
      <c r="T527" s="771"/>
      <c r="U527" s="792"/>
      <c r="V527" s="771"/>
      <c r="W527" s="770"/>
      <c r="X527" s="769"/>
      <c r="Z527" s="938"/>
      <c r="AB527" s="938"/>
      <c r="AD527" s="938"/>
      <c r="AF527" s="949"/>
    </row>
    <row r="528" spans="1:32">
      <c r="A528" s="4"/>
      <c r="B528" s="256"/>
      <c r="C528" s="7"/>
      <c r="D528" s="256"/>
      <c r="E528" s="36"/>
      <c r="F528" s="256"/>
      <c r="G528" s="453"/>
      <c r="H528" s="256"/>
      <c r="I528" s="792"/>
      <c r="J528" s="750"/>
      <c r="K528" s="750"/>
      <c r="L528" s="771"/>
      <c r="M528" s="771"/>
      <c r="N528" s="771"/>
      <c r="O528" s="771"/>
      <c r="P528" s="771"/>
      <c r="Q528" s="771"/>
      <c r="R528" s="771"/>
      <c r="S528" s="771"/>
      <c r="T528" s="771"/>
      <c r="U528" s="821"/>
      <c r="V528" s="762"/>
      <c r="W528" s="770"/>
      <c r="X528" s="769"/>
      <c r="Z528" s="938"/>
      <c r="AB528" s="938"/>
      <c r="AD528" s="938"/>
      <c r="AF528" s="949"/>
    </row>
    <row r="529" spans="1:32">
      <c r="L529" s="2"/>
      <c r="M529" s="2"/>
      <c r="N529" s="504"/>
      <c r="Q529" s="504"/>
      <c r="R529" s="504"/>
      <c r="V529" s="504"/>
      <c r="W529" s="504"/>
      <c r="Z529" s="938"/>
      <c r="AB529" s="938"/>
      <c r="AD529" s="938"/>
      <c r="AF529" s="949"/>
    </row>
    <row r="530" spans="1:32">
      <c r="L530" s="2"/>
      <c r="M530" s="2"/>
      <c r="N530" s="504"/>
      <c r="Q530" s="504"/>
      <c r="R530" s="504"/>
      <c r="V530" s="504"/>
      <c r="W530" s="504"/>
      <c r="Z530" s="938"/>
      <c r="AB530" s="938"/>
      <c r="AD530" s="938"/>
      <c r="AF530" s="949"/>
    </row>
    <row r="531" spans="1:32">
      <c r="A531" s="1324" t="s">
        <v>724</v>
      </c>
      <c r="B531" s="1324"/>
      <c r="C531" s="1324"/>
      <c r="D531" s="1324"/>
      <c r="E531" s="1324"/>
      <c r="F531" s="1324"/>
      <c r="G531" s="1324"/>
      <c r="H531" s="1324"/>
      <c r="I531" s="1324"/>
      <c r="J531" s="1324"/>
      <c r="K531" s="1324"/>
      <c r="L531" s="1324"/>
      <c r="M531" s="1324"/>
      <c r="N531" s="1324"/>
      <c r="O531" s="1324"/>
      <c r="P531" s="1324"/>
      <c r="Q531" s="1324"/>
      <c r="R531" s="1324"/>
      <c r="S531" s="1324"/>
      <c r="T531" s="1324"/>
      <c r="U531" s="1324"/>
      <c r="V531" s="1324"/>
      <c r="W531" s="1324"/>
      <c r="X531" s="665"/>
      <c r="Z531" s="938"/>
      <c r="AB531" s="938"/>
      <c r="AD531" s="938"/>
      <c r="AF531" s="949"/>
    </row>
    <row r="532" spans="1:32">
      <c r="A532" s="1324" t="s">
        <v>938</v>
      </c>
      <c r="B532" s="1324"/>
      <c r="C532" s="1324"/>
      <c r="D532" s="1324"/>
      <c r="E532" s="1324"/>
      <c r="F532" s="1324"/>
      <c r="G532" s="1324"/>
      <c r="H532" s="1324"/>
      <c r="I532" s="1324"/>
      <c r="J532" s="1324"/>
      <c r="K532" s="1324"/>
      <c r="L532" s="1324"/>
      <c r="M532" s="1324"/>
      <c r="N532" s="1324"/>
      <c r="O532" s="1324"/>
      <c r="P532" s="1324"/>
      <c r="Q532" s="1324"/>
      <c r="R532" s="1324"/>
      <c r="S532" s="1324"/>
      <c r="T532" s="1324"/>
      <c r="U532" s="1324"/>
      <c r="V532" s="1324"/>
      <c r="W532" s="1324"/>
      <c r="X532" s="644"/>
      <c r="Y532" s="644"/>
      <c r="Z532" s="938"/>
      <c r="AB532" s="938"/>
      <c r="AD532" s="938"/>
      <c r="AF532" s="949"/>
    </row>
    <row r="533" spans="1:32">
      <c r="A533" s="385"/>
      <c r="B533" s="385"/>
      <c r="C533" s="385"/>
      <c r="D533" s="385"/>
      <c r="E533" s="447"/>
      <c r="F533" s="385"/>
      <c r="G533" s="447"/>
      <c r="H533" s="385"/>
      <c r="I533" s="385"/>
      <c r="J533" s="385"/>
      <c r="K533" s="385"/>
      <c r="L533" s="385"/>
      <c r="M533" s="385"/>
      <c r="N533" s="504"/>
      <c r="O533" s="385"/>
      <c r="P533" s="385"/>
      <c r="Q533" s="504"/>
      <c r="R533" s="504"/>
      <c r="S533" s="385"/>
      <c r="T533" s="385"/>
      <c r="U533" s="385"/>
      <c r="V533" s="504"/>
      <c r="W533" s="504"/>
      <c r="Z533" s="938"/>
      <c r="AB533" s="938"/>
      <c r="AD533" s="938"/>
      <c r="AF533" s="949"/>
    </row>
    <row r="534" spans="1:32" ht="26.45" customHeight="1">
      <c r="A534" s="447"/>
      <c r="B534" s="447"/>
      <c r="C534" s="447"/>
      <c r="D534" s="447"/>
      <c r="E534" s="385"/>
      <c r="F534" s="1313" t="s">
        <v>682</v>
      </c>
      <c r="G534" s="1313"/>
      <c r="H534" s="1313"/>
      <c r="I534" s="1313"/>
      <c r="J534" s="1313"/>
      <c r="K534" s="447"/>
      <c r="L534" s="1325" t="s">
        <v>496</v>
      </c>
      <c r="M534" s="1325"/>
      <c r="N534" s="256"/>
      <c r="O534" s="447"/>
      <c r="P534" s="449"/>
      <c r="Q534" s="1325" t="s">
        <v>497</v>
      </c>
      <c r="R534" s="1325"/>
      <c r="S534" s="447"/>
      <c r="T534" s="1313" t="s">
        <v>926</v>
      </c>
      <c r="U534" s="1313"/>
      <c r="V534" s="1313"/>
      <c r="W534" s="1313"/>
      <c r="X534" s="4"/>
      <c r="Z534" s="938"/>
      <c r="AB534" s="938"/>
      <c r="AD534" s="938"/>
      <c r="AF534" s="949"/>
    </row>
    <row r="535" spans="1:32" ht="38.25">
      <c r="A535" s="254" t="s">
        <v>1</v>
      </c>
      <c r="B535" s="254"/>
      <c r="C535" s="254"/>
      <c r="D535" s="254"/>
      <c r="E535" s="4" t="s">
        <v>670</v>
      </c>
      <c r="F535" s="254"/>
      <c r="G535" s="13" t="s">
        <v>684</v>
      </c>
      <c r="H535" s="254"/>
      <c r="I535" s="13" t="s">
        <v>196</v>
      </c>
      <c r="J535" s="13" t="s">
        <v>503</v>
      </c>
      <c r="K535" s="254"/>
      <c r="L535" s="13" t="s">
        <v>505</v>
      </c>
      <c r="M535" s="13" t="s">
        <v>685</v>
      </c>
      <c r="N535" s="254" t="s">
        <v>688</v>
      </c>
      <c r="O535" s="254"/>
      <c r="P535" s="254" t="s">
        <v>689</v>
      </c>
      <c r="Q535" s="13" t="s">
        <v>505</v>
      </c>
      <c r="R535" s="13" t="s">
        <v>685</v>
      </c>
      <c r="S535" s="254"/>
      <c r="T535" s="13" t="s">
        <v>690</v>
      </c>
      <c r="U535" s="13" t="s">
        <v>691</v>
      </c>
      <c r="V535" s="13" t="s">
        <v>692</v>
      </c>
      <c r="W535" s="254" t="s">
        <v>693</v>
      </c>
      <c r="X535" s="254"/>
      <c r="Z535" s="938"/>
      <c r="AB535" s="938"/>
      <c r="AD535" s="938"/>
      <c r="AF535" s="949"/>
    </row>
    <row r="536" spans="1:32" ht="14.25">
      <c r="A536" s="255" t="s">
        <v>2</v>
      </c>
      <c r="B536" s="256"/>
      <c r="C536" s="449" t="s">
        <v>3</v>
      </c>
      <c r="D536" s="256"/>
      <c r="E536" s="255" t="s">
        <v>4</v>
      </c>
      <c r="F536" s="256"/>
      <c r="G536" s="255" t="s">
        <v>694</v>
      </c>
      <c r="H536" s="256"/>
      <c r="I536" s="255" t="s">
        <v>77</v>
      </c>
      <c r="J536" s="255" t="s">
        <v>20</v>
      </c>
      <c r="K536" s="256"/>
      <c r="L536" s="255" t="s">
        <v>20</v>
      </c>
      <c r="M536" s="255" t="s">
        <v>20</v>
      </c>
      <c r="N536" s="255" t="s">
        <v>20</v>
      </c>
      <c r="O536" s="256"/>
      <c r="P536" s="255" t="s">
        <v>20</v>
      </c>
      <c r="Q536" s="255" t="s">
        <v>20</v>
      </c>
      <c r="R536" s="255" t="s">
        <v>20</v>
      </c>
      <c r="S536" s="256"/>
      <c r="T536" s="255" t="s">
        <v>20</v>
      </c>
      <c r="U536" s="255" t="s">
        <v>77</v>
      </c>
      <c r="V536" s="255" t="s">
        <v>20</v>
      </c>
      <c r="W536" s="255" t="s">
        <v>76</v>
      </c>
      <c r="X536" s="4"/>
      <c r="Z536" s="938"/>
      <c r="AB536" s="938"/>
      <c r="AD536" s="938"/>
      <c r="AF536" s="949"/>
    </row>
    <row r="537" spans="1:32">
      <c r="A537" s="4"/>
      <c r="B537" s="256"/>
      <c r="C537" s="256"/>
      <c r="D537" s="256"/>
      <c r="E537" s="4"/>
      <c r="F537" s="256"/>
      <c r="G537" s="4" t="s">
        <v>8</v>
      </c>
      <c r="H537" s="4"/>
      <c r="I537" s="4" t="s">
        <v>9</v>
      </c>
      <c r="J537" s="4" t="s">
        <v>370</v>
      </c>
      <c r="K537" s="4"/>
      <c r="L537" s="132" t="s">
        <v>79</v>
      </c>
      <c r="M537" s="132" t="s">
        <v>115</v>
      </c>
      <c r="N537" s="4" t="s">
        <v>927</v>
      </c>
      <c r="O537" s="4"/>
      <c r="P537" s="4" t="s">
        <v>928</v>
      </c>
      <c r="Q537" s="4" t="s">
        <v>118</v>
      </c>
      <c r="R537" s="4" t="s">
        <v>84</v>
      </c>
      <c r="S537" s="4"/>
      <c r="T537" s="4" t="s">
        <v>929</v>
      </c>
      <c r="U537" s="4" t="s">
        <v>517</v>
      </c>
      <c r="V537" s="4" t="s">
        <v>930</v>
      </c>
      <c r="W537" s="4" t="s">
        <v>931</v>
      </c>
    </row>
    <row r="538" spans="1:32">
      <c r="A538" s="4"/>
      <c r="B538" s="256"/>
      <c r="C538" s="256"/>
      <c r="D538" s="256"/>
      <c r="E538" s="4"/>
      <c r="F538" s="256"/>
      <c r="G538" s="4"/>
      <c r="H538" s="4"/>
      <c r="I538" s="4"/>
      <c r="J538" s="4"/>
      <c r="K538" s="4"/>
      <c r="L538" s="132"/>
      <c r="M538" s="132"/>
      <c r="N538" s="4"/>
      <c r="O538" s="4"/>
      <c r="P538" s="4"/>
      <c r="Q538" s="4"/>
      <c r="R538" s="4"/>
      <c r="S538" s="4"/>
      <c r="T538" s="4"/>
      <c r="U538" s="4"/>
      <c r="V538" s="4"/>
      <c r="W538" s="4"/>
    </row>
    <row r="539" spans="1:32">
      <c r="A539" s="734"/>
      <c r="B539" s="734"/>
      <c r="C539" s="6" t="s">
        <v>181</v>
      </c>
      <c r="D539" s="734"/>
      <c r="E539" s="444"/>
      <c r="F539" s="734"/>
      <c r="G539" s="734"/>
      <c r="H539" s="734"/>
      <c r="I539" s="734"/>
      <c r="J539" s="838"/>
      <c r="K539" s="734"/>
      <c r="L539" s="762"/>
      <c r="M539" s="762"/>
      <c r="N539" s="762"/>
      <c r="O539" s="790"/>
      <c r="P539" s="790"/>
      <c r="Q539" s="762"/>
      <c r="R539" s="762"/>
      <c r="S539" s="790"/>
      <c r="T539" s="790"/>
      <c r="U539" s="790"/>
      <c r="V539" s="762"/>
      <c r="W539" s="834"/>
      <c r="X539" s="833"/>
    </row>
    <row r="540" spans="1:32">
      <c r="A540" s="256">
        <v>247</v>
      </c>
      <c r="B540" s="256"/>
      <c r="C540" s="7" t="s">
        <v>703</v>
      </c>
      <c r="D540" s="385"/>
      <c r="E540" s="4" t="s">
        <v>704</v>
      </c>
      <c r="F540" s="385"/>
      <c r="G540" s="35">
        <v>456.0000000000021</v>
      </c>
      <c r="H540" s="385"/>
      <c r="I540" s="778">
        <v>755.88</v>
      </c>
      <c r="J540" s="818">
        <f>G540*I540/1000</f>
        <v>344.68128000000161</v>
      </c>
      <c r="K540" s="385"/>
      <c r="L540" s="35">
        <v>0</v>
      </c>
      <c r="M540" s="825">
        <v>0</v>
      </c>
      <c r="N540" s="762">
        <f t="shared" ref="N540:N545" si="10">J540-L540-M540</f>
        <v>344.68128000000161</v>
      </c>
      <c r="O540" s="789"/>
      <c r="P540" s="35">
        <v>9.2943915389125777</v>
      </c>
      <c r="Q540" s="35">
        <v>0</v>
      </c>
      <c r="R540" s="825">
        <v>0</v>
      </c>
      <c r="S540" s="789"/>
      <c r="T540" s="453">
        <f>N540+P540+Q540+R540</f>
        <v>353.97567153891418</v>
      </c>
      <c r="U540" s="924">
        <f>T540/G540*1000</f>
        <v>776.26243758533451</v>
      </c>
      <c r="V540" s="762">
        <f>T540-G540</f>
        <v>-102.02432846108792</v>
      </c>
      <c r="W540" s="834">
        <f>U540/I540-1</f>
        <v>2.696517646363783E-2</v>
      </c>
      <c r="X540" s="833"/>
      <c r="Z540" s="938"/>
      <c r="AB540" s="938"/>
      <c r="AD540" s="938"/>
      <c r="AF540" s="954"/>
    </row>
    <row r="541" spans="1:32">
      <c r="A541" s="256">
        <v>248</v>
      </c>
      <c r="B541" s="256"/>
      <c r="C541" s="512" t="s">
        <v>705</v>
      </c>
      <c r="D541" s="447"/>
      <c r="E541" s="513" t="s">
        <v>674</v>
      </c>
      <c r="F541" s="447"/>
      <c r="G541" s="35">
        <v>55087.023449999993</v>
      </c>
      <c r="H541" s="447"/>
      <c r="I541" s="772">
        <v>3.3042824540554112</v>
      </c>
      <c r="J541" s="818">
        <f>G541*I541/100</f>
        <v>1820.2308503197396</v>
      </c>
      <c r="K541" s="447"/>
      <c r="L541" s="35">
        <v>408.30501781139998</v>
      </c>
      <c r="M541" s="35">
        <v>429.96968367817351</v>
      </c>
      <c r="N541" s="762">
        <f t="shared" si="10"/>
        <v>981.95614883016617</v>
      </c>
      <c r="O541" s="787"/>
      <c r="P541" s="35">
        <v>26.478620832759702</v>
      </c>
      <c r="Q541" s="35">
        <v>294.45607436345904</v>
      </c>
      <c r="R541" s="35">
        <v>418.05034484747262</v>
      </c>
      <c r="S541" s="787"/>
      <c r="T541" s="453">
        <f>N541+P541+Q541+R541</f>
        <v>1720.9411888738575</v>
      </c>
      <c r="U541" s="772">
        <v>3.1116138213815785</v>
      </c>
      <c r="V541" s="762">
        <f>T541-G541</f>
        <v>-53366.082261126139</v>
      </c>
      <c r="W541" s="785">
        <f>U541/I541-1</f>
        <v>-5.8308766079415153E-2</v>
      </c>
      <c r="X541" s="785"/>
      <c r="Z541" s="938"/>
      <c r="AB541" s="938"/>
      <c r="AD541" s="938"/>
      <c r="AF541" s="949"/>
    </row>
    <row r="542" spans="1:32">
      <c r="A542" s="256">
        <v>249</v>
      </c>
      <c r="B542" s="837"/>
      <c r="C542" s="512" t="s">
        <v>813</v>
      </c>
      <c r="D542" s="254"/>
      <c r="E542" s="513" t="s">
        <v>674</v>
      </c>
      <c r="F542" s="254"/>
      <c r="G542" s="35">
        <v>4252.9598999999998</v>
      </c>
      <c r="H542" s="254"/>
      <c r="I542" s="772">
        <v>3.6536999999999997</v>
      </c>
      <c r="J542" s="818">
        <f>G542*I542/100</f>
        <v>155.3903958663</v>
      </c>
      <c r="K542" s="254"/>
      <c r="L542" s="35">
        <v>31.522938778799997</v>
      </c>
      <c r="M542" s="35">
        <v>33.195546035605531</v>
      </c>
      <c r="N542" s="762">
        <f t="shared" si="10"/>
        <v>90.671911051894469</v>
      </c>
      <c r="O542" s="786"/>
      <c r="P542" s="35">
        <v>2.4449840818096078</v>
      </c>
      <c r="Q542" s="35">
        <v>22.733300842000922</v>
      </c>
      <c r="R542" s="35">
        <v>32.275320782783609</v>
      </c>
      <c r="S542" s="786"/>
      <c r="T542" s="453">
        <f>N542+P542+Q542+R542</f>
        <v>148.1255167584886</v>
      </c>
      <c r="U542" s="959">
        <f>T542/G542*100</f>
        <v>3.4828806346960528</v>
      </c>
      <c r="V542" s="762">
        <f>T542-G542</f>
        <v>-4104.8343832415112</v>
      </c>
      <c r="W542" s="785">
        <f>U542/I542-1</f>
        <v>-4.6752433233146373E-2</v>
      </c>
      <c r="X542" s="785"/>
      <c r="Z542" s="938"/>
      <c r="AB542" s="938"/>
      <c r="AD542" s="938"/>
      <c r="AF542" s="949"/>
    </row>
    <row r="543" spans="1:32">
      <c r="A543" s="256">
        <v>250</v>
      </c>
      <c r="B543" s="256"/>
      <c r="C543" s="512" t="s">
        <v>814</v>
      </c>
      <c r="D543" s="256"/>
      <c r="E543" s="513" t="s">
        <v>674</v>
      </c>
      <c r="F543" s="256"/>
      <c r="G543" s="35">
        <v>12766.517779999998</v>
      </c>
      <c r="H543" s="256"/>
      <c r="I543" s="836">
        <v>-5.2999999999999999E-2</v>
      </c>
      <c r="J543" s="739">
        <f>G543*I543/100</f>
        <v>-6.7662544233999986</v>
      </c>
      <c r="K543" s="256"/>
      <c r="L543" s="825">
        <v>0</v>
      </c>
      <c r="M543" s="825">
        <v>0</v>
      </c>
      <c r="N543" s="762">
        <f t="shared" si="10"/>
        <v>-6.7662544233999986</v>
      </c>
      <c r="O543" s="771"/>
      <c r="P543" s="35">
        <v>-0.18245324452485079</v>
      </c>
      <c r="Q543" s="35">
        <v>0</v>
      </c>
      <c r="R543" s="825">
        <v>0</v>
      </c>
      <c r="S543" s="771"/>
      <c r="T543" s="453">
        <f>N543+P543+Q543+R543</f>
        <v>-6.9487076679248494</v>
      </c>
      <c r="U543" s="836">
        <f>I543</f>
        <v>-5.2999999999999999E-2</v>
      </c>
      <c r="V543" s="762">
        <f>T543-G543</f>
        <v>-12773.466487667924</v>
      </c>
      <c r="W543" s="834" t="str">
        <f>IF(U543/I543-1,"0","-")</f>
        <v>-</v>
      </c>
      <c r="X543" s="833"/>
      <c r="Z543" s="938"/>
      <c r="AB543" s="938"/>
      <c r="AD543" s="938"/>
      <c r="AF543" s="949"/>
    </row>
    <row r="544" spans="1:32">
      <c r="A544" s="256">
        <v>251</v>
      </c>
      <c r="B544" s="256"/>
      <c r="C544" s="512" t="s">
        <v>815</v>
      </c>
      <c r="D544" s="256"/>
      <c r="E544" s="513" t="s">
        <v>674</v>
      </c>
      <c r="F544" s="256"/>
      <c r="G544" s="35">
        <v>12450.358</v>
      </c>
      <c r="H544" s="256"/>
      <c r="I544" s="835">
        <v>-2.1199999999999999E-3</v>
      </c>
      <c r="J544" s="739">
        <f>G544*I544/100</f>
        <v>-0.26394758960000003</v>
      </c>
      <c r="K544" s="256"/>
      <c r="L544" s="825">
        <v>0</v>
      </c>
      <c r="M544" s="825">
        <v>0</v>
      </c>
      <c r="N544" s="762">
        <f t="shared" si="10"/>
        <v>-0.26394758960000003</v>
      </c>
      <c r="O544" s="771"/>
      <c r="P544" s="35">
        <v>-7.117393330715871E-3</v>
      </c>
      <c r="Q544" s="825">
        <v>0</v>
      </c>
      <c r="R544" s="825">
        <v>0</v>
      </c>
      <c r="S544" s="771"/>
      <c r="T544" s="453">
        <f>N544+P544+Q544+R544</f>
        <v>-0.2710649829307159</v>
      </c>
      <c r="U544" s="835">
        <f>I544</f>
        <v>-2.1199999999999999E-3</v>
      </c>
      <c r="V544" s="762">
        <f>T544-G544</f>
        <v>-12450.629064982932</v>
      </c>
      <c r="W544" s="834" t="str">
        <f>IF(U544/I544-1,"0","-")</f>
        <v>-</v>
      </c>
      <c r="X544" s="833"/>
      <c r="Z544" s="938"/>
      <c r="AB544" s="938"/>
      <c r="AD544" s="938"/>
      <c r="AF544" s="949"/>
    </row>
    <row r="545" spans="1:32">
      <c r="A545" s="256"/>
      <c r="B545" s="256"/>
      <c r="C545" s="7"/>
      <c r="D545" s="256"/>
      <c r="E545" s="742"/>
      <c r="F545" s="256"/>
      <c r="G545" s="35"/>
      <c r="H545" s="256"/>
      <c r="I545" s="256"/>
      <c r="J545" s="750"/>
      <c r="K545" s="256"/>
      <c r="L545" s="762"/>
      <c r="M545" s="762"/>
      <c r="N545" s="762">
        <f t="shared" si="10"/>
        <v>0</v>
      </c>
      <c r="O545" s="771"/>
      <c r="P545" s="35"/>
      <c r="Q545" s="762"/>
      <c r="R545" s="762"/>
      <c r="S545" s="771"/>
      <c r="T545" s="453"/>
      <c r="U545" s="958"/>
      <c r="V545" s="762"/>
      <c r="W545" s="834"/>
      <c r="X545" s="833"/>
      <c r="Z545" s="938"/>
      <c r="AB545" s="938"/>
      <c r="AD545" s="938"/>
      <c r="AF545" s="949"/>
    </row>
    <row r="546" spans="1:32">
      <c r="A546" s="256">
        <v>252</v>
      </c>
      <c r="B546" s="256"/>
      <c r="C546" s="7" t="s">
        <v>809</v>
      </c>
      <c r="D546" s="256"/>
      <c r="E546" s="134"/>
      <c r="F546" s="256"/>
      <c r="G546" s="137">
        <f>G541</f>
        <v>55087.023449999993</v>
      </c>
      <c r="H546" s="256"/>
      <c r="I546" s="806">
        <f>J546/G546*100</f>
        <v>4.1993053523262045</v>
      </c>
      <c r="J546" s="808">
        <f>SUM(J540:J545)</f>
        <v>2313.2723241730414</v>
      </c>
      <c r="K546" s="750"/>
      <c r="L546" s="807">
        <f>SUM(L540:L545)</f>
        <v>439.82795659019996</v>
      </c>
      <c r="M546" s="807">
        <f>SUM(M540:M545)</f>
        <v>463.16522971377901</v>
      </c>
      <c r="N546" s="807">
        <f>SUM(N540:N545)</f>
        <v>1410.2791378690622</v>
      </c>
      <c r="O546" s="771"/>
      <c r="P546" s="807">
        <f>SUM(P540:P545)</f>
        <v>38.028425815626321</v>
      </c>
      <c r="Q546" s="807">
        <f>SUM(Q540:Q545)</f>
        <v>317.18937520545995</v>
      </c>
      <c r="R546" s="807">
        <f>SUM(R540:R545)</f>
        <v>450.32566563025625</v>
      </c>
      <c r="S546" s="771"/>
      <c r="T546" s="807">
        <f>SUM(T540:T545)</f>
        <v>2215.8226045204051</v>
      </c>
      <c r="U546" s="902">
        <f>T546/G546*100</f>
        <v>4.0224039451534486</v>
      </c>
      <c r="V546" s="805">
        <f>SUM(V540:V545)</f>
        <v>-82797.036525479605</v>
      </c>
      <c r="W546" s="816">
        <f>U546/I546-1</f>
        <v>-4.2126350034241145E-2</v>
      </c>
      <c r="X546" s="769"/>
      <c r="Z546" s="938"/>
      <c r="AB546" s="938"/>
      <c r="AD546" s="938"/>
      <c r="AF546" s="949"/>
    </row>
    <row r="547" spans="1:32">
      <c r="A547" s="256"/>
      <c r="B547" s="256"/>
      <c r="D547" s="256"/>
      <c r="E547" s="36"/>
      <c r="F547" s="256"/>
      <c r="G547" s="35"/>
      <c r="H547" s="256"/>
      <c r="I547" s="256"/>
      <c r="J547" s="750"/>
      <c r="K547" s="256"/>
      <c r="L547" s="762"/>
      <c r="M547" s="762"/>
      <c r="N547" s="762"/>
      <c r="O547" s="771"/>
      <c r="P547" s="771"/>
      <c r="Q547" s="762"/>
      <c r="R547" s="762"/>
      <c r="S547" s="771"/>
      <c r="T547" s="771"/>
      <c r="U547" s="821"/>
      <c r="V547" s="762"/>
      <c r="W547" s="770"/>
      <c r="X547" s="769"/>
      <c r="Z547" s="938"/>
      <c r="AB547" s="938"/>
      <c r="AD547" s="938"/>
      <c r="AF547" s="949"/>
    </row>
    <row r="548" spans="1:32">
      <c r="A548" s="256"/>
      <c r="B548" s="256"/>
      <c r="C548" s="7" t="s">
        <v>816</v>
      </c>
      <c r="D548" s="256"/>
      <c r="E548" s="1"/>
      <c r="F548" s="256"/>
      <c r="G548" s="35"/>
      <c r="H548" s="256"/>
      <c r="I548" s="256"/>
      <c r="J548" s="750"/>
      <c r="K548" s="256"/>
      <c r="L548" s="762"/>
      <c r="M548" s="762"/>
      <c r="N548" s="762"/>
      <c r="O548" s="771"/>
      <c r="P548" s="771"/>
      <c r="Q548" s="762"/>
      <c r="R548" s="762"/>
      <c r="S548" s="771"/>
      <c r="T548" s="771"/>
      <c r="U548" s="821"/>
      <c r="V548" s="762"/>
      <c r="W548" s="770"/>
      <c r="X548" s="769"/>
      <c r="Z548" s="938"/>
      <c r="AB548" s="938"/>
      <c r="AD548" s="938"/>
      <c r="AF548" s="949"/>
    </row>
    <row r="549" spans="1:32">
      <c r="A549" s="256">
        <v>253</v>
      </c>
      <c r="B549" s="256"/>
      <c r="C549" s="519" t="s">
        <v>817</v>
      </c>
      <c r="D549" s="256"/>
      <c r="E549" s="513" t="s">
        <v>675</v>
      </c>
      <c r="F549" s="256"/>
      <c r="G549" s="35">
        <v>431.904</v>
      </c>
      <c r="H549" s="256"/>
      <c r="I549" s="772">
        <v>41.215699999999998</v>
      </c>
      <c r="J549" s="750">
        <f>G549*I549/100</f>
        <v>178.012256928</v>
      </c>
      <c r="K549" s="256"/>
      <c r="L549" s="35">
        <v>37.935855936000003</v>
      </c>
      <c r="M549" s="35">
        <v>0</v>
      </c>
      <c r="N549" s="762">
        <f>J549-L549-M549</f>
        <v>140.076400992</v>
      </c>
      <c r="O549" s="771"/>
      <c r="P549" s="35">
        <v>3.7771848711405767</v>
      </c>
      <c r="Q549" s="35">
        <v>41.140218199898953</v>
      </c>
      <c r="R549" s="35">
        <v>0</v>
      </c>
      <c r="S549" s="771"/>
      <c r="T549" s="771">
        <f>N549+P549+Q549+R549</f>
        <v>184.99380406303953</v>
      </c>
      <c r="U549" s="821">
        <f>T549/G549*100</f>
        <v>42.832158086759911</v>
      </c>
      <c r="V549" s="762">
        <f>T549-G549</f>
        <v>-246.91019593696046</v>
      </c>
      <c r="W549" s="770">
        <f>U549/I549-1</f>
        <v>3.9219474296443124E-2</v>
      </c>
      <c r="X549" s="769"/>
      <c r="Z549" s="938"/>
      <c r="AB549" s="938"/>
      <c r="AD549" s="938"/>
      <c r="AF549" s="949"/>
    </row>
    <row r="550" spans="1:32">
      <c r="A550" s="256">
        <v>254</v>
      </c>
      <c r="B550" s="256"/>
      <c r="C550" s="519" t="s">
        <v>807</v>
      </c>
      <c r="D550" s="256"/>
      <c r="E550" s="513" t="s">
        <v>674</v>
      </c>
      <c r="F550" s="256"/>
      <c r="G550" s="35">
        <v>4405.8775999999998</v>
      </c>
      <c r="H550" s="256"/>
      <c r="I550" s="772">
        <v>3.3768469625757374</v>
      </c>
      <c r="J550" s="750">
        <f>G550*I550/100</f>
        <v>148.77974391040479</v>
      </c>
      <c r="K550" s="256"/>
      <c r="L550" s="35">
        <v>30.171449804799995</v>
      </c>
      <c r="M550" s="35">
        <v>34.389111615664007</v>
      </c>
      <c r="N550" s="762">
        <f>J550-L550-M550</f>
        <v>84.219182489940792</v>
      </c>
      <c r="O550" s="771"/>
      <c r="P550" s="35">
        <v>2.2709851174645763</v>
      </c>
      <c r="Q550" s="35">
        <v>25.470527394387808</v>
      </c>
      <c r="R550" s="35">
        <v>33.435799117146807</v>
      </c>
      <c r="S550" s="771"/>
      <c r="T550" s="771">
        <f>N550+P550+Q550+R550</f>
        <v>145.39649411893998</v>
      </c>
      <c r="U550" s="821">
        <f>T550/G550*100</f>
        <v>3.3000574986227487</v>
      </c>
      <c r="V550" s="762">
        <f>T550-G550</f>
        <v>-4260.4811058810601</v>
      </c>
      <c r="W550" s="785">
        <f>U550/I550-1</f>
        <v>-2.2739989346279521E-2</v>
      </c>
      <c r="X550" s="769"/>
      <c r="Z550" s="938"/>
      <c r="AB550" s="938"/>
      <c r="AD550" s="938"/>
      <c r="AF550" s="949"/>
    </row>
    <row r="551" spans="1:32">
      <c r="A551" s="256">
        <v>255</v>
      </c>
      <c r="B551" s="256"/>
      <c r="C551" s="9" t="s">
        <v>802</v>
      </c>
      <c r="D551" s="256"/>
      <c r="E551" s="513" t="s">
        <v>674</v>
      </c>
      <c r="F551" s="256"/>
      <c r="G551" s="35">
        <v>854.38999999999942</v>
      </c>
      <c r="H551" s="256"/>
      <c r="I551" s="772">
        <v>3.7267858330865313</v>
      </c>
      <c r="J551" s="750">
        <f>G551*I551/100</f>
        <v>31.841285479307995</v>
      </c>
      <c r="K551" s="256"/>
      <c r="L551" s="35">
        <v>5.8508627199999959</v>
      </c>
      <c r="M551" s="35">
        <v>6.6687538195130864</v>
      </c>
      <c r="N551" s="762">
        <f>J551-L551-M551</f>
        <v>19.321668939794915</v>
      </c>
      <c r="O551" s="771"/>
      <c r="P551" s="35">
        <v>0.52101221253355945</v>
      </c>
      <c r="Q551" s="35">
        <v>4.9392574819806585</v>
      </c>
      <c r="R551" s="35">
        <v>6.483886980359836</v>
      </c>
      <c r="S551" s="771"/>
      <c r="T551" s="771">
        <f>N551+P551+Q551+R551</f>
        <v>31.265825614668969</v>
      </c>
      <c r="U551" s="821">
        <f>T551/G551*100</f>
        <v>3.6594325325283528</v>
      </c>
      <c r="V551" s="762">
        <f>T551-G551</f>
        <v>-823.12417438533043</v>
      </c>
      <c r="W551" s="785">
        <f>U551/I551-1</f>
        <v>-1.807275855784729E-2</v>
      </c>
      <c r="X551" s="769"/>
      <c r="Z551" s="938"/>
      <c r="AB551" s="938"/>
      <c r="AD551" s="938"/>
      <c r="AF551" s="949"/>
    </row>
    <row r="552" spans="1:32">
      <c r="A552" s="256"/>
      <c r="B552" s="256"/>
      <c r="C552" s="7"/>
      <c r="D552" s="256"/>
      <c r="E552" s="36"/>
      <c r="F552" s="256"/>
      <c r="G552" s="35"/>
      <c r="H552" s="256"/>
      <c r="I552" s="256"/>
      <c r="J552" s="750"/>
      <c r="K552" s="256"/>
      <c r="L552" s="762"/>
      <c r="M552" s="762"/>
      <c r="N552" s="762"/>
      <c r="O552" s="771"/>
      <c r="P552" s="771"/>
      <c r="Q552" s="762"/>
      <c r="R552" s="762"/>
      <c r="S552" s="771"/>
      <c r="T552" s="771"/>
      <c r="U552" s="821"/>
      <c r="V552" s="762"/>
      <c r="W552" s="770"/>
      <c r="X552" s="769"/>
      <c r="Z552" s="938"/>
      <c r="AB552" s="938"/>
      <c r="AD552" s="938"/>
      <c r="AF552" s="949"/>
    </row>
    <row r="553" spans="1:32">
      <c r="A553" s="256">
        <v>256</v>
      </c>
      <c r="B553" s="256"/>
      <c r="C553" s="7" t="s">
        <v>804</v>
      </c>
      <c r="D553" s="256"/>
      <c r="E553" s="36"/>
      <c r="F553" s="256"/>
      <c r="G553" s="137">
        <f>G550</f>
        <v>4405.8775999999998</v>
      </c>
      <c r="H553" s="256"/>
      <c r="I553" s="806">
        <f>J553/G553*100</f>
        <v>8.1398831033733838</v>
      </c>
      <c r="J553" s="808">
        <f>SUM(J549:J552)</f>
        <v>358.63328631771276</v>
      </c>
      <c r="K553" s="256"/>
      <c r="L553" s="805">
        <f>SUM(L549:L552)</f>
        <v>73.958168460799996</v>
      </c>
      <c r="M553" s="805">
        <f>SUM(M549:M552)</f>
        <v>41.057865435177092</v>
      </c>
      <c r="N553" s="805">
        <f>SUM(N549:N552)</f>
        <v>243.61725242173571</v>
      </c>
      <c r="O553" s="771"/>
      <c r="P553" s="807">
        <f>SUM(P549:P552)</f>
        <v>6.5691822011387124</v>
      </c>
      <c r="Q553" s="807">
        <f>SUM(Q549:Q552)</f>
        <v>71.550003076267416</v>
      </c>
      <c r="R553" s="807">
        <f>SUM(R549:R552)</f>
        <v>39.919686097506641</v>
      </c>
      <c r="S553" s="771"/>
      <c r="T553" s="807">
        <f>SUM(T549:T552)</f>
        <v>361.6561237966485</v>
      </c>
      <c r="U553" s="902">
        <f>T553/G553*100</f>
        <v>8.2084923057474075</v>
      </c>
      <c r="V553" s="805">
        <f>SUM(V549:V552)</f>
        <v>-5330.5154762033517</v>
      </c>
      <c r="W553" s="804">
        <f>U553/I553-1</f>
        <v>8.4287699838823116E-3</v>
      </c>
      <c r="X553" s="769"/>
      <c r="Z553" s="938"/>
      <c r="AB553" s="938"/>
      <c r="AD553" s="938"/>
      <c r="AF553" s="949"/>
    </row>
    <row r="554" spans="1:32">
      <c r="A554" s="256"/>
      <c r="E554" s="1"/>
      <c r="G554" s="135"/>
      <c r="J554" s="752"/>
      <c r="L554" s="762"/>
      <c r="M554" s="762"/>
      <c r="N554" s="762"/>
      <c r="O554" s="68"/>
      <c r="P554" s="68"/>
      <c r="Q554" s="762"/>
      <c r="R554" s="762"/>
      <c r="S554" s="68"/>
      <c r="T554" s="68"/>
      <c r="U554" s="911"/>
      <c r="V554" s="762"/>
      <c r="W554" s="504"/>
      <c r="Z554" s="938"/>
      <c r="AB554" s="938"/>
      <c r="AD554" s="938"/>
      <c r="AF554" s="949"/>
    </row>
    <row r="555" spans="1:32">
      <c r="A555" s="256">
        <v>257</v>
      </c>
      <c r="B555" s="256"/>
      <c r="C555" s="7" t="s">
        <v>810</v>
      </c>
      <c r="D555" s="256"/>
      <c r="E555" s="513" t="s">
        <v>674</v>
      </c>
      <c r="F555" s="256"/>
      <c r="G555" s="35">
        <v>1599.69</v>
      </c>
      <c r="H555" s="256"/>
      <c r="I555" s="772">
        <v>0.20849999999999999</v>
      </c>
      <c r="J555" s="750">
        <f>G555*I555/100</f>
        <v>3.3353536500000001</v>
      </c>
      <c r="K555" s="256"/>
      <c r="L555" s="825">
        <v>0</v>
      </c>
      <c r="M555" s="825">
        <v>0</v>
      </c>
      <c r="N555" s="762">
        <f>J555-L555-M555</f>
        <v>3.3353536500000001</v>
      </c>
      <c r="O555" s="771"/>
      <c r="P555" s="35">
        <v>8.9938399740888464E-2</v>
      </c>
      <c r="Q555" s="35">
        <v>0</v>
      </c>
      <c r="R555" s="35">
        <v>0</v>
      </c>
      <c r="S555" s="771"/>
      <c r="T555" s="771">
        <f>N555+P555+Q555+R555</f>
        <v>3.4252920497408885</v>
      </c>
      <c r="U555" s="821">
        <f>T555/G555*100</f>
        <v>0.21412223929266846</v>
      </c>
      <c r="V555" s="762">
        <f>T555-J555</f>
        <v>8.9938399740888464E-2</v>
      </c>
      <c r="W555" s="770">
        <f>U555/I555-1</f>
        <v>2.696517646363783E-2</v>
      </c>
      <c r="X555" s="769"/>
      <c r="Z555" s="938"/>
      <c r="AB555" s="938"/>
      <c r="AD555" s="938"/>
      <c r="AF555" s="949"/>
    </row>
    <row r="556" spans="1:32">
      <c r="A556" s="256">
        <v>258</v>
      </c>
      <c r="B556" s="256"/>
      <c r="C556" s="7" t="s">
        <v>715</v>
      </c>
      <c r="D556" s="256"/>
      <c r="E556" s="513" t="s">
        <v>674</v>
      </c>
      <c r="F556" s="256"/>
      <c r="G556" s="35">
        <v>2163.9659000000001</v>
      </c>
      <c r="H556" s="256"/>
      <c r="I556" s="836">
        <v>-7.3899999999999993E-2</v>
      </c>
      <c r="J556" s="896">
        <f>G556*I556/100</f>
        <v>-1.5991708001</v>
      </c>
      <c r="K556" s="256"/>
      <c r="L556" s="825">
        <v>0</v>
      </c>
      <c r="M556" s="825">
        <v>0</v>
      </c>
      <c r="N556" s="762">
        <f>J556-L556-M556</f>
        <v>-1.5991708001</v>
      </c>
      <c r="O556" s="771"/>
      <c r="P556" s="35">
        <v>-4.3121922820193337E-2</v>
      </c>
      <c r="Q556" s="35">
        <v>0</v>
      </c>
      <c r="R556" s="35">
        <v>0</v>
      </c>
      <c r="S556" s="771"/>
      <c r="T556" s="771">
        <f>N556+P556+Q556+R556</f>
        <v>-1.6422927229201933</v>
      </c>
      <c r="U556" s="821">
        <f>T556/G556*100</f>
        <v>-7.5892726540662828E-2</v>
      </c>
      <c r="V556" s="762">
        <f>T556-J556</f>
        <v>-4.3121922820193337E-2</v>
      </c>
      <c r="W556" s="770">
        <f>U556/I556-1</f>
        <v>2.696517646363783E-2</v>
      </c>
      <c r="X556" s="769"/>
      <c r="Z556" s="938"/>
      <c r="AB556" s="938"/>
      <c r="AD556" s="938"/>
      <c r="AF556" s="949"/>
    </row>
    <row r="557" spans="1:32">
      <c r="A557" s="256"/>
      <c r="B557" s="256"/>
      <c r="C557" s="7"/>
      <c r="D557" s="256"/>
      <c r="E557" s="36"/>
      <c r="F557" s="256"/>
      <c r="G557" s="35"/>
      <c r="H557" s="256"/>
      <c r="I557" s="256"/>
      <c r="J557" s="750"/>
      <c r="K557" s="256"/>
      <c r="L557" s="762"/>
      <c r="M557" s="762"/>
      <c r="N557" s="762"/>
      <c r="O557" s="771"/>
      <c r="P557" s="771"/>
      <c r="Q557" s="762"/>
      <c r="R557" s="762"/>
      <c r="S557" s="771"/>
      <c r="T557" s="771"/>
      <c r="U557" s="821"/>
      <c r="V557" s="762"/>
      <c r="W557" s="770"/>
      <c r="X557" s="769"/>
      <c r="Z557" s="938"/>
      <c r="AB557" s="938"/>
      <c r="AD557" s="938"/>
      <c r="AF557" s="949"/>
    </row>
    <row r="558" spans="1:32" ht="13.5" thickBot="1">
      <c r="A558" s="256">
        <v>259</v>
      </c>
      <c r="B558" s="256"/>
      <c r="C558" s="7" t="s">
        <v>818</v>
      </c>
      <c r="D558" s="256"/>
      <c r="E558" s="36"/>
      <c r="F558" s="256"/>
      <c r="G558" s="832">
        <f>G546+G553</f>
        <v>59492.901049999993</v>
      </c>
      <c r="H558" s="256"/>
      <c r="I558" s="831">
        <f>J558/G558*100</f>
        <v>4.4940518047584002</v>
      </c>
      <c r="J558" s="756">
        <f>J546+J553+J555+J556</f>
        <v>2673.6417933406537</v>
      </c>
      <c r="K558" s="750"/>
      <c r="L558" s="781">
        <f>L546+L553+L555+L556</f>
        <v>513.786125051</v>
      </c>
      <c r="M558" s="781">
        <f>M546+M553+M555+M556</f>
        <v>504.22309514895608</v>
      </c>
      <c r="N558" s="781">
        <f>N546+N553+N555+N556</f>
        <v>1655.6325731406978</v>
      </c>
      <c r="O558" s="771"/>
      <c r="P558" s="781">
        <f>P546+P553+P555+P556</f>
        <v>44.644424493685733</v>
      </c>
      <c r="Q558" s="781">
        <f>Q546+Q553+Q555+Q556</f>
        <v>388.73937828172734</v>
      </c>
      <c r="R558" s="781">
        <f>R546+R553+R555+R556</f>
        <v>490.24535172776291</v>
      </c>
      <c r="S558" s="771"/>
      <c r="T558" s="781">
        <f>T546+T553+T555+T556</f>
        <v>2579.2617276438746</v>
      </c>
      <c r="U558" s="901">
        <f>T558/G558*100</f>
        <v>4.3354109181466365</v>
      </c>
      <c r="V558" s="799">
        <f>T558-J558</f>
        <v>-94.380065696779184</v>
      </c>
      <c r="W558" s="815">
        <f>U558/I558-1</f>
        <v>-3.530019089761971E-2</v>
      </c>
      <c r="X558" s="769"/>
      <c r="Z558" s="938"/>
      <c r="AB558" s="938"/>
      <c r="AD558" s="938"/>
      <c r="AF558" s="949"/>
    </row>
    <row r="559" spans="1:32" ht="13.5" thickTop="1">
      <c r="A559" s="256"/>
      <c r="B559" s="256"/>
      <c r="C559" s="7"/>
      <c r="D559" s="256"/>
      <c r="E559" s="36"/>
      <c r="F559" s="256"/>
      <c r="G559" s="35"/>
      <c r="H559" s="256"/>
      <c r="I559" s="256"/>
      <c r="J559" s="750"/>
      <c r="K559" s="256"/>
      <c r="L559" s="762"/>
      <c r="M559" s="762"/>
      <c r="N559" s="762"/>
      <c r="O559" s="771"/>
      <c r="P559" s="771"/>
      <c r="Q559" s="762"/>
      <c r="R559" s="762"/>
      <c r="S559" s="771"/>
      <c r="T559" s="771"/>
      <c r="U559" s="771"/>
      <c r="V559" s="762"/>
      <c r="W559" s="504"/>
    </row>
    <row r="560" spans="1:32">
      <c r="A560" s="256"/>
      <c r="B560" s="256"/>
      <c r="C560" s="6" t="s">
        <v>182</v>
      </c>
      <c r="D560" s="256"/>
      <c r="E560" s="36"/>
      <c r="F560" s="256"/>
      <c r="G560" s="35"/>
      <c r="H560" s="256"/>
      <c r="I560" s="256"/>
      <c r="J560" s="750"/>
      <c r="K560" s="256"/>
      <c r="L560" s="762"/>
      <c r="M560" s="762"/>
      <c r="N560" s="762"/>
      <c r="O560" s="771"/>
      <c r="P560" s="771"/>
      <c r="Q560" s="762"/>
      <c r="R560" s="762"/>
      <c r="S560" s="771"/>
      <c r="T560" s="771"/>
      <c r="U560" s="771"/>
      <c r="V560" s="762"/>
      <c r="W560" s="504"/>
    </row>
    <row r="561" spans="1:32">
      <c r="A561" s="256"/>
      <c r="B561" s="256"/>
      <c r="C561" s="7" t="s">
        <v>816</v>
      </c>
      <c r="D561" s="256"/>
      <c r="E561" s="36"/>
      <c r="F561" s="256"/>
      <c r="G561" s="35"/>
      <c r="H561" s="256"/>
      <c r="I561" s="256"/>
      <c r="J561" s="750"/>
      <c r="K561" s="256"/>
      <c r="L561" s="762"/>
      <c r="M561" s="762"/>
      <c r="N561" s="762"/>
      <c r="O561" s="771"/>
      <c r="P561" s="35"/>
      <c r="Q561" s="35"/>
      <c r="R561" s="35"/>
      <c r="S561" s="771"/>
      <c r="T561" s="771"/>
      <c r="U561" s="771"/>
      <c r="V561" s="762"/>
      <c r="W561" s="504"/>
    </row>
    <row r="562" spans="1:32">
      <c r="A562" s="256">
        <v>260</v>
      </c>
      <c r="B562" s="256"/>
      <c r="C562" s="519" t="s">
        <v>817</v>
      </c>
      <c r="D562" s="256"/>
      <c r="E562" s="513" t="s">
        <v>675</v>
      </c>
      <c r="F562" s="256"/>
      <c r="G562" s="35">
        <v>71858.168000000005</v>
      </c>
      <c r="H562" s="256"/>
      <c r="I562" s="772">
        <v>34.034500000000001</v>
      </c>
      <c r="J562" s="750">
        <f>G562*I562/100</f>
        <v>24456.568187960005</v>
      </c>
      <c r="K562" s="256"/>
      <c r="L562" s="35">
        <v>2026.6159121040002</v>
      </c>
      <c r="M562" s="35">
        <v>0</v>
      </c>
      <c r="N562" s="762">
        <f>J562-L562-M562</f>
        <v>22429.952275856005</v>
      </c>
      <c r="O562" s="771"/>
      <c r="P562" s="35">
        <v>604.82762118943356</v>
      </c>
      <c r="Q562" s="35">
        <v>3676.9747646837468</v>
      </c>
      <c r="R562" s="35">
        <v>0</v>
      </c>
      <c r="S562" s="771"/>
      <c r="T562" s="771">
        <f>N562+P562+Q562+R562</f>
        <v>26711.754661729185</v>
      </c>
      <c r="U562" s="821">
        <f>T562/G562*100</f>
        <v>37.172885706923644</v>
      </c>
      <c r="V562" s="762">
        <f>T562-J562</f>
        <v>2255.1864737691794</v>
      </c>
      <c r="W562" s="770">
        <f>U562/I562-1</f>
        <v>9.2211894017060425E-2</v>
      </c>
      <c r="X562" s="769"/>
      <c r="Z562" s="938"/>
      <c r="AB562" s="938"/>
      <c r="AD562" s="938"/>
      <c r="AF562" s="949"/>
    </row>
    <row r="563" spans="1:32">
      <c r="A563" s="256">
        <v>261</v>
      </c>
      <c r="C563" s="519" t="s">
        <v>807</v>
      </c>
      <c r="E563" s="513" t="s">
        <v>674</v>
      </c>
      <c r="G563" s="35">
        <v>713737.64702999999</v>
      </c>
      <c r="I563" s="772">
        <v>0.23509999999999998</v>
      </c>
      <c r="J563" s="750">
        <f>G563*I563/100</f>
        <v>1677.9972081675298</v>
      </c>
      <c r="L563" s="35">
        <v>258.37302822486004</v>
      </c>
      <c r="M563" s="35">
        <v>124.56063975383093</v>
      </c>
      <c r="N563" s="762">
        <f>J563-L563-M563</f>
        <v>1295.0635401888389</v>
      </c>
      <c r="O563" s="68"/>
      <c r="P563" s="35">
        <v>34.921616892815564</v>
      </c>
      <c r="Q563" s="35">
        <v>212.30165349313589</v>
      </c>
      <c r="R563" s="35">
        <v>121.10765102798851</v>
      </c>
      <c r="S563" s="68"/>
      <c r="T563" s="771">
        <f>N563+P563+Q563+R563</f>
        <v>1663.3944616027791</v>
      </c>
      <c r="U563" s="821">
        <f>T563/G563*100</f>
        <v>0.23305404563210086</v>
      </c>
      <c r="V563" s="762">
        <f>T563-J563</f>
        <v>-14.60274656475076</v>
      </c>
      <c r="W563" s="785">
        <f>U563/I563-1</f>
        <v>-8.7024856142029483E-3</v>
      </c>
      <c r="X563" s="769"/>
      <c r="Z563" s="938"/>
      <c r="AB563" s="938"/>
      <c r="AD563" s="938"/>
      <c r="AF563" s="949"/>
    </row>
    <row r="564" spans="1:32">
      <c r="A564" s="256">
        <v>262</v>
      </c>
      <c r="B564" s="256"/>
      <c r="C564" s="9" t="s">
        <v>819</v>
      </c>
      <c r="D564" s="256"/>
      <c r="E564" s="513" t="s">
        <v>674</v>
      </c>
      <c r="F564" s="256"/>
      <c r="G564" s="35">
        <v>22348.747200000002</v>
      </c>
      <c r="H564" s="256"/>
      <c r="I564" s="772">
        <v>0.23509999999999998</v>
      </c>
      <c r="J564" s="750">
        <f>G564*I564/100</f>
        <v>52.541904667199994</v>
      </c>
      <c r="K564" s="256"/>
      <c r="L564" s="35">
        <v>8.0902464864000017</v>
      </c>
      <c r="M564" s="35">
        <v>3.9002766079559619</v>
      </c>
      <c r="N564" s="762">
        <f>J564-L564-M564</f>
        <v>40.551381572844036</v>
      </c>
      <c r="O564" s="771"/>
      <c r="P564" s="35">
        <v>1.0934751599560499</v>
      </c>
      <c r="Q564" s="35">
        <v>6.64764707845187</v>
      </c>
      <c r="R564" s="35">
        <v>3.7921556864389006</v>
      </c>
      <c r="S564" s="771"/>
      <c r="T564" s="771">
        <f>N564+P564+Q564+R564</f>
        <v>52.084659497690858</v>
      </c>
      <c r="U564" s="821">
        <f>T564/G564*100</f>
        <v>0.23305404563210083</v>
      </c>
      <c r="V564" s="762">
        <f>T564-J564</f>
        <v>-0.45724516950913596</v>
      </c>
      <c r="W564" s="785">
        <f>U564/I564-1</f>
        <v>-8.7024856142030593E-3</v>
      </c>
      <c r="X564" s="769"/>
      <c r="Z564" s="938"/>
      <c r="AB564" s="938"/>
      <c r="AD564" s="938"/>
      <c r="AF564" s="949"/>
    </row>
    <row r="565" spans="1:32">
      <c r="A565" s="256"/>
      <c r="B565" s="256"/>
      <c r="C565" s="7"/>
      <c r="D565" s="256"/>
      <c r="E565" s="36"/>
      <c r="F565" s="256"/>
      <c r="G565" s="135"/>
      <c r="H565" s="256"/>
      <c r="I565" s="772"/>
      <c r="J565" s="256"/>
      <c r="K565" s="256"/>
      <c r="L565" s="762"/>
      <c r="M565" s="762"/>
      <c r="N565" s="762"/>
      <c r="O565" s="771"/>
      <c r="P565" s="771"/>
      <c r="Q565" s="762"/>
      <c r="R565" s="762"/>
      <c r="S565" s="771"/>
      <c r="T565" s="771"/>
      <c r="U565" s="821"/>
      <c r="V565" s="762"/>
      <c r="W565" s="770"/>
      <c r="X565" s="769"/>
      <c r="Z565" s="938"/>
      <c r="AB565" s="938"/>
      <c r="AD565" s="938"/>
      <c r="AF565" s="949"/>
    </row>
    <row r="566" spans="1:32">
      <c r="A566" s="256">
        <v>263</v>
      </c>
      <c r="B566" s="256"/>
      <c r="C566" s="7" t="s">
        <v>804</v>
      </c>
      <c r="D566" s="256"/>
      <c r="E566" s="36"/>
      <c r="F566" s="256"/>
      <c r="G566" s="420">
        <f>G563</f>
        <v>713737.64702999999</v>
      </c>
      <c r="H566" s="256"/>
      <c r="I566" s="806">
        <f>J566/G566*100</f>
        <v>3.6690102322280942</v>
      </c>
      <c r="J566" s="808">
        <f>SUM(J562:J565)</f>
        <v>26187.107300794734</v>
      </c>
      <c r="K566" s="256"/>
      <c r="L566" s="805">
        <f>SUM(L562:L565)</f>
        <v>2293.0791868152601</v>
      </c>
      <c r="M566" s="805">
        <f>SUM(M562:M565)</f>
        <v>128.4609163617869</v>
      </c>
      <c r="N566" s="805">
        <f>SUM(N562:N565)</f>
        <v>23765.567197617689</v>
      </c>
      <c r="O566" s="762"/>
      <c r="P566" s="807">
        <f>SUM(P562:P565)</f>
        <v>640.84271324220515</v>
      </c>
      <c r="Q566" s="807">
        <f>SUM(Q562:Q565)</f>
        <v>3895.9240652553344</v>
      </c>
      <c r="R566" s="807">
        <f>SUM(R562:R565)</f>
        <v>124.89980671442741</v>
      </c>
      <c r="S566" s="771"/>
      <c r="T566" s="807">
        <f>SUM(T562:T565)</f>
        <v>28427.233782829655</v>
      </c>
      <c r="U566" s="902">
        <f>T566/G566*100</f>
        <v>3.9828687615289535</v>
      </c>
      <c r="V566" s="805">
        <f>SUM(V562:V565)</f>
        <v>2240.1264820349197</v>
      </c>
      <c r="W566" s="804">
        <f>U566/I566-1</f>
        <v>8.5543105479501724E-2</v>
      </c>
      <c r="X566" s="769"/>
      <c r="Z566" s="938"/>
      <c r="AB566" s="938"/>
      <c r="AD566" s="938"/>
      <c r="AF566" s="949"/>
    </row>
    <row r="567" spans="1:32">
      <c r="A567" s="256"/>
      <c r="B567" s="256"/>
      <c r="D567" s="256"/>
      <c r="E567" s="36"/>
      <c r="F567" s="256"/>
      <c r="G567" s="35"/>
      <c r="H567" s="256"/>
      <c r="I567" s="256"/>
      <c r="J567" s="256"/>
      <c r="K567" s="256"/>
      <c r="L567" s="762"/>
      <c r="M567" s="762"/>
      <c r="N567" s="762"/>
      <c r="O567" s="771"/>
      <c r="P567" s="771"/>
      <c r="Q567" s="762"/>
      <c r="R567" s="762"/>
      <c r="S567" s="771"/>
      <c r="T567" s="771"/>
      <c r="U567" s="821"/>
      <c r="V567" s="762"/>
      <c r="W567" s="504"/>
      <c r="Z567" s="938"/>
      <c r="AB567" s="938"/>
      <c r="AD567" s="938"/>
      <c r="AF567" s="949"/>
    </row>
    <row r="568" spans="1:32">
      <c r="A568" s="256"/>
      <c r="B568" s="256"/>
      <c r="C568" s="7" t="s">
        <v>805</v>
      </c>
      <c r="D568" s="256"/>
      <c r="E568" s="36"/>
      <c r="F568" s="256"/>
      <c r="G568" s="453"/>
      <c r="H568" s="256"/>
      <c r="I568" s="256"/>
      <c r="J568" s="750"/>
      <c r="K568" s="256"/>
      <c r="L568" s="762"/>
      <c r="M568" s="762"/>
      <c r="N568" s="762"/>
      <c r="O568" s="771"/>
      <c r="P568" s="771"/>
      <c r="Q568" s="762"/>
      <c r="R568" s="762"/>
      <c r="S568" s="771"/>
      <c r="T568" s="771"/>
      <c r="U568" s="821"/>
      <c r="V568" s="762"/>
      <c r="W568" s="504"/>
      <c r="Z568" s="938"/>
      <c r="AB568" s="938"/>
      <c r="AD568" s="938"/>
      <c r="AF568" s="949"/>
    </row>
    <row r="569" spans="1:32">
      <c r="A569" s="256">
        <v>264</v>
      </c>
      <c r="B569" s="256"/>
      <c r="C569" s="9" t="s">
        <v>820</v>
      </c>
      <c r="D569" s="256"/>
      <c r="E569" s="513" t="s">
        <v>674</v>
      </c>
      <c r="F569" s="256"/>
      <c r="G569" s="35">
        <v>75999.023490000007</v>
      </c>
      <c r="H569" s="256"/>
      <c r="I569" s="772">
        <v>2.2326716001416473</v>
      </c>
      <c r="J569" s="750">
        <f>G569*I569/100</f>
        <v>1696.8086138462095</v>
      </c>
      <c r="K569" s="256"/>
      <c r="L569" s="35">
        <v>64.675168989990013</v>
      </c>
      <c r="M569" s="35">
        <v>13.263258602054556</v>
      </c>
      <c r="N569" s="762">
        <f>J569-L569-M569</f>
        <v>1618.870186254165</v>
      </c>
      <c r="O569" s="771"/>
      <c r="P569" s="35">
        <v>43.653120244065803</v>
      </c>
      <c r="Q569" s="35">
        <v>266.37489455742417</v>
      </c>
      <c r="R569" s="35">
        <v>12.895583207071539</v>
      </c>
      <c r="S569" s="771"/>
      <c r="T569" s="771">
        <f>N569+P569+Q569+R569</f>
        <v>1941.7937842627264</v>
      </c>
      <c r="U569" s="821">
        <f>T569/G569*100</f>
        <v>2.5550246504393948</v>
      </c>
      <c r="V569" s="762">
        <f>T569-J569</f>
        <v>244.98517041651689</v>
      </c>
      <c r="W569" s="770">
        <f>U569/I569-1</f>
        <v>0.14437996625983707</v>
      </c>
      <c r="X569" s="769"/>
      <c r="Z569" s="938"/>
      <c r="AB569" s="938"/>
      <c r="AD569" s="938"/>
      <c r="AF569" s="949"/>
    </row>
    <row r="570" spans="1:32">
      <c r="A570" s="256">
        <v>265</v>
      </c>
      <c r="B570" s="256"/>
      <c r="C570" s="9" t="s">
        <v>821</v>
      </c>
      <c r="D570" s="256"/>
      <c r="E570" s="513" t="s">
        <v>674</v>
      </c>
      <c r="F570" s="256"/>
      <c r="G570" s="35">
        <v>7467.4059999999999</v>
      </c>
      <c r="H570" s="256"/>
      <c r="I570" s="772">
        <v>2.3215936060527578</v>
      </c>
      <c r="J570" s="750">
        <f>G570*I570/100</f>
        <v>173.362820234</v>
      </c>
      <c r="K570" s="256"/>
      <c r="L570" s="35">
        <v>6.3547625059999993</v>
      </c>
      <c r="M570" s="35">
        <v>1.3032027559875927</v>
      </c>
      <c r="N570" s="762">
        <f>J570-L570-M570</f>
        <v>165.70485497201241</v>
      </c>
      <c r="O570" s="771"/>
      <c r="P570" s="35">
        <v>4.4682606552018171</v>
      </c>
      <c r="Q570" s="35">
        <v>26.173092686239681</v>
      </c>
      <c r="R570" s="35">
        <v>1.2670762200866437</v>
      </c>
      <c r="S570" s="771"/>
      <c r="T570" s="771">
        <f>N570+P570+Q570+R570</f>
        <v>197.61328453354054</v>
      </c>
      <c r="U570" s="821">
        <f>T570/G570*100</f>
        <v>2.6463444539313992</v>
      </c>
      <c r="V570" s="762">
        <f>T570-J570</f>
        <v>24.250464299540539</v>
      </c>
      <c r="W570" s="770">
        <f>U570/I570-1</f>
        <v>0.13988272841205496</v>
      </c>
      <c r="X570" s="769"/>
      <c r="Z570" s="938"/>
      <c r="AB570" s="938"/>
      <c r="AD570" s="938"/>
      <c r="AF570" s="949"/>
    </row>
    <row r="571" spans="1:32">
      <c r="A571" s="256"/>
      <c r="B571" s="256"/>
      <c r="C571" s="7"/>
      <c r="D571" s="256"/>
      <c r="E571" s="36"/>
      <c r="F571" s="256"/>
      <c r="G571" s="453"/>
      <c r="H571" s="256"/>
      <c r="I571" s="256"/>
      <c r="J571" s="750"/>
      <c r="K571" s="256"/>
      <c r="L571" s="762"/>
      <c r="M571" s="762"/>
      <c r="N571" s="762"/>
      <c r="O571" s="771"/>
      <c r="P571" s="771"/>
      <c r="Q571" s="762"/>
      <c r="R571" s="762"/>
      <c r="S571" s="771"/>
      <c r="T571" s="771"/>
      <c r="U571" s="821"/>
      <c r="V571" s="762"/>
      <c r="W571" s="770"/>
      <c r="X571" s="769"/>
      <c r="Z571" s="938"/>
      <c r="AB571" s="938"/>
      <c r="AD571" s="938"/>
      <c r="AF571" s="949"/>
    </row>
    <row r="572" spans="1:32">
      <c r="A572" s="256">
        <v>266</v>
      </c>
      <c r="B572" s="256"/>
      <c r="C572" s="7" t="s">
        <v>809</v>
      </c>
      <c r="D572" s="256"/>
      <c r="E572" s="742"/>
      <c r="F572" s="256"/>
      <c r="G572" s="137">
        <f>G569</f>
        <v>75999.023490000007</v>
      </c>
      <c r="H572" s="256"/>
      <c r="I572" s="806">
        <f>J572/G572*100</f>
        <v>2.4607835051015989</v>
      </c>
      <c r="J572" s="808">
        <f>SUM(J569:J571)</f>
        <v>1870.1714340802096</v>
      </c>
      <c r="K572" s="256"/>
      <c r="L572" s="805">
        <f>SUM(L569:L571)</f>
        <v>71.029931495990013</v>
      </c>
      <c r="M572" s="805">
        <f>SUM(M569:M571)</f>
        <v>14.566461358042149</v>
      </c>
      <c r="N572" s="805">
        <f>SUM(N569:N571)</f>
        <v>1784.5750412261773</v>
      </c>
      <c r="O572" s="771"/>
      <c r="P572" s="807">
        <f>SUM(P569:P571)</f>
        <v>48.121380899267621</v>
      </c>
      <c r="Q572" s="807">
        <f>SUM(Q569:Q571)</f>
        <v>292.54798724366384</v>
      </c>
      <c r="R572" s="807">
        <f>SUM(R569:R571)</f>
        <v>14.162659427158182</v>
      </c>
      <c r="S572" s="771"/>
      <c r="T572" s="807">
        <f>SUM(T569:T571)</f>
        <v>2139.4070687962667</v>
      </c>
      <c r="U572" s="902">
        <f>T572/G572*100</f>
        <v>2.8150454710484154</v>
      </c>
      <c r="V572" s="805">
        <f>SUM(V569:V571)</f>
        <v>269.23563471605746</v>
      </c>
      <c r="W572" s="804">
        <f>U572/I572-1</f>
        <v>0.14396307729321767</v>
      </c>
      <c r="X572" s="769"/>
      <c r="Z572" s="938"/>
      <c r="AB572" s="938"/>
      <c r="AD572" s="938"/>
      <c r="AF572" s="949"/>
    </row>
    <row r="573" spans="1:32">
      <c r="A573" s="256"/>
      <c r="B573" s="256"/>
      <c r="D573" s="256"/>
      <c r="E573" s="134"/>
      <c r="F573" s="256"/>
      <c r="G573" s="749"/>
      <c r="H573" s="256"/>
      <c r="I573" s="256"/>
      <c r="J573" s="750"/>
      <c r="K573" s="256"/>
      <c r="L573" s="762"/>
      <c r="M573" s="762"/>
      <c r="N573" s="762"/>
      <c r="O573" s="771"/>
      <c r="P573" s="771"/>
      <c r="Q573" s="762"/>
      <c r="R573" s="762"/>
      <c r="S573" s="771"/>
      <c r="T573" s="771"/>
      <c r="U573" s="821"/>
      <c r="V573" s="762"/>
      <c r="W573" s="770"/>
      <c r="X573" s="769"/>
      <c r="Z573" s="938"/>
      <c r="AB573" s="938"/>
      <c r="AD573" s="938"/>
      <c r="AF573" s="949"/>
    </row>
    <row r="574" spans="1:32">
      <c r="A574" s="256">
        <v>267</v>
      </c>
      <c r="B574" s="256"/>
      <c r="C574" s="7" t="s">
        <v>715</v>
      </c>
      <c r="D574" s="256"/>
      <c r="E574" s="513" t="s">
        <v>674</v>
      </c>
      <c r="F574" s="256"/>
      <c r="G574" s="35">
        <v>35618.685999999994</v>
      </c>
      <c r="H574" s="256"/>
      <c r="I574" s="836">
        <v>-7.3899999999999993E-2</v>
      </c>
      <c r="J574" s="896">
        <f>G574*I574/100</f>
        <v>-26.322208953999993</v>
      </c>
      <c r="K574" s="256"/>
      <c r="L574" s="825">
        <v>0</v>
      </c>
      <c r="M574" s="825">
        <v>0</v>
      </c>
      <c r="N574" s="762">
        <f>J574-L574-M574</f>
        <v>-26.322208953999993</v>
      </c>
      <c r="O574" s="771"/>
      <c r="P574" s="771">
        <v>-0.70978300935735916</v>
      </c>
      <c r="Q574" s="825">
        <v>0</v>
      </c>
      <c r="R574" s="825">
        <v>0</v>
      </c>
      <c r="S574" s="771"/>
      <c r="T574" s="771">
        <f>N574+P574+Q574+R574</f>
        <v>-27.031991963357353</v>
      </c>
      <c r="U574" s="821">
        <f>T574/G574*100</f>
        <v>-7.5892726540662842E-2</v>
      </c>
      <c r="V574" s="762">
        <f>T574-J574</f>
        <v>-0.70978300935735916</v>
      </c>
      <c r="W574" s="770">
        <f>U574/I574-1</f>
        <v>2.6965176463638052E-2</v>
      </c>
      <c r="X574" s="769"/>
      <c r="Z574" s="938"/>
      <c r="AB574" s="938"/>
      <c r="AD574" s="938"/>
      <c r="AF574" s="949"/>
    </row>
    <row r="575" spans="1:32">
      <c r="A575" s="256"/>
      <c r="B575" s="256"/>
      <c r="C575" s="7"/>
      <c r="D575" s="256"/>
      <c r="E575" s="36"/>
      <c r="F575" s="256"/>
      <c r="G575" s="453"/>
      <c r="H575" s="256"/>
      <c r="I575" s="957"/>
      <c r="J575" s="750"/>
      <c r="K575" s="256"/>
      <c r="L575" s="762"/>
      <c r="M575" s="762"/>
      <c r="N575" s="762"/>
      <c r="O575" s="771"/>
      <c r="P575" s="771"/>
      <c r="Q575" s="762"/>
      <c r="R575" s="762"/>
      <c r="S575" s="771"/>
      <c r="T575" s="771"/>
      <c r="U575" s="821"/>
      <c r="V575" s="762"/>
      <c r="W575" s="504"/>
      <c r="Z575" s="938"/>
      <c r="AB575" s="938"/>
      <c r="AD575" s="938"/>
      <c r="AF575" s="949"/>
    </row>
    <row r="576" spans="1:32" ht="13.5" thickBot="1">
      <c r="A576" s="256">
        <v>268</v>
      </c>
      <c r="B576" s="256"/>
      <c r="C576" s="7" t="s">
        <v>822</v>
      </c>
      <c r="D576" s="256"/>
      <c r="E576" s="36"/>
      <c r="F576" s="256"/>
      <c r="G576" s="458">
        <f>G566+G572</f>
        <v>789736.67052000004</v>
      </c>
      <c r="H576" s="256"/>
      <c r="I576" s="803">
        <f>J576/G576*100</f>
        <v>3.5494054628948701</v>
      </c>
      <c r="J576" s="756">
        <f>J566+J572+J574</f>
        <v>28030.956525920945</v>
      </c>
      <c r="K576" s="750"/>
      <c r="L576" s="781">
        <f>L566+L572+L574</f>
        <v>2364.1091183112503</v>
      </c>
      <c r="M576" s="781">
        <f>M566+M572+M574</f>
        <v>143.02737771982905</v>
      </c>
      <c r="N576" s="781">
        <f>N566+N572+N574</f>
        <v>25523.820029889866</v>
      </c>
      <c r="O576" s="771"/>
      <c r="P576" s="781">
        <f>P566+P572+P574</f>
        <v>688.25431113211539</v>
      </c>
      <c r="Q576" s="781">
        <f>Q566+Q572+Q574</f>
        <v>4188.472052498998</v>
      </c>
      <c r="R576" s="781">
        <f>R566+R572+R574</f>
        <v>139.06246614158559</v>
      </c>
      <c r="S576" s="771"/>
      <c r="T576" s="781">
        <f>T566+T572+T574</f>
        <v>30539.608859662563</v>
      </c>
      <c r="U576" s="901">
        <f>T576/G576*100</f>
        <v>3.8670622752713055</v>
      </c>
      <c r="V576" s="799">
        <f>V566+V572+V574</f>
        <v>2508.6523337416197</v>
      </c>
      <c r="W576" s="798">
        <f>U576/I576-1</f>
        <v>8.9495780546118953E-2</v>
      </c>
      <c r="X576" s="769"/>
      <c r="Z576" s="938"/>
      <c r="AB576" s="938"/>
      <c r="AD576" s="938"/>
      <c r="AF576" s="949"/>
    </row>
    <row r="577" spans="1:32" ht="13.5" thickTop="1">
      <c r="L577" s="2"/>
      <c r="M577" s="2"/>
      <c r="N577" s="504"/>
      <c r="Q577" s="504"/>
      <c r="R577" s="504"/>
      <c r="V577" s="762"/>
      <c r="W577" s="504"/>
      <c r="Z577" s="938"/>
      <c r="AB577" s="938"/>
      <c r="AD577" s="938"/>
      <c r="AF577" s="949"/>
    </row>
    <row r="578" spans="1:32">
      <c r="L578" s="2"/>
      <c r="M578" s="2"/>
      <c r="N578" s="504"/>
      <c r="Q578" s="504"/>
      <c r="R578" s="504"/>
      <c r="V578" s="762"/>
      <c r="W578" s="504"/>
      <c r="Z578" s="938"/>
      <c r="AB578" s="938"/>
      <c r="AD578" s="938"/>
      <c r="AF578" s="949"/>
    </row>
    <row r="579" spans="1:32">
      <c r="L579" s="2"/>
      <c r="M579" s="2"/>
      <c r="N579" s="504"/>
      <c r="Q579" s="504"/>
      <c r="R579" s="504"/>
      <c r="V579" s="762"/>
      <c r="W579" s="504"/>
      <c r="Z579" s="938"/>
      <c r="AB579" s="938"/>
      <c r="AD579" s="938"/>
      <c r="AF579" s="949"/>
    </row>
    <row r="580" spans="1:32">
      <c r="L580" s="2"/>
      <c r="M580" s="2"/>
      <c r="N580" s="504"/>
      <c r="Q580" s="504"/>
      <c r="R580" s="504"/>
      <c r="T580" s="68"/>
      <c r="V580" s="504"/>
      <c r="W580" s="504"/>
      <c r="Z580" s="938"/>
      <c r="AB580" s="938"/>
      <c r="AD580" s="938"/>
      <c r="AF580" s="949"/>
    </row>
    <row r="581" spans="1:32">
      <c r="L581" s="2"/>
      <c r="M581" s="2"/>
      <c r="N581" s="504"/>
      <c r="Q581" s="504"/>
      <c r="R581" s="504"/>
      <c r="V581" s="504"/>
      <c r="W581" s="504"/>
      <c r="Z581" s="938"/>
      <c r="AB581" s="938"/>
      <c r="AD581" s="938"/>
      <c r="AF581" s="949"/>
    </row>
    <row r="582" spans="1:32">
      <c r="A582" s="1324" t="s">
        <v>724</v>
      </c>
      <c r="B582" s="1324"/>
      <c r="C582" s="1324"/>
      <c r="D582" s="1324"/>
      <c r="E582" s="1324"/>
      <c r="F582" s="1324"/>
      <c r="G582" s="1324"/>
      <c r="H582" s="1324"/>
      <c r="I582" s="1324"/>
      <c r="J582" s="1324"/>
      <c r="K582" s="1324"/>
      <c r="L582" s="1324"/>
      <c r="M582" s="1324"/>
      <c r="N582" s="1324"/>
      <c r="O582" s="1324"/>
      <c r="P582" s="1324"/>
      <c r="Q582" s="1324"/>
      <c r="R582" s="1324"/>
      <c r="S582" s="1324"/>
      <c r="T582" s="1324"/>
      <c r="U582" s="1324"/>
      <c r="V582" s="1324"/>
      <c r="W582" s="1324"/>
      <c r="X582" s="665"/>
      <c r="Z582" s="938"/>
      <c r="AB582" s="938"/>
      <c r="AD582" s="938"/>
      <c r="AF582" s="949"/>
    </row>
    <row r="583" spans="1:32">
      <c r="A583" s="1324" t="s">
        <v>938</v>
      </c>
      <c r="B583" s="1324"/>
      <c r="C583" s="1324"/>
      <c r="D583" s="1324"/>
      <c r="E583" s="1324"/>
      <c r="F583" s="1324"/>
      <c r="G583" s="1324"/>
      <c r="H583" s="1324"/>
      <c r="I583" s="1324"/>
      <c r="J583" s="1324"/>
      <c r="K583" s="1324"/>
      <c r="L583" s="1324"/>
      <c r="M583" s="1324"/>
      <c r="N583" s="1324"/>
      <c r="O583" s="1324"/>
      <c r="P583" s="1324"/>
      <c r="Q583" s="1324"/>
      <c r="R583" s="1324"/>
      <c r="S583" s="1324"/>
      <c r="T583" s="1324"/>
      <c r="U583" s="1324"/>
      <c r="V583" s="1324"/>
      <c r="W583" s="1324"/>
      <c r="X583" s="644"/>
      <c r="Y583" s="644"/>
      <c r="Z583" s="938"/>
      <c r="AB583" s="938"/>
      <c r="AD583" s="938"/>
      <c r="AF583" s="949"/>
    </row>
    <row r="584" spans="1:32">
      <c r="A584" s="385"/>
      <c r="B584" s="385"/>
      <c r="C584" s="385"/>
      <c r="D584" s="385"/>
      <c r="E584" s="447"/>
      <c r="F584" s="385"/>
      <c r="G584" s="447"/>
      <c r="H584" s="385"/>
      <c r="I584" s="385"/>
      <c r="J584" s="385"/>
      <c r="K584" s="385"/>
      <c r="L584" s="385"/>
      <c r="M584" s="385"/>
      <c r="N584" s="504"/>
      <c r="O584" s="385"/>
      <c r="P584" s="385"/>
      <c r="Q584" s="504"/>
      <c r="R584" s="504"/>
      <c r="S584" s="385"/>
      <c r="T584" s="385"/>
      <c r="U584" s="385"/>
      <c r="V584" s="504"/>
      <c r="W584" s="504"/>
      <c r="Z584" s="938"/>
      <c r="AB584" s="938"/>
      <c r="AD584" s="938"/>
      <c r="AF584" s="949"/>
    </row>
    <row r="585" spans="1:32" ht="26.45" customHeight="1">
      <c r="A585" s="447"/>
      <c r="B585" s="447"/>
      <c r="C585" s="447"/>
      <c r="D585" s="447"/>
      <c r="E585" s="385"/>
      <c r="F585" s="1313" t="s">
        <v>682</v>
      </c>
      <c r="G585" s="1313"/>
      <c r="H585" s="1313"/>
      <c r="I585" s="1313"/>
      <c r="J585" s="1313"/>
      <c r="K585" s="447"/>
      <c r="L585" s="1325" t="s">
        <v>496</v>
      </c>
      <c r="M585" s="1325"/>
      <c r="N585" s="256"/>
      <c r="O585" s="447"/>
      <c r="P585" s="449"/>
      <c r="Q585" s="1325" t="s">
        <v>497</v>
      </c>
      <c r="R585" s="1325"/>
      <c r="S585" s="447"/>
      <c r="T585" s="1313" t="s">
        <v>926</v>
      </c>
      <c r="U585" s="1313"/>
      <c r="V585" s="1313"/>
      <c r="W585" s="1313"/>
      <c r="X585" s="4"/>
      <c r="Z585" s="938"/>
      <c r="AB585" s="938"/>
      <c r="AD585" s="938"/>
      <c r="AF585" s="949"/>
    </row>
    <row r="586" spans="1:32" ht="38.25">
      <c r="A586" s="254" t="s">
        <v>1</v>
      </c>
      <c r="B586" s="254"/>
      <c r="C586" s="254"/>
      <c r="D586" s="254"/>
      <c r="E586" s="4" t="s">
        <v>670</v>
      </c>
      <c r="F586" s="254"/>
      <c r="G586" s="13" t="s">
        <v>684</v>
      </c>
      <c r="H586" s="254"/>
      <c r="I586" s="13" t="s">
        <v>196</v>
      </c>
      <c r="J586" s="13" t="s">
        <v>503</v>
      </c>
      <c r="K586" s="254"/>
      <c r="L586" s="13" t="s">
        <v>505</v>
      </c>
      <c r="M586" s="13" t="s">
        <v>685</v>
      </c>
      <c r="N586" s="254" t="s">
        <v>688</v>
      </c>
      <c r="O586" s="254"/>
      <c r="P586" s="254" t="s">
        <v>689</v>
      </c>
      <c r="Q586" s="13" t="s">
        <v>505</v>
      </c>
      <c r="R586" s="13" t="s">
        <v>685</v>
      </c>
      <c r="S586" s="254"/>
      <c r="T586" s="13" t="s">
        <v>690</v>
      </c>
      <c r="U586" s="13" t="s">
        <v>691</v>
      </c>
      <c r="V586" s="13" t="s">
        <v>692</v>
      </c>
      <c r="W586" s="254" t="s">
        <v>693</v>
      </c>
      <c r="X586" s="254"/>
      <c r="Z586" s="938"/>
      <c r="AB586" s="938"/>
      <c r="AD586" s="938"/>
      <c r="AF586" s="949"/>
    </row>
    <row r="587" spans="1:32" ht="14.25">
      <c r="A587" s="255" t="s">
        <v>2</v>
      </c>
      <c r="B587" s="256"/>
      <c r="C587" s="449" t="s">
        <v>3</v>
      </c>
      <c r="D587" s="256"/>
      <c r="E587" s="255" t="s">
        <v>4</v>
      </c>
      <c r="F587" s="256"/>
      <c r="G587" s="255" t="s">
        <v>694</v>
      </c>
      <c r="H587" s="256"/>
      <c r="I587" s="255" t="s">
        <v>77</v>
      </c>
      <c r="J587" s="255" t="s">
        <v>20</v>
      </c>
      <c r="K587" s="256"/>
      <c r="L587" s="255" t="s">
        <v>20</v>
      </c>
      <c r="M587" s="255" t="s">
        <v>20</v>
      </c>
      <c r="N587" s="255" t="s">
        <v>20</v>
      </c>
      <c r="O587" s="256"/>
      <c r="P587" s="255" t="s">
        <v>20</v>
      </c>
      <c r="Q587" s="255" t="s">
        <v>20</v>
      </c>
      <c r="R587" s="255" t="s">
        <v>20</v>
      </c>
      <c r="S587" s="256"/>
      <c r="T587" s="255" t="s">
        <v>20</v>
      </c>
      <c r="U587" s="255" t="s">
        <v>77</v>
      </c>
      <c r="V587" s="255" t="s">
        <v>20</v>
      </c>
      <c r="W587" s="255" t="s">
        <v>76</v>
      </c>
      <c r="X587" s="4"/>
      <c r="Z587" s="938"/>
      <c r="AB587" s="938"/>
      <c r="AD587" s="938"/>
      <c r="AF587" s="949"/>
    </row>
    <row r="588" spans="1:32">
      <c r="A588" s="4"/>
      <c r="B588" s="256"/>
      <c r="C588" s="256"/>
      <c r="D588" s="256"/>
      <c r="E588" s="4"/>
      <c r="F588" s="256"/>
      <c r="G588" s="4" t="s">
        <v>8</v>
      </c>
      <c r="H588" s="4"/>
      <c r="I588" s="4" t="s">
        <v>9</v>
      </c>
      <c r="J588" s="4" t="s">
        <v>370</v>
      </c>
      <c r="K588" s="4"/>
      <c r="L588" s="132" t="s">
        <v>79</v>
      </c>
      <c r="M588" s="132" t="s">
        <v>115</v>
      </c>
      <c r="N588" s="4" t="s">
        <v>927</v>
      </c>
      <c r="O588" s="4"/>
      <c r="P588" s="4" t="s">
        <v>928</v>
      </c>
      <c r="Q588" s="4" t="s">
        <v>118</v>
      </c>
      <c r="R588" s="4" t="s">
        <v>84</v>
      </c>
      <c r="S588" s="4"/>
      <c r="T588" s="4" t="s">
        <v>929</v>
      </c>
      <c r="U588" s="4" t="s">
        <v>517</v>
      </c>
      <c r="V588" s="4" t="s">
        <v>930</v>
      </c>
      <c r="W588" s="4" t="s">
        <v>931</v>
      </c>
      <c r="Z588" s="938"/>
      <c r="AB588" s="938"/>
      <c r="AD588" s="938"/>
      <c r="AF588" s="949"/>
    </row>
    <row r="589" spans="1:32">
      <c r="A589" s="4"/>
      <c r="B589" s="256"/>
      <c r="C589" s="7"/>
      <c r="D589" s="256"/>
      <c r="E589" s="36"/>
      <c r="F589" s="256"/>
      <c r="G589" s="453"/>
      <c r="H589" s="256"/>
      <c r="I589" s="792"/>
      <c r="J589" s="750"/>
      <c r="K589" s="750"/>
      <c r="L589" s="771"/>
      <c r="M589" s="771"/>
      <c r="N589" s="771"/>
      <c r="O589" s="771"/>
      <c r="P589" s="771"/>
      <c r="Q589" s="771"/>
      <c r="R589" s="771"/>
      <c r="S589" s="771"/>
      <c r="T589" s="771"/>
      <c r="U589" s="821"/>
      <c r="V589" s="762"/>
      <c r="W589" s="770"/>
      <c r="X589" s="769"/>
      <c r="Z589" s="938"/>
      <c r="AB589" s="938"/>
      <c r="AD589" s="938"/>
      <c r="AF589" s="949"/>
    </row>
    <row r="590" spans="1:32">
      <c r="A590" s="4"/>
      <c r="B590" s="256"/>
      <c r="C590" s="6" t="s">
        <v>183</v>
      </c>
      <c r="D590" s="256"/>
      <c r="E590" s="742"/>
      <c r="F590" s="256"/>
      <c r="G590" s="35"/>
      <c r="H590" s="256"/>
      <c r="I590" s="256"/>
      <c r="J590" s="750"/>
      <c r="K590" s="256"/>
      <c r="L590" s="762"/>
      <c r="M590" s="762"/>
      <c r="N590" s="762"/>
      <c r="O590" s="771"/>
      <c r="P590" s="771"/>
      <c r="Q590" s="762"/>
      <c r="R590" s="762"/>
      <c r="S590" s="771"/>
      <c r="T590" s="771"/>
      <c r="U590" s="771"/>
      <c r="V590" s="762"/>
      <c r="W590" s="504"/>
    </row>
    <row r="591" spans="1:32">
      <c r="A591" s="256">
        <v>269</v>
      </c>
      <c r="B591" s="256"/>
      <c r="C591" s="512" t="s">
        <v>726</v>
      </c>
      <c r="D591" s="256"/>
      <c r="E591" s="513" t="s">
        <v>675</v>
      </c>
      <c r="F591" s="256"/>
      <c r="G591" s="35">
        <v>6040.4639999999999</v>
      </c>
      <c r="H591" s="750"/>
      <c r="I591" s="772">
        <v>27.228400000000001</v>
      </c>
      <c r="J591" s="750">
        <f>G591*I591/100</f>
        <v>1644.7216997759999</v>
      </c>
      <c r="K591" s="750"/>
      <c r="L591" s="35">
        <v>16.88309688</v>
      </c>
      <c r="M591" s="825">
        <v>0</v>
      </c>
      <c r="N591" s="762">
        <f>J591-L591-M591</f>
        <v>1627.8386028959999</v>
      </c>
      <c r="O591" s="771"/>
      <c r="P591" s="35">
        <v>43.894955181412342</v>
      </c>
      <c r="Q591" s="35">
        <v>17.720613264513492</v>
      </c>
      <c r="R591" s="35">
        <v>0</v>
      </c>
      <c r="S591" s="771"/>
      <c r="T591" s="771">
        <f>N591+P591+Q591+R591</f>
        <v>1689.4541713419258</v>
      </c>
      <c r="U591" s="821">
        <f>T591/G591*100</f>
        <v>27.968946944173922</v>
      </c>
      <c r="V591" s="762">
        <f>T591-J591</f>
        <v>44.732471565925835</v>
      </c>
      <c r="W591" s="770">
        <f>U591/I591-1</f>
        <v>2.7197593107708196E-2</v>
      </c>
      <c r="X591" s="769"/>
      <c r="Z591" s="938"/>
      <c r="AB591" s="938"/>
      <c r="AD591" s="938"/>
      <c r="AF591" s="949"/>
    </row>
    <row r="592" spans="1:32">
      <c r="A592" s="256">
        <v>270</v>
      </c>
      <c r="B592" s="256"/>
      <c r="C592" s="512" t="s">
        <v>705</v>
      </c>
      <c r="D592" s="256"/>
      <c r="E592" s="513" t="s">
        <v>674</v>
      </c>
      <c r="F592" s="256"/>
      <c r="G592" s="35">
        <v>90073.425800000012</v>
      </c>
      <c r="H592" s="750"/>
      <c r="I592" s="772">
        <v>0.15699999999999997</v>
      </c>
      <c r="J592" s="750">
        <f>G592*I592/100</f>
        <v>141.41527850599999</v>
      </c>
      <c r="K592" s="750"/>
      <c r="L592" s="825">
        <v>0</v>
      </c>
      <c r="M592" s="35">
        <v>65.613483750987882</v>
      </c>
      <c r="N592" s="762">
        <f>J592-L592-M592</f>
        <v>75.801794755012111</v>
      </c>
      <c r="O592" s="771"/>
      <c r="P592" s="35">
        <v>2.044008771829354</v>
      </c>
      <c r="Q592" s="35">
        <v>0</v>
      </c>
      <c r="R592" s="35">
        <v>63.794589595473241</v>
      </c>
      <c r="S592" s="771"/>
      <c r="T592" s="771">
        <f>N592+P592+Q592+R592</f>
        <v>141.64039312231472</v>
      </c>
      <c r="U592" s="821">
        <f>T592/G592*100</f>
        <v>0.1572499234533552</v>
      </c>
      <c r="V592" s="762">
        <f>T592-J592</f>
        <v>0.22511461631472685</v>
      </c>
      <c r="W592" s="770">
        <f>U592/I592-1</f>
        <v>1.5918691296510357E-3</v>
      </c>
      <c r="X592" s="769"/>
      <c r="Z592" s="938"/>
      <c r="AB592" s="938"/>
      <c r="AD592" s="938"/>
      <c r="AF592" s="949"/>
    </row>
    <row r="593" spans="1:32">
      <c r="A593" s="256"/>
      <c r="C593" s="7"/>
      <c r="G593" s="744"/>
      <c r="H593" s="752"/>
      <c r="I593" s="772"/>
      <c r="J593" s="750"/>
      <c r="K593" s="752"/>
      <c r="L593" s="762"/>
      <c r="M593" s="762"/>
      <c r="N593" s="762"/>
      <c r="O593" s="68"/>
      <c r="P593" s="136"/>
      <c r="Q593" s="827"/>
      <c r="R593" s="827"/>
      <c r="S593" s="68"/>
      <c r="T593" s="68"/>
      <c r="U593" s="821"/>
      <c r="V593" s="762"/>
      <c r="W593" s="770"/>
      <c r="X593" s="769"/>
      <c r="Z593" s="938"/>
      <c r="AB593" s="938"/>
      <c r="AD593" s="938"/>
      <c r="AF593" s="949"/>
    </row>
    <row r="594" spans="1:32">
      <c r="A594" s="256">
        <v>271</v>
      </c>
      <c r="B594" s="256"/>
      <c r="C594" s="7" t="s">
        <v>710</v>
      </c>
      <c r="D594" s="256"/>
      <c r="E594" s="36"/>
      <c r="F594" s="256"/>
      <c r="G594" s="805">
        <f>G592</f>
        <v>90073.425800000012</v>
      </c>
      <c r="H594" s="750"/>
      <c r="I594" s="829">
        <f>J594/G594*100</f>
        <v>1.9829788446683014</v>
      </c>
      <c r="J594" s="808">
        <f>SUM(J591:J593)</f>
        <v>1786.136978282</v>
      </c>
      <c r="K594" s="750"/>
      <c r="L594" s="805">
        <f>SUM(L591:L593)</f>
        <v>16.88309688</v>
      </c>
      <c r="M594" s="805">
        <f>SUM(M591:M593)</f>
        <v>65.613483750987882</v>
      </c>
      <c r="N594" s="805">
        <f>SUM(N591:N593)</f>
        <v>1703.6403976510119</v>
      </c>
      <c r="O594" s="771"/>
      <c r="P594" s="137">
        <f>SUM(P591:P593)</f>
        <v>45.938963953241696</v>
      </c>
      <c r="Q594" s="137">
        <f>SUM(Q591:Q593)</f>
        <v>17.720613264513492</v>
      </c>
      <c r="R594" s="137">
        <f>SUM(R591:R593)</f>
        <v>63.794589595473241</v>
      </c>
      <c r="S594" s="771"/>
      <c r="T594" s="807">
        <f>SUM(T591:T593)</f>
        <v>1831.0945644642404</v>
      </c>
      <c r="U594" s="902">
        <f>T594/G594*100</f>
        <v>2.032890997762228</v>
      </c>
      <c r="V594" s="805">
        <f>SUM(V591:V593)</f>
        <v>44.957586182240561</v>
      </c>
      <c r="W594" s="804">
        <f>U594/I594-1</f>
        <v>2.5170290257068073E-2</v>
      </c>
      <c r="X594" s="769"/>
      <c r="Z594" s="938"/>
      <c r="AB594" s="938"/>
      <c r="AD594" s="938"/>
      <c r="AF594" s="949"/>
    </row>
    <row r="595" spans="1:32">
      <c r="A595" s="256"/>
      <c r="B595" s="256"/>
      <c r="D595" s="256"/>
      <c r="E595" s="36"/>
      <c r="F595" s="256"/>
      <c r="G595" s="828"/>
      <c r="H595" s="750"/>
      <c r="I595" s="823"/>
      <c r="J595" s="750"/>
      <c r="K595" s="750"/>
      <c r="L595" s="762"/>
      <c r="M595" s="762"/>
      <c r="N595" s="762"/>
      <c r="O595" s="771"/>
      <c r="P595" s="453"/>
      <c r="Q595" s="827"/>
      <c r="R595" s="827"/>
      <c r="S595" s="771"/>
      <c r="T595" s="771"/>
      <c r="U595" s="821"/>
      <c r="V595" s="762"/>
      <c r="W595" s="770"/>
      <c r="X595" s="769"/>
      <c r="Z595" s="938"/>
      <c r="AB595" s="938"/>
      <c r="AD595" s="938"/>
      <c r="AF595" s="949"/>
    </row>
    <row r="596" spans="1:32">
      <c r="A596" s="256">
        <v>272</v>
      </c>
      <c r="B596" s="734"/>
      <c r="C596" s="7" t="s">
        <v>715</v>
      </c>
      <c r="D596" s="734"/>
      <c r="E596" s="513" t="s">
        <v>674</v>
      </c>
      <c r="F596" s="734"/>
      <c r="G596" s="35">
        <v>15795.321699999999</v>
      </c>
      <c r="H596" s="826"/>
      <c r="I596" s="836">
        <v>-7.3899999999999993E-2</v>
      </c>
      <c r="J596" s="896">
        <f>G596*I596/100</f>
        <v>-11.672742736299996</v>
      </c>
      <c r="K596" s="826"/>
      <c r="L596" s="825">
        <v>0</v>
      </c>
      <c r="M596" s="825">
        <v>0</v>
      </c>
      <c r="N596" s="762">
        <f>J596-L596-M596</f>
        <v>-11.672742736299996</v>
      </c>
      <c r="O596" s="824"/>
      <c r="P596" s="35">
        <v>-0.314757567698976</v>
      </c>
      <c r="Q596" s="35">
        <v>0</v>
      </c>
      <c r="R596" s="35">
        <v>0</v>
      </c>
      <c r="S596" s="824"/>
      <c r="T596" s="136">
        <f>N596+P596+Q596+R596</f>
        <v>-11.987500303998972</v>
      </c>
      <c r="U596" s="821">
        <f>T596/G596*100</f>
        <v>-7.5892726540662814E-2</v>
      </c>
      <c r="V596" s="762">
        <f>T596-J596</f>
        <v>-0.314757567698976</v>
      </c>
      <c r="W596" s="770">
        <f>U596/I596-1</f>
        <v>2.6965176463637608E-2</v>
      </c>
      <c r="X596" s="769"/>
      <c r="Z596" s="938"/>
      <c r="AB596" s="938"/>
      <c r="AD596" s="938"/>
      <c r="AF596" s="949"/>
    </row>
    <row r="597" spans="1:32">
      <c r="A597" s="256"/>
      <c r="B597" s="385"/>
      <c r="C597" s="7"/>
      <c r="D597" s="385"/>
      <c r="E597" s="447"/>
      <c r="F597" s="385"/>
      <c r="G597" s="35"/>
      <c r="H597" s="822"/>
      <c r="I597" s="823"/>
      <c r="J597" s="822"/>
      <c r="K597" s="822"/>
      <c r="L597" s="762"/>
      <c r="M597" s="762"/>
      <c r="N597" s="762"/>
      <c r="O597" s="789"/>
      <c r="P597" s="789"/>
      <c r="Q597" s="762"/>
      <c r="R597" s="762"/>
      <c r="S597" s="789"/>
      <c r="T597" s="789"/>
      <c r="U597" s="821"/>
      <c r="V597" s="762"/>
      <c r="W597" s="770"/>
      <c r="X597" s="769"/>
    </row>
    <row r="598" spans="1:32" ht="13.5" thickBot="1">
      <c r="A598" s="256">
        <v>273</v>
      </c>
      <c r="B598" s="447"/>
      <c r="C598" s="7" t="s">
        <v>823</v>
      </c>
      <c r="D598" s="447"/>
      <c r="E598" s="385"/>
      <c r="F598" s="447"/>
      <c r="G598" s="458">
        <f>G594</f>
        <v>90073.425800000012</v>
      </c>
      <c r="H598" s="818"/>
      <c r="I598" s="820">
        <f>J598/G598*100</f>
        <v>1.9700197031316862</v>
      </c>
      <c r="J598" s="819">
        <f>J594+J596</f>
        <v>1774.4642355456999</v>
      </c>
      <c r="K598" s="818"/>
      <c r="L598" s="458">
        <f>L594+L596</f>
        <v>16.88309688</v>
      </c>
      <c r="M598" s="458">
        <f>M594+M596</f>
        <v>65.613483750987882</v>
      </c>
      <c r="N598" s="458">
        <f>N594+N596</f>
        <v>1691.9676549147118</v>
      </c>
      <c r="O598" s="453"/>
      <c r="P598" s="458">
        <f>P594+P596</f>
        <v>45.62420638554272</v>
      </c>
      <c r="Q598" s="458">
        <f>Q594+Q596</f>
        <v>17.720613264513492</v>
      </c>
      <c r="R598" s="458">
        <f>R594+R596</f>
        <v>63.794589595473241</v>
      </c>
      <c r="S598" s="453"/>
      <c r="T598" s="458">
        <f>T594+T596</f>
        <v>1819.1070641602414</v>
      </c>
      <c r="U598" s="901">
        <f>T598/G598*100</f>
        <v>2.0195824106872609</v>
      </c>
      <c r="V598" s="799">
        <f>V594+V596</f>
        <v>44.642828614541585</v>
      </c>
      <c r="W598" s="798">
        <f>U598/I598-1</f>
        <v>2.5158483174958279E-2</v>
      </c>
      <c r="X598" s="769"/>
      <c r="Z598" s="938"/>
      <c r="AB598" s="938"/>
      <c r="AD598" s="938"/>
      <c r="AF598" s="949"/>
    </row>
    <row r="599" spans="1:32" ht="13.5" thickTop="1">
      <c r="A599" s="256"/>
      <c r="B599" s="254"/>
      <c r="C599" s="254"/>
      <c r="D599" s="254"/>
      <c r="E599" s="4"/>
      <c r="F599" s="254"/>
      <c r="G599" s="13"/>
      <c r="H599" s="254"/>
      <c r="I599" s="817"/>
      <c r="J599" s="254"/>
      <c r="K599" s="254"/>
      <c r="L599" s="762"/>
      <c r="M599" s="762"/>
      <c r="N599" s="762"/>
      <c r="O599" s="786"/>
      <c r="P599" s="786"/>
      <c r="Q599" s="762"/>
      <c r="R599" s="762"/>
      <c r="S599" s="786"/>
      <c r="T599" s="786"/>
      <c r="U599" s="786"/>
      <c r="V599" s="762"/>
      <c r="W599" s="770"/>
      <c r="X599" s="769"/>
    </row>
    <row r="600" spans="1:32">
      <c r="A600" s="256"/>
      <c r="B600" s="256"/>
      <c r="C600" s="6" t="s">
        <v>184</v>
      </c>
      <c r="D600" s="256"/>
      <c r="E600" s="4"/>
      <c r="F600" s="256"/>
      <c r="G600" s="4"/>
      <c r="H600" s="256"/>
      <c r="I600" s="256"/>
      <c r="J600" s="256"/>
      <c r="K600" s="256"/>
      <c r="L600" s="762"/>
      <c r="M600" s="762"/>
      <c r="N600" s="762"/>
      <c r="O600" s="771"/>
      <c r="P600" s="771"/>
      <c r="Q600" s="762"/>
      <c r="R600" s="762"/>
      <c r="S600" s="771"/>
      <c r="T600" s="771"/>
      <c r="U600" s="771"/>
      <c r="V600" s="762"/>
      <c r="W600" s="504"/>
    </row>
    <row r="601" spans="1:32">
      <c r="A601" s="256">
        <v>274</v>
      </c>
      <c r="B601" s="256"/>
      <c r="C601" s="7" t="s">
        <v>703</v>
      </c>
      <c r="D601" s="256"/>
      <c r="E601" s="4" t="s">
        <v>824</v>
      </c>
      <c r="F601" s="256"/>
      <c r="G601" s="35">
        <v>564.00000000000091</v>
      </c>
      <c r="H601" s="256"/>
      <c r="I601" s="778">
        <v>2155.61</v>
      </c>
      <c r="J601" s="750">
        <f>G601*I601/1000</f>
        <v>1215.7640400000021</v>
      </c>
      <c r="K601" s="750"/>
      <c r="L601" s="35">
        <v>0</v>
      </c>
      <c r="M601" s="35">
        <v>0</v>
      </c>
      <c r="N601" s="762">
        <f>J601-L601-M601</f>
        <v>1215.7640400000021</v>
      </c>
      <c r="O601" s="771"/>
      <c r="P601" s="35">
        <v>32.783291876745352</v>
      </c>
      <c r="Q601" s="35">
        <v>0</v>
      </c>
      <c r="R601" s="35">
        <v>0</v>
      </c>
      <c r="S601" s="771"/>
      <c r="T601" s="771">
        <f>N601+P601+Q601+R601</f>
        <v>1248.5473318767474</v>
      </c>
      <c r="U601" s="915">
        <f>T601/G601*1000</f>
        <v>2213.7364040367825</v>
      </c>
      <c r="V601" s="762">
        <f>T601-J601</f>
        <v>32.783291876745352</v>
      </c>
      <c r="W601" s="770">
        <f>U601/I601-1</f>
        <v>2.696517646363783E-2</v>
      </c>
      <c r="X601" s="769"/>
      <c r="Z601" s="938"/>
      <c r="AB601" s="938"/>
      <c r="AD601" s="938"/>
      <c r="AF601" s="954"/>
    </row>
    <row r="602" spans="1:32" ht="14.25">
      <c r="A602" s="256"/>
      <c r="B602" s="256"/>
      <c r="C602" s="7" t="s">
        <v>825</v>
      </c>
      <c r="D602" s="256"/>
      <c r="E602" s="4"/>
      <c r="F602" s="256"/>
      <c r="G602" s="35"/>
      <c r="H602" s="256"/>
      <c r="I602" s="778"/>
      <c r="J602" s="750"/>
      <c r="K602" s="750"/>
      <c r="L602" s="35"/>
      <c r="M602" s="35"/>
      <c r="N602" s="762"/>
      <c r="O602" s="771"/>
      <c r="P602" s="35"/>
      <c r="Q602" s="35"/>
      <c r="R602" s="35"/>
      <c r="S602" s="771"/>
      <c r="T602" s="771"/>
      <c r="U602" s="915"/>
      <c r="V602" s="762"/>
      <c r="W602" s="770"/>
      <c r="X602" s="769"/>
      <c r="Z602" s="938"/>
      <c r="AB602" s="938"/>
      <c r="AD602" s="938"/>
      <c r="AF602" s="954"/>
    </row>
    <row r="603" spans="1:32">
      <c r="A603" s="256"/>
      <c r="B603" s="256"/>
      <c r="C603" s="519" t="s">
        <v>826</v>
      </c>
      <c r="D603" s="256"/>
      <c r="F603" s="256"/>
      <c r="G603" s="749"/>
      <c r="H603" s="256"/>
      <c r="I603" s="256"/>
      <c r="J603" s="750"/>
      <c r="K603" s="750"/>
      <c r="L603" s="35"/>
      <c r="M603" s="35"/>
      <c r="N603" s="762"/>
      <c r="O603" s="771"/>
      <c r="P603" s="35"/>
      <c r="Q603" s="762"/>
      <c r="R603" s="762"/>
      <c r="S603" s="771"/>
      <c r="T603" s="771"/>
      <c r="U603" s="821"/>
      <c r="V603" s="762"/>
      <c r="W603" s="770"/>
      <c r="X603" s="769"/>
      <c r="Z603" s="938"/>
      <c r="AB603" s="938"/>
      <c r="AD603" s="938"/>
    </row>
    <row r="604" spans="1:32">
      <c r="A604" s="256">
        <v>275</v>
      </c>
      <c r="B604" s="256"/>
      <c r="C604" s="731" t="s">
        <v>947</v>
      </c>
      <c r="D604" s="256"/>
      <c r="E604" s="513" t="s">
        <v>828</v>
      </c>
      <c r="F604" s="256"/>
      <c r="G604" s="35">
        <v>14363.064</v>
      </c>
      <c r="H604" s="256"/>
      <c r="I604" s="772">
        <v>44.595399999999998</v>
      </c>
      <c r="J604" s="750">
        <f>G604*I604/100</f>
        <v>6405.2658430560004</v>
      </c>
      <c r="K604" s="750"/>
      <c r="L604" s="35">
        <v>964.0632187440001</v>
      </c>
      <c r="M604" s="35">
        <v>0</v>
      </c>
      <c r="N604" s="762">
        <f>J604-L604-M604</f>
        <v>5441.2026243119999</v>
      </c>
      <c r="O604" s="771"/>
      <c r="P604" s="35">
        <v>146.72298893898278</v>
      </c>
      <c r="Q604" s="35">
        <v>555.59751780191789</v>
      </c>
      <c r="R604" s="35">
        <v>0</v>
      </c>
      <c r="S604" s="771"/>
      <c r="T604" s="771">
        <f>N604+P604+Q604+R604</f>
        <v>6143.5231310529007</v>
      </c>
      <c r="U604" s="821">
        <f>T604/G604*100</f>
        <v>42.773067996166418</v>
      </c>
      <c r="V604" s="762">
        <f>T604-J604</f>
        <v>-261.74271200309977</v>
      </c>
      <c r="W604" s="785">
        <f>U604/I604-1</f>
        <v>-4.0863676608654309E-2</v>
      </c>
      <c r="X604" s="785"/>
      <c r="Z604" s="938"/>
      <c r="AB604" s="938"/>
      <c r="AD604" s="938"/>
      <c r="AF604" s="949"/>
    </row>
    <row r="605" spans="1:32">
      <c r="A605" s="256">
        <v>276</v>
      </c>
      <c r="B605" s="256"/>
      <c r="C605" s="731" t="s">
        <v>829</v>
      </c>
      <c r="D605" s="256"/>
      <c r="E605" s="513" t="s">
        <v>828</v>
      </c>
      <c r="F605" s="256"/>
      <c r="G605" s="35">
        <v>12176.784</v>
      </c>
      <c r="H605" s="256"/>
      <c r="I605" s="772">
        <v>31.676299999999998</v>
      </c>
      <c r="J605" s="750">
        <f>G605*I605/100</f>
        <v>3857.1546301919998</v>
      </c>
      <c r="K605" s="750"/>
      <c r="L605" s="35">
        <v>564.67400443199995</v>
      </c>
      <c r="M605" s="35">
        <v>0</v>
      </c>
      <c r="N605" s="762">
        <f>J605-L605-M605</f>
        <v>3292.4806257599998</v>
      </c>
      <c r="O605" s="771"/>
      <c r="P605" s="35">
        <v>88.78232107672693</v>
      </c>
      <c r="Q605" s="35">
        <v>336.19296861132091</v>
      </c>
      <c r="R605" s="35">
        <v>0</v>
      </c>
      <c r="S605" s="771"/>
      <c r="T605" s="771">
        <f>N605+P605+Q605+R605</f>
        <v>3717.4559154480476</v>
      </c>
      <c r="U605" s="821">
        <f>T605/G605*100</f>
        <v>30.529045398588394</v>
      </c>
      <c r="V605" s="762">
        <f>T605-J605</f>
        <v>-139.69871474395222</v>
      </c>
      <c r="W605" s="785">
        <f>U605/I605-1</f>
        <v>-3.6218074756572016E-2</v>
      </c>
      <c r="X605" s="785"/>
      <c r="Z605" s="938"/>
      <c r="AB605" s="938"/>
      <c r="AD605" s="938"/>
      <c r="AF605" s="949"/>
    </row>
    <row r="606" spans="1:32">
      <c r="A606" s="256"/>
      <c r="B606" s="256"/>
      <c r="C606" s="519" t="s">
        <v>830</v>
      </c>
      <c r="D606" s="256"/>
      <c r="E606" s="36"/>
      <c r="F606" s="256"/>
      <c r="G606" s="35"/>
      <c r="H606" s="256"/>
      <c r="I606" s="256"/>
      <c r="J606" s="750"/>
      <c r="K606" s="750"/>
      <c r="L606" s="35"/>
      <c r="M606" s="35"/>
      <c r="N606" s="762"/>
      <c r="O606" s="771"/>
      <c r="P606" s="35"/>
      <c r="Q606" s="762"/>
      <c r="R606" s="35"/>
      <c r="S606" s="771"/>
      <c r="T606" s="771"/>
      <c r="U606" s="821"/>
      <c r="V606" s="762"/>
      <c r="W606" s="770"/>
      <c r="X606" s="769"/>
      <c r="Z606" s="938"/>
      <c r="AB606" s="938"/>
      <c r="AD606" s="938"/>
      <c r="AF606" s="949"/>
    </row>
    <row r="607" spans="1:32">
      <c r="A607" s="256">
        <v>277</v>
      </c>
      <c r="B607" s="256"/>
      <c r="C607" s="814" t="s">
        <v>831</v>
      </c>
      <c r="D607" s="256"/>
      <c r="E607" s="36" t="s">
        <v>674</v>
      </c>
      <c r="F607" s="256"/>
      <c r="G607" s="35">
        <v>393753.99073000008</v>
      </c>
      <c r="H607" s="256"/>
      <c r="I607" s="772">
        <v>0.12080000000000002</v>
      </c>
      <c r="J607" s="750">
        <f>G607*I607/100</f>
        <v>475.65482080184017</v>
      </c>
      <c r="K607" s="750"/>
      <c r="L607" s="35">
        <v>0</v>
      </c>
      <c r="M607" s="35">
        <v>0</v>
      </c>
      <c r="N607" s="762">
        <f>J607-L607-M607</f>
        <v>475.65482080184017</v>
      </c>
      <c r="O607" s="771"/>
      <c r="P607" s="35">
        <v>12.826116178701625</v>
      </c>
      <c r="Q607" s="35">
        <v>0</v>
      </c>
      <c r="R607" s="35">
        <v>0</v>
      </c>
      <c r="S607" s="771"/>
      <c r="T607" s="771">
        <f>N607+P607+Q607+R607</f>
        <v>488.4809369805418</v>
      </c>
      <c r="U607" s="821">
        <f>T607/G607*100</f>
        <v>0.12405739331680747</v>
      </c>
      <c r="V607" s="762">
        <f>T607-J607</f>
        <v>12.826116178701625</v>
      </c>
      <c r="W607" s="770">
        <f>U607/I607-1</f>
        <v>2.696517646363783E-2</v>
      </c>
      <c r="X607" s="769"/>
      <c r="Z607" s="938"/>
      <c r="AB607" s="938"/>
      <c r="AD607" s="938"/>
      <c r="AF607" s="949"/>
    </row>
    <row r="608" spans="1:32">
      <c r="A608" s="256">
        <v>278</v>
      </c>
      <c r="B608" s="256"/>
      <c r="C608" s="814" t="s">
        <v>832</v>
      </c>
      <c r="D608" s="256"/>
      <c r="E608" s="36" t="s">
        <v>674</v>
      </c>
      <c r="F608" s="256"/>
      <c r="G608" s="35">
        <v>37535.500949999994</v>
      </c>
      <c r="H608" s="256"/>
      <c r="I608" s="772">
        <v>2.1678000000000002</v>
      </c>
      <c r="J608" s="750">
        <f>G608*I608/100</f>
        <v>813.69458959409997</v>
      </c>
      <c r="K608" s="750"/>
      <c r="L608" s="35">
        <v>104.98679615714998</v>
      </c>
      <c r="M608" s="35">
        <v>0</v>
      </c>
      <c r="N608" s="762">
        <f>J608-L608-M608</f>
        <v>708.70779343694994</v>
      </c>
      <c r="O608" s="771"/>
      <c r="P608" s="35">
        <v>19.110430711182744</v>
      </c>
      <c r="Q608" s="35">
        <v>72.688240983639275</v>
      </c>
      <c r="R608" s="35">
        <v>0</v>
      </c>
      <c r="S608" s="35"/>
      <c r="T608" s="771">
        <f>N608+P608+Q608+R608</f>
        <v>800.50646513177196</v>
      </c>
      <c r="U608" s="821">
        <f>T608/G608*100</f>
        <v>2.1326649301899674</v>
      </c>
      <c r="V608" s="762">
        <f>T608-J608</f>
        <v>-13.188124462328005</v>
      </c>
      <c r="W608" s="785">
        <f>U608/I608-1</f>
        <v>-1.6207708188039849E-2</v>
      </c>
      <c r="X608" s="785"/>
      <c r="Z608" s="938"/>
      <c r="AB608" s="938"/>
      <c r="AD608" s="938"/>
      <c r="AF608" s="949"/>
    </row>
    <row r="609" spans="1:32">
      <c r="A609" s="256"/>
      <c r="B609" s="256"/>
      <c r="C609" s="7"/>
      <c r="D609" s="256"/>
      <c r="E609" s="36"/>
      <c r="F609" s="256"/>
      <c r="G609" s="35"/>
      <c r="H609" s="256"/>
      <c r="I609" s="256"/>
      <c r="J609" s="750"/>
      <c r="K609" s="750"/>
      <c r="L609" s="35"/>
      <c r="M609" s="35"/>
      <c r="N609" s="762"/>
      <c r="O609" s="771"/>
      <c r="P609" s="35"/>
      <c r="Q609" s="762"/>
      <c r="R609" s="35"/>
      <c r="S609" s="771"/>
      <c r="T609" s="771"/>
      <c r="U609" s="821"/>
      <c r="V609" s="762"/>
      <c r="W609" s="770"/>
      <c r="X609" s="769"/>
      <c r="Z609" s="938"/>
      <c r="AB609" s="938"/>
      <c r="AD609" s="938"/>
      <c r="AF609" s="949"/>
    </row>
    <row r="610" spans="1:32">
      <c r="A610" s="256">
        <v>279</v>
      </c>
      <c r="B610" s="256"/>
      <c r="C610" s="9" t="s">
        <v>833</v>
      </c>
      <c r="D610" s="256"/>
      <c r="E610" s="36" t="s">
        <v>674</v>
      </c>
      <c r="F610" s="256"/>
      <c r="G610" s="35">
        <v>1410.373</v>
      </c>
      <c r="H610" s="256"/>
      <c r="I610" s="772">
        <v>0.12080000000000002</v>
      </c>
      <c r="J610" s="750">
        <f>G610*I610/100</f>
        <v>1.7037305840000001</v>
      </c>
      <c r="K610" s="750"/>
      <c r="L610" s="35">
        <v>0</v>
      </c>
      <c r="M610" s="35">
        <v>0</v>
      </c>
      <c r="N610" s="762">
        <f>J610-L610-M610</f>
        <v>1.7037305840000001</v>
      </c>
      <c r="O610" s="771"/>
      <c r="P610" s="35">
        <v>4.5941395844056654E-2</v>
      </c>
      <c r="Q610" s="35">
        <v>0</v>
      </c>
      <c r="R610" s="35">
        <v>0</v>
      </c>
      <c r="S610" s="771"/>
      <c r="T610" s="771">
        <f>N610+P610+Q610+R610</f>
        <v>1.7496719798440568</v>
      </c>
      <c r="U610" s="821">
        <f>T610/G610*100</f>
        <v>0.12405739331680746</v>
      </c>
      <c r="V610" s="762">
        <f>T610-J610</f>
        <v>4.5941395844056654E-2</v>
      </c>
      <c r="W610" s="770">
        <f>U610/I610-1</f>
        <v>2.696517646363783E-2</v>
      </c>
      <c r="X610" s="769"/>
      <c r="Z610" s="938"/>
      <c r="AB610" s="938"/>
      <c r="AD610" s="938"/>
      <c r="AF610" s="949"/>
    </row>
    <row r="611" spans="1:32">
      <c r="A611" s="256">
        <v>280</v>
      </c>
      <c r="B611" s="256"/>
      <c r="C611" s="9" t="s">
        <v>834</v>
      </c>
      <c r="D611" s="256"/>
      <c r="E611" s="36" t="s">
        <v>674</v>
      </c>
      <c r="F611" s="256"/>
      <c r="G611" s="35">
        <v>350</v>
      </c>
      <c r="H611" s="256"/>
      <c r="I611" s="772">
        <v>3.0787999999999998</v>
      </c>
      <c r="J611" s="750">
        <f>G611*I611/100</f>
        <v>10.775799999999998</v>
      </c>
      <c r="K611" s="750"/>
      <c r="L611" s="35">
        <v>0.97894999999999999</v>
      </c>
      <c r="M611" s="35">
        <v>0</v>
      </c>
      <c r="N611" s="762">
        <f>J611-L611-M611</f>
        <v>9.7968499999999992</v>
      </c>
      <c r="O611" s="771"/>
      <c r="P611" s="35">
        <v>0.2641737890377911</v>
      </c>
      <c r="Q611" s="35">
        <v>0.67778193178140467</v>
      </c>
      <c r="R611" s="35">
        <v>0</v>
      </c>
      <c r="S611" s="35"/>
      <c r="T611" s="771">
        <f>N611+P611+Q611+R611</f>
        <v>10.738805720819196</v>
      </c>
      <c r="U611" s="821">
        <f>T611/G611*100</f>
        <v>3.0682302059483417</v>
      </c>
      <c r="V611" s="762">
        <f>T611-J611</f>
        <v>-3.6994279180802891E-2</v>
      </c>
      <c r="W611" s="785">
        <f>U611/I611-1</f>
        <v>-3.4330888825705452E-3</v>
      </c>
      <c r="X611" s="785"/>
      <c r="Z611" s="938"/>
      <c r="AB611" s="938"/>
      <c r="AD611" s="938"/>
      <c r="AF611" s="949"/>
    </row>
    <row r="612" spans="1:32">
      <c r="A612" s="256"/>
      <c r="B612" s="256"/>
      <c r="C612" s="7"/>
      <c r="D612" s="256"/>
      <c r="E612" s="36"/>
      <c r="F612" s="256"/>
      <c r="G612" s="453"/>
      <c r="H612" s="256"/>
      <c r="I612" s="256"/>
      <c r="J612" s="750"/>
      <c r="K612" s="750"/>
      <c r="L612" s="35"/>
      <c r="M612" s="35"/>
      <c r="N612" s="762"/>
      <c r="O612" s="771"/>
      <c r="P612" s="35"/>
      <c r="Q612" s="762"/>
      <c r="R612" s="35"/>
      <c r="S612" s="771"/>
      <c r="T612" s="771"/>
      <c r="U612" s="821"/>
      <c r="V612" s="762"/>
      <c r="W612" s="770"/>
      <c r="X612" s="769"/>
      <c r="Z612" s="938"/>
      <c r="AB612" s="938"/>
      <c r="AD612" s="938"/>
      <c r="AF612" s="949"/>
    </row>
    <row r="613" spans="1:32">
      <c r="A613" s="256">
        <v>281</v>
      </c>
      <c r="C613" s="9" t="s">
        <v>835</v>
      </c>
      <c r="E613" s="36" t="s">
        <v>777</v>
      </c>
      <c r="G613" s="35">
        <v>0</v>
      </c>
      <c r="I613" s="35">
        <v>0</v>
      </c>
      <c r="J613" s="68">
        <f>G613*I613/1000</f>
        <v>0</v>
      </c>
      <c r="K613" s="752"/>
      <c r="L613" s="35">
        <v>0</v>
      </c>
      <c r="M613" s="35">
        <v>0</v>
      </c>
      <c r="N613" s="762">
        <f>J613-L613-M613</f>
        <v>0</v>
      </c>
      <c r="O613" s="68"/>
      <c r="P613" s="35">
        <v>0</v>
      </c>
      <c r="Q613" s="35">
        <v>0</v>
      </c>
      <c r="R613" s="35">
        <v>0</v>
      </c>
      <c r="S613" s="68"/>
      <c r="T613" s="771">
        <f>N613+P613+Q613+R613</f>
        <v>0</v>
      </c>
      <c r="U613" s="771">
        <f>IFERROR(T613/G613*100,0)</f>
        <v>0</v>
      </c>
      <c r="V613" s="762">
        <f>T613-J613</f>
        <v>0</v>
      </c>
      <c r="W613" s="785"/>
      <c r="X613" s="785"/>
      <c r="Z613" s="938"/>
      <c r="AB613" s="938"/>
      <c r="AD613" s="938"/>
      <c r="AF613" s="949"/>
    </row>
    <row r="614" spans="1:32">
      <c r="A614" s="256"/>
      <c r="B614" s="256"/>
      <c r="C614" s="7"/>
      <c r="D614" s="256"/>
      <c r="E614" s="742"/>
      <c r="F614" s="256"/>
      <c r="G614" s="35"/>
      <c r="H614" s="256"/>
      <c r="I614" s="256"/>
      <c r="J614" s="750"/>
      <c r="K614" s="750"/>
      <c r="L614" s="762"/>
      <c r="M614" s="762"/>
      <c r="N614" s="762"/>
      <c r="O614" s="771"/>
      <c r="P614" s="771"/>
      <c r="Q614" s="762"/>
      <c r="R614" s="762"/>
      <c r="S614" s="771"/>
      <c r="T614" s="771"/>
      <c r="U614" s="821"/>
      <c r="V614" s="762"/>
      <c r="W614" s="770"/>
      <c r="X614" s="769"/>
      <c r="Z614" s="938"/>
      <c r="AB614" s="938"/>
      <c r="AD614" s="938"/>
      <c r="AF614" s="949"/>
    </row>
    <row r="615" spans="1:32">
      <c r="A615" s="256">
        <v>282</v>
      </c>
      <c r="B615" s="256"/>
      <c r="C615" s="7" t="s">
        <v>836</v>
      </c>
      <c r="D615" s="256"/>
      <c r="E615" s="742"/>
      <c r="F615" s="256"/>
      <c r="G615" s="420">
        <f>G607+G608</f>
        <v>431289.49168000009</v>
      </c>
      <c r="H615" s="256"/>
      <c r="I615" s="806">
        <f>J615/G615*100</f>
        <v>2.9632100249987565</v>
      </c>
      <c r="J615" s="808">
        <f>SUM(J601:J614)</f>
        <v>12780.013454227941</v>
      </c>
      <c r="K615" s="750"/>
      <c r="L615" s="807">
        <f>SUM(L601:L614)</f>
        <v>1634.7029693331499</v>
      </c>
      <c r="M615" s="807">
        <f>SUM(M601:M614)</f>
        <v>0</v>
      </c>
      <c r="N615" s="807">
        <f>SUM(N601:N614)</f>
        <v>11145.310484894791</v>
      </c>
      <c r="O615" s="771"/>
      <c r="P615" s="807">
        <f>SUM(P601:P614)</f>
        <v>300.53526396722128</v>
      </c>
      <c r="Q615" s="807">
        <f>SUM(Q601:Q614)</f>
        <v>965.15650932865947</v>
      </c>
      <c r="R615" s="807">
        <f>SUM(R601:R614)</f>
        <v>0</v>
      </c>
      <c r="S615" s="771"/>
      <c r="T615" s="807">
        <f>SUM(T601:T614)</f>
        <v>12411.002258190672</v>
      </c>
      <c r="U615" s="902">
        <f>T615/G615*100</f>
        <v>2.8776500465722337</v>
      </c>
      <c r="V615" s="805">
        <f>SUM(V601:V613)</f>
        <v>-369.01119603726977</v>
      </c>
      <c r="W615" s="816">
        <f>U615/I615-1</f>
        <v>-2.8874085098493429E-2</v>
      </c>
      <c r="X615" s="785"/>
      <c r="Z615" s="938"/>
      <c r="AB615" s="938"/>
      <c r="AD615" s="938"/>
      <c r="AF615" s="949"/>
    </row>
    <row r="616" spans="1:32">
      <c r="A616" s="256"/>
      <c r="B616" s="256"/>
      <c r="D616" s="256"/>
      <c r="E616" s="742"/>
      <c r="F616" s="256"/>
      <c r="G616" s="35"/>
      <c r="H616" s="256"/>
      <c r="I616" s="256"/>
      <c r="J616" s="750"/>
      <c r="K616" s="750"/>
      <c r="L616" s="762"/>
      <c r="M616" s="762"/>
      <c r="N616" s="762"/>
      <c r="O616" s="771"/>
      <c r="P616" s="771"/>
      <c r="Q616" s="762"/>
      <c r="R616" s="762"/>
      <c r="S616" s="771"/>
      <c r="T616" s="771"/>
      <c r="U616" s="821"/>
      <c r="V616" s="762"/>
      <c r="W616" s="504"/>
      <c r="Z616" s="938"/>
      <c r="AB616" s="938"/>
      <c r="AD616" s="938"/>
      <c r="AF616" s="949"/>
    </row>
    <row r="617" spans="1:32">
      <c r="A617" s="256"/>
      <c r="B617" s="256"/>
      <c r="C617" s="512" t="s">
        <v>837</v>
      </c>
      <c r="D617" s="256"/>
      <c r="E617" s="36"/>
      <c r="F617" s="256"/>
      <c r="G617" s="453"/>
      <c r="H617" s="256"/>
      <c r="I617" s="256"/>
      <c r="J617" s="750"/>
      <c r="K617" s="750"/>
      <c r="L617" s="762"/>
      <c r="M617" s="762"/>
      <c r="N617" s="762"/>
      <c r="O617" s="771"/>
      <c r="P617" s="771"/>
      <c r="Q617" s="762"/>
      <c r="R617" s="762"/>
      <c r="S617" s="771"/>
      <c r="T617" s="771"/>
      <c r="U617" s="821"/>
      <c r="V617" s="762"/>
      <c r="W617" s="504"/>
      <c r="Z617" s="938"/>
      <c r="AB617" s="938"/>
      <c r="AD617" s="938"/>
      <c r="AF617" s="949"/>
    </row>
    <row r="618" spans="1:32">
      <c r="A618" s="256"/>
      <c r="C618" s="519" t="s">
        <v>838</v>
      </c>
      <c r="G618" s="135"/>
      <c r="J618" s="752"/>
      <c r="K618" s="752"/>
      <c r="L618" s="762"/>
      <c r="M618" s="762"/>
      <c r="N618" s="762"/>
      <c r="O618" s="68"/>
      <c r="P618" s="68"/>
      <c r="Q618" s="762"/>
      <c r="R618" s="762"/>
      <c r="S618" s="68"/>
      <c r="T618" s="68"/>
      <c r="U618" s="911"/>
      <c r="V618" s="762"/>
      <c r="W618" s="504"/>
      <c r="Z618" s="938"/>
      <c r="AB618" s="938"/>
      <c r="AD618" s="938"/>
      <c r="AF618" s="949"/>
    </row>
    <row r="619" spans="1:32">
      <c r="A619" s="256">
        <v>283</v>
      </c>
      <c r="B619" s="256"/>
      <c r="C619" s="731" t="s">
        <v>839</v>
      </c>
      <c r="D619" s="256"/>
      <c r="E619" s="513" t="s">
        <v>840</v>
      </c>
      <c r="F619" s="256"/>
      <c r="G619" s="35">
        <v>17815248</v>
      </c>
      <c r="H619" s="256"/>
      <c r="I619" s="66">
        <v>1.2E-2</v>
      </c>
      <c r="J619" s="750">
        <f>G619*I619/1000</f>
        <v>213.78297599999999</v>
      </c>
      <c r="K619" s="750"/>
      <c r="L619" s="35">
        <v>0</v>
      </c>
      <c r="M619" s="35">
        <v>0</v>
      </c>
      <c r="N619" s="762">
        <f>J619-L619-M619</f>
        <v>213.78297599999999</v>
      </c>
      <c r="O619" s="771"/>
      <c r="P619" s="35">
        <v>5.7646956727616612</v>
      </c>
      <c r="Q619" s="35">
        <v>0</v>
      </c>
      <c r="R619" s="35">
        <v>0</v>
      </c>
      <c r="S619" s="771"/>
      <c r="T619" s="68">
        <f>N619+P619+Q619+R619</f>
        <v>219.54767167276165</v>
      </c>
      <c r="U619" s="947">
        <f>T619/G619*1000</f>
        <v>1.2323582117563655E-2</v>
      </c>
      <c r="V619" s="762">
        <f>T619-J619</f>
        <v>5.7646956727616612</v>
      </c>
      <c r="W619" s="770">
        <f>U619/I619-1</f>
        <v>2.696517646363783E-2</v>
      </c>
      <c r="X619" s="769"/>
      <c r="Z619" s="938"/>
      <c r="AB619" s="938"/>
      <c r="AD619" s="938"/>
      <c r="AF619" s="949"/>
    </row>
    <row r="620" spans="1:32">
      <c r="A620" s="256"/>
      <c r="B620" s="256"/>
      <c r="C620" s="519" t="s">
        <v>841</v>
      </c>
      <c r="D620" s="256"/>
      <c r="E620" s="36"/>
      <c r="F620" s="256"/>
      <c r="G620" s="35"/>
      <c r="H620" s="256"/>
      <c r="I620" s="947"/>
      <c r="J620" s="750"/>
      <c r="K620" s="750"/>
      <c r="L620" s="762"/>
      <c r="M620" s="762"/>
      <c r="N620" s="762"/>
      <c r="O620" s="771"/>
      <c r="P620" s="35"/>
      <c r="Q620" s="762"/>
      <c r="R620" s="762"/>
      <c r="S620" s="771"/>
      <c r="T620" s="68"/>
      <c r="U620" s="947"/>
      <c r="V620" s="762"/>
      <c r="W620" s="770"/>
      <c r="X620" s="769"/>
      <c r="Z620" s="938"/>
      <c r="AB620" s="938"/>
      <c r="AD620" s="938"/>
      <c r="AF620" s="949"/>
    </row>
    <row r="621" spans="1:32">
      <c r="A621" s="256">
        <v>284</v>
      </c>
      <c r="B621" s="256"/>
      <c r="C621" s="814" t="s">
        <v>842</v>
      </c>
      <c r="D621" s="256"/>
      <c r="E621" s="513" t="s">
        <v>840</v>
      </c>
      <c r="F621" s="256"/>
      <c r="G621" s="35">
        <v>674172</v>
      </c>
      <c r="H621" s="256"/>
      <c r="I621" s="66">
        <v>1.8779999999999999</v>
      </c>
      <c r="J621" s="750">
        <f>G621*I621/1000</f>
        <v>1266.0950159999998</v>
      </c>
      <c r="K621" s="750"/>
      <c r="L621" s="35">
        <v>0</v>
      </c>
      <c r="M621" s="35">
        <v>0</v>
      </c>
      <c r="N621" s="762">
        <f>J621-L621-M621</f>
        <v>1266.0950159999998</v>
      </c>
      <c r="O621" s="771"/>
      <c r="P621" s="35">
        <v>34.140475526172395</v>
      </c>
      <c r="Q621" s="35">
        <v>0</v>
      </c>
      <c r="R621" s="35">
        <v>0</v>
      </c>
      <c r="S621" s="771"/>
      <c r="T621" s="68">
        <f>N621+P621+Q621+R621</f>
        <v>1300.2354915261722</v>
      </c>
      <c r="U621" s="66">
        <v>1.9259999999999999</v>
      </c>
      <c r="V621" s="762">
        <f>T621-J621</f>
        <v>34.140475526172395</v>
      </c>
      <c r="W621" s="785">
        <f>U621/I621-1</f>
        <v>2.5559105431310014E-2</v>
      </c>
      <c r="X621" s="785"/>
      <c r="Z621" s="938"/>
      <c r="AB621" s="938"/>
      <c r="AD621" s="938"/>
      <c r="AF621" s="949"/>
    </row>
    <row r="622" spans="1:32">
      <c r="A622" s="256">
        <v>285</v>
      </c>
      <c r="C622" s="814" t="s">
        <v>843</v>
      </c>
      <c r="E622" s="513" t="s">
        <v>840</v>
      </c>
      <c r="G622" s="35">
        <v>10476</v>
      </c>
      <c r="I622" s="66">
        <v>1.4730000000000001</v>
      </c>
      <c r="J622" s="750">
        <f>G622*I622/1000</f>
        <v>15.431148</v>
      </c>
      <c r="K622" s="752"/>
      <c r="L622" s="35">
        <v>0</v>
      </c>
      <c r="M622" s="35">
        <v>0</v>
      </c>
      <c r="N622" s="762">
        <f>J622-L622-M622</f>
        <v>15.431148</v>
      </c>
      <c r="O622" s="68"/>
      <c r="P622" s="35">
        <v>0.41610362885651142</v>
      </c>
      <c r="Q622" s="35">
        <v>0</v>
      </c>
      <c r="R622" s="35">
        <v>0</v>
      </c>
      <c r="S622" s="68"/>
      <c r="T622" s="68">
        <f>N622+P622+Q622+R622</f>
        <v>15.847251628856512</v>
      </c>
      <c r="U622" s="66">
        <v>1.5181292016499417</v>
      </c>
      <c r="V622" s="762">
        <f>T622-J622</f>
        <v>0.41610362885651142</v>
      </c>
      <c r="W622" s="785">
        <f>U622/I622-1</f>
        <v>3.0637611439199963E-2</v>
      </c>
      <c r="X622" s="785"/>
      <c r="Z622" s="938"/>
      <c r="AB622" s="938"/>
      <c r="AD622" s="938"/>
      <c r="AF622" s="949"/>
    </row>
    <row r="623" spans="1:32">
      <c r="A623" s="256">
        <v>286</v>
      </c>
      <c r="B623" s="256"/>
      <c r="C623" s="731" t="s">
        <v>844</v>
      </c>
      <c r="D623" s="256"/>
      <c r="E623" s="513" t="s">
        <v>840</v>
      </c>
      <c r="F623" s="256"/>
      <c r="G623" s="35">
        <v>0</v>
      </c>
      <c r="H623" s="256"/>
      <c r="I623" s="66">
        <v>1.4730000000000001</v>
      </c>
      <c r="J623" s="771">
        <f>G623*I623/1000</f>
        <v>0</v>
      </c>
      <c r="K623" s="750"/>
      <c r="L623" s="35">
        <v>0</v>
      </c>
      <c r="M623" s="35">
        <v>0</v>
      </c>
      <c r="N623" s="762">
        <f>J623-L623-M623</f>
        <v>0</v>
      </c>
      <c r="O623" s="771"/>
      <c r="P623" s="35">
        <v>0</v>
      </c>
      <c r="Q623" s="35">
        <v>0</v>
      </c>
      <c r="R623" s="35">
        <v>0</v>
      </c>
      <c r="S623" s="771"/>
      <c r="T623" s="68">
        <f>N623+P623+Q623+R623</f>
        <v>0</v>
      </c>
      <c r="U623" s="66">
        <v>1.5181292016499417</v>
      </c>
      <c r="V623" s="762">
        <f>T623-J623</f>
        <v>0</v>
      </c>
      <c r="W623" s="785" t="s">
        <v>948</v>
      </c>
      <c r="X623" s="769"/>
      <c r="Z623" s="938"/>
      <c r="AB623" s="938"/>
      <c r="AD623" s="938"/>
      <c r="AF623" s="949"/>
    </row>
    <row r="624" spans="1:32">
      <c r="A624" s="256">
        <v>287</v>
      </c>
      <c r="B624" s="256"/>
      <c r="C624" s="731" t="s">
        <v>845</v>
      </c>
      <c r="D624" s="256"/>
      <c r="E624" s="513" t="s">
        <v>840</v>
      </c>
      <c r="F624" s="256"/>
      <c r="G624" s="35">
        <v>0</v>
      </c>
      <c r="H624" s="256"/>
      <c r="I624" s="66">
        <v>1.4730000000000001</v>
      </c>
      <c r="J624" s="771">
        <f>G624*I624/1000</f>
        <v>0</v>
      </c>
      <c r="K624" s="750"/>
      <c r="L624" s="35">
        <v>0</v>
      </c>
      <c r="M624" s="35">
        <v>0</v>
      </c>
      <c r="N624" s="762">
        <f>J624-L624-M624</f>
        <v>0</v>
      </c>
      <c r="O624" s="771"/>
      <c r="P624" s="35">
        <v>0</v>
      </c>
      <c r="Q624" s="35">
        <v>0</v>
      </c>
      <c r="R624" s="35">
        <v>0</v>
      </c>
      <c r="S624" s="771"/>
      <c r="T624" s="68">
        <f>N624+P624+Q624+R624</f>
        <v>0</v>
      </c>
      <c r="U624" s="66">
        <v>1.5181292016499417</v>
      </c>
      <c r="V624" s="762">
        <f>T624-J624</f>
        <v>0</v>
      </c>
      <c r="W624" s="785" t="s">
        <v>948</v>
      </c>
      <c r="X624" s="769"/>
      <c r="Z624" s="938"/>
      <c r="AB624" s="938"/>
      <c r="AD624" s="938"/>
      <c r="AF624" s="949"/>
    </row>
    <row r="625" spans="1:32">
      <c r="A625" s="256"/>
      <c r="B625" s="256"/>
      <c r="C625" s="519" t="s">
        <v>846</v>
      </c>
      <c r="D625" s="256"/>
      <c r="E625" s="513"/>
      <c r="F625" s="256"/>
      <c r="G625" s="35"/>
      <c r="H625" s="256"/>
      <c r="I625" s="772"/>
      <c r="J625" s="750"/>
      <c r="K625" s="750"/>
      <c r="L625" s="762"/>
      <c r="M625" s="762"/>
      <c r="N625" s="762"/>
      <c r="O625" s="771"/>
      <c r="P625" s="35"/>
      <c r="Q625" s="762"/>
      <c r="R625" s="762"/>
      <c r="S625" s="771"/>
      <c r="T625" s="68"/>
      <c r="U625" s="772"/>
      <c r="V625" s="762"/>
      <c r="W625" s="770"/>
      <c r="X625" s="769"/>
      <c r="Z625" s="938"/>
      <c r="AB625" s="938"/>
      <c r="AD625" s="938"/>
      <c r="AF625" s="949"/>
    </row>
    <row r="626" spans="1:32">
      <c r="A626" s="256">
        <v>288</v>
      </c>
      <c r="B626" s="256"/>
      <c r="C626" s="731" t="s">
        <v>847</v>
      </c>
      <c r="D626" s="256"/>
      <c r="E626" s="36" t="s">
        <v>777</v>
      </c>
      <c r="F626" s="256"/>
      <c r="G626" s="35">
        <v>2989700.51</v>
      </c>
      <c r="H626" s="256"/>
      <c r="I626" s="66">
        <v>1.2E-2</v>
      </c>
      <c r="J626" s="750">
        <f>G626*I626/1000</f>
        <v>35.876406119999999</v>
      </c>
      <c r="K626" s="750"/>
      <c r="L626" s="35">
        <v>0</v>
      </c>
      <c r="M626" s="35">
        <v>0</v>
      </c>
      <c r="N626" s="762">
        <f>J626-L626-M626</f>
        <v>35.876406119999999</v>
      </c>
      <c r="O626" s="771"/>
      <c r="P626" s="35">
        <v>0.96741362190693536</v>
      </c>
      <c r="Q626" s="35">
        <v>0</v>
      </c>
      <c r="R626" s="35">
        <v>0</v>
      </c>
      <c r="S626" s="771"/>
      <c r="T626" s="68">
        <f>N626+P626+Q626+R626</f>
        <v>36.843819741906934</v>
      </c>
      <c r="U626" s="947">
        <f>T626/G626*1000</f>
        <v>1.2323582117563655E-2</v>
      </c>
      <c r="V626" s="762">
        <f>T626-J626</f>
        <v>0.96741362190693536</v>
      </c>
      <c r="W626" s="785">
        <f>U626/I626-1</f>
        <v>2.696517646363783E-2</v>
      </c>
      <c r="X626" s="785"/>
      <c r="Z626" s="938"/>
      <c r="AB626" s="938"/>
      <c r="AD626" s="938"/>
      <c r="AF626" s="949"/>
    </row>
    <row r="627" spans="1:32">
      <c r="A627" s="256"/>
      <c r="B627" s="256"/>
      <c r="C627" s="731"/>
      <c r="D627" s="256"/>
      <c r="E627" s="36"/>
      <c r="F627" s="256"/>
      <c r="G627" s="35"/>
      <c r="H627" s="256"/>
      <c r="I627" s="772"/>
      <c r="J627" s="750"/>
      <c r="K627" s="750"/>
      <c r="L627" s="35"/>
      <c r="M627" s="35"/>
      <c r="N627" s="762"/>
      <c r="O627" s="771"/>
      <c r="P627" s="35"/>
      <c r="Q627" s="35"/>
      <c r="R627" s="35"/>
      <c r="S627" s="771"/>
      <c r="T627" s="68"/>
      <c r="U627" s="821"/>
      <c r="V627" s="762"/>
      <c r="W627" s="785"/>
      <c r="X627" s="785"/>
      <c r="Z627" s="938"/>
      <c r="AB627" s="938"/>
      <c r="AD627" s="938"/>
      <c r="AF627" s="949"/>
    </row>
    <row r="628" spans="1:32">
      <c r="A628" s="256">
        <v>289</v>
      </c>
      <c r="B628" s="256"/>
      <c r="C628" s="9" t="s">
        <v>848</v>
      </c>
      <c r="D628" s="256"/>
      <c r="E628" s="36" t="s">
        <v>777</v>
      </c>
      <c r="F628" s="256"/>
      <c r="G628" s="35">
        <v>0</v>
      </c>
      <c r="H628" s="256"/>
      <c r="I628" s="35">
        <v>0</v>
      </c>
      <c r="J628" s="771">
        <f>G628*I628/1000</f>
        <v>0</v>
      </c>
      <c r="K628" s="750"/>
      <c r="L628" s="35">
        <v>0</v>
      </c>
      <c r="M628" s="35">
        <v>0</v>
      </c>
      <c r="N628" s="762">
        <f>J628-L628-M628</f>
        <v>0</v>
      </c>
      <c r="O628" s="35"/>
      <c r="P628" s="35">
        <v>0</v>
      </c>
      <c r="Q628" s="35">
        <v>0</v>
      </c>
      <c r="R628" s="35">
        <v>0</v>
      </c>
      <c r="S628" s="771"/>
      <c r="T628" s="68">
        <f>N628+P628+Q628+R628</f>
        <v>0</v>
      </c>
      <c r="U628" s="771">
        <v>0</v>
      </c>
      <c r="V628" s="762">
        <f>T628-J628</f>
        <v>0</v>
      </c>
      <c r="W628" s="785" t="str">
        <f>IFERROR(U628/I628-1,"-")</f>
        <v>-</v>
      </c>
      <c r="X628" s="785"/>
      <c r="Z628" s="938"/>
      <c r="AB628" s="938"/>
      <c r="AD628" s="938"/>
      <c r="AF628" s="949"/>
    </row>
    <row r="629" spans="1:32">
      <c r="A629" s="256"/>
      <c r="B629" s="256"/>
      <c r="D629" s="256"/>
      <c r="E629" s="36"/>
      <c r="F629" s="256"/>
      <c r="G629" s="35"/>
      <c r="H629" s="256"/>
      <c r="I629" s="256"/>
      <c r="J629" s="750"/>
      <c r="K629" s="750"/>
      <c r="L629" s="762"/>
      <c r="M629" s="762"/>
      <c r="N629" s="35"/>
      <c r="O629" s="35"/>
      <c r="P629" s="771"/>
      <c r="Q629" s="762"/>
      <c r="R629" s="762"/>
      <c r="S629" s="771"/>
      <c r="T629" s="771"/>
      <c r="U629" s="821"/>
      <c r="V629" s="762"/>
      <c r="W629" s="770"/>
      <c r="X629" s="769"/>
      <c r="Z629" s="938"/>
      <c r="AB629" s="938"/>
      <c r="AD629" s="938"/>
      <c r="AF629" s="949"/>
    </row>
    <row r="630" spans="1:32">
      <c r="A630" s="256">
        <v>290</v>
      </c>
      <c r="B630" s="256"/>
      <c r="C630" s="7" t="s">
        <v>849</v>
      </c>
      <c r="D630" s="256"/>
      <c r="E630" s="36"/>
      <c r="F630" s="256"/>
      <c r="G630" s="420">
        <f>G615</f>
        <v>431289.49168000009</v>
      </c>
      <c r="H630" s="256"/>
      <c r="I630" s="806">
        <f>J630/G630*100</f>
        <v>0.35502500655779468</v>
      </c>
      <c r="J630" s="808">
        <f>SUM(J619:J628)</f>
        <v>1531.1855461199996</v>
      </c>
      <c r="K630" s="750"/>
      <c r="L630" s="807">
        <f>SUM(L619:L628)</f>
        <v>0</v>
      </c>
      <c r="M630" s="807">
        <f>SUM(M619:M628)</f>
        <v>0</v>
      </c>
      <c r="N630" s="807">
        <f>SUM(N619:N628)</f>
        <v>1531.1855461199996</v>
      </c>
      <c r="O630" s="771"/>
      <c r="P630" s="807">
        <f>SUM(P619:P629)</f>
        <v>41.288688449697503</v>
      </c>
      <c r="Q630" s="807">
        <f>SUM(Q619:Q629)</f>
        <v>0</v>
      </c>
      <c r="R630" s="807">
        <f>SUM(R619:R629)</f>
        <v>0</v>
      </c>
      <c r="S630" s="771"/>
      <c r="T630" s="807">
        <f>SUM(T619:T628)</f>
        <v>1572.4742345696973</v>
      </c>
      <c r="U630" s="902">
        <f>T630/G630*100</f>
        <v>0.36459831850862978</v>
      </c>
      <c r="V630" s="805">
        <f>SUM(V619:V628)</f>
        <v>41.288688449697503</v>
      </c>
      <c r="W630" s="804">
        <f>U630/I630-1</f>
        <v>2.696517646363783E-2</v>
      </c>
      <c r="X630" s="769"/>
      <c r="Z630" s="938"/>
      <c r="AB630" s="938"/>
      <c r="AD630" s="938"/>
      <c r="AF630" s="949"/>
    </row>
    <row r="631" spans="1:32">
      <c r="A631" s="256"/>
      <c r="B631" s="256"/>
      <c r="C631" s="7"/>
      <c r="D631" s="256"/>
      <c r="E631" s="36"/>
      <c r="F631" s="256"/>
      <c r="G631" s="35"/>
      <c r="H631" s="256"/>
      <c r="I631" s="256"/>
      <c r="J631" s="750"/>
      <c r="K631" s="750"/>
      <c r="L631" s="762"/>
      <c r="M631" s="762"/>
      <c r="N631" s="762"/>
      <c r="O631" s="771"/>
      <c r="P631" s="771"/>
      <c r="Q631" s="762"/>
      <c r="R631" s="762"/>
      <c r="S631" s="771"/>
      <c r="T631" s="771"/>
      <c r="U631" s="821"/>
      <c r="V631" s="762"/>
      <c r="W631" s="770"/>
      <c r="X631" s="769"/>
      <c r="Z631" s="938"/>
      <c r="AB631" s="938"/>
      <c r="AD631" s="938"/>
      <c r="AF631" s="949"/>
    </row>
    <row r="632" spans="1:32" ht="13.5" thickBot="1">
      <c r="A632" s="256">
        <v>291</v>
      </c>
      <c r="B632" s="256"/>
      <c r="C632" s="7" t="s">
        <v>850</v>
      </c>
      <c r="D632" s="256"/>
      <c r="E632" s="36"/>
      <c r="F632" s="256"/>
      <c r="G632" s="768">
        <f>G615</f>
        <v>431289.49168000009</v>
      </c>
      <c r="H632" s="256"/>
      <c r="I632" s="803">
        <f>J632/G632*100</f>
        <v>3.3182350315565512</v>
      </c>
      <c r="J632" s="756">
        <f>J615+J630</f>
        <v>14311.19900034794</v>
      </c>
      <c r="K632" s="750"/>
      <c r="L632" s="781">
        <f>L615+L630</f>
        <v>1634.7029693331499</v>
      </c>
      <c r="M632" s="781">
        <f>M615+M630</f>
        <v>0</v>
      </c>
      <c r="N632" s="781">
        <f>N615+N630</f>
        <v>12676.496031014791</v>
      </c>
      <c r="O632" s="771"/>
      <c r="P632" s="781">
        <f>P615+P630</f>
        <v>341.82395241691881</v>
      </c>
      <c r="Q632" s="781">
        <f>Q615+Q630</f>
        <v>965.15650932865947</v>
      </c>
      <c r="R632" s="781">
        <f>R615+R630</f>
        <v>0</v>
      </c>
      <c r="S632" s="771"/>
      <c r="T632" s="781">
        <f>T615+T630</f>
        <v>13983.47649276037</v>
      </c>
      <c r="U632" s="901">
        <f>T632/G632*100</f>
        <v>3.2422483650808638</v>
      </c>
      <c r="V632" s="799">
        <f>V615+V630</f>
        <v>-327.7225075875723</v>
      </c>
      <c r="W632" s="815">
        <f>U632/I632-1</f>
        <v>-2.2899724025890578E-2</v>
      </c>
      <c r="X632" s="785"/>
      <c r="Z632" s="938"/>
      <c r="AB632" s="938"/>
      <c r="AD632" s="938"/>
      <c r="AF632" s="949"/>
    </row>
    <row r="633" spans="1:32" ht="13.5" thickTop="1">
      <c r="L633" s="2"/>
      <c r="M633" s="2"/>
      <c r="N633" s="504"/>
      <c r="Q633" s="504"/>
      <c r="R633" s="504"/>
      <c r="V633" s="504"/>
      <c r="W633" s="504"/>
      <c r="Z633" s="938"/>
      <c r="AB633" s="938"/>
      <c r="AD633" s="938"/>
      <c r="AF633" s="949"/>
    </row>
    <row r="634" spans="1:32">
      <c r="L634" s="2"/>
      <c r="M634" s="2"/>
      <c r="N634" s="504"/>
      <c r="Q634" s="504"/>
      <c r="R634" s="504"/>
      <c r="V634" s="504"/>
      <c r="W634" s="504"/>
      <c r="Z634" s="938"/>
      <c r="AB634" s="938"/>
      <c r="AD634" s="938"/>
      <c r="AF634" s="949"/>
    </row>
    <row r="635" spans="1:32">
      <c r="L635" s="2"/>
      <c r="M635" s="2"/>
      <c r="N635" s="504"/>
      <c r="Q635" s="504"/>
      <c r="R635" s="504"/>
      <c r="V635" s="762"/>
      <c r="W635" s="504"/>
      <c r="Z635" s="938"/>
      <c r="AB635" s="938"/>
      <c r="AD635" s="938"/>
      <c r="AF635" s="949"/>
    </row>
    <row r="636" spans="1:32">
      <c r="L636" s="2"/>
      <c r="M636" s="2"/>
      <c r="N636" s="504"/>
      <c r="Q636" s="504"/>
      <c r="R636" s="504"/>
      <c r="V636" s="762"/>
      <c r="W636" s="504"/>
      <c r="Z636" s="938"/>
      <c r="AB636" s="938"/>
      <c r="AD636" s="938"/>
      <c r="AF636" s="949"/>
    </row>
    <row r="637" spans="1:32">
      <c r="L637" s="2"/>
      <c r="M637" s="2"/>
      <c r="N637" s="504"/>
      <c r="Q637" s="504"/>
      <c r="R637" s="504"/>
      <c r="V637" s="504"/>
      <c r="W637" s="504"/>
      <c r="Z637" s="938"/>
      <c r="AB637" s="938"/>
      <c r="AD637" s="938"/>
      <c r="AF637" s="949"/>
    </row>
    <row r="638" spans="1:32">
      <c r="A638" s="1324" t="s">
        <v>724</v>
      </c>
      <c r="B638" s="1324"/>
      <c r="C638" s="1324"/>
      <c r="D638" s="1324"/>
      <c r="E638" s="1324"/>
      <c r="F638" s="1324"/>
      <c r="G638" s="1324"/>
      <c r="H638" s="1324"/>
      <c r="I638" s="1324"/>
      <c r="J638" s="1324"/>
      <c r="K638" s="1324"/>
      <c r="L638" s="1324"/>
      <c r="M638" s="1324"/>
      <c r="N638" s="1324"/>
      <c r="O638" s="1324"/>
      <c r="P638" s="1324"/>
      <c r="Q638" s="1324"/>
      <c r="R638" s="1324"/>
      <c r="S638" s="1324"/>
      <c r="T638" s="1324"/>
      <c r="U638" s="1324"/>
      <c r="V638" s="1324"/>
      <c r="W638" s="1324"/>
      <c r="X638" s="665"/>
      <c r="Z638" s="938"/>
      <c r="AB638" s="938"/>
      <c r="AD638" s="938"/>
      <c r="AF638" s="949"/>
    </row>
    <row r="639" spans="1:32">
      <c r="A639" s="1324" t="s">
        <v>938</v>
      </c>
      <c r="B639" s="1324"/>
      <c r="C639" s="1324"/>
      <c r="D639" s="1324"/>
      <c r="E639" s="1324"/>
      <c r="F639" s="1324"/>
      <c r="G639" s="1324"/>
      <c r="H639" s="1324"/>
      <c r="I639" s="1324"/>
      <c r="J639" s="1324"/>
      <c r="K639" s="1324"/>
      <c r="L639" s="1324"/>
      <c r="M639" s="1324"/>
      <c r="N639" s="1324"/>
      <c r="O639" s="1324"/>
      <c r="P639" s="1324"/>
      <c r="Q639" s="1324"/>
      <c r="R639" s="1324"/>
      <c r="S639" s="1324"/>
      <c r="T639" s="1324"/>
      <c r="U639" s="1324"/>
      <c r="V639" s="1324"/>
      <c r="W639" s="1324"/>
      <c r="X639" s="644"/>
      <c r="Y639" s="644"/>
      <c r="Z639" s="938"/>
      <c r="AB639" s="938"/>
      <c r="AD639" s="938"/>
      <c r="AF639" s="949"/>
    </row>
    <row r="640" spans="1:32">
      <c r="A640" s="385"/>
      <c r="B640" s="385"/>
      <c r="C640" s="385"/>
      <c r="D640" s="385"/>
      <c r="E640" s="447"/>
      <c r="F640" s="385"/>
      <c r="G640" s="447"/>
      <c r="H640" s="385"/>
      <c r="I640" s="385"/>
      <c r="J640" s="385"/>
      <c r="K640" s="385"/>
      <c r="L640" s="385"/>
      <c r="M640" s="385"/>
      <c r="N640" s="504"/>
      <c r="O640" s="385"/>
      <c r="P640" s="385"/>
      <c r="Q640" s="504"/>
      <c r="R640" s="504"/>
      <c r="S640" s="385"/>
      <c r="T640" s="385"/>
      <c r="U640" s="385"/>
      <c r="V640" s="504"/>
      <c r="W640" s="504"/>
      <c r="Z640" s="938"/>
      <c r="AB640" s="938"/>
      <c r="AD640" s="938"/>
      <c r="AF640" s="949"/>
    </row>
    <row r="641" spans="1:32" ht="26.45" customHeight="1">
      <c r="A641" s="447"/>
      <c r="B641" s="447"/>
      <c r="C641" s="447"/>
      <c r="D641" s="447"/>
      <c r="E641" s="385"/>
      <c r="F641" s="1313" t="s">
        <v>682</v>
      </c>
      <c r="G641" s="1313"/>
      <c r="H641" s="1313"/>
      <c r="I641" s="1313"/>
      <c r="J641" s="1313"/>
      <c r="K641" s="447"/>
      <c r="L641" s="1325" t="s">
        <v>496</v>
      </c>
      <c r="M641" s="1325"/>
      <c r="N641" s="256"/>
      <c r="O641" s="447"/>
      <c r="P641" s="449"/>
      <c r="Q641" s="1325" t="s">
        <v>497</v>
      </c>
      <c r="R641" s="1325"/>
      <c r="S641" s="447"/>
      <c r="T641" s="1313" t="s">
        <v>926</v>
      </c>
      <c r="U641" s="1313"/>
      <c r="V641" s="1313"/>
      <c r="W641" s="1313"/>
      <c r="X641" s="4"/>
      <c r="Z641" s="938"/>
      <c r="AB641" s="938"/>
      <c r="AD641" s="938"/>
      <c r="AF641" s="949"/>
    </row>
    <row r="642" spans="1:32" ht="38.25">
      <c r="A642" s="254" t="s">
        <v>1</v>
      </c>
      <c r="B642" s="254"/>
      <c r="C642" s="254"/>
      <c r="D642" s="254"/>
      <c r="E642" s="4" t="s">
        <v>670</v>
      </c>
      <c r="F642" s="254"/>
      <c r="G642" s="13" t="s">
        <v>684</v>
      </c>
      <c r="H642" s="254"/>
      <c r="I642" s="13" t="s">
        <v>196</v>
      </c>
      <c r="J642" s="13" t="s">
        <v>503</v>
      </c>
      <c r="K642" s="254"/>
      <c r="L642" s="13" t="s">
        <v>505</v>
      </c>
      <c r="M642" s="13" t="s">
        <v>685</v>
      </c>
      <c r="N642" s="254" t="s">
        <v>688</v>
      </c>
      <c r="O642" s="254"/>
      <c r="P642" s="254" t="s">
        <v>689</v>
      </c>
      <c r="Q642" s="13" t="s">
        <v>505</v>
      </c>
      <c r="R642" s="13" t="s">
        <v>685</v>
      </c>
      <c r="S642" s="254"/>
      <c r="T642" s="13" t="s">
        <v>690</v>
      </c>
      <c r="U642" s="13" t="s">
        <v>691</v>
      </c>
      <c r="V642" s="13" t="s">
        <v>692</v>
      </c>
      <c r="W642" s="254" t="s">
        <v>693</v>
      </c>
      <c r="X642" s="254"/>
      <c r="Z642" s="938"/>
      <c r="AB642" s="938"/>
      <c r="AD642" s="938"/>
      <c r="AF642" s="949"/>
    </row>
    <row r="643" spans="1:32" ht="14.25">
      <c r="A643" s="255" t="s">
        <v>2</v>
      </c>
      <c r="B643" s="256"/>
      <c r="C643" s="449" t="s">
        <v>3</v>
      </c>
      <c r="D643" s="256"/>
      <c r="E643" s="255" t="s">
        <v>4</v>
      </c>
      <c r="F643" s="256"/>
      <c r="G643" s="255" t="s">
        <v>694</v>
      </c>
      <c r="H643" s="256"/>
      <c r="I643" s="255" t="s">
        <v>77</v>
      </c>
      <c r="J643" s="255" t="s">
        <v>20</v>
      </c>
      <c r="K643" s="256"/>
      <c r="L643" s="255" t="s">
        <v>20</v>
      </c>
      <c r="M643" s="255" t="s">
        <v>20</v>
      </c>
      <c r="N643" s="255" t="s">
        <v>20</v>
      </c>
      <c r="O643" s="256"/>
      <c r="P643" s="255" t="s">
        <v>20</v>
      </c>
      <c r="Q643" s="255" t="s">
        <v>20</v>
      </c>
      <c r="R643" s="255" t="s">
        <v>20</v>
      </c>
      <c r="S643" s="256"/>
      <c r="T643" s="255" t="s">
        <v>20</v>
      </c>
      <c r="U643" s="255" t="s">
        <v>77</v>
      </c>
      <c r="V643" s="255" t="s">
        <v>20</v>
      </c>
      <c r="W643" s="255" t="s">
        <v>76</v>
      </c>
      <c r="X643" s="4"/>
      <c r="Z643" s="938"/>
      <c r="AB643" s="938"/>
      <c r="AD643" s="938"/>
      <c r="AF643" s="949"/>
    </row>
    <row r="644" spans="1:32">
      <c r="A644" s="4"/>
      <c r="B644" s="256"/>
      <c r="C644" s="256"/>
      <c r="D644" s="256"/>
      <c r="E644" s="4"/>
      <c r="F644" s="256"/>
      <c r="G644" s="4" t="s">
        <v>8</v>
      </c>
      <c r="H644" s="4"/>
      <c r="I644" s="4" t="s">
        <v>9</v>
      </c>
      <c r="J644" s="4" t="s">
        <v>370</v>
      </c>
      <c r="K644" s="4"/>
      <c r="L644" s="132" t="s">
        <v>79</v>
      </c>
      <c r="M644" s="132" t="s">
        <v>115</v>
      </c>
      <c r="N644" s="4" t="s">
        <v>927</v>
      </c>
      <c r="O644" s="4"/>
      <c r="P644" s="4" t="s">
        <v>928</v>
      </c>
      <c r="Q644" s="4" t="s">
        <v>118</v>
      </c>
      <c r="R644" s="4" t="s">
        <v>84</v>
      </c>
      <c r="S644" s="4"/>
      <c r="T644" s="4" t="s">
        <v>929</v>
      </c>
      <c r="U644" s="4" t="s">
        <v>517</v>
      </c>
      <c r="V644" s="4" t="s">
        <v>930</v>
      </c>
      <c r="W644" s="4" t="s">
        <v>931</v>
      </c>
      <c r="X644" s="4"/>
      <c r="Z644" s="938"/>
      <c r="AB644" s="938"/>
      <c r="AD644" s="938"/>
      <c r="AF644" s="949"/>
    </row>
    <row r="645" spans="1:32">
      <c r="A645" s="256"/>
      <c r="B645" s="256"/>
      <c r="C645" s="7"/>
      <c r="D645" s="256"/>
      <c r="E645" s="36"/>
      <c r="F645" s="256"/>
      <c r="G645" s="35"/>
      <c r="H645" s="256"/>
      <c r="I645" s="792"/>
      <c r="J645" s="750"/>
      <c r="K645" s="750"/>
      <c r="L645" s="771"/>
      <c r="M645" s="771"/>
      <c r="N645" s="771"/>
      <c r="O645" s="771"/>
      <c r="P645" s="771"/>
      <c r="Q645" s="771"/>
      <c r="R645" s="771"/>
      <c r="S645" s="771"/>
      <c r="T645" s="771"/>
      <c r="U645" s="821"/>
      <c r="V645" s="762"/>
      <c r="W645" s="785"/>
      <c r="X645" s="785"/>
      <c r="Z645" s="938"/>
      <c r="AB645" s="938"/>
      <c r="AD645" s="938"/>
      <c r="AF645" s="949"/>
    </row>
    <row r="646" spans="1:32">
      <c r="A646" s="4"/>
      <c r="B646" s="256"/>
      <c r="C646" s="6" t="s">
        <v>185</v>
      </c>
      <c r="D646" s="256"/>
      <c r="E646" s="36"/>
      <c r="F646" s="256"/>
      <c r="G646" s="35"/>
      <c r="H646" s="256"/>
      <c r="I646" s="256"/>
      <c r="J646" s="256"/>
      <c r="K646" s="256"/>
      <c r="L646" s="762"/>
      <c r="M646" s="762"/>
      <c r="N646" s="762"/>
      <c r="O646" s="771"/>
      <c r="P646" s="771"/>
      <c r="Q646" s="762"/>
      <c r="R646" s="762"/>
      <c r="S646" s="771"/>
      <c r="T646" s="771"/>
      <c r="U646" s="771"/>
      <c r="V646" s="762"/>
      <c r="W646" s="504"/>
    </row>
    <row r="647" spans="1:32">
      <c r="A647" s="4">
        <v>292</v>
      </c>
      <c r="B647" s="256"/>
      <c r="C647" s="7" t="s">
        <v>703</v>
      </c>
      <c r="D647" s="256"/>
      <c r="E647" s="4" t="s">
        <v>824</v>
      </c>
      <c r="F647" s="256"/>
      <c r="G647" s="35">
        <v>501.00000000000347</v>
      </c>
      <c r="H647" s="256"/>
      <c r="I647" s="778">
        <v>6803.81</v>
      </c>
      <c r="J647" s="750">
        <f>G647*I647/1000</f>
        <v>3408.7088100000237</v>
      </c>
      <c r="K647" s="256"/>
      <c r="L647" s="35">
        <v>0</v>
      </c>
      <c r="M647" s="35">
        <v>0</v>
      </c>
      <c r="N647" s="762">
        <f>J647-L647-M647</f>
        <v>3408.7088100000237</v>
      </c>
      <c r="O647" s="771"/>
      <c r="P647" s="35">
        <v>91.916434574807681</v>
      </c>
      <c r="Q647" s="35">
        <v>0</v>
      </c>
      <c r="R647" s="35">
        <v>0</v>
      </c>
      <c r="S647" s="771"/>
      <c r="T647" s="771">
        <f>N647+P647+Q647+R647</f>
        <v>3500.6252445748314</v>
      </c>
      <c r="U647" s="915">
        <f>T647/G647*1000</f>
        <v>6987.2759372750643</v>
      </c>
      <c r="V647" s="762">
        <f>T647-J647</f>
        <v>91.916434574807681</v>
      </c>
      <c r="W647" s="770">
        <f>U647/I647-1</f>
        <v>2.696517646363783E-2</v>
      </c>
      <c r="X647" s="769"/>
      <c r="Z647" s="938"/>
      <c r="AB647" s="938"/>
      <c r="AD647" s="938"/>
      <c r="AF647" s="954"/>
    </row>
    <row r="648" spans="1:32" ht="14.25">
      <c r="A648" s="4"/>
      <c r="B648" s="256"/>
      <c r="C648" s="7" t="s">
        <v>825</v>
      </c>
      <c r="D648" s="256"/>
      <c r="E648" s="4"/>
      <c r="F648" s="256"/>
      <c r="G648" s="35"/>
      <c r="H648" s="256"/>
      <c r="I648" s="778"/>
      <c r="J648" s="750"/>
      <c r="K648" s="256"/>
      <c r="L648" s="35"/>
      <c r="M648" s="35"/>
      <c r="N648" s="762"/>
      <c r="O648" s="771"/>
      <c r="P648" s="35"/>
      <c r="Q648" s="35"/>
      <c r="R648" s="35"/>
      <c r="S648" s="771"/>
      <c r="T648" s="771"/>
      <c r="U648" s="915"/>
      <c r="V648" s="762"/>
      <c r="W648" s="770"/>
      <c r="X648" s="769"/>
      <c r="Z648" s="938"/>
      <c r="AB648" s="938"/>
      <c r="AD648" s="938"/>
      <c r="AF648" s="954"/>
    </row>
    <row r="649" spans="1:32">
      <c r="A649" s="4"/>
      <c r="B649" s="256"/>
      <c r="C649" s="519" t="s">
        <v>826</v>
      </c>
      <c r="D649" s="256"/>
      <c r="F649" s="256"/>
      <c r="G649" s="35"/>
      <c r="H649" s="256"/>
      <c r="I649" s="256"/>
      <c r="J649" s="750"/>
      <c r="K649" s="256"/>
      <c r="L649" s="762"/>
      <c r="M649" s="762"/>
      <c r="N649" s="762"/>
      <c r="O649" s="771"/>
      <c r="P649" s="35"/>
      <c r="Q649" s="35"/>
      <c r="R649" s="762"/>
      <c r="S649" s="771"/>
      <c r="T649" s="771"/>
      <c r="U649" s="821"/>
      <c r="V649" s="762"/>
      <c r="W649" s="770"/>
      <c r="X649" s="769"/>
      <c r="Z649" s="938"/>
      <c r="AB649" s="938"/>
      <c r="AD649" s="938"/>
    </row>
    <row r="650" spans="1:32">
      <c r="A650" s="4">
        <v>293</v>
      </c>
      <c r="B650" s="256"/>
      <c r="C650" s="731" t="s">
        <v>851</v>
      </c>
      <c r="D650" s="256"/>
      <c r="E650" s="513" t="s">
        <v>828</v>
      </c>
      <c r="F650" s="256"/>
      <c r="G650" s="35">
        <v>60333.714</v>
      </c>
      <c r="H650" s="256"/>
      <c r="I650" s="772">
        <v>33.160600000000002</v>
      </c>
      <c r="J650" s="750">
        <f>G650*I650/100</f>
        <v>20007.021564684001</v>
      </c>
      <c r="K650" s="256"/>
      <c r="L650" s="35">
        <v>1497.5431151939999</v>
      </c>
      <c r="M650" s="35">
        <v>0</v>
      </c>
      <c r="N650" s="762">
        <f>J650-L650-M650</f>
        <v>18509.478449490001</v>
      </c>
      <c r="O650" s="771"/>
      <c r="P650" s="35">
        <v>499.11135264040058</v>
      </c>
      <c r="Q650" s="35">
        <v>1052.1210252863157</v>
      </c>
      <c r="R650" s="35">
        <v>0</v>
      </c>
      <c r="S650" s="771"/>
      <c r="T650" s="771">
        <f>N650+P650+Q650+R650</f>
        <v>20060.710827416719</v>
      </c>
      <c r="U650" s="821">
        <f>T650/G650*100</f>
        <v>33.249587166831333</v>
      </c>
      <c r="V650" s="762">
        <f>T650-J650</f>
        <v>53.689262732717907</v>
      </c>
      <c r="W650" s="770">
        <f>U650/I650-1</f>
        <v>2.6835210108180352E-3</v>
      </c>
      <c r="X650" s="769"/>
      <c r="Z650" s="938"/>
      <c r="AB650" s="938"/>
      <c r="AD650" s="938"/>
      <c r="AF650" s="949"/>
    </row>
    <row r="651" spans="1:32">
      <c r="A651" s="4">
        <v>294</v>
      </c>
      <c r="C651" s="731" t="s">
        <v>852</v>
      </c>
      <c r="E651" s="513" t="s">
        <v>828</v>
      </c>
      <c r="G651" s="35">
        <v>248379.71</v>
      </c>
      <c r="I651" s="772">
        <v>18.477399999999999</v>
      </c>
      <c r="J651" s="750">
        <f>G651*I651/100</f>
        <v>45894.112535539993</v>
      </c>
      <c r="L651" s="35">
        <v>3260.9772125899995</v>
      </c>
      <c r="M651" s="35">
        <v>0</v>
      </c>
      <c r="N651" s="762">
        <f>J651-L651-M651</f>
        <v>42633.135322949995</v>
      </c>
      <c r="O651" s="68"/>
      <c r="P651" s="35">
        <v>1149.6100171814978</v>
      </c>
      <c r="Q651" s="35">
        <v>2423.3647733271655</v>
      </c>
      <c r="R651" s="35">
        <v>0</v>
      </c>
      <c r="S651" s="68"/>
      <c r="T651" s="771">
        <f>N651+P651+Q651+R651</f>
        <v>46206.110113458657</v>
      </c>
      <c r="U651" s="821">
        <f>T651/G651*100</f>
        <v>18.603013150091311</v>
      </c>
      <c r="V651" s="762">
        <f>T651-J651</f>
        <v>311.99757791866432</v>
      </c>
      <c r="W651" s="770">
        <f>U651/I651-1</f>
        <v>6.798204838955213E-3</v>
      </c>
      <c r="X651" s="769"/>
      <c r="Z651" s="938"/>
      <c r="AB651" s="938"/>
      <c r="AD651" s="938"/>
      <c r="AF651" s="949"/>
    </row>
    <row r="652" spans="1:32">
      <c r="A652" s="4"/>
      <c r="C652" s="519" t="s">
        <v>830</v>
      </c>
      <c r="E652" s="36"/>
      <c r="G652" s="35"/>
      <c r="I652" s="772"/>
      <c r="J652" s="750"/>
      <c r="L652" s="35"/>
      <c r="M652" s="762"/>
      <c r="N652" s="762"/>
      <c r="O652" s="68"/>
      <c r="P652" s="35"/>
      <c r="Q652" s="35"/>
      <c r="R652" s="762"/>
      <c r="S652" s="68"/>
      <c r="T652" s="771"/>
      <c r="U652" s="821"/>
      <c r="V652" s="762"/>
      <c r="W652" s="770"/>
      <c r="X652" s="769"/>
      <c r="Z652" s="938"/>
      <c r="AB652" s="938"/>
      <c r="AD652" s="938"/>
      <c r="AF652" s="949"/>
    </row>
    <row r="653" spans="1:32">
      <c r="A653" s="4">
        <v>295</v>
      </c>
      <c r="C653" s="814" t="s">
        <v>831</v>
      </c>
      <c r="E653" s="36" t="s">
        <v>674</v>
      </c>
      <c r="G653" s="35">
        <v>4963881.1019000001</v>
      </c>
      <c r="I653" s="772">
        <v>1.7999999999999999E-2</v>
      </c>
      <c r="J653" s="750">
        <f>G653*I653/100</f>
        <v>893.49859834199992</v>
      </c>
      <c r="L653" s="35">
        <v>0</v>
      </c>
      <c r="M653" s="35">
        <v>0</v>
      </c>
      <c r="N653" s="762">
        <f>J653-L653-M653</f>
        <v>893.49859834199992</v>
      </c>
      <c r="O653" s="68"/>
      <c r="P653" s="35">
        <v>24.09334737430504</v>
      </c>
      <c r="Q653" s="35">
        <v>0</v>
      </c>
      <c r="R653" s="35">
        <v>0</v>
      </c>
      <c r="S653" s="35"/>
      <c r="T653" s="771">
        <f>N653+P653+Q653+R653</f>
        <v>917.59194571630496</v>
      </c>
      <c r="U653" s="821">
        <f>T653/G653*100</f>
        <v>1.8485373176345479E-2</v>
      </c>
      <c r="V653" s="762">
        <f>T653-J653</f>
        <v>24.09334737430504</v>
      </c>
      <c r="W653" s="770">
        <f>U653/I653-1</f>
        <v>2.696517646363783E-2</v>
      </c>
      <c r="X653" s="769"/>
      <c r="Z653" s="938"/>
      <c r="AB653" s="938"/>
      <c r="AD653" s="938"/>
      <c r="AF653" s="949"/>
    </row>
    <row r="654" spans="1:32">
      <c r="A654" s="4">
        <v>296</v>
      </c>
      <c r="C654" s="814" t="s">
        <v>832</v>
      </c>
      <c r="E654" s="36" t="s">
        <v>674</v>
      </c>
      <c r="G654" s="35">
        <v>41762.222750000008</v>
      </c>
      <c r="I654" s="772">
        <v>2.7050999999999998</v>
      </c>
      <c r="J654" s="750">
        <f>G654*I654/100</f>
        <v>1129.7098876102502</v>
      </c>
      <c r="L654" s="35">
        <v>41.469887190750008</v>
      </c>
      <c r="M654" s="35">
        <v>0</v>
      </c>
      <c r="N654" s="762">
        <f>J654-L654-M654</f>
        <v>1088.2400004195001</v>
      </c>
      <c r="O654" s="68"/>
      <c r="P654" s="35">
        <v>29.344577165724104</v>
      </c>
      <c r="Q654" s="35">
        <v>61.910325756040926</v>
      </c>
      <c r="R654" s="35">
        <v>0</v>
      </c>
      <c r="S654" s="68"/>
      <c r="T654" s="771">
        <f>N654+P654+Q654+R654</f>
        <v>1179.4949033412652</v>
      </c>
      <c r="U654" s="821">
        <f>T654/G654*100</f>
        <v>2.8243106464951389</v>
      </c>
      <c r="V654" s="762">
        <f>T654-J654</f>
        <v>49.785015731014937</v>
      </c>
      <c r="W654" s="770">
        <f>U654/I654-1</f>
        <v>4.4068850133133441E-2</v>
      </c>
      <c r="X654" s="769"/>
      <c r="Z654" s="938"/>
      <c r="AB654" s="938"/>
      <c r="AD654" s="938"/>
      <c r="AF654" s="949"/>
    </row>
    <row r="655" spans="1:32">
      <c r="A655" s="4"/>
      <c r="C655" s="7"/>
      <c r="E655" s="36"/>
      <c r="G655" s="35"/>
      <c r="I655" s="772"/>
      <c r="J655" s="750"/>
      <c r="L655" s="35"/>
      <c r="M655" s="762"/>
      <c r="N655" s="762"/>
      <c r="O655" s="68"/>
      <c r="P655" s="35"/>
      <c r="Q655" s="35"/>
      <c r="R655" s="762"/>
      <c r="S655" s="68"/>
      <c r="T655" s="771"/>
      <c r="U655" s="821"/>
      <c r="V655" s="762"/>
      <c r="W655" s="770"/>
      <c r="X655" s="769"/>
      <c r="Z655" s="938"/>
      <c r="AB655" s="938"/>
      <c r="AD655" s="938"/>
      <c r="AF655" s="949"/>
    </row>
    <row r="656" spans="1:32">
      <c r="A656" s="4">
        <v>297</v>
      </c>
      <c r="B656" s="256"/>
      <c r="C656" s="9" t="s">
        <v>833</v>
      </c>
      <c r="D656" s="256"/>
      <c r="E656" s="36" t="s">
        <v>674</v>
      </c>
      <c r="F656" s="256"/>
      <c r="G656" s="35">
        <v>24455.350999999999</v>
      </c>
      <c r="H656" s="256"/>
      <c r="I656" s="772">
        <v>1.7999999999999999E-2</v>
      </c>
      <c r="J656" s="750">
        <f>G656*I656/100</f>
        <v>4.4019631799999992</v>
      </c>
      <c r="K656" s="256"/>
      <c r="L656" s="35">
        <v>0</v>
      </c>
      <c r="M656" s="35">
        <v>0</v>
      </c>
      <c r="N656" s="762">
        <f>J656-L656-M656</f>
        <v>4.4019631799999992</v>
      </c>
      <c r="O656" s="771"/>
      <c r="P656" s="35">
        <v>0.11869971393513623</v>
      </c>
      <c r="Q656" s="35">
        <v>0</v>
      </c>
      <c r="R656" s="35">
        <v>0</v>
      </c>
      <c r="S656" s="771"/>
      <c r="T656" s="771">
        <f>N656+P656+Q656+R656</f>
        <v>4.5206628939351354</v>
      </c>
      <c r="U656" s="821">
        <f>T656/G656*100</f>
        <v>1.8485373176345479E-2</v>
      </c>
      <c r="V656" s="762">
        <f>T656-J656</f>
        <v>0.11869971393513623</v>
      </c>
      <c r="W656" s="770">
        <f>U656/I656-1</f>
        <v>2.696517646363783E-2</v>
      </c>
      <c r="X656" s="769"/>
      <c r="Z656" s="938"/>
      <c r="AB656" s="938"/>
      <c r="AD656" s="938"/>
      <c r="AF656" s="949"/>
    </row>
    <row r="657" spans="1:32">
      <c r="A657" s="4">
        <v>298</v>
      </c>
      <c r="B657" s="256"/>
      <c r="C657" s="9" t="s">
        <v>834</v>
      </c>
      <c r="D657" s="256"/>
      <c r="E657" s="36" t="s">
        <v>674</v>
      </c>
      <c r="F657" s="256"/>
      <c r="G657" s="35">
        <v>176.95000000000073</v>
      </c>
      <c r="H657" s="256"/>
      <c r="I657" s="772">
        <v>3.2271999999999998</v>
      </c>
      <c r="J657" s="750">
        <f>G657*I657/100</f>
        <v>5.7105304000000228</v>
      </c>
      <c r="K657" s="256"/>
      <c r="L657" s="35">
        <v>0.17571135000000074</v>
      </c>
      <c r="M657" s="35">
        <v>0</v>
      </c>
      <c r="N657" s="762">
        <f>J657-L657-M657</f>
        <v>5.5348190500000216</v>
      </c>
      <c r="O657" s="771"/>
      <c r="P657" s="35">
        <v>0.14924737237755448</v>
      </c>
      <c r="Q657" s="35">
        <v>0.26231918277222172</v>
      </c>
      <c r="R657" s="35">
        <v>0</v>
      </c>
      <c r="S657" s="771"/>
      <c r="T657" s="771">
        <f>N657+P657+Q657+R657</f>
        <v>5.9463856051497981</v>
      </c>
      <c r="U657" s="821">
        <f>T657/G657*100</f>
        <v>3.3604891806441217</v>
      </c>
      <c r="V657" s="762">
        <f>T657-J657</f>
        <v>0.23585520514977532</v>
      </c>
      <c r="W657" s="770">
        <f>U657/I657-1</f>
        <v>4.1301803620513722E-2</v>
      </c>
      <c r="X657" s="769"/>
      <c r="Z657" s="938"/>
      <c r="AB657" s="938"/>
      <c r="AD657" s="938"/>
      <c r="AF657" s="949"/>
    </row>
    <row r="658" spans="1:32">
      <c r="A658" s="4"/>
      <c r="C658" s="7"/>
      <c r="E658" s="36"/>
      <c r="G658" s="35"/>
      <c r="I658" s="772"/>
      <c r="J658" s="750"/>
      <c r="L658" s="762"/>
      <c r="M658" s="762"/>
      <c r="N658" s="762"/>
      <c r="O658" s="68"/>
      <c r="P658" s="35"/>
      <c r="Q658" s="35"/>
      <c r="R658" s="762"/>
      <c r="S658" s="68"/>
      <c r="T658" s="771"/>
      <c r="U658" s="821"/>
      <c r="V658" s="762"/>
      <c r="W658" s="770"/>
      <c r="X658" s="769"/>
      <c r="Z658" s="938"/>
      <c r="AB658" s="938"/>
      <c r="AD658" s="938"/>
    </row>
    <row r="659" spans="1:32">
      <c r="A659" s="4">
        <v>299</v>
      </c>
      <c r="B659" s="256"/>
      <c r="C659" s="9" t="s">
        <v>835</v>
      </c>
      <c r="D659" s="256"/>
      <c r="E659" s="36" t="s">
        <v>777</v>
      </c>
      <c r="F659" s="256"/>
      <c r="G659" s="35">
        <v>0</v>
      </c>
      <c r="H659" s="256"/>
      <c r="I659" s="35">
        <v>0</v>
      </c>
      <c r="J659" s="771">
        <f>G659*I659/1000</f>
        <v>0</v>
      </c>
      <c r="K659" s="256"/>
      <c r="L659" s="35">
        <v>0</v>
      </c>
      <c r="M659" s="35">
        <v>0</v>
      </c>
      <c r="N659" s="762">
        <f>J659-L659-M659</f>
        <v>0</v>
      </c>
      <c r="O659" s="68"/>
      <c r="P659" s="35">
        <v>0</v>
      </c>
      <c r="Q659" s="35">
        <v>0</v>
      </c>
      <c r="R659" s="35">
        <v>0</v>
      </c>
      <c r="S659" s="771"/>
      <c r="T659" s="771">
        <f>N659+P659+Q659+R659</f>
        <v>0</v>
      </c>
      <c r="U659" s="771">
        <v>0</v>
      </c>
      <c r="V659" s="762">
        <f>T659-J659</f>
        <v>0</v>
      </c>
      <c r="W659" s="834" t="str">
        <f>IFERROR(U659/I659-1,"-")</f>
        <v>-</v>
      </c>
      <c r="X659" s="769"/>
      <c r="Z659" s="938"/>
      <c r="AB659" s="938"/>
      <c r="AD659" s="938"/>
    </row>
    <row r="660" spans="1:32">
      <c r="A660" s="4"/>
      <c r="B660" s="256"/>
      <c r="C660" s="7"/>
      <c r="D660" s="256"/>
      <c r="E660" s="742"/>
      <c r="F660" s="256"/>
      <c r="G660" s="35"/>
      <c r="H660" s="256"/>
      <c r="I660" s="256"/>
      <c r="J660" s="750"/>
      <c r="K660" s="256"/>
      <c r="L660" s="762"/>
      <c r="M660" s="762"/>
      <c r="N660" s="762"/>
      <c r="O660" s="771"/>
      <c r="P660" s="771"/>
      <c r="Q660" s="762"/>
      <c r="R660" s="762"/>
      <c r="S660" s="771"/>
      <c r="T660" s="771"/>
      <c r="U660" s="821"/>
      <c r="V660" s="762"/>
      <c r="W660" s="770"/>
      <c r="X660" s="769"/>
      <c r="Z660" s="938"/>
      <c r="AB660" s="938"/>
      <c r="AD660" s="938"/>
    </row>
    <row r="661" spans="1:32">
      <c r="A661" s="4">
        <v>300</v>
      </c>
      <c r="B661" s="256"/>
      <c r="C661" s="7" t="s">
        <v>836</v>
      </c>
      <c r="D661" s="256"/>
      <c r="E661" s="742"/>
      <c r="F661" s="256"/>
      <c r="G661" s="420">
        <f>G653+G654</f>
        <v>5005643.3246499998</v>
      </c>
      <c r="H661" s="256"/>
      <c r="I661" s="806">
        <f>J661/G661*100</f>
        <v>1.4252546428634061</v>
      </c>
      <c r="J661" s="808">
        <f>SUM(J647:J659)</f>
        <v>71343.163889756281</v>
      </c>
      <c r="K661" s="750"/>
      <c r="L661" s="807">
        <f>SUM(L647:L659)</f>
        <v>4800.1659263247493</v>
      </c>
      <c r="M661" s="807">
        <f>SUM(M647:M659)</f>
        <v>0</v>
      </c>
      <c r="N661" s="807">
        <f>SUM(N647:N659)</f>
        <v>66542.99796343151</v>
      </c>
      <c r="O661" s="771"/>
      <c r="P661" s="807">
        <f>SUM(P647:P659)</f>
        <v>1794.3436760230479</v>
      </c>
      <c r="Q661" s="807">
        <f>SUM(Q647:Q659)</f>
        <v>3537.6584435522946</v>
      </c>
      <c r="R661" s="807">
        <f>SUM(R647:R659)</f>
        <v>0</v>
      </c>
      <c r="S661" s="771"/>
      <c r="T661" s="807">
        <f>SUM(T647:T659)</f>
        <v>71875.000083006875</v>
      </c>
      <c r="U661" s="902">
        <f>T661/G661*100</f>
        <v>1.4358793749659033</v>
      </c>
      <c r="V661" s="805">
        <f>SUM(V647:V659)</f>
        <v>531.83619325059476</v>
      </c>
      <c r="W661" s="804">
        <f>U661/I661-1</f>
        <v>7.4546202362488767E-3</v>
      </c>
      <c r="X661" s="769"/>
      <c r="Z661" s="938"/>
      <c r="AB661" s="938"/>
      <c r="AD661" s="938"/>
      <c r="AF661" s="949"/>
    </row>
    <row r="662" spans="1:32">
      <c r="A662" s="4"/>
      <c r="B662" s="256"/>
      <c r="D662" s="256"/>
      <c r="E662" s="742"/>
      <c r="F662" s="256"/>
      <c r="G662" s="453"/>
      <c r="H662" s="256"/>
      <c r="I662" s="256"/>
      <c r="J662" s="750"/>
      <c r="K662" s="256"/>
      <c r="L662" s="762"/>
      <c r="M662" s="762"/>
      <c r="N662" s="762"/>
      <c r="O662" s="771"/>
      <c r="P662" s="771"/>
      <c r="Q662" s="762"/>
      <c r="R662" s="762"/>
      <c r="S662" s="771"/>
      <c r="T662" s="771"/>
      <c r="U662" s="821"/>
      <c r="V662" s="762"/>
      <c r="W662" s="504"/>
      <c r="Z662" s="955"/>
      <c r="AB662" s="955"/>
      <c r="AD662" s="955"/>
      <c r="AF662" s="955"/>
    </row>
    <row r="663" spans="1:32">
      <c r="A663" s="4"/>
      <c r="C663" s="512" t="s">
        <v>837</v>
      </c>
      <c r="E663" s="36"/>
      <c r="G663" s="135"/>
      <c r="J663" s="752"/>
      <c r="L663" s="762"/>
      <c r="M663" s="762"/>
      <c r="N663" s="762"/>
      <c r="O663" s="68"/>
      <c r="P663" s="68"/>
      <c r="Q663" s="762"/>
      <c r="R663" s="762"/>
      <c r="S663" s="68"/>
      <c r="T663" s="68"/>
      <c r="U663" s="911"/>
      <c r="V663" s="762"/>
      <c r="W663" s="504"/>
      <c r="Z663" s="938"/>
      <c r="AB663" s="938"/>
      <c r="AD663" s="938"/>
      <c r="AF663" s="949"/>
    </row>
    <row r="664" spans="1:32">
      <c r="A664" s="4"/>
      <c r="B664" s="256"/>
      <c r="C664" s="519" t="s">
        <v>838</v>
      </c>
      <c r="D664" s="256"/>
      <c r="F664" s="256"/>
      <c r="G664" s="35"/>
      <c r="H664" s="256"/>
      <c r="I664" s="256"/>
      <c r="J664" s="750"/>
      <c r="K664" s="256"/>
      <c r="L664" s="762"/>
      <c r="M664" s="762"/>
      <c r="N664" s="762"/>
      <c r="O664" s="771"/>
      <c r="P664" s="771"/>
      <c r="Q664" s="762"/>
      <c r="R664" s="762"/>
      <c r="S664" s="771"/>
      <c r="T664" s="771"/>
      <c r="U664" s="821"/>
      <c r="V664" s="762"/>
      <c r="W664" s="504"/>
      <c r="Z664" s="938"/>
      <c r="AB664" s="938"/>
      <c r="AD664" s="938"/>
      <c r="AF664" s="949"/>
    </row>
    <row r="665" spans="1:32">
      <c r="A665" s="4">
        <v>301</v>
      </c>
      <c r="B665" s="256"/>
      <c r="C665" s="731" t="s">
        <v>839</v>
      </c>
      <c r="D665" s="256"/>
      <c r="E665" s="513" t="s">
        <v>840</v>
      </c>
      <c r="F665" s="256"/>
      <c r="G665" s="35">
        <v>113600526</v>
      </c>
      <c r="H665" s="256"/>
      <c r="I665" s="66">
        <v>1.2E-2</v>
      </c>
      <c r="J665" s="750">
        <f>G665*I665/1000</f>
        <v>1363.206312</v>
      </c>
      <c r="K665" s="256"/>
      <c r="L665" s="35">
        <v>0</v>
      </c>
      <c r="M665" s="35">
        <v>0</v>
      </c>
      <c r="N665" s="762">
        <f>J665-L665-M665</f>
        <v>1363.206312</v>
      </c>
      <c r="O665" s="771"/>
      <c r="P665" s="35">
        <v>36.759098759424887</v>
      </c>
      <c r="Q665" s="35">
        <v>0</v>
      </c>
      <c r="R665" s="35">
        <v>0</v>
      </c>
      <c r="S665" s="35"/>
      <c r="T665" s="771">
        <f>N665+P665+Q665+R665</f>
        <v>1399.9654107594249</v>
      </c>
      <c r="U665" s="947">
        <f>T665/G665*1000</f>
        <v>1.2323582117563655E-2</v>
      </c>
      <c r="V665" s="762">
        <f>T665-J665</f>
        <v>36.759098759424887</v>
      </c>
      <c r="W665" s="770">
        <f>U665/I665-1</f>
        <v>2.696517646363783E-2</v>
      </c>
      <c r="X665" s="769"/>
      <c r="Z665" s="938"/>
      <c r="AB665" s="938"/>
      <c r="AD665" s="938"/>
      <c r="AF665" s="949"/>
    </row>
    <row r="666" spans="1:32">
      <c r="A666" s="4"/>
      <c r="B666" s="256"/>
      <c r="C666" s="519" t="s">
        <v>841</v>
      </c>
      <c r="D666" s="256"/>
      <c r="E666" s="36"/>
      <c r="F666" s="256"/>
      <c r="G666" s="35"/>
      <c r="H666" s="256"/>
      <c r="I666" s="947"/>
      <c r="J666" s="750"/>
      <c r="K666" s="256"/>
      <c r="L666" s="762"/>
      <c r="M666" s="762"/>
      <c r="N666" s="762"/>
      <c r="O666" s="771"/>
      <c r="P666" s="35"/>
      <c r="Q666" s="762"/>
      <c r="R666" s="762"/>
      <c r="S666" s="771"/>
      <c r="T666" s="771"/>
      <c r="U666" s="947"/>
      <c r="V666" s="762"/>
      <c r="W666" s="770"/>
      <c r="X666" s="769"/>
      <c r="Z666" s="938"/>
      <c r="AB666" s="938"/>
      <c r="AD666" s="938"/>
      <c r="AF666" s="949"/>
    </row>
    <row r="667" spans="1:32">
      <c r="A667" s="4">
        <v>302</v>
      </c>
      <c r="B667" s="256"/>
      <c r="C667" s="814" t="s">
        <v>842</v>
      </c>
      <c r="D667" s="256"/>
      <c r="E667" s="513" t="s">
        <v>840</v>
      </c>
      <c r="F667" s="256"/>
      <c r="G667" s="35">
        <v>2398062</v>
      </c>
      <c r="H667" s="256"/>
      <c r="I667" s="66">
        <v>1.8779999999999999</v>
      </c>
      <c r="J667" s="750">
        <f>G667*I667/1000</f>
        <v>4503.5604359999998</v>
      </c>
      <c r="K667" s="256"/>
      <c r="L667" s="35">
        <v>0</v>
      </c>
      <c r="M667" s="35">
        <v>0</v>
      </c>
      <c r="N667" s="762">
        <f>J667-L667-M667</f>
        <v>4503.5604359999998</v>
      </c>
      <c r="O667" s="771"/>
      <c r="P667" s="35">
        <v>121.43930187139813</v>
      </c>
      <c r="Q667" s="35">
        <v>0</v>
      </c>
      <c r="R667" s="35">
        <v>0</v>
      </c>
      <c r="S667" s="771"/>
      <c r="T667" s="771">
        <f>N667+P667+Q667+R667</f>
        <v>4624.9997378713979</v>
      </c>
      <c r="U667" s="66">
        <v>1.9259999999999999</v>
      </c>
      <c r="V667" s="762">
        <f>T667-J667</f>
        <v>121.43930187139813</v>
      </c>
      <c r="W667" s="770">
        <f>U667/I667-1</f>
        <v>2.5559105431310014E-2</v>
      </c>
      <c r="X667" s="769"/>
      <c r="Z667" s="938"/>
      <c r="AB667" s="938"/>
      <c r="AD667" s="938"/>
      <c r="AF667" s="949"/>
    </row>
    <row r="668" spans="1:32">
      <c r="A668" s="4">
        <v>303</v>
      </c>
      <c r="B668" s="256"/>
      <c r="C668" s="814" t="s">
        <v>843</v>
      </c>
      <c r="D668" s="256"/>
      <c r="E668" s="513" t="s">
        <v>840</v>
      </c>
      <c r="F668" s="256"/>
      <c r="G668" s="35">
        <v>900000</v>
      </c>
      <c r="H668" s="256"/>
      <c r="I668" s="66">
        <v>1.4730000000000001</v>
      </c>
      <c r="J668" s="750">
        <f>G668*I668/1000</f>
        <v>1325.7</v>
      </c>
      <c r="K668" s="256"/>
      <c r="L668" s="35">
        <v>0</v>
      </c>
      <c r="M668" s="35">
        <v>0</v>
      </c>
      <c r="N668" s="762">
        <f>J668-L668-M668</f>
        <v>1325.7</v>
      </c>
      <c r="O668" s="771"/>
      <c r="P668" s="35">
        <v>35.747734437844656</v>
      </c>
      <c r="Q668" s="35">
        <v>0</v>
      </c>
      <c r="R668" s="35">
        <v>0</v>
      </c>
      <c r="S668" s="771"/>
      <c r="T668" s="771">
        <f>N668+P668+Q668+R668</f>
        <v>1361.4477344378447</v>
      </c>
      <c r="U668" s="66">
        <v>1.5181292016499417</v>
      </c>
      <c r="V668" s="762">
        <f>T668-J668</f>
        <v>35.747734437844656</v>
      </c>
      <c r="W668" s="770">
        <f>U668/I668-1</f>
        <v>3.0637611439199963E-2</v>
      </c>
      <c r="X668" s="769"/>
      <c r="Z668" s="938"/>
      <c r="AB668" s="938"/>
      <c r="AD668" s="938"/>
      <c r="AF668" s="949"/>
    </row>
    <row r="669" spans="1:32">
      <c r="A669" s="4">
        <v>304</v>
      </c>
      <c r="B669" s="256"/>
      <c r="C669" s="731" t="s">
        <v>844</v>
      </c>
      <c r="D669" s="256"/>
      <c r="E669" s="513" t="s">
        <v>840</v>
      </c>
      <c r="F669" s="256"/>
      <c r="G669" s="35">
        <v>12000</v>
      </c>
      <c r="H669" s="256"/>
      <c r="I669" s="66">
        <v>1.4730000000000001</v>
      </c>
      <c r="J669" s="750">
        <f>G669*I669/1000</f>
        <v>17.675999999999998</v>
      </c>
      <c r="K669" s="256"/>
      <c r="L669" s="35">
        <v>0</v>
      </c>
      <c r="M669" s="35">
        <v>0</v>
      </c>
      <c r="N669" s="762">
        <f>J669-L669-M669</f>
        <v>17.675999999999998</v>
      </c>
      <c r="O669" s="771"/>
      <c r="P669" s="35">
        <v>0.47663645917126374</v>
      </c>
      <c r="Q669" s="35">
        <v>0</v>
      </c>
      <c r="R669" s="35">
        <v>0</v>
      </c>
      <c r="S669" s="771"/>
      <c r="T669" s="771">
        <f>N669+P669+Q669+R669</f>
        <v>18.152636459171262</v>
      </c>
      <c r="U669" s="66">
        <v>1.5181292016499417</v>
      </c>
      <c r="V669" s="762">
        <f>T669-J669</f>
        <v>0.47663645917126374</v>
      </c>
      <c r="W669" s="770">
        <f>U669/I669-1</f>
        <v>3.0637611439199963E-2</v>
      </c>
      <c r="X669" s="769"/>
      <c r="Z669" s="938"/>
      <c r="AB669" s="938"/>
      <c r="AD669" s="938"/>
      <c r="AF669" s="949"/>
    </row>
    <row r="670" spans="1:32">
      <c r="A670" s="4">
        <v>305</v>
      </c>
      <c r="B670" s="256"/>
      <c r="C670" s="731" t="s">
        <v>845</v>
      </c>
      <c r="D670" s="256"/>
      <c r="E670" s="513" t="s">
        <v>840</v>
      </c>
      <c r="F670" s="256"/>
      <c r="G670" s="35">
        <v>180000</v>
      </c>
      <c r="H670" s="256"/>
      <c r="I670" s="66">
        <v>1.4730000000000001</v>
      </c>
      <c r="J670" s="750">
        <f>G670*I670/1000</f>
        <v>265.14</v>
      </c>
      <c r="K670" s="256"/>
      <c r="L670" s="35">
        <v>0</v>
      </c>
      <c r="M670" s="35">
        <v>0</v>
      </c>
      <c r="N670" s="762">
        <f>J670-L670-M670</f>
        <v>265.14</v>
      </c>
      <c r="O670" s="771"/>
      <c r="P670" s="35">
        <v>7.1495468875689312</v>
      </c>
      <c r="Q670" s="35">
        <v>0</v>
      </c>
      <c r="R670" s="35">
        <v>0</v>
      </c>
      <c r="S670" s="771"/>
      <c r="T670" s="771">
        <f>N670+P670+Q670+R670</f>
        <v>272.28954688756892</v>
      </c>
      <c r="U670" s="66">
        <v>1.5181292016499417</v>
      </c>
      <c r="V670" s="762">
        <f>T670-J670</f>
        <v>7.1495468875689312</v>
      </c>
      <c r="W670" s="770">
        <f>U670/I670-1</f>
        <v>3.0637611439199963E-2</v>
      </c>
      <c r="X670" s="769"/>
      <c r="Z670" s="938"/>
      <c r="AB670" s="938"/>
      <c r="AD670" s="938"/>
      <c r="AF670" s="949"/>
    </row>
    <row r="671" spans="1:32">
      <c r="A671" s="4"/>
      <c r="C671" s="519" t="s">
        <v>846</v>
      </c>
      <c r="E671" s="513"/>
      <c r="G671" s="35"/>
      <c r="I671" s="66"/>
      <c r="J671" s="750"/>
      <c r="L671" s="762"/>
      <c r="M671" s="762"/>
      <c r="N671" s="762"/>
      <c r="O671" s="68"/>
      <c r="P671" s="35"/>
      <c r="Q671" s="762"/>
      <c r="R671" s="762"/>
      <c r="S671" s="68"/>
      <c r="T671" s="771"/>
      <c r="U671" s="947"/>
      <c r="V671" s="762"/>
      <c r="W671" s="770"/>
      <c r="X671" s="769"/>
      <c r="Z671" s="938"/>
      <c r="AB671" s="938"/>
      <c r="AD671" s="938"/>
      <c r="AF671" s="949"/>
    </row>
    <row r="672" spans="1:32">
      <c r="A672" s="4">
        <v>306</v>
      </c>
      <c r="B672" s="734"/>
      <c r="C672" s="731" t="s">
        <v>847</v>
      </c>
      <c r="D672" s="734"/>
      <c r="E672" s="36" t="s">
        <v>777</v>
      </c>
      <c r="F672" s="734"/>
      <c r="G672" s="35">
        <v>31198326.559999999</v>
      </c>
      <c r="H672" s="734"/>
      <c r="I672" s="66">
        <v>1.2E-2</v>
      </c>
      <c r="J672" s="750">
        <f>G672*I672/1000</f>
        <v>374.37991872000003</v>
      </c>
      <c r="K672" s="734"/>
      <c r="L672" s="35">
        <v>0</v>
      </c>
      <c r="M672" s="35">
        <v>0</v>
      </c>
      <c r="N672" s="762">
        <f>J672-L672-M672</f>
        <v>374.37991872000003</v>
      </c>
      <c r="O672" s="790"/>
      <c r="P672" s="35">
        <v>10.095220572727214</v>
      </c>
      <c r="Q672" s="35">
        <v>0</v>
      </c>
      <c r="R672" s="35">
        <v>0</v>
      </c>
      <c r="S672" s="790"/>
      <c r="T672" s="771">
        <f>N672+P672+Q672+R672</f>
        <v>384.47513929272725</v>
      </c>
      <c r="U672" s="947">
        <f>T672/G672*1000</f>
        <v>1.2323582117563656E-2</v>
      </c>
      <c r="V672" s="762">
        <f>T672-J672</f>
        <v>10.095220572727214</v>
      </c>
      <c r="W672" s="770">
        <f>U672/I672-1</f>
        <v>2.6965176463638052E-2</v>
      </c>
      <c r="X672" s="769"/>
      <c r="Z672" s="938"/>
      <c r="AB672" s="938"/>
      <c r="AD672" s="938"/>
      <c r="AF672" s="949"/>
    </row>
    <row r="673" spans="1:32">
      <c r="A673" s="4"/>
      <c r="B673" s="734"/>
      <c r="C673" s="731"/>
      <c r="D673" s="734"/>
      <c r="E673" s="36"/>
      <c r="F673" s="734"/>
      <c r="G673" s="35"/>
      <c r="H673" s="734"/>
      <c r="I673" s="772"/>
      <c r="J673" s="750"/>
      <c r="K673" s="734"/>
      <c r="L673" s="35"/>
      <c r="M673" s="35"/>
      <c r="N673" s="762"/>
      <c r="O673" s="790"/>
      <c r="P673" s="35"/>
      <c r="Q673" s="35"/>
      <c r="R673" s="35"/>
      <c r="S673" s="790"/>
      <c r="T673" s="771"/>
      <c r="U673" s="821"/>
      <c r="V673" s="762"/>
      <c r="W673" s="770"/>
      <c r="X673" s="769"/>
      <c r="Z673" s="938"/>
      <c r="AB673" s="938"/>
      <c r="AD673" s="938"/>
      <c r="AF673" s="949"/>
    </row>
    <row r="674" spans="1:32">
      <c r="A674" s="4">
        <v>307</v>
      </c>
      <c r="B674" s="447"/>
      <c r="C674" s="9" t="s">
        <v>848</v>
      </c>
      <c r="D674" s="447"/>
      <c r="E674" s="36" t="s">
        <v>777</v>
      </c>
      <c r="F674" s="447"/>
      <c r="G674" s="35">
        <v>0</v>
      </c>
      <c r="H674" s="447"/>
      <c r="I674" s="35">
        <v>0</v>
      </c>
      <c r="J674" s="771">
        <f>G674*I674/1000</f>
        <v>0</v>
      </c>
      <c r="K674" s="447"/>
      <c r="L674" s="35">
        <v>0</v>
      </c>
      <c r="M674" s="35">
        <v>0</v>
      </c>
      <c r="N674" s="762">
        <f>J674-L674-M674</f>
        <v>0</v>
      </c>
      <c r="O674" s="787"/>
      <c r="P674" s="35">
        <v>0</v>
      </c>
      <c r="Q674" s="35">
        <v>0</v>
      </c>
      <c r="R674" s="35">
        <v>0</v>
      </c>
      <c r="S674" s="787"/>
      <c r="T674" s="771">
        <f>N674+P674+Q674+R674</f>
        <v>0</v>
      </c>
      <c r="U674" s="771">
        <v>0</v>
      </c>
      <c r="V674" s="762">
        <f>T674-J674</f>
        <v>0</v>
      </c>
      <c r="W674" s="834" t="str">
        <f>IFERROR(U674/I674-1,"-")</f>
        <v>-</v>
      </c>
      <c r="X674" s="769"/>
      <c r="Z674" s="938"/>
      <c r="AB674" s="938"/>
      <c r="AD674" s="938"/>
      <c r="AF674" s="949"/>
    </row>
    <row r="675" spans="1:32">
      <c r="A675" s="4"/>
      <c r="B675" s="254"/>
      <c r="D675" s="254"/>
      <c r="E675" s="36"/>
      <c r="F675" s="254"/>
      <c r="G675" s="13"/>
      <c r="H675" s="254"/>
      <c r="I675" s="254"/>
      <c r="J675" s="254"/>
      <c r="K675" s="254"/>
      <c r="L675" s="762"/>
      <c r="M675" s="762"/>
      <c r="N675" s="762"/>
      <c r="O675" s="786"/>
      <c r="P675" s="813"/>
      <c r="Q675" s="762"/>
      <c r="R675" s="762"/>
      <c r="S675" s="786"/>
      <c r="T675" s="786"/>
      <c r="U675" s="956"/>
      <c r="V675" s="762"/>
      <c r="W675" s="770"/>
      <c r="X675" s="769"/>
      <c r="Z675" s="938"/>
      <c r="AB675" s="938"/>
      <c r="AD675" s="938"/>
      <c r="AF675" s="949"/>
    </row>
    <row r="676" spans="1:32">
      <c r="A676" s="4">
        <v>308</v>
      </c>
      <c r="B676" s="256"/>
      <c r="C676" s="7" t="s">
        <v>849</v>
      </c>
      <c r="D676" s="256"/>
      <c r="E676" s="4"/>
      <c r="F676" s="256"/>
      <c r="G676" s="420">
        <f>G661</f>
        <v>5005643.3246499998</v>
      </c>
      <c r="H676" s="256"/>
      <c r="I676" s="806">
        <f>J676/G676*100</f>
        <v>0.15681626032092205</v>
      </c>
      <c r="J676" s="808">
        <f>SUM(J665:J674)</f>
        <v>7849.6626667200007</v>
      </c>
      <c r="K676" s="256"/>
      <c r="L676" s="805">
        <f>SUM(L665:L674)</f>
        <v>0</v>
      </c>
      <c r="M676" s="805">
        <f>SUM(M665:M674)</f>
        <v>0</v>
      </c>
      <c r="N676" s="805">
        <f>SUM(N665:N674)</f>
        <v>7849.6626667200007</v>
      </c>
      <c r="O676" s="762"/>
      <c r="P676" s="137">
        <f>SUM(P665:P674)</f>
        <v>211.66753898813508</v>
      </c>
      <c r="Q676" s="137">
        <f>SUM(Q665:Q674)</f>
        <v>0</v>
      </c>
      <c r="R676" s="137">
        <f>SUM(R665:R674)</f>
        <v>0</v>
      </c>
      <c r="S676" s="453"/>
      <c r="T676" s="807">
        <f>SUM(T665:T674)</f>
        <v>8061.3302057081346</v>
      </c>
      <c r="U676" s="902">
        <f>T676/G676*100</f>
        <v>0.16104483845284345</v>
      </c>
      <c r="V676" s="805">
        <f>SUM(V665:V674)</f>
        <v>211.66753898813508</v>
      </c>
      <c r="W676" s="804">
        <f>U676/I676-1</f>
        <v>2.6965176463637608E-2</v>
      </c>
      <c r="X676" s="769"/>
      <c r="Z676" s="938"/>
      <c r="AB676" s="938"/>
      <c r="AD676" s="938"/>
      <c r="AF676" s="949"/>
    </row>
    <row r="677" spans="1:32">
      <c r="A677" s="4"/>
      <c r="B677" s="256"/>
      <c r="C677" s="7"/>
      <c r="D677" s="256"/>
      <c r="E677" s="4"/>
      <c r="F677" s="256"/>
      <c r="G677" s="4"/>
      <c r="H677" s="256"/>
      <c r="I677" s="256"/>
      <c r="J677" s="256"/>
      <c r="K677" s="256"/>
      <c r="L677" s="762"/>
      <c r="M677" s="762"/>
      <c r="N677" s="762"/>
      <c r="O677" s="771"/>
      <c r="P677" s="453"/>
      <c r="Q677" s="762"/>
      <c r="R677" s="762"/>
      <c r="S677" s="771"/>
      <c r="T677" s="771"/>
      <c r="U677" s="821"/>
      <c r="V677" s="762"/>
      <c r="W677" s="504"/>
      <c r="Z677" s="938"/>
      <c r="AB677" s="938"/>
      <c r="AD677" s="938"/>
      <c r="AF677" s="949"/>
    </row>
    <row r="678" spans="1:32" ht="13.5" thickBot="1">
      <c r="A678" s="4">
        <v>309</v>
      </c>
      <c r="B678" s="256"/>
      <c r="C678" s="7" t="s">
        <v>853</v>
      </c>
      <c r="D678" s="256"/>
      <c r="E678" s="742"/>
      <c r="F678" s="256"/>
      <c r="G678" s="458">
        <f>G676</f>
        <v>5005643.3246499998</v>
      </c>
      <c r="H678" s="256"/>
      <c r="I678" s="803">
        <f>J678/G678*100</f>
        <v>1.5820709031843281</v>
      </c>
      <c r="J678" s="756">
        <f>J661+J676</f>
        <v>79192.826556476284</v>
      </c>
      <c r="K678" s="750"/>
      <c r="L678" s="781">
        <f>L661+L676</f>
        <v>4800.1659263247493</v>
      </c>
      <c r="M678" s="781">
        <f>M661+M676</f>
        <v>0</v>
      </c>
      <c r="N678" s="781">
        <f>N661+N676</f>
        <v>74392.660630151513</v>
      </c>
      <c r="O678" s="771"/>
      <c r="P678" s="781">
        <f>P661+P676</f>
        <v>2006.0112150111829</v>
      </c>
      <c r="Q678" s="781">
        <f>Q661+Q676</f>
        <v>3537.6584435522946</v>
      </c>
      <c r="R678" s="781">
        <f>R661+R676</f>
        <v>0</v>
      </c>
      <c r="S678" s="771"/>
      <c r="T678" s="781">
        <f>T661+T676</f>
        <v>79936.330288715006</v>
      </c>
      <c r="U678" s="901">
        <f>T678/G678*100</f>
        <v>1.5969242134187465</v>
      </c>
      <c r="V678" s="799">
        <f>V661+V676</f>
        <v>743.50373223872987</v>
      </c>
      <c r="W678" s="798">
        <f>U678/I678-1</f>
        <v>9.3885237409538913E-3</v>
      </c>
      <c r="X678" s="769"/>
      <c r="Z678" s="938"/>
      <c r="AB678" s="938"/>
      <c r="AD678" s="938"/>
      <c r="AF678" s="949"/>
    </row>
    <row r="679" spans="1:32" ht="13.5" thickTop="1">
      <c r="A679" s="4"/>
      <c r="B679" s="256"/>
      <c r="C679" s="7"/>
      <c r="D679" s="256"/>
      <c r="E679" s="742"/>
      <c r="F679" s="256"/>
      <c r="G679" s="453"/>
      <c r="H679" s="256"/>
      <c r="I679" s="792"/>
      <c r="J679" s="750"/>
      <c r="K679" s="750"/>
      <c r="L679" s="771"/>
      <c r="M679" s="771"/>
      <c r="N679" s="771"/>
      <c r="O679" s="771"/>
      <c r="P679" s="771"/>
      <c r="Q679" s="771"/>
      <c r="R679" s="771"/>
      <c r="S679" s="771"/>
      <c r="T679" s="771"/>
      <c r="U679" s="821"/>
      <c r="V679" s="762"/>
      <c r="W679" s="770"/>
      <c r="X679" s="769"/>
      <c r="Z679" s="938"/>
      <c r="AB679" s="938"/>
      <c r="AD679" s="938"/>
      <c r="AF679" s="949"/>
    </row>
    <row r="680" spans="1:32">
      <c r="A680" s="4"/>
      <c r="B680" s="256"/>
      <c r="C680" s="7"/>
      <c r="D680" s="256"/>
      <c r="E680" s="742"/>
      <c r="F680" s="256"/>
      <c r="G680" s="453"/>
      <c r="H680" s="256"/>
      <c r="I680" s="792"/>
      <c r="J680" s="750"/>
      <c r="K680" s="750"/>
      <c r="L680" s="771"/>
      <c r="M680" s="771"/>
      <c r="N680" s="771"/>
      <c r="O680" s="771"/>
      <c r="P680" s="771"/>
      <c r="Q680" s="771"/>
      <c r="R680" s="771"/>
      <c r="S680" s="771"/>
      <c r="T680" s="771"/>
      <c r="U680" s="821"/>
      <c r="V680" s="762"/>
      <c r="W680" s="770"/>
      <c r="X680" s="769"/>
      <c r="Z680" s="938"/>
      <c r="AB680" s="938"/>
      <c r="AD680" s="938"/>
      <c r="AF680" s="949"/>
    </row>
    <row r="681" spans="1:32">
      <c r="A681" s="4"/>
      <c r="B681" s="256"/>
      <c r="C681" s="7"/>
      <c r="D681" s="256"/>
      <c r="E681" s="742"/>
      <c r="F681" s="256"/>
      <c r="G681" s="453"/>
      <c r="H681" s="256"/>
      <c r="I681" s="792"/>
      <c r="J681" s="750"/>
      <c r="K681" s="750"/>
      <c r="L681" s="771"/>
      <c r="M681" s="771"/>
      <c r="N681" s="771"/>
      <c r="O681" s="771"/>
      <c r="P681" s="771"/>
      <c r="Q681" s="771"/>
      <c r="R681" s="771"/>
      <c r="S681" s="771"/>
      <c r="T681" s="771"/>
      <c r="U681" s="821"/>
      <c r="V681" s="762"/>
      <c r="W681" s="770"/>
      <c r="X681" s="769"/>
      <c r="Z681" s="938"/>
      <c r="AB681" s="938"/>
      <c r="AD681" s="938"/>
      <c r="AF681" s="949"/>
    </row>
    <row r="682" spans="1:32">
      <c r="A682" s="4"/>
      <c r="B682" s="256"/>
      <c r="C682" s="7"/>
      <c r="D682" s="256"/>
      <c r="E682" s="742"/>
      <c r="F682" s="256"/>
      <c r="G682" s="453"/>
      <c r="H682" s="256"/>
      <c r="I682" s="792"/>
      <c r="J682" s="750"/>
      <c r="K682" s="750"/>
      <c r="L682" s="771"/>
      <c r="M682" s="771"/>
      <c r="N682" s="771"/>
      <c r="O682" s="771"/>
      <c r="P682" s="771"/>
      <c r="Q682" s="771"/>
      <c r="R682" s="771"/>
      <c r="S682" s="771"/>
      <c r="T682" s="771"/>
      <c r="U682" s="821"/>
      <c r="V682" s="762"/>
      <c r="W682" s="770"/>
      <c r="X682" s="769"/>
      <c r="Z682" s="938"/>
      <c r="AB682" s="938"/>
      <c r="AD682" s="938"/>
      <c r="AF682" s="949"/>
    </row>
    <row r="683" spans="1:32">
      <c r="A683" s="4"/>
      <c r="B683" s="256"/>
      <c r="C683" s="7"/>
      <c r="D683" s="256"/>
      <c r="E683" s="742"/>
      <c r="F683" s="256"/>
      <c r="G683" s="453"/>
      <c r="H683" s="256"/>
      <c r="I683" s="792"/>
      <c r="J683" s="750"/>
      <c r="K683" s="750"/>
      <c r="L683" s="771"/>
      <c r="M683" s="771"/>
      <c r="N683" s="771"/>
      <c r="O683" s="771"/>
      <c r="P683" s="771"/>
      <c r="Q683" s="771"/>
      <c r="R683" s="771"/>
      <c r="S683" s="771"/>
      <c r="T683" s="771"/>
      <c r="U683" s="821"/>
      <c r="V683" s="762"/>
      <c r="W683" s="770"/>
      <c r="X683" s="769"/>
      <c r="Z683" s="938"/>
      <c r="AB683" s="938"/>
      <c r="AD683" s="938"/>
      <c r="AF683" s="949"/>
    </row>
    <row r="684" spans="1:32">
      <c r="A684" s="1324" t="s">
        <v>724</v>
      </c>
      <c r="B684" s="1324"/>
      <c r="C684" s="1324"/>
      <c r="D684" s="1324"/>
      <c r="E684" s="1324"/>
      <c r="F684" s="1324"/>
      <c r="G684" s="1324"/>
      <c r="H684" s="1324"/>
      <c r="I684" s="1324"/>
      <c r="J684" s="1324"/>
      <c r="K684" s="1324"/>
      <c r="L684" s="1324"/>
      <c r="M684" s="1324"/>
      <c r="N684" s="1324"/>
      <c r="O684" s="1324"/>
      <c r="P684" s="1324"/>
      <c r="Q684" s="1324"/>
      <c r="R684" s="1324"/>
      <c r="S684" s="1324"/>
      <c r="T684" s="1324"/>
      <c r="U684" s="1324"/>
      <c r="V684" s="1324"/>
      <c r="W684" s="1324"/>
      <c r="X684" s="769"/>
      <c r="Z684" s="938"/>
      <c r="AB684" s="938"/>
      <c r="AD684" s="938"/>
      <c r="AF684" s="949"/>
    </row>
    <row r="685" spans="1:32">
      <c r="A685" s="1324" t="s">
        <v>938</v>
      </c>
      <c r="B685" s="1324"/>
      <c r="C685" s="1324"/>
      <c r="D685" s="1324"/>
      <c r="E685" s="1324"/>
      <c r="F685" s="1324"/>
      <c r="G685" s="1324"/>
      <c r="H685" s="1324"/>
      <c r="I685" s="1324"/>
      <c r="J685" s="1324"/>
      <c r="K685" s="1324"/>
      <c r="L685" s="1324"/>
      <c r="M685" s="1324"/>
      <c r="N685" s="1324"/>
      <c r="O685" s="1324"/>
      <c r="P685" s="1324"/>
      <c r="Q685" s="1324"/>
      <c r="R685" s="1324"/>
      <c r="S685" s="1324"/>
      <c r="T685" s="1324"/>
      <c r="U685" s="1324"/>
      <c r="V685" s="1324"/>
      <c r="W685" s="1324"/>
      <c r="X685" s="769"/>
      <c r="Z685" s="938"/>
      <c r="AB685" s="938"/>
      <c r="AD685" s="938"/>
      <c r="AF685" s="949"/>
    </row>
    <row r="686" spans="1:32">
      <c r="A686" s="385"/>
      <c r="B686" s="385"/>
      <c r="C686" s="385"/>
      <c r="D686" s="385"/>
      <c r="E686" s="447"/>
      <c r="F686" s="385"/>
      <c r="G686" s="447"/>
      <c r="H686" s="385"/>
      <c r="I686" s="385"/>
      <c r="J686" s="385"/>
      <c r="K686" s="385"/>
      <c r="L686" s="385"/>
      <c r="M686" s="385"/>
      <c r="N686" s="504"/>
      <c r="O686" s="385"/>
      <c r="P686" s="385"/>
      <c r="Q686" s="504"/>
      <c r="R686" s="504"/>
      <c r="S686" s="385"/>
      <c r="T686" s="385"/>
      <c r="U686" s="385"/>
      <c r="V686" s="504"/>
      <c r="W686" s="504"/>
      <c r="X686" s="769"/>
      <c r="Z686" s="938"/>
      <c r="AB686" s="938"/>
      <c r="AD686" s="938"/>
      <c r="AF686" s="949"/>
    </row>
    <row r="687" spans="1:32">
      <c r="A687" s="447"/>
      <c r="B687" s="447"/>
      <c r="C687" s="447"/>
      <c r="D687" s="447"/>
      <c r="E687" s="385"/>
      <c r="F687" s="1313" t="s">
        <v>682</v>
      </c>
      <c r="G687" s="1313"/>
      <c r="H687" s="1313"/>
      <c r="I687" s="1313"/>
      <c r="J687" s="1313"/>
      <c r="K687" s="447"/>
      <c r="L687" s="1325" t="s">
        <v>496</v>
      </c>
      <c r="M687" s="1325"/>
      <c r="N687" s="256"/>
      <c r="O687" s="447"/>
      <c r="P687" s="449"/>
      <c r="Q687" s="1325" t="s">
        <v>497</v>
      </c>
      <c r="R687" s="1325"/>
      <c r="S687" s="447"/>
      <c r="T687" s="1313" t="s">
        <v>926</v>
      </c>
      <c r="U687" s="1313"/>
      <c r="V687" s="1313"/>
      <c r="W687" s="1313"/>
      <c r="X687" s="769"/>
      <c r="Z687" s="938"/>
      <c r="AB687" s="938"/>
      <c r="AD687" s="938"/>
      <c r="AF687" s="949"/>
    </row>
    <row r="688" spans="1:32" ht="38.25">
      <c r="A688" s="254" t="s">
        <v>1</v>
      </c>
      <c r="B688" s="254"/>
      <c r="C688" s="254"/>
      <c r="D688" s="254"/>
      <c r="E688" s="4" t="s">
        <v>670</v>
      </c>
      <c r="F688" s="254"/>
      <c r="G688" s="13" t="s">
        <v>684</v>
      </c>
      <c r="H688" s="254"/>
      <c r="I688" s="13" t="s">
        <v>196</v>
      </c>
      <c r="J688" s="13" t="s">
        <v>503</v>
      </c>
      <c r="K688" s="254"/>
      <c r="L688" s="13" t="s">
        <v>505</v>
      </c>
      <c r="M688" s="13" t="s">
        <v>685</v>
      </c>
      <c r="N688" s="254" t="s">
        <v>688</v>
      </c>
      <c r="O688" s="254"/>
      <c r="P688" s="254" t="s">
        <v>689</v>
      </c>
      <c r="Q688" s="13" t="s">
        <v>505</v>
      </c>
      <c r="R688" s="13" t="s">
        <v>685</v>
      </c>
      <c r="S688" s="254"/>
      <c r="T688" s="13" t="s">
        <v>690</v>
      </c>
      <c r="U688" s="13" t="s">
        <v>691</v>
      </c>
      <c r="V688" s="13" t="s">
        <v>692</v>
      </c>
      <c r="W688" s="254" t="s">
        <v>693</v>
      </c>
      <c r="X688" s="769"/>
      <c r="Z688" s="938"/>
      <c r="AB688" s="938"/>
      <c r="AD688" s="938"/>
      <c r="AF688" s="949"/>
    </row>
    <row r="689" spans="1:33" ht="14.25">
      <c r="A689" s="255" t="s">
        <v>2</v>
      </c>
      <c r="B689" s="256"/>
      <c r="C689" s="449" t="s">
        <v>3</v>
      </c>
      <c r="D689" s="256"/>
      <c r="E689" s="255" t="s">
        <v>4</v>
      </c>
      <c r="F689" s="256"/>
      <c r="G689" s="255" t="s">
        <v>694</v>
      </c>
      <c r="H689" s="256"/>
      <c r="I689" s="255" t="s">
        <v>77</v>
      </c>
      <c r="J689" s="255" t="s">
        <v>20</v>
      </c>
      <c r="K689" s="256"/>
      <c r="L689" s="255" t="s">
        <v>20</v>
      </c>
      <c r="M689" s="255" t="s">
        <v>20</v>
      </c>
      <c r="N689" s="255" t="s">
        <v>20</v>
      </c>
      <c r="O689" s="256"/>
      <c r="P689" s="255" t="s">
        <v>20</v>
      </c>
      <c r="Q689" s="255" t="s">
        <v>20</v>
      </c>
      <c r="R689" s="255" t="s">
        <v>20</v>
      </c>
      <c r="S689" s="256"/>
      <c r="T689" s="255" t="s">
        <v>20</v>
      </c>
      <c r="U689" s="255" t="s">
        <v>77</v>
      </c>
      <c r="V689" s="255" t="s">
        <v>20</v>
      </c>
      <c r="W689" s="255" t="s">
        <v>76</v>
      </c>
      <c r="X689" s="769"/>
      <c r="Z689" s="938"/>
      <c r="AB689" s="938"/>
      <c r="AD689" s="938"/>
      <c r="AF689" s="949"/>
    </row>
    <row r="690" spans="1:33">
      <c r="A690" s="4"/>
      <c r="B690" s="256"/>
      <c r="C690" s="256"/>
      <c r="D690" s="256"/>
      <c r="E690" s="4"/>
      <c r="F690" s="256"/>
      <c r="G690" s="4" t="s">
        <v>8</v>
      </c>
      <c r="H690" s="4"/>
      <c r="I690" s="4" t="s">
        <v>9</v>
      </c>
      <c r="J690" s="4" t="s">
        <v>370</v>
      </c>
      <c r="K690" s="4"/>
      <c r="L690" s="132" t="s">
        <v>79</v>
      </c>
      <c r="M690" s="132" t="s">
        <v>115</v>
      </c>
      <c r="N690" s="4" t="s">
        <v>927</v>
      </c>
      <c r="O690" s="4"/>
      <c r="P690" s="4" t="s">
        <v>928</v>
      </c>
      <c r="Q690" s="4" t="s">
        <v>118</v>
      </c>
      <c r="R690" s="4" t="s">
        <v>84</v>
      </c>
      <c r="S690" s="4"/>
      <c r="T690" s="4" t="s">
        <v>929</v>
      </c>
      <c r="U690" s="4" t="s">
        <v>517</v>
      </c>
      <c r="V690" s="4" t="s">
        <v>930</v>
      </c>
      <c r="W690" s="4" t="s">
        <v>931</v>
      </c>
      <c r="X690" s="769"/>
      <c r="Z690" s="938"/>
      <c r="AB690" s="938"/>
      <c r="AD690" s="938"/>
      <c r="AF690" s="949"/>
    </row>
    <row r="691" spans="1:33">
      <c r="A691" s="4"/>
      <c r="B691" s="256"/>
      <c r="C691" s="6"/>
      <c r="D691" s="256"/>
      <c r="E691" s="134"/>
      <c r="F691" s="256"/>
      <c r="G691" s="749"/>
      <c r="H691" s="256"/>
      <c r="I691" s="256"/>
      <c r="J691" s="256"/>
      <c r="K691" s="256"/>
      <c r="L691" s="762"/>
      <c r="M691" s="762"/>
      <c r="N691" s="762"/>
      <c r="O691" s="771"/>
      <c r="P691" s="771"/>
      <c r="Q691" s="762"/>
      <c r="R691" s="762"/>
      <c r="S691" s="771"/>
      <c r="T691" s="771"/>
      <c r="U691" s="771"/>
      <c r="V691" s="762"/>
      <c r="W691" s="504"/>
      <c r="Z691" s="955"/>
      <c r="AA691" s="955"/>
      <c r="AB691" s="955"/>
      <c r="AC691" s="955"/>
      <c r="AD691" s="955"/>
      <c r="AE691" s="955"/>
      <c r="AF691" s="955"/>
      <c r="AG691" s="955"/>
    </row>
    <row r="692" spans="1:33">
      <c r="A692" s="4"/>
      <c r="C692" s="6" t="s">
        <v>186</v>
      </c>
      <c r="E692" s="36"/>
      <c r="G692" s="35"/>
      <c r="L692" s="762"/>
      <c r="M692" s="762"/>
      <c r="N692" s="762"/>
      <c r="O692" s="68"/>
      <c r="P692" s="68"/>
      <c r="Q692" s="762"/>
      <c r="R692" s="762"/>
      <c r="S692" s="68"/>
      <c r="T692" s="68"/>
      <c r="U692" s="68"/>
      <c r="V692" s="762"/>
      <c r="W692" s="504"/>
    </row>
    <row r="693" spans="1:33">
      <c r="A693" s="4">
        <v>310</v>
      </c>
      <c r="B693" s="256"/>
      <c r="C693" s="7" t="s">
        <v>703</v>
      </c>
      <c r="D693" s="256"/>
      <c r="E693" s="4" t="s">
        <v>824</v>
      </c>
      <c r="F693" s="256"/>
      <c r="G693" s="35">
        <v>12.000000000000004</v>
      </c>
      <c r="H693" s="256"/>
      <c r="I693" s="778">
        <v>22703.73</v>
      </c>
      <c r="J693" s="750">
        <f>G693*I693/1000</f>
        <v>272.44476000000009</v>
      </c>
      <c r="K693" s="256"/>
      <c r="L693" s="35">
        <v>0</v>
      </c>
      <c r="M693" s="35">
        <v>0</v>
      </c>
      <c r="N693" s="762">
        <f>J693-L693-M693</f>
        <v>272.44476000000009</v>
      </c>
      <c r="O693" s="771"/>
      <c r="P693" s="35">
        <v>7.3465210299934824</v>
      </c>
      <c r="Q693" s="35">
        <v>0</v>
      </c>
      <c r="R693" s="35">
        <v>0</v>
      </c>
      <c r="S693" s="771"/>
      <c r="T693" s="771">
        <f>N693+P693+Q693+R693</f>
        <v>279.79128102999357</v>
      </c>
      <c r="U693" s="915">
        <f>T693/G693*1000</f>
        <v>23315.94008583279</v>
      </c>
      <c r="V693" s="762">
        <f>T693-J693</f>
        <v>7.3465210299934824</v>
      </c>
      <c r="W693" s="770">
        <f>U693/I693-1</f>
        <v>2.696517646363783E-2</v>
      </c>
      <c r="X693" s="769"/>
      <c r="Z693" s="938"/>
      <c r="AB693" s="938"/>
      <c r="AD693" s="938"/>
      <c r="AF693" s="954"/>
    </row>
    <row r="694" spans="1:33" ht="14.25">
      <c r="A694" s="4"/>
      <c r="B694" s="256"/>
      <c r="C694" s="7" t="s">
        <v>825</v>
      </c>
      <c r="D694" s="256"/>
      <c r="E694" s="4"/>
      <c r="F694" s="256"/>
      <c r="G694" s="35"/>
      <c r="H694" s="256"/>
      <c r="I694" s="778"/>
      <c r="J694" s="750"/>
      <c r="K694" s="256"/>
      <c r="L694" s="35"/>
      <c r="M694" s="35"/>
      <c r="N694" s="762"/>
      <c r="O694" s="771"/>
      <c r="P694" s="35"/>
      <c r="Q694" s="35"/>
      <c r="R694" s="35"/>
      <c r="S694" s="771"/>
      <c r="T694" s="771"/>
      <c r="U694" s="915"/>
      <c r="V694" s="762"/>
      <c r="W694" s="770"/>
      <c r="X694" s="769"/>
      <c r="Z694" s="938"/>
      <c r="AB694" s="938"/>
      <c r="AD694" s="938"/>
      <c r="AF694" s="954"/>
    </row>
    <row r="695" spans="1:33">
      <c r="A695" s="4">
        <v>311</v>
      </c>
      <c r="B695" s="256"/>
      <c r="C695" s="519" t="s">
        <v>826</v>
      </c>
      <c r="D695" s="256"/>
      <c r="E695" s="513" t="s">
        <v>828</v>
      </c>
      <c r="F695" s="256"/>
      <c r="G695" s="35">
        <v>28200</v>
      </c>
      <c r="H695" s="256"/>
      <c r="I695" s="772">
        <v>20.7133</v>
      </c>
      <c r="J695" s="750">
        <f>G695*I695/100</f>
        <v>5841.1506000000008</v>
      </c>
      <c r="K695" s="256"/>
      <c r="L695" s="35">
        <v>106.2576</v>
      </c>
      <c r="M695" s="35">
        <v>0</v>
      </c>
      <c r="N695" s="762">
        <f>J695-L695-M695</f>
        <v>5734.8930000000009</v>
      </c>
      <c r="O695" s="771"/>
      <c r="P695" s="35">
        <v>154.64240174508177</v>
      </c>
      <c r="Q695" s="35">
        <v>111.50384979625936</v>
      </c>
      <c r="R695" s="35">
        <v>0</v>
      </c>
      <c r="S695" s="771"/>
      <c r="T695" s="771">
        <f>N695+P695+Q695+R695</f>
        <v>6001.0392515413423</v>
      </c>
      <c r="U695" s="821">
        <f>T695/G695*100</f>
        <v>21.280281033834548</v>
      </c>
      <c r="V695" s="762">
        <f>T695-J695</f>
        <v>159.88865154134146</v>
      </c>
      <c r="W695" s="770">
        <f>U695/I695-1</f>
        <v>2.7372800752875959E-2</v>
      </c>
      <c r="X695" s="769"/>
      <c r="Z695" s="938"/>
      <c r="AB695" s="938"/>
      <c r="AD695" s="938"/>
      <c r="AF695" s="949"/>
    </row>
    <row r="696" spans="1:33">
      <c r="A696" s="4">
        <v>312</v>
      </c>
      <c r="B696" s="256"/>
      <c r="C696" s="9" t="s">
        <v>830</v>
      </c>
      <c r="D696" s="256"/>
      <c r="E696" s="513" t="s">
        <v>674</v>
      </c>
      <c r="F696" s="256"/>
      <c r="G696" s="35">
        <v>249200.14546999999</v>
      </c>
      <c r="H696" s="256"/>
      <c r="I696" s="772">
        <v>7.8E-2</v>
      </c>
      <c r="J696" s="750">
        <f>G696*I696/100</f>
        <v>194.3761134666</v>
      </c>
      <c r="K696" s="256"/>
      <c r="L696" s="35">
        <v>0</v>
      </c>
      <c r="M696" s="35">
        <v>0</v>
      </c>
      <c r="N696" s="762">
        <f>J696-L696-M696</f>
        <v>194.3761134666</v>
      </c>
      <c r="O696" s="771"/>
      <c r="P696" s="35">
        <v>5.2413861999429514</v>
      </c>
      <c r="Q696" s="35">
        <v>0</v>
      </c>
      <c r="R696" s="35">
        <v>0</v>
      </c>
      <c r="S696" s="771"/>
      <c r="T696" s="771">
        <f>N696+P696+Q696+R696</f>
        <v>199.61749966654295</v>
      </c>
      <c r="U696" s="821">
        <f>T696/G696*100</f>
        <v>8.0103283764163744E-2</v>
      </c>
      <c r="V696" s="762">
        <f>T696-J696</f>
        <v>5.2413861999429514</v>
      </c>
      <c r="W696" s="770">
        <f>U696/I696-1</f>
        <v>2.696517646363783E-2</v>
      </c>
      <c r="X696" s="769"/>
      <c r="Z696" s="938"/>
      <c r="AB696" s="938"/>
      <c r="AD696" s="938"/>
      <c r="AF696" s="949"/>
    </row>
    <row r="697" spans="1:33">
      <c r="A697" s="4"/>
      <c r="B697" s="256"/>
      <c r="C697" s="9"/>
      <c r="D697" s="256"/>
      <c r="E697" s="513"/>
      <c r="F697" s="256"/>
      <c r="G697" s="35"/>
      <c r="H697" s="256"/>
      <c r="I697" s="772"/>
      <c r="J697" s="750"/>
      <c r="K697" s="256"/>
      <c r="L697" s="35"/>
      <c r="M697" s="35"/>
      <c r="N697" s="762"/>
      <c r="O697" s="771"/>
      <c r="P697" s="35"/>
      <c r="Q697" s="35"/>
      <c r="R697" s="35"/>
      <c r="S697" s="771"/>
      <c r="T697" s="771"/>
      <c r="U697" s="821"/>
      <c r="V697" s="762"/>
      <c r="W697" s="770"/>
      <c r="X697" s="769"/>
      <c r="Z697" s="938"/>
      <c r="AB697" s="938"/>
      <c r="AD697" s="938"/>
      <c r="AF697" s="949"/>
    </row>
    <row r="698" spans="1:33">
      <c r="A698" s="4">
        <v>313</v>
      </c>
      <c r="B698" s="256"/>
      <c r="C698" s="9" t="s">
        <v>835</v>
      </c>
      <c r="D698" s="256"/>
      <c r="E698" s="513" t="s">
        <v>674</v>
      </c>
      <c r="F698" s="256"/>
      <c r="G698" s="35">
        <v>0</v>
      </c>
      <c r="H698" s="256"/>
      <c r="I698" s="35">
        <v>0</v>
      </c>
      <c r="J698" s="771">
        <f>G698*I698/1000</f>
        <v>0</v>
      </c>
      <c r="K698" s="256"/>
      <c r="L698" s="35">
        <v>0</v>
      </c>
      <c r="M698" s="35">
        <v>0</v>
      </c>
      <c r="N698" s="762">
        <f>J698-L698-M698</f>
        <v>0</v>
      </c>
      <c r="O698" s="771"/>
      <c r="P698" s="35">
        <v>0</v>
      </c>
      <c r="Q698" s="35">
        <v>0</v>
      </c>
      <c r="R698" s="35">
        <v>0</v>
      </c>
      <c r="S698" s="771"/>
      <c r="T698" s="771">
        <f>N698+P698+Q698+R698</f>
        <v>0</v>
      </c>
      <c r="U698" s="771">
        <v>0</v>
      </c>
      <c r="V698" s="762">
        <f>T698-J698</f>
        <v>0</v>
      </c>
      <c r="W698" s="834" t="str">
        <f>IFERROR(U698/I698-1,"-")</f>
        <v>-</v>
      </c>
      <c r="X698" s="769"/>
      <c r="Z698" s="938"/>
      <c r="AB698" s="938"/>
      <c r="AD698" s="938"/>
    </row>
    <row r="699" spans="1:33">
      <c r="A699" s="4"/>
      <c r="B699" s="256"/>
      <c r="C699" s="9"/>
      <c r="D699" s="256"/>
      <c r="E699" s="513"/>
      <c r="F699" s="256"/>
      <c r="G699" s="35"/>
      <c r="H699" s="256"/>
      <c r="I699" s="772"/>
      <c r="J699" s="750"/>
      <c r="K699" s="256"/>
      <c r="L699" s="762"/>
      <c r="M699" s="762"/>
      <c r="N699" s="762"/>
      <c r="O699" s="771"/>
      <c r="P699" s="771"/>
      <c r="Q699" s="762"/>
      <c r="R699" s="762"/>
      <c r="S699" s="771"/>
      <c r="T699" s="771"/>
      <c r="U699" s="821"/>
      <c r="V699" s="762"/>
      <c r="W699" s="770"/>
      <c r="X699" s="769"/>
      <c r="Z699" s="938"/>
      <c r="AB699" s="938"/>
      <c r="AD699" s="938"/>
    </row>
    <row r="700" spans="1:33">
      <c r="A700" s="4">
        <v>314</v>
      </c>
      <c r="B700" s="256"/>
      <c r="C700" s="7" t="s">
        <v>836</v>
      </c>
      <c r="D700" s="256"/>
      <c r="E700" s="36"/>
      <c r="F700" s="256"/>
      <c r="G700" s="420">
        <f>G696</f>
        <v>249200.14546999999</v>
      </c>
      <c r="H700" s="256"/>
      <c r="I700" s="810">
        <f>J700/G700*100</f>
        <v>2.5312872356352569</v>
      </c>
      <c r="J700" s="808">
        <f>SUM(J693:J699)</f>
        <v>6307.9714734666013</v>
      </c>
      <c r="K700" s="256"/>
      <c r="L700" s="805">
        <f>SUM(L693:L699)</f>
        <v>106.2576</v>
      </c>
      <c r="M700" s="805">
        <f>SUM(M693:M699)</f>
        <v>0</v>
      </c>
      <c r="N700" s="805">
        <f>SUM(N693:N699)</f>
        <v>6201.7138734666014</v>
      </c>
      <c r="O700" s="762"/>
      <c r="P700" s="807">
        <f>SUM(P693:P699)</f>
        <v>167.2303089750182</v>
      </c>
      <c r="Q700" s="807">
        <f>SUM(Q693:Q699)</f>
        <v>111.50384979625936</v>
      </c>
      <c r="R700" s="807">
        <f>SUM(R693:R699)</f>
        <v>0</v>
      </c>
      <c r="S700" s="771"/>
      <c r="T700" s="807">
        <f>SUM(T693:T699)</f>
        <v>6480.4480322378786</v>
      </c>
      <c r="U700" s="902">
        <f>T700/G700*100</f>
        <v>2.6004992974685193</v>
      </c>
      <c r="V700" s="805">
        <f>SUM(V693:V698)</f>
        <v>172.47655877127789</v>
      </c>
      <c r="W700" s="804">
        <f>U700/I700-1</f>
        <v>2.7342634553242595E-2</v>
      </c>
      <c r="X700" s="769"/>
      <c r="Z700" s="938"/>
      <c r="AB700" s="938"/>
      <c r="AD700" s="938"/>
      <c r="AF700" s="949"/>
    </row>
    <row r="701" spans="1:33">
      <c r="A701" s="4"/>
      <c r="E701" s="36"/>
      <c r="G701" s="35"/>
      <c r="I701" s="772"/>
      <c r="J701" s="752"/>
      <c r="L701" s="762"/>
      <c r="M701" s="762"/>
      <c r="N701" s="762"/>
      <c r="O701" s="68"/>
      <c r="P701" s="68"/>
      <c r="Q701" s="762"/>
      <c r="R701" s="762"/>
      <c r="S701" s="68"/>
      <c r="T701" s="68"/>
      <c r="U701" s="911"/>
      <c r="V701" s="762"/>
      <c r="W701" s="504"/>
      <c r="Z701" s="938"/>
      <c r="AB701" s="938"/>
      <c r="AD701" s="938"/>
      <c r="AF701" s="949"/>
    </row>
    <row r="702" spans="1:33">
      <c r="A702" s="4"/>
      <c r="C702" s="512" t="s">
        <v>837</v>
      </c>
      <c r="E702" s="36"/>
      <c r="G702" s="35"/>
      <c r="I702" s="772"/>
      <c r="J702" s="752"/>
      <c r="L702" s="762"/>
      <c r="M702" s="762"/>
      <c r="N702" s="762"/>
      <c r="O702" s="68"/>
      <c r="P702" s="68"/>
      <c r="Q702" s="762"/>
      <c r="R702" s="762"/>
      <c r="S702" s="68"/>
      <c r="T702" s="68"/>
      <c r="U702" s="911"/>
      <c r="V702" s="762"/>
      <c r="W702" s="504"/>
      <c r="Z702" s="938"/>
      <c r="AB702" s="938"/>
      <c r="AD702" s="938"/>
      <c r="AF702" s="949"/>
    </row>
    <row r="703" spans="1:33">
      <c r="A703" s="4"/>
      <c r="B703" s="256"/>
      <c r="C703" s="519" t="s">
        <v>838</v>
      </c>
      <c r="D703" s="256"/>
      <c r="E703" s="513"/>
      <c r="F703" s="256"/>
      <c r="G703" s="35"/>
      <c r="H703" s="256"/>
      <c r="I703" s="772"/>
      <c r="J703" s="750"/>
      <c r="K703" s="256"/>
      <c r="L703" s="762"/>
      <c r="M703" s="762"/>
      <c r="N703" s="762"/>
      <c r="O703" s="771"/>
      <c r="P703" s="771"/>
      <c r="Q703" s="762"/>
      <c r="R703" s="762"/>
      <c r="S703" s="771"/>
      <c r="T703" s="771"/>
      <c r="U703" s="821"/>
      <c r="V703" s="762"/>
      <c r="W703" s="504"/>
      <c r="Z703" s="938"/>
      <c r="AB703" s="938"/>
      <c r="AD703" s="938"/>
      <c r="AF703" s="949"/>
    </row>
    <row r="704" spans="1:33">
      <c r="A704" s="4">
        <v>315</v>
      </c>
      <c r="C704" s="731" t="s">
        <v>839</v>
      </c>
      <c r="E704" s="513" t="s">
        <v>840</v>
      </c>
      <c r="G704" s="35">
        <v>38472252</v>
      </c>
      <c r="I704" s="66">
        <v>1.2E-2</v>
      </c>
      <c r="J704" s="752">
        <f>G704*I704/1000</f>
        <v>461.66702400000003</v>
      </c>
      <c r="L704" s="35">
        <v>0</v>
      </c>
      <c r="M704" s="35">
        <v>0</v>
      </c>
      <c r="N704" s="762">
        <f>J704-L704-M704</f>
        <v>461.66702400000003</v>
      </c>
      <c r="O704" s="68"/>
      <c r="P704" s="35">
        <v>12.44893276960255</v>
      </c>
      <c r="Q704" s="35">
        <v>0</v>
      </c>
      <c r="R704" s="35">
        <v>0</v>
      </c>
      <c r="S704" s="68"/>
      <c r="T704" s="68">
        <f>N704+P704+Q704+R704</f>
        <v>474.11595676960258</v>
      </c>
      <c r="U704" s="952">
        <f>T704/G704*1000</f>
        <v>1.2323582117563656E-2</v>
      </c>
      <c r="V704" s="762">
        <f>T704-J704</f>
        <v>12.44893276960255</v>
      </c>
      <c r="W704" s="770">
        <f>U704/I704-1</f>
        <v>2.6965176463638052E-2</v>
      </c>
      <c r="X704" s="769"/>
      <c r="Z704" s="938"/>
      <c r="AB704" s="938"/>
      <c r="AD704" s="938"/>
      <c r="AF704" s="949"/>
    </row>
    <row r="705" spans="1:32">
      <c r="A705" s="4"/>
      <c r="C705" s="519" t="s">
        <v>841</v>
      </c>
      <c r="E705" s="36"/>
      <c r="G705" s="35"/>
      <c r="I705" s="66"/>
      <c r="J705" s="752"/>
      <c r="L705" s="762"/>
      <c r="M705" s="762"/>
      <c r="N705" s="762"/>
      <c r="O705" s="68"/>
      <c r="P705" s="35"/>
      <c r="Q705" s="762"/>
      <c r="R705" s="762"/>
      <c r="S705" s="68"/>
      <c r="T705" s="68"/>
      <c r="U705" s="952"/>
      <c r="V705" s="762"/>
      <c r="W705" s="770"/>
      <c r="X705" s="769"/>
      <c r="AB705" s="938"/>
      <c r="AD705" s="938"/>
      <c r="AF705" s="949"/>
    </row>
    <row r="706" spans="1:32">
      <c r="A706" s="4">
        <v>316</v>
      </c>
      <c r="B706" s="256"/>
      <c r="C706" s="731" t="s">
        <v>842</v>
      </c>
      <c r="D706" s="256"/>
      <c r="E706" s="513" t="s">
        <v>840</v>
      </c>
      <c r="F706" s="256"/>
      <c r="G706" s="35">
        <v>0</v>
      </c>
      <c r="H706" s="256"/>
      <c r="I706" s="66">
        <v>1.8779999999999999</v>
      </c>
      <c r="J706" s="68">
        <f>G706*I706/1000</f>
        <v>0</v>
      </c>
      <c r="K706" s="256"/>
      <c r="L706" s="35">
        <v>0</v>
      </c>
      <c r="M706" s="35">
        <v>0</v>
      </c>
      <c r="N706" s="762">
        <f>J706-L706-M706</f>
        <v>0</v>
      </c>
      <c r="O706" s="771"/>
      <c r="P706" s="35">
        <v>0</v>
      </c>
      <c r="Q706" s="35">
        <v>0</v>
      </c>
      <c r="R706" s="35">
        <v>0</v>
      </c>
      <c r="S706" s="771"/>
      <c r="T706" s="68">
        <f>N706+P706+Q706+R706</f>
        <v>0</v>
      </c>
      <c r="U706" s="66">
        <v>1.9259999999999999</v>
      </c>
      <c r="V706" s="35">
        <v>0</v>
      </c>
      <c r="W706" s="35">
        <v>0</v>
      </c>
      <c r="X706" s="769"/>
      <c r="Z706" s="938"/>
      <c r="AB706" s="938"/>
      <c r="AD706" s="938"/>
      <c r="AF706" s="949"/>
    </row>
    <row r="707" spans="1:32">
      <c r="A707" s="4">
        <v>317</v>
      </c>
      <c r="B707" s="256"/>
      <c r="C707" s="731" t="s">
        <v>843</v>
      </c>
      <c r="D707" s="256"/>
      <c r="E707" s="513" t="s">
        <v>840</v>
      </c>
      <c r="F707" s="256"/>
      <c r="G707" s="35">
        <v>649668</v>
      </c>
      <c r="H707" s="256"/>
      <c r="I707" s="66">
        <v>1.4730000000000001</v>
      </c>
      <c r="J707" s="752">
        <f>G707*I707/1000</f>
        <v>956.96096399999999</v>
      </c>
      <c r="K707" s="256"/>
      <c r="L707" s="35">
        <v>0</v>
      </c>
      <c r="M707" s="35">
        <v>0</v>
      </c>
      <c r="N707" s="762">
        <f>J707-L707-M707</f>
        <v>956.96096399999999</v>
      </c>
      <c r="O707" s="771"/>
      <c r="P707" s="35">
        <v>25.804621263072931</v>
      </c>
      <c r="Q707" s="35">
        <v>0</v>
      </c>
      <c r="R707" s="35">
        <v>0</v>
      </c>
      <c r="S707" s="771"/>
      <c r="T707" s="68">
        <f>N707+P707+Q707+R707</f>
        <v>982.76558526307292</v>
      </c>
      <c r="U707" s="66">
        <v>1.5181292016499417</v>
      </c>
      <c r="V707" s="762">
        <f>T707-J707</f>
        <v>25.804621263072931</v>
      </c>
      <c r="W707" s="770">
        <f>U707/I707-1</f>
        <v>3.0637611439199963E-2</v>
      </c>
      <c r="X707" s="769"/>
      <c r="Z707" s="938"/>
      <c r="AB707" s="938"/>
      <c r="AD707" s="938"/>
      <c r="AF707" s="949"/>
    </row>
    <row r="708" spans="1:32">
      <c r="A708" s="4">
        <v>318</v>
      </c>
      <c r="C708" s="731" t="s">
        <v>844</v>
      </c>
      <c r="E708" s="513" t="s">
        <v>840</v>
      </c>
      <c r="G708" s="35">
        <v>0</v>
      </c>
      <c r="I708" s="66">
        <v>1.4730000000000001</v>
      </c>
      <c r="J708" s="68">
        <f>G708*I708/1000</f>
        <v>0</v>
      </c>
      <c r="L708" s="35">
        <v>0</v>
      </c>
      <c r="M708" s="35">
        <v>0</v>
      </c>
      <c r="N708" s="762">
        <f>J708-L708-M708</f>
        <v>0</v>
      </c>
      <c r="O708" s="68"/>
      <c r="P708" s="35">
        <v>0</v>
      </c>
      <c r="Q708" s="35">
        <v>0</v>
      </c>
      <c r="R708" s="35">
        <v>0</v>
      </c>
      <c r="S708" s="68"/>
      <c r="T708" s="68">
        <f>N708+P708+Q708+R708</f>
        <v>0</v>
      </c>
      <c r="U708" s="66">
        <v>1.5181292016499417</v>
      </c>
      <c r="V708" s="35">
        <v>0</v>
      </c>
      <c r="W708" s="35">
        <v>0</v>
      </c>
      <c r="X708" s="769"/>
      <c r="Z708" s="938"/>
      <c r="AB708" s="938"/>
      <c r="AD708" s="938"/>
      <c r="AF708" s="949"/>
    </row>
    <row r="709" spans="1:32">
      <c r="A709" s="4">
        <v>319</v>
      </c>
      <c r="B709" s="256"/>
      <c r="C709" s="731" t="s">
        <v>845</v>
      </c>
      <c r="D709" s="256"/>
      <c r="E709" s="513" t="s">
        <v>840</v>
      </c>
      <c r="F709" s="256"/>
      <c r="G709" s="35">
        <v>0</v>
      </c>
      <c r="H709" s="256"/>
      <c r="I709" s="66">
        <v>1.4730000000000001</v>
      </c>
      <c r="J709" s="68">
        <f>G709*I709/1000</f>
        <v>0</v>
      </c>
      <c r="K709" s="256"/>
      <c r="L709" s="35">
        <v>0</v>
      </c>
      <c r="M709" s="35">
        <v>0</v>
      </c>
      <c r="N709" s="762">
        <f>J709-L709-M709</f>
        <v>0</v>
      </c>
      <c r="O709" s="771"/>
      <c r="P709" s="35">
        <v>0</v>
      </c>
      <c r="Q709" s="35">
        <v>0</v>
      </c>
      <c r="R709" s="35">
        <v>0</v>
      </c>
      <c r="S709" s="771"/>
      <c r="T709" s="68">
        <f>N709+P709+Q709+R709</f>
        <v>0</v>
      </c>
      <c r="U709" s="66">
        <v>1.5181292016499417</v>
      </c>
      <c r="V709" s="35">
        <v>0</v>
      </c>
      <c r="W709" s="35">
        <v>0</v>
      </c>
      <c r="X709" s="769"/>
      <c r="Z709" s="938"/>
      <c r="AB709" s="938"/>
      <c r="AD709" s="938"/>
      <c r="AF709" s="949"/>
    </row>
    <row r="710" spans="1:32">
      <c r="A710" s="4"/>
      <c r="B710" s="256"/>
      <c r="C710" s="519" t="s">
        <v>846</v>
      </c>
      <c r="D710" s="256"/>
      <c r="E710" s="742"/>
      <c r="F710" s="256"/>
      <c r="G710" s="35"/>
      <c r="H710" s="256"/>
      <c r="I710" s="66"/>
      <c r="J710" s="752"/>
      <c r="K710" s="256"/>
      <c r="L710" s="762"/>
      <c r="M710" s="762"/>
      <c r="N710" s="762"/>
      <c r="O710" s="771"/>
      <c r="P710" s="35"/>
      <c r="Q710" s="762"/>
      <c r="R710" s="762"/>
      <c r="S710" s="771"/>
      <c r="T710" s="68"/>
      <c r="U710" s="952"/>
      <c r="V710" s="762"/>
      <c r="W710" s="770"/>
      <c r="X710" s="769"/>
      <c r="Z710" s="938"/>
      <c r="AB710" s="938"/>
      <c r="AD710" s="938"/>
      <c r="AF710" s="949"/>
    </row>
    <row r="711" spans="1:32">
      <c r="A711" s="4">
        <v>320</v>
      </c>
      <c r="B711" s="256"/>
      <c r="C711" s="731" t="s">
        <v>847</v>
      </c>
      <c r="D711" s="256"/>
      <c r="E711" s="513" t="s">
        <v>777</v>
      </c>
      <c r="F711" s="256"/>
      <c r="G711" s="35">
        <v>6433273.9199999999</v>
      </c>
      <c r="H711" s="256"/>
      <c r="I711" s="66">
        <v>1.2E-2</v>
      </c>
      <c r="J711" s="752">
        <f>G711*I711/1000</f>
        <v>77.199287040000002</v>
      </c>
      <c r="K711" s="256"/>
      <c r="L711" s="35">
        <v>0</v>
      </c>
      <c r="M711" s="35">
        <v>0</v>
      </c>
      <c r="N711" s="762">
        <f>J711-L711-M711</f>
        <v>77.199287040000002</v>
      </c>
      <c r="O711" s="771"/>
      <c r="P711" s="35">
        <v>2.0816923979006248</v>
      </c>
      <c r="Q711" s="35">
        <v>0</v>
      </c>
      <c r="R711" s="35">
        <v>0</v>
      </c>
      <c r="S711" s="771"/>
      <c r="T711" s="68">
        <f>N711+P711+Q711+R711</f>
        <v>79.280979437900626</v>
      </c>
      <c r="U711" s="952">
        <f>T711/G711*1000</f>
        <v>1.2323582117563655E-2</v>
      </c>
      <c r="V711" s="762">
        <f>T711-J711</f>
        <v>2.0816923979006248</v>
      </c>
      <c r="W711" s="770">
        <f>U711/I711-1</f>
        <v>2.696517646363783E-2</v>
      </c>
      <c r="X711" s="769"/>
      <c r="Z711" s="938"/>
      <c r="AB711" s="938"/>
      <c r="AD711" s="938"/>
      <c r="AF711" s="949"/>
    </row>
    <row r="712" spans="1:32">
      <c r="A712" s="4"/>
      <c r="B712" s="256"/>
      <c r="C712" s="731"/>
      <c r="D712" s="256"/>
      <c r="E712" s="513"/>
      <c r="F712" s="256"/>
      <c r="G712" s="35"/>
      <c r="H712" s="256"/>
      <c r="I712" s="772"/>
      <c r="J712" s="752"/>
      <c r="K712" s="256"/>
      <c r="L712" s="35"/>
      <c r="M712" s="35"/>
      <c r="N712" s="762"/>
      <c r="O712" s="771"/>
      <c r="P712" s="35"/>
      <c r="Q712" s="35"/>
      <c r="R712" s="35"/>
      <c r="S712" s="771"/>
      <c r="T712" s="68"/>
      <c r="U712" s="911"/>
      <c r="V712" s="762"/>
      <c r="W712" s="770"/>
      <c r="X712" s="769"/>
      <c r="Z712" s="938"/>
      <c r="AB712" s="938"/>
      <c r="AD712" s="938"/>
      <c r="AF712" s="949"/>
    </row>
    <row r="713" spans="1:32">
      <c r="A713" s="4">
        <v>321</v>
      </c>
      <c r="C713" s="9" t="s">
        <v>848</v>
      </c>
      <c r="E713" s="513" t="s">
        <v>777</v>
      </c>
      <c r="G713" s="35">
        <v>0</v>
      </c>
      <c r="I713" s="35">
        <v>0</v>
      </c>
      <c r="J713" s="68">
        <f>G713*I713/1000</f>
        <v>0</v>
      </c>
      <c r="L713" s="35">
        <v>0</v>
      </c>
      <c r="M713" s="35">
        <v>0</v>
      </c>
      <c r="N713" s="762">
        <f>J713-L713-M713</f>
        <v>0</v>
      </c>
      <c r="O713" s="68"/>
      <c r="P713" s="35">
        <v>0</v>
      </c>
      <c r="Q713" s="35">
        <v>0</v>
      </c>
      <c r="R713" s="35">
        <v>0</v>
      </c>
      <c r="S713" s="68"/>
      <c r="T713" s="68">
        <f>N713+P713+Q713+R713</f>
        <v>0</v>
      </c>
      <c r="U713" s="68">
        <v>0</v>
      </c>
      <c r="V713" s="762">
        <f>T713-J713</f>
        <v>0</v>
      </c>
      <c r="W713" s="834" t="str">
        <f>IFERROR(U713/I713-1,"-")</f>
        <v>-</v>
      </c>
      <c r="X713" s="769"/>
      <c r="Z713" s="938"/>
      <c r="AB713" s="938"/>
      <c r="AD713" s="938"/>
      <c r="AF713" s="949"/>
    </row>
    <row r="714" spans="1:32">
      <c r="A714" s="4"/>
      <c r="B714" s="256"/>
      <c r="D714" s="256"/>
      <c r="E714" s="36"/>
      <c r="F714" s="256"/>
      <c r="G714" s="35"/>
      <c r="H714" s="256"/>
      <c r="I714" s="256"/>
      <c r="J714" s="750"/>
      <c r="K714" s="256"/>
      <c r="L714" s="762"/>
      <c r="M714" s="762"/>
      <c r="N714" s="762"/>
      <c r="O714" s="771"/>
      <c r="P714" s="771"/>
      <c r="Q714" s="762"/>
      <c r="R714" s="762"/>
      <c r="S714" s="771"/>
      <c r="T714" s="771"/>
      <c r="U714" s="821"/>
      <c r="V714" s="762"/>
      <c r="W714" s="770"/>
      <c r="X714" s="769"/>
      <c r="Z714" s="938"/>
      <c r="AB714" s="938"/>
      <c r="AD714" s="938"/>
      <c r="AF714" s="949"/>
    </row>
    <row r="715" spans="1:32">
      <c r="A715" s="4">
        <v>322</v>
      </c>
      <c r="B715" s="256"/>
      <c r="C715" s="7" t="s">
        <v>849</v>
      </c>
      <c r="D715" s="256"/>
      <c r="E715" s="513"/>
      <c r="F715" s="256"/>
      <c r="G715" s="420">
        <f>G700</f>
        <v>249200.14546999999</v>
      </c>
      <c r="H715" s="256"/>
      <c r="I715" s="806">
        <f>J715/G715*100</f>
        <v>0.60025136511008792</v>
      </c>
      <c r="J715" s="808">
        <f>SUM(J704:J713)</f>
        <v>1495.8272750399999</v>
      </c>
      <c r="K715" s="256"/>
      <c r="L715" s="805">
        <f>SUM(L704:L713)</f>
        <v>0</v>
      </c>
      <c r="M715" s="805">
        <f>SUM(M704:M713)</f>
        <v>0</v>
      </c>
      <c r="N715" s="805">
        <f>SUM(N704:N713)</f>
        <v>1495.8272750399999</v>
      </c>
      <c r="O715" s="771"/>
      <c r="P715" s="807">
        <f>SUM(P704:P713)</f>
        <v>40.335246430576106</v>
      </c>
      <c r="Q715" s="807">
        <f>SUM(Q704:Q713)</f>
        <v>0</v>
      </c>
      <c r="R715" s="807">
        <f>SUM(R704:R713)</f>
        <v>0</v>
      </c>
      <c r="S715" s="771"/>
      <c r="T715" s="807">
        <f>SUM(T704:T713)</f>
        <v>1536.1625214705762</v>
      </c>
      <c r="U715" s="902">
        <f>T715/G715*100</f>
        <v>0.61643724909282105</v>
      </c>
      <c r="V715" s="805">
        <f>SUM(V704:V713)</f>
        <v>40.335246430576106</v>
      </c>
      <c r="W715" s="804">
        <f>U715/I715-1</f>
        <v>2.6965176463638052E-2</v>
      </c>
      <c r="X715" s="769"/>
      <c r="Z715" s="938"/>
      <c r="AB715" s="938"/>
      <c r="AD715" s="938"/>
      <c r="AF715" s="949"/>
    </row>
    <row r="716" spans="1:32">
      <c r="A716" s="4"/>
      <c r="B716" s="256"/>
      <c r="C716" s="7"/>
      <c r="D716" s="256"/>
      <c r="E716" s="36"/>
      <c r="F716" s="256"/>
      <c r="G716" s="35"/>
      <c r="H716" s="256"/>
      <c r="I716" s="256"/>
      <c r="J716" s="750"/>
      <c r="K716" s="256"/>
      <c r="L716" s="762"/>
      <c r="M716" s="762"/>
      <c r="N716" s="762"/>
      <c r="O716" s="771"/>
      <c r="P716" s="771"/>
      <c r="Q716" s="762"/>
      <c r="R716" s="762"/>
      <c r="S716" s="771"/>
      <c r="T716" s="771"/>
      <c r="U716" s="821"/>
      <c r="V716" s="762"/>
      <c r="W716" s="504"/>
      <c r="Z716" s="938"/>
      <c r="AB716" s="938"/>
      <c r="AD716" s="938"/>
      <c r="AF716" s="949"/>
    </row>
    <row r="717" spans="1:32">
      <c r="A717" s="4">
        <v>323</v>
      </c>
      <c r="B717" s="256"/>
      <c r="C717" s="7" t="s">
        <v>854</v>
      </c>
      <c r="D717" s="256"/>
      <c r="E717" s="36"/>
      <c r="F717" s="256"/>
      <c r="G717" s="453"/>
      <c r="H717" s="256"/>
      <c r="I717" s="256"/>
      <c r="J717" s="750"/>
      <c r="K717" s="256"/>
      <c r="L717" s="762"/>
      <c r="M717" s="762"/>
      <c r="N717" s="762"/>
      <c r="O717" s="771"/>
      <c r="P717" s="771"/>
      <c r="Q717" s="762"/>
      <c r="R717" s="762"/>
      <c r="S717" s="771"/>
      <c r="T717" s="771"/>
      <c r="U717" s="821"/>
      <c r="V717" s="762"/>
      <c r="W717" s="504"/>
      <c r="Z717" s="938"/>
      <c r="AB717" s="938"/>
      <c r="AD717" s="938"/>
      <c r="AF717" s="949"/>
    </row>
    <row r="718" spans="1:32" ht="13.5" thickBot="1">
      <c r="A718" s="4"/>
      <c r="B718" s="256"/>
      <c r="C718" s="7"/>
      <c r="D718" s="256"/>
      <c r="E718" s="36"/>
      <c r="F718" s="256"/>
      <c r="G718" s="458">
        <f>G700</f>
        <v>249200.14546999999</v>
      </c>
      <c r="H718" s="256"/>
      <c r="I718" s="803">
        <f>J718/G718*100</f>
        <v>3.131538600745345</v>
      </c>
      <c r="J718" s="756">
        <f>J700+J715</f>
        <v>7803.7987485066014</v>
      </c>
      <c r="K718" s="750"/>
      <c r="L718" s="781">
        <f>L700+L715</f>
        <v>106.2576</v>
      </c>
      <c r="M718" s="781">
        <f>M700+M715</f>
        <v>0</v>
      </c>
      <c r="N718" s="781">
        <f>N700+N715</f>
        <v>7697.5411485066015</v>
      </c>
      <c r="O718" s="771"/>
      <c r="P718" s="781">
        <f>P700+P715</f>
        <v>207.5655554055943</v>
      </c>
      <c r="Q718" s="781">
        <f>Q700+Q715</f>
        <v>111.50384979625936</v>
      </c>
      <c r="R718" s="781">
        <f>R700+R715</f>
        <v>0</v>
      </c>
      <c r="S718" s="771"/>
      <c r="T718" s="781">
        <f>T700+T715</f>
        <v>8016.610553708455</v>
      </c>
      <c r="U718" s="901">
        <f>T718/G718*100</f>
        <v>3.2169365465613406</v>
      </c>
      <c r="V718" s="781">
        <f>V700+V715</f>
        <v>212.81180520185399</v>
      </c>
      <c r="W718" s="780">
        <f>U718/I718-1</f>
        <v>2.7270283622137015E-2</v>
      </c>
      <c r="X718" s="779"/>
      <c r="Z718" s="938"/>
      <c r="AB718" s="938"/>
      <c r="AD718" s="938"/>
      <c r="AF718" s="949"/>
    </row>
    <row r="719" spans="1:32" ht="13.5" thickTop="1">
      <c r="A719" s="4"/>
      <c r="B719" s="256"/>
      <c r="C719" s="7"/>
      <c r="D719" s="256"/>
      <c r="E719" s="36"/>
      <c r="F719" s="256"/>
      <c r="G719" s="453"/>
      <c r="H719" s="256"/>
      <c r="I719" s="792"/>
      <c r="J719" s="750"/>
      <c r="K719" s="750"/>
      <c r="L719" s="771"/>
      <c r="M719" s="771"/>
      <c r="N719" s="771"/>
      <c r="O719" s="771"/>
      <c r="P719" s="771"/>
      <c r="Q719" s="771"/>
      <c r="R719" s="771"/>
      <c r="S719" s="771"/>
      <c r="T719" s="771"/>
      <c r="U719" s="771"/>
      <c r="V719" s="771"/>
      <c r="W719" s="779"/>
      <c r="X719" s="779"/>
      <c r="AF719" s="949"/>
    </row>
    <row r="720" spans="1:32" ht="13.5" thickBot="1">
      <c r="A720" s="4">
        <v>324</v>
      </c>
      <c r="B720" s="256"/>
      <c r="C720" s="504" t="s">
        <v>523</v>
      </c>
      <c r="D720" s="256"/>
      <c r="E720" s="134"/>
      <c r="F720" s="256"/>
      <c r="G720" s="749"/>
      <c r="H720" s="256"/>
      <c r="I720" s="256"/>
      <c r="J720" s="756">
        <f>J34+J58+J88+J110+J143+J152+J195+J220+J255+J275+J316+J345+J396+J412+J450+J467+J496+J525+J558+J576+J598+J632+J678+J718</f>
        <v>2667112.1376157831</v>
      </c>
      <c r="K720" s="750"/>
      <c r="L720" s="756">
        <f>L34+L58+L88+L110+L143+L152+L195+L220+L255+L275+L316+L345+L396+L412+L450+L467+L496+L525+L558+L576+L598+L632+L678+L718</f>
        <v>143871.4637834662</v>
      </c>
      <c r="M720" s="756">
        <f>M34+M58+M88+M110+M143+M152+M195+M220+M255+M275+M316+M345+M396+M412+M450+M467+M496+M525+M558+M576+M598+M632+M678+M718</f>
        <v>46925.204694014014</v>
      </c>
      <c r="N720" s="781">
        <f>N34+N58+N88+N110+N143+N152+N195+N220+N255+N275+N316+N345+N396+N412+N450+N467+N496+N525+N558+N576+N598+N632+N678+N718</f>
        <v>2478357.8662239052</v>
      </c>
      <c r="O720" s="750"/>
      <c r="P720" s="781">
        <f>P34+P58+P88+P110+P143+P152+P195+P220+P255+P275+P316+P345+P396+P412+P450+P467+P496+P525+P558+P576+P598+P632+P678+P718</f>
        <v>66829.357196292141</v>
      </c>
      <c r="Q720" s="781">
        <f>Q34+Q58+Q88+Q110+Q143+Q152+Q195+Q220+Q255+Q275+Q316+Q345+Q396+Q412+Q450+Q467+Q496+Q525+Q558+Q576+Q598+Q632+Q678+Q718</f>
        <v>183081.92719976377</v>
      </c>
      <c r="R720" s="781">
        <f>R34+R58+R88+R110+R143+R152+R195+R220+R255+R275+R316+R345+R396+R412+R450+R467+R496+R525+R558+R576+R598+R632+R678+R718</f>
        <v>46390.692841946395</v>
      </c>
      <c r="S720" s="750"/>
      <c r="T720" s="781">
        <f>T34+T58+T88+T110+T143+T152+T195+T220+T255+T275+T316+T345+T396+T412+T450+T467+T496+T525+T558+T576+T598+T632+T678+T718</f>
        <v>2774659.8434619079</v>
      </c>
      <c r="U720" s="750"/>
      <c r="V720" s="781">
        <f>V34+V58+V88+V110+V143+V152+V195+V220+V255+V275+V316+V345+V396+V412+V450+V467+V496+V525+V558+V576+V598+V632+V678+V718</f>
        <v>107547.70584612453</v>
      </c>
      <c r="W720" s="753"/>
      <c r="Z720" s="938"/>
      <c r="AB720" s="938"/>
      <c r="AD720" s="938"/>
    </row>
    <row r="721" spans="1:32" ht="13.5" thickTop="1">
      <c r="A721" s="4"/>
      <c r="B721" s="256"/>
      <c r="C721" s="504"/>
      <c r="D721" s="256"/>
      <c r="E721" s="134"/>
      <c r="F721" s="256"/>
      <c r="G721" s="749"/>
      <c r="H721" s="256"/>
      <c r="I721" s="256"/>
      <c r="J721" s="750"/>
      <c r="K721" s="750"/>
      <c r="L721" s="750"/>
      <c r="M721" s="750"/>
      <c r="N721" s="750"/>
      <c r="O721" s="750"/>
      <c r="P721" s="750"/>
      <c r="Q721" s="750"/>
      <c r="R721" s="750"/>
      <c r="S721" s="750"/>
      <c r="T721" s="750"/>
      <c r="U721" s="771"/>
      <c r="V721" s="771"/>
      <c r="W721" s="504"/>
      <c r="Z721" s="938"/>
      <c r="AB721" s="938"/>
      <c r="AD721" s="938"/>
    </row>
    <row r="722" spans="1:32">
      <c r="L722" s="2"/>
      <c r="M722" s="2"/>
      <c r="N722" s="504"/>
      <c r="Q722" s="504"/>
      <c r="R722" s="504"/>
      <c r="V722" s="504"/>
      <c r="W722" s="504"/>
      <c r="Z722" s="938"/>
      <c r="AB722" s="938"/>
      <c r="AD722" s="938"/>
    </row>
    <row r="723" spans="1:32">
      <c r="L723" s="2"/>
      <c r="M723" s="2"/>
      <c r="N723" s="504"/>
      <c r="Q723" s="504"/>
      <c r="R723" s="504"/>
      <c r="V723" s="504"/>
      <c r="W723" s="504"/>
      <c r="Z723" s="938"/>
      <c r="AB723" s="938"/>
      <c r="AD723" s="938"/>
    </row>
    <row r="724" spans="1:32">
      <c r="L724" s="2"/>
      <c r="M724" s="2"/>
      <c r="N724" s="504"/>
      <c r="Q724" s="504"/>
      <c r="R724" s="504"/>
      <c r="V724" s="504"/>
      <c r="W724" s="504"/>
      <c r="Z724" s="938"/>
      <c r="AB724" s="938"/>
      <c r="AD724" s="938"/>
    </row>
    <row r="725" spans="1:32">
      <c r="L725" s="2"/>
      <c r="M725" s="2"/>
      <c r="N725" s="504"/>
      <c r="Q725" s="504"/>
      <c r="R725" s="504"/>
      <c r="V725" s="504"/>
      <c r="W725" s="504"/>
    </row>
    <row r="726" spans="1:32">
      <c r="A726" s="1324" t="s">
        <v>724</v>
      </c>
      <c r="B726" s="1324"/>
      <c r="C726" s="1324"/>
      <c r="D726" s="1324"/>
      <c r="E726" s="1324"/>
      <c r="F726" s="1324"/>
      <c r="G726" s="1324"/>
      <c r="H726" s="1324"/>
      <c r="I726" s="1324"/>
      <c r="J726" s="1324"/>
      <c r="K726" s="1324"/>
      <c r="L726" s="1324"/>
      <c r="M726" s="1324"/>
      <c r="N726" s="1324"/>
      <c r="O726" s="1324"/>
      <c r="P726" s="1324"/>
      <c r="Q726" s="1324"/>
      <c r="R726" s="1324"/>
      <c r="S726" s="1324"/>
      <c r="T726" s="1324"/>
      <c r="U726" s="1324"/>
      <c r="V726" s="1324"/>
      <c r="W726" s="1324"/>
      <c r="X726" s="665"/>
    </row>
    <row r="727" spans="1:32">
      <c r="A727" s="1324" t="s">
        <v>938</v>
      </c>
      <c r="B727" s="1324"/>
      <c r="C727" s="1324"/>
      <c r="D727" s="1324"/>
      <c r="E727" s="1324"/>
      <c r="F727" s="1324"/>
      <c r="G727" s="1324"/>
      <c r="H727" s="1324"/>
      <c r="I727" s="1324"/>
      <c r="J727" s="1324"/>
      <c r="K727" s="1324"/>
      <c r="L727" s="1324"/>
      <c r="M727" s="1324"/>
      <c r="N727" s="1324"/>
      <c r="O727" s="1324"/>
      <c r="P727" s="1324"/>
      <c r="Q727" s="1324"/>
      <c r="R727" s="1324"/>
      <c r="S727" s="1324"/>
      <c r="T727" s="1324"/>
      <c r="U727" s="1324"/>
      <c r="V727" s="1324"/>
      <c r="W727" s="1324"/>
      <c r="X727" s="644"/>
      <c r="Y727" s="644"/>
    </row>
    <row r="728" spans="1:32">
      <c r="A728" s="385"/>
      <c r="B728" s="385"/>
      <c r="C728" s="385"/>
      <c r="D728" s="385"/>
      <c r="E728" s="447"/>
      <c r="F728" s="385"/>
      <c r="G728" s="447"/>
      <c r="H728" s="385"/>
      <c r="I728" s="385"/>
      <c r="J728" s="385"/>
      <c r="K728" s="385"/>
      <c r="L728" s="385"/>
      <c r="M728" s="385"/>
      <c r="N728" s="504"/>
      <c r="O728" s="385"/>
      <c r="P728" s="385"/>
      <c r="Q728" s="504"/>
      <c r="R728" s="504"/>
      <c r="S728" s="385"/>
      <c r="T728" s="385"/>
      <c r="U728" s="385"/>
      <c r="V728" s="504"/>
      <c r="W728" s="504"/>
    </row>
    <row r="729" spans="1:32" ht="26.45" customHeight="1">
      <c r="A729" s="447"/>
      <c r="B729" s="447"/>
      <c r="C729" s="447"/>
      <c r="D729" s="447"/>
      <c r="E729" s="385"/>
      <c r="F729" s="1313" t="s">
        <v>682</v>
      </c>
      <c r="G729" s="1313"/>
      <c r="H729" s="1313"/>
      <c r="I729" s="1313"/>
      <c r="J729" s="1313"/>
      <c r="K729" s="447"/>
      <c r="L729" s="1325" t="s">
        <v>496</v>
      </c>
      <c r="M729" s="1325"/>
      <c r="N729" s="256"/>
      <c r="O729" s="447"/>
      <c r="P729" s="449"/>
      <c r="Q729" s="1325" t="s">
        <v>497</v>
      </c>
      <c r="R729" s="1325"/>
      <c r="S729" s="447"/>
      <c r="T729" s="1313" t="s">
        <v>926</v>
      </c>
      <c r="U729" s="1313"/>
      <c r="V729" s="1313"/>
      <c r="W729" s="1313"/>
      <c r="X729" s="4"/>
    </row>
    <row r="730" spans="1:32" ht="38.25">
      <c r="A730" s="254" t="s">
        <v>1</v>
      </c>
      <c r="B730" s="254"/>
      <c r="C730" s="254"/>
      <c r="D730" s="254"/>
      <c r="E730" s="4" t="s">
        <v>670</v>
      </c>
      <c r="F730" s="254"/>
      <c r="G730" s="13" t="s">
        <v>684</v>
      </c>
      <c r="H730" s="254"/>
      <c r="I730" s="13" t="s">
        <v>196</v>
      </c>
      <c r="J730" s="13" t="s">
        <v>503</v>
      </c>
      <c r="K730" s="254"/>
      <c r="L730" s="13" t="s">
        <v>505</v>
      </c>
      <c r="M730" s="13" t="s">
        <v>685</v>
      </c>
      <c r="N730" s="254" t="s">
        <v>688</v>
      </c>
      <c r="O730" s="254"/>
      <c r="P730" s="254" t="s">
        <v>689</v>
      </c>
      <c r="Q730" s="13" t="s">
        <v>505</v>
      </c>
      <c r="R730" s="13" t="s">
        <v>685</v>
      </c>
      <c r="S730" s="254"/>
      <c r="T730" s="13" t="s">
        <v>690</v>
      </c>
      <c r="U730" s="13" t="s">
        <v>691</v>
      </c>
      <c r="V730" s="13" t="s">
        <v>692</v>
      </c>
      <c r="W730" s="254" t="s">
        <v>693</v>
      </c>
      <c r="X730" s="254"/>
    </row>
    <row r="731" spans="1:32">
      <c r="A731" s="255" t="s">
        <v>2</v>
      </c>
      <c r="B731" s="256"/>
      <c r="C731" s="449" t="s">
        <v>3</v>
      </c>
      <c r="D731" s="256"/>
      <c r="E731" s="255" t="s">
        <v>4</v>
      </c>
      <c r="F731" s="256"/>
      <c r="G731" s="255" t="s">
        <v>694</v>
      </c>
      <c r="H731" s="256"/>
      <c r="I731" s="255" t="s">
        <v>131</v>
      </c>
      <c r="J731" s="255" t="s">
        <v>20</v>
      </c>
      <c r="K731" s="256"/>
      <c r="L731" s="255" t="s">
        <v>20</v>
      </c>
      <c r="M731" s="255" t="s">
        <v>20</v>
      </c>
      <c r="N731" s="255" t="s">
        <v>20</v>
      </c>
      <c r="O731" s="256"/>
      <c r="P731" s="255" t="s">
        <v>20</v>
      </c>
      <c r="Q731" s="255" t="s">
        <v>20</v>
      </c>
      <c r="R731" s="255" t="s">
        <v>20</v>
      </c>
      <c r="S731" s="256"/>
      <c r="T731" s="255" t="s">
        <v>20</v>
      </c>
      <c r="U731" s="255" t="s">
        <v>131</v>
      </c>
      <c r="V731" s="255" t="s">
        <v>20</v>
      </c>
      <c r="W731" s="255" t="s">
        <v>76</v>
      </c>
      <c r="X731" s="4"/>
    </row>
    <row r="732" spans="1:32">
      <c r="A732" s="4"/>
      <c r="B732" s="256"/>
      <c r="C732" s="256"/>
      <c r="D732" s="256"/>
      <c r="E732" s="4"/>
      <c r="F732" s="256"/>
      <c r="G732" s="4" t="s">
        <v>8</v>
      </c>
      <c r="H732" s="4"/>
      <c r="I732" s="4" t="s">
        <v>9</v>
      </c>
      <c r="J732" s="4" t="s">
        <v>370</v>
      </c>
      <c r="K732" s="4"/>
      <c r="L732" s="132" t="s">
        <v>79</v>
      </c>
      <c r="M732" s="132" t="s">
        <v>115</v>
      </c>
      <c r="N732" s="4" t="s">
        <v>927</v>
      </c>
      <c r="O732" s="4"/>
      <c r="P732" s="4" t="s">
        <v>928</v>
      </c>
      <c r="Q732" s="4" t="s">
        <v>118</v>
      </c>
      <c r="R732" s="4" t="s">
        <v>84</v>
      </c>
      <c r="S732" s="4"/>
      <c r="T732" s="4" t="s">
        <v>929</v>
      </c>
      <c r="U732" s="4" t="s">
        <v>517</v>
      </c>
      <c r="V732" s="4" t="s">
        <v>930</v>
      </c>
      <c r="W732" s="4" t="s">
        <v>931</v>
      </c>
      <c r="X732" s="4"/>
    </row>
    <row r="733" spans="1:32">
      <c r="A733" s="4"/>
      <c r="C733" s="802" t="s">
        <v>524</v>
      </c>
      <c r="E733" s="36"/>
      <c r="G733" s="35"/>
      <c r="L733" s="762"/>
      <c r="M733" s="762"/>
      <c r="N733" s="762"/>
      <c r="O733" s="68"/>
      <c r="P733" s="68"/>
      <c r="Q733" s="762"/>
      <c r="R733" s="762"/>
      <c r="S733" s="68"/>
      <c r="T733" s="68"/>
      <c r="U733" s="68"/>
      <c r="V733" s="762"/>
      <c r="W733" s="504"/>
    </row>
    <row r="734" spans="1:32">
      <c r="A734" s="4"/>
      <c r="C734" s="6" t="s">
        <v>525</v>
      </c>
      <c r="E734" s="36"/>
      <c r="L734" s="762"/>
      <c r="M734" s="762"/>
      <c r="N734" s="762"/>
      <c r="O734" s="68"/>
      <c r="P734" s="68"/>
      <c r="Q734" s="762"/>
      <c r="R734" s="762"/>
      <c r="S734" s="68"/>
      <c r="T734" s="68"/>
      <c r="U734" s="68"/>
      <c r="V734" s="762"/>
      <c r="W734" s="504"/>
    </row>
    <row r="735" spans="1:32">
      <c r="A735" s="4"/>
      <c r="B735" s="256"/>
      <c r="C735" s="512" t="s">
        <v>855</v>
      </c>
      <c r="D735" s="256"/>
      <c r="E735" s="36"/>
      <c r="F735" s="256"/>
      <c r="H735" s="256"/>
      <c r="I735" s="256"/>
      <c r="J735" s="256"/>
      <c r="K735" s="256"/>
      <c r="L735" s="762"/>
      <c r="M735" s="762"/>
      <c r="N735" s="762"/>
      <c r="O735" s="771"/>
      <c r="P735" s="771"/>
      <c r="Q735" s="762"/>
      <c r="R735" s="762"/>
      <c r="S735" s="771"/>
      <c r="T735" s="771"/>
      <c r="U735" s="771"/>
      <c r="V735" s="762"/>
      <c r="W735" s="504"/>
    </row>
    <row r="736" spans="1:32">
      <c r="A736" s="4">
        <v>325</v>
      </c>
      <c r="B736" s="256"/>
      <c r="C736" s="775" t="s">
        <v>856</v>
      </c>
      <c r="D736" s="256"/>
      <c r="E736" s="513" t="s">
        <v>840</v>
      </c>
      <c r="F736" s="256"/>
      <c r="G736" s="35">
        <v>91095.48</v>
      </c>
      <c r="H736" s="256"/>
      <c r="I736" s="784">
        <v>0.15459999999999999</v>
      </c>
      <c r="J736" s="750">
        <f>(G736*I736*12/1000)</f>
        <v>169.00033449599997</v>
      </c>
      <c r="K736" s="256"/>
      <c r="L736" s="35">
        <v>0</v>
      </c>
      <c r="M736" s="35">
        <v>0</v>
      </c>
      <c r="N736" s="762">
        <f>J736-L736-M736</f>
        <v>169.00033449599997</v>
      </c>
      <c r="O736" s="771"/>
      <c r="P736" s="35">
        <v>4.5571238420984628</v>
      </c>
      <c r="Q736" s="35">
        <v>0</v>
      </c>
      <c r="R736" s="35">
        <v>0</v>
      </c>
      <c r="S736" s="771"/>
      <c r="T736" s="771">
        <f>N736+P736+Q736+R736</f>
        <v>173.55745833809843</v>
      </c>
      <c r="U736" s="774">
        <v>0.159</v>
      </c>
      <c r="V736" s="762">
        <f>T736-J736</f>
        <v>4.5571238420984628</v>
      </c>
      <c r="W736" s="770">
        <f>IFERROR((U736-I736)/I736,"")</f>
        <v>2.8460543337645635E-2</v>
      </c>
      <c r="X736" s="769"/>
      <c r="Z736" s="938"/>
      <c r="AB736" s="938"/>
      <c r="AD736" s="938"/>
      <c r="AF736" s="949"/>
    </row>
    <row r="737" spans="1:32">
      <c r="A737" s="1">
        <v>326</v>
      </c>
      <c r="C737" s="775" t="s">
        <v>857</v>
      </c>
      <c r="E737" s="513" t="s">
        <v>777</v>
      </c>
      <c r="G737" s="771">
        <f>(D737*F737*12/1000)</f>
        <v>0</v>
      </c>
      <c r="I737" s="784">
        <v>5.8999999999999999E-3</v>
      </c>
      <c r="J737" s="771">
        <f>(G737*I737*12/1000)</f>
        <v>0</v>
      </c>
      <c r="L737" s="35">
        <v>0</v>
      </c>
      <c r="M737" s="35">
        <v>0</v>
      </c>
      <c r="N737" s="762">
        <f>J737-L737-M737</f>
        <v>0</v>
      </c>
      <c r="O737" s="68"/>
      <c r="P737" s="35">
        <v>0</v>
      </c>
      <c r="Q737" s="35">
        <v>0</v>
      </c>
      <c r="R737" s="35">
        <v>0</v>
      </c>
      <c r="S737" s="35"/>
      <c r="T737" s="771">
        <f>N737+P737+Q737+R737</f>
        <v>0</v>
      </c>
      <c r="U737" s="800">
        <f>I737</f>
        <v>5.8999999999999999E-3</v>
      </c>
      <c r="V737" s="762">
        <f>T737-J737</f>
        <v>0</v>
      </c>
      <c r="W737" s="770">
        <f>IFERROR((U737-I737)/I737,"")</f>
        <v>0</v>
      </c>
      <c r="X737" s="769"/>
    </row>
    <row r="738" spans="1:32">
      <c r="E738" s="36"/>
      <c r="G738" s="35"/>
      <c r="I738" s="953"/>
      <c r="J738" s="752"/>
      <c r="L738" s="762"/>
      <c r="M738" s="762"/>
      <c r="N738" s="762"/>
      <c r="O738" s="68"/>
      <c r="P738" s="68"/>
      <c r="Q738" s="762"/>
      <c r="R738" s="762"/>
      <c r="S738" s="68"/>
      <c r="T738" s="68"/>
      <c r="U738" s="952"/>
      <c r="V738" s="762"/>
      <c r="W738" s="504"/>
    </row>
    <row r="739" spans="1:32" ht="13.5" thickBot="1">
      <c r="A739" s="1">
        <v>327</v>
      </c>
      <c r="C739" s="504" t="s">
        <v>858</v>
      </c>
      <c r="E739" s="36"/>
      <c r="G739" s="768">
        <f>G736+G737</f>
        <v>91095.48</v>
      </c>
      <c r="I739" s="767">
        <f>J739/G739*100</f>
        <v>0.18551999999999999</v>
      </c>
      <c r="J739" s="758">
        <f>SUM(J736:J738)</f>
        <v>169.00033449599997</v>
      </c>
      <c r="L739" s="799">
        <f>SUM(L736:L738)</f>
        <v>0</v>
      </c>
      <c r="M739" s="799">
        <f>SUM(M736:M738)</f>
        <v>0</v>
      </c>
      <c r="N739" s="799">
        <f>SUM(N736:N738)</f>
        <v>169.00033449599997</v>
      </c>
      <c r="O739" s="762"/>
      <c r="P739" s="799">
        <f>SUM(P736:P738)</f>
        <v>4.5571238420984628</v>
      </c>
      <c r="Q739" s="799">
        <f>SUM(Q736:Q738)</f>
        <v>0</v>
      </c>
      <c r="R739" s="799">
        <f>SUM(R736:R738)</f>
        <v>0</v>
      </c>
      <c r="S739" s="68"/>
      <c r="T739" s="760">
        <f>SUM(T736:T738)</f>
        <v>173.55745833809843</v>
      </c>
      <c r="U739" s="951"/>
      <c r="V739" s="799">
        <f>SUM(V736:V738)</f>
        <v>4.5571238420984628</v>
      </c>
      <c r="W739" s="798">
        <f>(T739-J739)/J739</f>
        <v>2.6965176463637854E-2</v>
      </c>
      <c r="X739" s="769"/>
    </row>
    <row r="740" spans="1:32" ht="13.5" thickTop="1">
      <c r="C740" s="9"/>
      <c r="E740" s="36"/>
      <c r="G740" s="35"/>
      <c r="J740" s="752"/>
      <c r="L740" s="762"/>
      <c r="M740" s="762"/>
      <c r="N740" s="762"/>
      <c r="O740" s="68"/>
      <c r="P740" s="68"/>
      <c r="Q740" s="762"/>
      <c r="R740" s="762"/>
      <c r="S740" s="68"/>
      <c r="T740" s="68"/>
      <c r="U740" s="68"/>
      <c r="V740" s="762"/>
      <c r="W740" s="504"/>
    </row>
    <row r="741" spans="1:32">
      <c r="B741" s="256"/>
      <c r="C741" s="6" t="s">
        <v>526</v>
      </c>
      <c r="D741" s="256"/>
      <c r="E741" s="36"/>
      <c r="F741" s="256"/>
      <c r="G741" s="35"/>
      <c r="H741" s="256"/>
      <c r="I741" s="256"/>
      <c r="J741" s="750"/>
      <c r="K741" s="256"/>
      <c r="L741" s="762"/>
      <c r="M741" s="762"/>
      <c r="N741" s="762"/>
      <c r="O741" s="771"/>
      <c r="P741" s="771"/>
      <c r="Q741" s="762"/>
      <c r="R741" s="762"/>
      <c r="S741" s="771"/>
      <c r="T741" s="771"/>
      <c r="U741" s="771"/>
      <c r="V741" s="762"/>
      <c r="W741" s="504"/>
    </row>
    <row r="742" spans="1:32">
      <c r="A742" s="1">
        <v>328</v>
      </c>
      <c r="C742" s="801" t="s">
        <v>859</v>
      </c>
      <c r="E742" s="513" t="s">
        <v>840</v>
      </c>
      <c r="G742" s="35">
        <v>1210000</v>
      </c>
      <c r="I742" s="784">
        <v>1.3209</v>
      </c>
      <c r="J742" s="752">
        <f>(G742*I742*12/1000)</f>
        <v>19179.468000000001</v>
      </c>
      <c r="L742" s="35">
        <v>0</v>
      </c>
      <c r="M742" s="35">
        <v>0</v>
      </c>
      <c r="N742" s="762">
        <f>J742-L742-M742</f>
        <v>19179.468000000001</v>
      </c>
      <c r="O742" s="68"/>
      <c r="P742" s="35">
        <v>517.17773909869356</v>
      </c>
      <c r="Q742" s="35">
        <v>0</v>
      </c>
      <c r="R742" s="35">
        <v>0</v>
      </c>
      <c r="S742" s="68"/>
      <c r="T742" s="68">
        <f>N742+P742+Q742+R742</f>
        <v>19696.645739098694</v>
      </c>
      <c r="U742" s="950">
        <f>(T742*1000)/(G742*12)</f>
        <v>1.3565183015908191</v>
      </c>
      <c r="V742" s="762">
        <f>T742-J742</f>
        <v>517.17773909869356</v>
      </c>
      <c r="W742" s="770">
        <f>IFERROR((U742-I742)/I742,"")</f>
        <v>2.6965176463637774E-2</v>
      </c>
      <c r="X742" s="769"/>
      <c r="Z742" s="938"/>
      <c r="AB742" s="938"/>
      <c r="AD742" s="938"/>
      <c r="AF742" s="949"/>
    </row>
    <row r="743" spans="1:32">
      <c r="B743" s="256"/>
      <c r="C743" s="512"/>
      <c r="D743" s="256"/>
      <c r="E743" s="742"/>
      <c r="F743" s="256"/>
      <c r="G743" s="35"/>
      <c r="H743" s="256"/>
      <c r="I743" s="256"/>
      <c r="J743" s="750"/>
      <c r="K743" s="256"/>
      <c r="L743" s="762"/>
      <c r="M743" s="762"/>
      <c r="N743" s="762"/>
      <c r="O743" s="771"/>
      <c r="P743" s="771"/>
      <c r="Q743" s="762"/>
      <c r="R743" s="762"/>
      <c r="S743" s="771"/>
      <c r="T743" s="771"/>
      <c r="U743" s="771"/>
      <c r="V743" s="762"/>
      <c r="W743" s="504"/>
    </row>
    <row r="744" spans="1:32" ht="13.5" thickBot="1">
      <c r="A744" s="1">
        <v>329</v>
      </c>
      <c r="B744" s="256"/>
      <c r="C744" s="504" t="s">
        <v>860</v>
      </c>
      <c r="D744" s="256"/>
      <c r="E744" s="36"/>
      <c r="F744" s="256"/>
      <c r="G744" s="458">
        <f>G742</f>
        <v>1210000</v>
      </c>
      <c r="H744" s="256"/>
      <c r="I744" s="766">
        <f>I742</f>
        <v>1.3209</v>
      </c>
      <c r="J744" s="756">
        <f>SUM(J742:J743)</f>
        <v>19179.468000000001</v>
      </c>
      <c r="K744" s="256"/>
      <c r="L744" s="799">
        <f>SUM(L742:L743)</f>
        <v>0</v>
      </c>
      <c r="M744" s="799">
        <f>SUM(M742:M743)</f>
        <v>0</v>
      </c>
      <c r="N744" s="799">
        <f>SUM(N742:N743)</f>
        <v>19179.468000000001</v>
      </c>
      <c r="O744" s="762"/>
      <c r="P744" s="781">
        <f>SUM(P742:P743)</f>
        <v>517.17773909869356</v>
      </c>
      <c r="Q744" s="781">
        <f>SUM(Q742:Q743)</f>
        <v>0</v>
      </c>
      <c r="R744" s="781">
        <f>SUM(R742:R743)</f>
        <v>0</v>
      </c>
      <c r="S744" s="771"/>
      <c r="T744" s="781">
        <f>SUM(T742:T743)</f>
        <v>19696.645739098694</v>
      </c>
      <c r="U744" s="944"/>
      <c r="V744" s="799">
        <f>SUM(V742:V743)</f>
        <v>517.17773909869356</v>
      </c>
      <c r="W744" s="798">
        <f>W742</f>
        <v>2.6965176463637774E-2</v>
      </c>
      <c r="X744" s="769"/>
    </row>
    <row r="745" spans="1:32" ht="13.5" thickTop="1">
      <c r="G745" s="135"/>
      <c r="L745" s="762"/>
      <c r="M745" s="762"/>
      <c r="N745" s="762"/>
      <c r="O745" s="68"/>
      <c r="P745" s="68"/>
      <c r="Q745" s="762"/>
      <c r="R745" s="762"/>
      <c r="S745" s="68"/>
      <c r="T745" s="68"/>
      <c r="U745" s="68"/>
      <c r="V745" s="762"/>
      <c r="W745" s="504"/>
    </row>
    <row r="746" spans="1:32">
      <c r="B746" s="256"/>
      <c r="C746" s="736" t="s">
        <v>861</v>
      </c>
      <c r="D746" s="256"/>
      <c r="E746" s="36"/>
      <c r="F746" s="256"/>
      <c r="G746" s="35"/>
      <c r="H746" s="256"/>
      <c r="I746" s="256"/>
      <c r="J746" s="256"/>
      <c r="K746" s="256"/>
      <c r="L746" s="762"/>
      <c r="M746" s="762"/>
      <c r="N746" s="762"/>
      <c r="O746" s="771"/>
      <c r="P746" s="771"/>
      <c r="Q746" s="762"/>
      <c r="R746" s="762"/>
      <c r="S746" s="771"/>
      <c r="T746" s="771"/>
      <c r="U746" s="771"/>
      <c r="V746" s="762"/>
      <c r="W746" s="504"/>
    </row>
    <row r="747" spans="1:32">
      <c r="A747" s="1">
        <v>330</v>
      </c>
      <c r="B747" s="256"/>
      <c r="C747" s="512" t="s">
        <v>862</v>
      </c>
      <c r="D747" s="256"/>
      <c r="E747" s="36"/>
      <c r="F747" s="256"/>
      <c r="G747" s="35"/>
      <c r="H747" s="256"/>
      <c r="I747" s="256"/>
      <c r="J747" s="35">
        <v>3560.977942268019</v>
      </c>
      <c r="K747" s="256"/>
      <c r="L747" s="762"/>
      <c r="M747" s="762"/>
      <c r="N747" s="35">
        <f>J747</f>
        <v>3560.977942268019</v>
      </c>
      <c r="O747" s="771"/>
      <c r="P747" s="771"/>
      <c r="Q747" s="762"/>
      <c r="R747" s="762"/>
      <c r="S747" s="771"/>
      <c r="T747" s="35">
        <f>J747</f>
        <v>3560.977942268019</v>
      </c>
      <c r="U747" s="771"/>
      <c r="V747" s="762">
        <f>T747-J747</f>
        <v>0</v>
      </c>
      <c r="W747" s="504"/>
      <c r="Z747" s="938"/>
      <c r="AB747" s="938"/>
      <c r="AD747" s="938"/>
    </row>
    <row r="748" spans="1:32">
      <c r="B748" s="256"/>
      <c r="C748" s="7"/>
      <c r="D748" s="256"/>
      <c r="E748" s="36"/>
      <c r="F748" s="256"/>
      <c r="G748" s="453"/>
      <c r="H748" s="256"/>
      <c r="I748" s="256"/>
      <c r="J748" s="256"/>
      <c r="K748" s="256"/>
      <c r="L748" s="762"/>
      <c r="M748" s="762"/>
      <c r="N748" s="762"/>
      <c r="O748" s="771"/>
      <c r="P748" s="771"/>
      <c r="Q748" s="762"/>
      <c r="R748" s="762"/>
      <c r="S748" s="771"/>
      <c r="T748" s="771"/>
      <c r="U748" s="771"/>
      <c r="V748" s="762"/>
      <c r="W748" s="504"/>
    </row>
    <row r="749" spans="1:32">
      <c r="B749" s="256"/>
      <c r="C749" s="6" t="s">
        <v>863</v>
      </c>
      <c r="D749" s="256"/>
      <c r="E749" s="742"/>
      <c r="F749" s="256"/>
      <c r="G749" s="453"/>
      <c r="H749" s="256"/>
      <c r="I749" s="256"/>
      <c r="J749" s="256"/>
      <c r="K749" s="256"/>
      <c r="L749" s="762"/>
      <c r="M749" s="762"/>
      <c r="N749" s="762"/>
      <c r="O749" s="771"/>
      <c r="P749" s="771"/>
      <c r="Q749" s="762"/>
      <c r="R749" s="762"/>
      <c r="S749" s="771"/>
      <c r="T749" s="771"/>
      <c r="U749" s="771"/>
      <c r="V749" s="762"/>
      <c r="W749" s="504"/>
    </row>
    <row r="750" spans="1:32">
      <c r="B750" s="256"/>
      <c r="C750" s="7" t="s">
        <v>864</v>
      </c>
      <c r="D750" s="256"/>
      <c r="E750" s="504"/>
      <c r="F750" s="256"/>
      <c r="G750" s="453"/>
      <c r="H750" s="256"/>
      <c r="I750" s="256"/>
      <c r="J750" s="256"/>
      <c r="K750" s="256"/>
      <c r="L750" s="762"/>
      <c r="M750" s="762"/>
      <c r="N750" s="762"/>
      <c r="O750" s="771"/>
      <c r="P750" s="771"/>
      <c r="Q750" s="762"/>
      <c r="R750" s="762"/>
      <c r="S750" s="771"/>
      <c r="T750" s="771"/>
      <c r="U750" s="771"/>
      <c r="V750" s="762"/>
      <c r="W750" s="504"/>
    </row>
    <row r="751" spans="1:32">
      <c r="A751" s="1">
        <v>331</v>
      </c>
      <c r="B751" s="256"/>
      <c r="C751" s="519" t="s">
        <v>865</v>
      </c>
      <c r="D751" s="734"/>
      <c r="E751" s="513" t="s">
        <v>840</v>
      </c>
      <c r="F751" s="734"/>
      <c r="G751" s="35">
        <v>22020420</v>
      </c>
      <c r="H751" s="734"/>
      <c r="I751" s="773">
        <v>3.76</v>
      </c>
      <c r="J751" s="750">
        <f>G751*I751/1000</f>
        <v>82796.77919999999</v>
      </c>
      <c r="K751" s="734"/>
      <c r="L751" s="35">
        <v>0</v>
      </c>
      <c r="M751" s="35">
        <v>0</v>
      </c>
      <c r="N751" s="762">
        <f>J751</f>
        <v>82796.77919999999</v>
      </c>
      <c r="O751" s="790"/>
      <c r="P751" s="35">
        <v>2288.4800431139593</v>
      </c>
      <c r="Q751" s="35">
        <v>0</v>
      </c>
      <c r="R751" s="35">
        <v>0</v>
      </c>
      <c r="S751" s="790"/>
      <c r="T751" s="771">
        <f>N751+P751+Q751+R751</f>
        <v>85085.259243113949</v>
      </c>
      <c r="U751" s="773">
        <f>T751/G751*1000</f>
        <v>3.8639253585133231</v>
      </c>
      <c r="V751" s="762">
        <f>T751-J751</f>
        <v>2288.4800431139593</v>
      </c>
      <c r="W751" s="770">
        <f>U751/I751-1</f>
        <v>2.7639723008862527E-2</v>
      </c>
      <c r="X751" s="769"/>
      <c r="Z751" s="938"/>
      <c r="AB751" s="938"/>
      <c r="AD751" s="938"/>
      <c r="AF751" s="941"/>
    </row>
    <row r="752" spans="1:32">
      <c r="A752" s="1">
        <v>332</v>
      </c>
      <c r="C752" s="743" t="s">
        <v>866</v>
      </c>
      <c r="D752" s="385"/>
      <c r="E752" s="513" t="s">
        <v>840</v>
      </c>
      <c r="F752" s="385"/>
      <c r="G752" s="35">
        <v>5417148</v>
      </c>
      <c r="H752" s="385"/>
      <c r="I752" s="773">
        <v>7.6999999999999999E-2</v>
      </c>
      <c r="J752" s="750">
        <f>G752*I752/1000</f>
        <v>417.12039600000003</v>
      </c>
      <c r="K752" s="385"/>
      <c r="L752" s="35">
        <v>0</v>
      </c>
      <c r="M752" s="35">
        <v>0</v>
      </c>
      <c r="N752" s="762">
        <f>J752</f>
        <v>417.12039600000003</v>
      </c>
      <c r="O752" s="789"/>
      <c r="P752" s="35">
        <v>11.247725084722504</v>
      </c>
      <c r="Q752" s="35">
        <v>0</v>
      </c>
      <c r="R752" s="35">
        <v>0</v>
      </c>
      <c r="S752" s="789"/>
      <c r="T752" s="771">
        <f>N752+P752+Q752+R752</f>
        <v>428.36812108472253</v>
      </c>
      <c r="U752" s="773">
        <f>T752/G752*1000</f>
        <v>7.9076318587700131E-2</v>
      </c>
      <c r="V752" s="762">
        <f>T752-J752</f>
        <v>11.247725084722504</v>
      </c>
      <c r="W752" s="770">
        <f>U752/I752-1</f>
        <v>2.6965176463638052E-2</v>
      </c>
      <c r="X752" s="769"/>
      <c r="Z752" s="938"/>
      <c r="AB752" s="938"/>
      <c r="AD752" s="938"/>
      <c r="AF752" s="941"/>
    </row>
    <row r="753" spans="1:39">
      <c r="A753" s="1">
        <v>333</v>
      </c>
      <c r="B753" s="734"/>
      <c r="C753" s="519" t="s">
        <v>867</v>
      </c>
      <c r="D753" s="256"/>
      <c r="E753" s="513" t="s">
        <v>840</v>
      </c>
      <c r="F753" s="256"/>
      <c r="G753" s="35">
        <v>594000</v>
      </c>
      <c r="H753" s="256"/>
      <c r="I753" s="773">
        <v>3.19</v>
      </c>
      <c r="J753" s="750">
        <f>G753*I753/1000</f>
        <v>1894.86</v>
      </c>
      <c r="K753" s="256"/>
      <c r="L753" s="35">
        <v>0</v>
      </c>
      <c r="M753" s="35">
        <v>0</v>
      </c>
      <c r="N753" s="762">
        <f>J753</f>
        <v>1894.86</v>
      </c>
      <c r="O753" s="771"/>
      <c r="P753" s="35">
        <v>53.859232021489561</v>
      </c>
      <c r="Q753" s="35">
        <v>0</v>
      </c>
      <c r="R753" s="35">
        <v>0</v>
      </c>
      <c r="S753" s="771"/>
      <c r="T753" s="771">
        <f>N753+P753+Q753+R753</f>
        <v>1948.7192320214895</v>
      </c>
      <c r="U753" s="773">
        <f>T753/G753*1000</f>
        <v>3.2806721077802852</v>
      </c>
      <c r="V753" s="762">
        <f>T753-J753</f>
        <v>53.859232021489561</v>
      </c>
      <c r="W753" s="770">
        <f>U753/I753-1</f>
        <v>2.8423858238333821E-2</v>
      </c>
      <c r="X753" s="769"/>
      <c r="Z753" s="938"/>
      <c r="AB753" s="938"/>
      <c r="AD753" s="938"/>
      <c r="AF753" s="941"/>
    </row>
    <row r="754" spans="1:39">
      <c r="A754" s="1">
        <v>334</v>
      </c>
      <c r="B754" s="385"/>
      <c r="C754" s="743" t="s">
        <v>866</v>
      </c>
      <c r="E754" s="513" t="s">
        <v>840</v>
      </c>
      <c r="G754" s="35">
        <v>594000</v>
      </c>
      <c r="I754" s="773">
        <v>7.6999999999999999E-2</v>
      </c>
      <c r="J754" s="750">
        <f>G754*I754/1000</f>
        <v>45.738</v>
      </c>
      <c r="L754" s="35">
        <v>0</v>
      </c>
      <c r="M754" s="35">
        <v>0</v>
      </c>
      <c r="N754" s="762">
        <f>J754</f>
        <v>45.738</v>
      </c>
      <c r="O754" s="68"/>
      <c r="P754" s="35">
        <v>1.2333332410938667</v>
      </c>
      <c r="Q754" s="35">
        <v>0</v>
      </c>
      <c r="R754" s="35">
        <v>0</v>
      </c>
      <c r="S754" s="68"/>
      <c r="T754" s="771">
        <f>N754+P754+Q754+R754</f>
        <v>46.971333241093866</v>
      </c>
      <c r="U754" s="773">
        <f>T754/G754*1000</f>
        <v>7.9076318587700117E-2</v>
      </c>
      <c r="V754" s="762">
        <f>T754-J754</f>
        <v>1.2333332410938667</v>
      </c>
      <c r="W754" s="770">
        <f>U754/I754-1</f>
        <v>2.696517646363783E-2</v>
      </c>
      <c r="X754" s="769"/>
      <c r="Z754" s="938"/>
      <c r="AB754" s="938"/>
      <c r="AD754" s="938"/>
      <c r="AF754" s="941"/>
    </row>
    <row r="755" spans="1:39">
      <c r="A755" s="1">
        <v>335</v>
      </c>
      <c r="B755" s="254"/>
      <c r="C755" s="519" t="s">
        <v>868</v>
      </c>
      <c r="D755" s="254"/>
      <c r="E755" s="513" t="s">
        <v>840</v>
      </c>
      <c r="F755" s="254"/>
      <c r="G755" s="35">
        <v>654156</v>
      </c>
      <c r="H755" s="254"/>
      <c r="I755" s="773">
        <v>4.6479999999999997</v>
      </c>
      <c r="J755" s="750">
        <f>G755*I755/1000</f>
        <v>3040.5170880000001</v>
      </c>
      <c r="K755" s="254"/>
      <c r="L755" s="35">
        <v>0</v>
      </c>
      <c r="M755" s="35">
        <v>0</v>
      </c>
      <c r="N755" s="762">
        <f>J755</f>
        <v>3040.5170880000001</v>
      </c>
      <c r="O755" s="786"/>
      <c r="P755" s="35">
        <v>81.365434291691599</v>
      </c>
      <c r="Q755" s="35"/>
      <c r="R755" s="35"/>
      <c r="S755" s="786"/>
      <c r="T755" s="771">
        <f>N755+P755+Q755+R755</f>
        <v>3121.8825222916917</v>
      </c>
      <c r="U755" s="773">
        <f>T755/G755*1000</f>
        <v>4.7723823098644536</v>
      </c>
      <c r="V755" s="762">
        <f>T755-J755</f>
        <v>81.365434291691599</v>
      </c>
      <c r="W755" s="770">
        <f>U755/I755-1</f>
        <v>2.6760393688565864E-2</v>
      </c>
      <c r="X755" s="769"/>
      <c r="Z755" s="938"/>
      <c r="AB755" s="938"/>
      <c r="AD755" s="938"/>
      <c r="AF755" s="941"/>
    </row>
    <row r="756" spans="1:39">
      <c r="B756" s="256"/>
      <c r="C756" s="9" t="s">
        <v>869</v>
      </c>
      <c r="D756" s="256"/>
      <c r="E756" s="4"/>
      <c r="F756" s="256"/>
      <c r="G756" s="4"/>
      <c r="H756" s="256"/>
      <c r="I756" s="797"/>
      <c r="J756" s="750"/>
      <c r="K756" s="256"/>
      <c r="L756" s="762"/>
      <c r="M756" s="762"/>
      <c r="N756" s="762"/>
      <c r="O756" s="771"/>
      <c r="P756" s="35"/>
      <c r="Q756" s="35"/>
      <c r="R756" s="35"/>
      <c r="S756" s="771"/>
      <c r="T756" s="771"/>
      <c r="U756" s="773"/>
      <c r="V756" s="762"/>
      <c r="W756" s="770"/>
      <c r="X756" s="769"/>
      <c r="Z756" s="938"/>
      <c r="AB756" s="938"/>
      <c r="AD756" s="938"/>
      <c r="AF756" s="941"/>
    </row>
    <row r="757" spans="1:39">
      <c r="A757" s="1">
        <v>336</v>
      </c>
      <c r="B757" s="256"/>
      <c r="C757" s="743" t="s">
        <v>870</v>
      </c>
      <c r="D757" s="256"/>
      <c r="E757" s="513" t="s">
        <v>840</v>
      </c>
      <c r="F757" s="256"/>
      <c r="G757" s="35">
        <v>4604866</v>
      </c>
      <c r="H757" s="256"/>
      <c r="I757" s="773">
        <v>0.56999999999999995</v>
      </c>
      <c r="J757" s="750">
        <f>G757*I757/1000</f>
        <v>2624.7736199999995</v>
      </c>
      <c r="K757" s="256"/>
      <c r="L757" s="35">
        <v>0</v>
      </c>
      <c r="M757" s="35">
        <v>0</v>
      </c>
      <c r="N757" s="762">
        <f>J757</f>
        <v>2624.7736199999995</v>
      </c>
      <c r="O757" s="771"/>
      <c r="P757" s="35">
        <v>61.029443690039898</v>
      </c>
      <c r="Q757" s="35">
        <v>0</v>
      </c>
      <c r="R757" s="35">
        <v>0</v>
      </c>
      <c r="S757" s="771"/>
      <c r="T757" s="771">
        <f>N757+P757+Q757+R757</f>
        <v>2685.8030636900394</v>
      </c>
      <c r="U757" s="773">
        <f>T757/G757*1000</f>
        <v>0.58325325073303746</v>
      </c>
      <c r="V757" s="762">
        <f>T757-J757</f>
        <v>61.029443690039898</v>
      </c>
      <c r="W757" s="770">
        <f>U757/I757-1</f>
        <v>2.325131707550443E-2</v>
      </c>
      <c r="X757" s="769"/>
      <c r="Z757" s="938"/>
      <c r="AB757" s="938"/>
      <c r="AD757" s="938"/>
      <c r="AF757" s="941"/>
    </row>
    <row r="758" spans="1:39">
      <c r="B758" s="256"/>
      <c r="C758" s="504"/>
      <c r="D758" s="256"/>
      <c r="E758" s="4"/>
      <c r="F758" s="256"/>
      <c r="G758" s="4"/>
      <c r="H758" s="256"/>
      <c r="I758" s="797"/>
      <c r="J758" s="750"/>
      <c r="K758" s="256"/>
      <c r="L758" s="762"/>
      <c r="M758" s="762"/>
      <c r="N758" s="762"/>
      <c r="O758" s="771"/>
      <c r="P758" s="35"/>
      <c r="Q758" s="762"/>
      <c r="R758" s="762"/>
      <c r="S758" s="771"/>
      <c r="T758" s="771"/>
      <c r="U758" s="773"/>
      <c r="V758" s="762"/>
      <c r="W758" s="770"/>
      <c r="X758" s="769"/>
      <c r="Z758" s="938"/>
      <c r="AB758" s="938"/>
      <c r="AD758" s="938"/>
      <c r="AF758" s="941"/>
    </row>
    <row r="759" spans="1:39">
      <c r="B759" s="256"/>
      <c r="C759" s="512" t="s">
        <v>871</v>
      </c>
      <c r="D759" s="256"/>
      <c r="E759" s="742"/>
      <c r="F759" s="256"/>
      <c r="G759" s="453"/>
      <c r="H759" s="256"/>
      <c r="I759" s="797"/>
      <c r="J759" s="750"/>
      <c r="K759" s="256"/>
      <c r="L759" s="762"/>
      <c r="M759" s="762"/>
      <c r="N759" s="762"/>
      <c r="O759" s="771"/>
      <c r="P759" s="35"/>
      <c r="Q759" s="762"/>
      <c r="R759" s="762"/>
      <c r="S759" s="771"/>
      <c r="T759" s="771"/>
      <c r="U759" s="773"/>
      <c r="V759" s="762"/>
      <c r="W759" s="770"/>
      <c r="X759" s="769"/>
      <c r="Z759" s="938"/>
      <c r="AB759" s="938"/>
      <c r="AD759" s="938"/>
      <c r="AF759" s="941"/>
    </row>
    <row r="760" spans="1:39">
      <c r="A760" s="1">
        <v>337</v>
      </c>
      <c r="B760" s="256"/>
      <c r="C760" s="519" t="s">
        <v>872</v>
      </c>
      <c r="D760" s="256"/>
      <c r="E760" s="513" t="s">
        <v>840</v>
      </c>
      <c r="F760" s="256"/>
      <c r="G760" s="35">
        <v>393912</v>
      </c>
      <c r="H760" s="256"/>
      <c r="I760" s="773">
        <v>3.76</v>
      </c>
      <c r="J760" s="750">
        <f>G760*I760/1000</f>
        <v>1481.1091199999998</v>
      </c>
      <c r="K760" s="256"/>
      <c r="L760" s="35">
        <v>0</v>
      </c>
      <c r="M760" s="35">
        <v>0</v>
      </c>
      <c r="N760" s="762">
        <f>J760</f>
        <v>1481.1091199999998</v>
      </c>
      <c r="O760" s="771"/>
      <c r="P760" s="35">
        <v>40.937445822700283</v>
      </c>
      <c r="Q760" s="35">
        <v>0</v>
      </c>
      <c r="R760" s="35">
        <v>0</v>
      </c>
      <c r="S760" s="771"/>
      <c r="T760" s="771">
        <f>N760+P760+Q760+R760</f>
        <v>1522.0465658227001</v>
      </c>
      <c r="U760" s="773">
        <f>T760/G760*1000</f>
        <v>3.8639253585133231</v>
      </c>
      <c r="V760" s="762">
        <f t="shared" ref="V760:V765" si="11">T760-J760</f>
        <v>40.937445822700283</v>
      </c>
      <c r="W760" s="770">
        <f t="shared" ref="W760:W765" si="12">U760/I760-1</f>
        <v>2.7639723008862527E-2</v>
      </c>
      <c r="X760" s="769"/>
      <c r="Z760" s="938"/>
      <c r="AB760" s="938"/>
      <c r="AD760" s="938"/>
      <c r="AF760" s="941"/>
    </row>
    <row r="761" spans="1:39">
      <c r="A761" s="1">
        <v>338</v>
      </c>
      <c r="C761" s="519" t="s">
        <v>867</v>
      </c>
      <c r="D761" s="504"/>
      <c r="E761" s="513" t="s">
        <v>840</v>
      </c>
      <c r="F761" s="504"/>
      <c r="G761" s="35">
        <v>0</v>
      </c>
      <c r="H761" s="504"/>
      <c r="I761" s="796">
        <f>I753</f>
        <v>3.19</v>
      </c>
      <c r="J761" s="762">
        <v>0</v>
      </c>
      <c r="K761" s="504"/>
      <c r="L761" s="35">
        <v>0</v>
      </c>
      <c r="M761" s="35">
        <v>0</v>
      </c>
      <c r="N761" s="35">
        <v>0</v>
      </c>
      <c r="O761" s="35"/>
      <c r="P761" s="35">
        <v>0</v>
      </c>
      <c r="Q761" s="35">
        <v>0</v>
      </c>
      <c r="R761" s="35">
        <v>0</v>
      </c>
      <c r="S761" s="35">
        <v>0</v>
      </c>
      <c r="T761" s="35">
        <v>0</v>
      </c>
      <c r="U761" s="796">
        <f>U753</f>
        <v>3.2806721077802852</v>
      </c>
      <c r="V761" s="762">
        <f t="shared" si="11"/>
        <v>0</v>
      </c>
      <c r="W761" s="770">
        <f t="shared" si="12"/>
        <v>2.8423858238333821E-2</v>
      </c>
      <c r="X761" s="35">
        <v>0</v>
      </c>
      <c r="Y761" s="35"/>
      <c r="Z761" s="35"/>
      <c r="AA761" s="948"/>
      <c r="AB761" s="35"/>
      <c r="AC761" s="769"/>
      <c r="AD761" s="268"/>
      <c r="AF761" s="268"/>
    </row>
    <row r="762" spans="1:39">
      <c r="A762" s="1">
        <v>339</v>
      </c>
      <c r="B762" s="256"/>
      <c r="C762" s="519" t="s">
        <v>868</v>
      </c>
      <c r="E762" s="513" t="s">
        <v>840</v>
      </c>
      <c r="G762" s="35">
        <v>0</v>
      </c>
      <c r="I762" s="773">
        <v>0.56999999999999995</v>
      </c>
      <c r="J762" s="771">
        <f>G762*I762/1000</f>
        <v>0</v>
      </c>
      <c r="L762" s="35">
        <v>0</v>
      </c>
      <c r="M762" s="35">
        <v>0</v>
      </c>
      <c r="N762" s="762">
        <f>J762</f>
        <v>0</v>
      </c>
      <c r="O762" s="68"/>
      <c r="P762" s="35">
        <v>0</v>
      </c>
      <c r="Q762" s="35">
        <v>0</v>
      </c>
      <c r="R762" s="35">
        <v>0</v>
      </c>
      <c r="S762" s="68"/>
      <c r="T762" s="771">
        <f>N762+P762+Q762+R762</f>
        <v>0</v>
      </c>
      <c r="U762" s="773">
        <v>0.58325325073303746</v>
      </c>
      <c r="V762" s="762">
        <f t="shared" si="11"/>
        <v>0</v>
      </c>
      <c r="W762" s="770">
        <f t="shared" si="12"/>
        <v>2.325131707550443E-2</v>
      </c>
      <c r="X762" s="769"/>
      <c r="Z762" s="938"/>
      <c r="AB762" s="938"/>
      <c r="AD762" s="938"/>
      <c r="AF762" s="941"/>
    </row>
    <row r="763" spans="1:39">
      <c r="A763" s="1">
        <v>340</v>
      </c>
      <c r="C763" s="519" t="s">
        <v>873</v>
      </c>
      <c r="D763" s="256"/>
      <c r="E763" s="513" t="s">
        <v>840</v>
      </c>
      <c r="F763" s="256"/>
      <c r="G763" s="35">
        <v>12566292</v>
      </c>
      <c r="H763" s="256"/>
      <c r="I763" s="773">
        <v>0.88800000000000001</v>
      </c>
      <c r="J763" s="750">
        <f>G763*I763/1000</f>
        <v>11158.867296</v>
      </c>
      <c r="K763" s="256"/>
      <c r="L763" s="35">
        <v>0</v>
      </c>
      <c r="M763" s="35">
        <v>0</v>
      </c>
      <c r="N763" s="762">
        <f>J763</f>
        <v>11158.867296</v>
      </c>
      <c r="O763" s="771"/>
      <c r="P763" s="35">
        <v>257.06802410810087</v>
      </c>
      <c r="Q763" s="35">
        <v>0</v>
      </c>
      <c r="R763" s="35">
        <v>0</v>
      </c>
      <c r="S763" s="771"/>
      <c r="T763" s="771">
        <f>N763+P763+Q763+R763</f>
        <v>11415.935320108101</v>
      </c>
      <c r="U763" s="773">
        <f>T763/G763*1000</f>
        <v>0.90845695135113058</v>
      </c>
      <c r="V763" s="762">
        <f t="shared" si="11"/>
        <v>257.06802410810087</v>
      </c>
      <c r="W763" s="770">
        <f t="shared" si="12"/>
        <v>2.3037107377399391E-2</v>
      </c>
      <c r="X763" s="769"/>
      <c r="Z763" s="938"/>
      <c r="AB763" s="938"/>
      <c r="AD763" s="938"/>
      <c r="AF763" s="941"/>
    </row>
    <row r="764" spans="1:39">
      <c r="A764" s="1">
        <v>341</v>
      </c>
      <c r="B764" s="256"/>
      <c r="C764" s="519" t="s">
        <v>874</v>
      </c>
      <c r="E764" s="513" t="s">
        <v>840</v>
      </c>
      <c r="G764" s="35">
        <v>759948</v>
      </c>
      <c r="I764" s="773">
        <v>1.5669999999999999</v>
      </c>
      <c r="J764" s="750">
        <f>G764*I764/1000</f>
        <v>1190.838516</v>
      </c>
      <c r="L764" s="35">
        <v>0</v>
      </c>
      <c r="M764" s="35">
        <v>0</v>
      </c>
      <c r="N764" s="762">
        <f>J764</f>
        <v>1190.838516</v>
      </c>
      <c r="O764" s="68"/>
      <c r="P764" s="35">
        <v>26.701301911090695</v>
      </c>
      <c r="Q764" s="35">
        <v>0</v>
      </c>
      <c r="R764" s="35">
        <v>0</v>
      </c>
      <c r="S764" s="68"/>
      <c r="T764" s="771">
        <f>N764+P764+Q764+R764</f>
        <v>1217.5398179110907</v>
      </c>
      <c r="U764" s="773">
        <f>T764/G764*1000</f>
        <v>1.6021356960095832</v>
      </c>
      <c r="V764" s="762">
        <f t="shared" si="11"/>
        <v>26.701301911090695</v>
      </c>
      <c r="W764" s="770">
        <f t="shared" si="12"/>
        <v>2.2422269310518939E-2</v>
      </c>
      <c r="X764" s="769"/>
      <c r="Z764" s="938"/>
      <c r="AB764" s="938"/>
      <c r="AD764" s="938"/>
      <c r="AF764" s="941"/>
    </row>
    <row r="765" spans="1:39">
      <c r="A765" s="1">
        <v>342</v>
      </c>
      <c r="B765" s="256"/>
      <c r="C765" s="519" t="s">
        <v>868</v>
      </c>
      <c r="E765" s="513" t="s">
        <v>840</v>
      </c>
      <c r="G765" s="35">
        <v>0</v>
      </c>
      <c r="I765" s="796">
        <f>I757</f>
        <v>0.56999999999999995</v>
      </c>
      <c r="J765" s="771">
        <f>G765*I765/1000</f>
        <v>0</v>
      </c>
      <c r="L765" s="35">
        <v>0</v>
      </c>
      <c r="M765" s="35">
        <v>0</v>
      </c>
      <c r="N765" s="35">
        <v>0</v>
      </c>
      <c r="O765" s="35"/>
      <c r="P765" s="35">
        <v>0</v>
      </c>
      <c r="Q765" s="762">
        <f>SUM(J765-L765-M765-N765-O765-P765)</f>
        <v>0</v>
      </c>
      <c r="R765" s="68"/>
      <c r="S765" s="35">
        <v>0</v>
      </c>
      <c r="T765" s="35">
        <v>0</v>
      </c>
      <c r="U765" s="796">
        <f>U757</f>
        <v>0.58325325073303746</v>
      </c>
      <c r="V765" s="762">
        <f t="shared" si="11"/>
        <v>0</v>
      </c>
      <c r="W765" s="770">
        <f t="shared" si="12"/>
        <v>2.325131707550443E-2</v>
      </c>
      <c r="X765" s="35">
        <v>0</v>
      </c>
      <c r="Y765" s="68"/>
      <c r="Z765" s="771"/>
      <c r="AB765" s="782"/>
      <c r="AD765" s="769"/>
      <c r="AF765" s="763"/>
      <c r="AG765" s="728"/>
      <c r="AH765" s="763"/>
      <c r="AI765" s="763"/>
      <c r="AJ765" s="728"/>
      <c r="AK765" s="763"/>
      <c r="AL765" s="728"/>
      <c r="AM765" s="776"/>
    </row>
    <row r="766" spans="1:39">
      <c r="C766" s="512" t="s">
        <v>875</v>
      </c>
      <c r="E766" s="36"/>
      <c r="G766" s="35"/>
      <c r="J766" s="752"/>
      <c r="L766" s="762"/>
      <c r="M766" s="762"/>
      <c r="N766" s="762"/>
      <c r="O766" s="68"/>
      <c r="P766" s="136"/>
      <c r="Q766" s="762"/>
      <c r="R766" s="762"/>
      <c r="S766" s="68"/>
      <c r="T766" s="771"/>
      <c r="U766" s="947"/>
      <c r="V766" s="762"/>
      <c r="W766" s="504"/>
    </row>
    <row r="767" spans="1:39">
      <c r="A767" s="1">
        <v>343</v>
      </c>
      <c r="B767" s="256"/>
      <c r="C767" s="9" t="s">
        <v>876</v>
      </c>
      <c r="D767" s="256"/>
      <c r="E767" s="513" t="s">
        <v>777</v>
      </c>
      <c r="F767" s="256"/>
      <c r="G767" s="35">
        <v>349244186.82099998</v>
      </c>
      <c r="H767" s="256"/>
      <c r="I767" s="35">
        <v>0</v>
      </c>
      <c r="J767" s="35">
        <v>0</v>
      </c>
      <c r="K767" s="256"/>
      <c r="L767" s="35">
        <v>0</v>
      </c>
      <c r="M767" s="35">
        <v>0</v>
      </c>
      <c r="N767" s="762">
        <f>J767</f>
        <v>0</v>
      </c>
      <c r="O767" s="771"/>
      <c r="P767" s="35">
        <v>0</v>
      </c>
      <c r="Q767" s="35">
        <v>0</v>
      </c>
      <c r="R767" s="35">
        <v>0</v>
      </c>
      <c r="S767" s="771"/>
      <c r="T767" s="771">
        <f>N767+P767+Q767+R767</f>
        <v>0</v>
      </c>
      <c r="U767" s="35">
        <v>0</v>
      </c>
      <c r="V767" s="762">
        <f>T767-J767</f>
        <v>0</v>
      </c>
      <c r="W767" s="35">
        <v>0</v>
      </c>
      <c r="X767" s="35"/>
    </row>
    <row r="768" spans="1:39">
      <c r="A768" s="1">
        <v>344</v>
      </c>
      <c r="B768" s="256"/>
      <c r="C768" s="9" t="s">
        <v>877</v>
      </c>
      <c r="D768" s="256"/>
      <c r="E768" s="513" t="s">
        <v>777</v>
      </c>
      <c r="F768" s="256"/>
      <c r="G768" s="35">
        <v>17399687.223999999</v>
      </c>
      <c r="H768" s="256"/>
      <c r="I768" s="35">
        <v>0</v>
      </c>
      <c r="J768" s="35">
        <v>0</v>
      </c>
      <c r="K768" s="256"/>
      <c r="L768" s="35">
        <v>0</v>
      </c>
      <c r="M768" s="35">
        <v>0</v>
      </c>
      <c r="N768" s="762">
        <f>J768</f>
        <v>0</v>
      </c>
      <c r="O768" s="771"/>
      <c r="P768" s="35">
        <v>0</v>
      </c>
      <c r="Q768" s="35">
        <v>0</v>
      </c>
      <c r="R768" s="35">
        <v>0</v>
      </c>
      <c r="S768" s="771"/>
      <c r="T768" s="771">
        <f>N768+P768+Q768+R768</f>
        <v>0</v>
      </c>
      <c r="U768" s="35">
        <v>0</v>
      </c>
      <c r="V768" s="762">
        <f>T768-J768</f>
        <v>0</v>
      </c>
      <c r="W768" s="35">
        <v>0</v>
      </c>
      <c r="X768" s="35"/>
    </row>
    <row r="769" spans="1:30">
      <c r="B769" s="256"/>
      <c r="C769" s="512"/>
      <c r="D769" s="256"/>
      <c r="E769" s="742"/>
      <c r="F769" s="256"/>
      <c r="G769" s="35"/>
      <c r="H769" s="256"/>
      <c r="I769" s="256"/>
      <c r="J769" s="750"/>
      <c r="K769" s="256"/>
      <c r="L769" s="762"/>
      <c r="M769" s="762"/>
      <c r="N769" s="762"/>
      <c r="O769" s="771"/>
      <c r="P769" s="453"/>
      <c r="Q769" s="762"/>
      <c r="R769" s="762"/>
      <c r="S769" s="771"/>
      <c r="T769" s="771"/>
      <c r="U769" s="771"/>
      <c r="V769" s="762"/>
      <c r="W769" s="504"/>
    </row>
    <row r="770" spans="1:30">
      <c r="B770" s="256"/>
      <c r="C770" s="512" t="s">
        <v>878</v>
      </c>
      <c r="D770" s="256"/>
      <c r="E770" s="36"/>
      <c r="F770" s="256"/>
      <c r="G770" s="453"/>
      <c r="H770" s="256"/>
      <c r="I770" s="256"/>
      <c r="K770" s="256"/>
      <c r="L770" s="762"/>
      <c r="M770" s="762"/>
      <c r="N770" s="762"/>
      <c r="O770" s="771"/>
      <c r="P770" s="453"/>
      <c r="Q770" s="762"/>
      <c r="R770" s="762"/>
      <c r="S770" s="771"/>
      <c r="T770" s="771"/>
      <c r="U770" s="771"/>
      <c r="V770" s="762"/>
      <c r="W770" s="504"/>
    </row>
    <row r="771" spans="1:30">
      <c r="A771" s="1">
        <v>345</v>
      </c>
      <c r="C771" s="9" t="s">
        <v>876</v>
      </c>
      <c r="E771" s="513" t="s">
        <v>777</v>
      </c>
      <c r="G771" s="35">
        <v>4834911.8473035097</v>
      </c>
      <c r="I771" s="35">
        <v>0</v>
      </c>
      <c r="J771" s="35">
        <v>0</v>
      </c>
      <c r="L771" s="35">
        <v>0</v>
      </c>
      <c r="M771" s="35">
        <v>0</v>
      </c>
      <c r="N771" s="762">
        <f>J772</f>
        <v>0</v>
      </c>
      <c r="O771" s="68"/>
      <c r="P771" s="35">
        <v>0</v>
      </c>
      <c r="Q771" s="35">
        <v>0</v>
      </c>
      <c r="R771" s="35">
        <v>0</v>
      </c>
      <c r="S771" s="68"/>
      <c r="T771" s="771">
        <f>N771+P771+Q771+R771</f>
        <v>0</v>
      </c>
      <c r="U771" s="35">
        <v>0</v>
      </c>
      <c r="V771" s="762">
        <f>T771-J772</f>
        <v>0</v>
      </c>
      <c r="W771" s="35">
        <v>0</v>
      </c>
      <c r="X771" s="35"/>
    </row>
    <row r="772" spans="1:30">
      <c r="A772" s="1">
        <v>346</v>
      </c>
      <c r="B772" s="256"/>
      <c r="C772" s="9" t="s">
        <v>877</v>
      </c>
      <c r="D772" s="256"/>
      <c r="E772" s="513" t="s">
        <v>777</v>
      </c>
      <c r="F772" s="256"/>
      <c r="G772" s="35">
        <v>204967728.36268201</v>
      </c>
      <c r="H772" s="256"/>
      <c r="I772" s="35">
        <v>0</v>
      </c>
      <c r="J772" s="35">
        <v>0</v>
      </c>
      <c r="K772" s="256"/>
      <c r="L772" s="35">
        <v>0</v>
      </c>
      <c r="M772" s="35">
        <v>0</v>
      </c>
      <c r="N772" s="762">
        <f>J773</f>
        <v>0</v>
      </c>
      <c r="O772" s="771"/>
      <c r="P772" s="35">
        <v>0</v>
      </c>
      <c r="Q772" s="35">
        <v>0</v>
      </c>
      <c r="R772" s="35">
        <v>0</v>
      </c>
      <c r="S772" s="771"/>
      <c r="T772" s="771">
        <f>N772+P772+Q772+R772</f>
        <v>0</v>
      </c>
      <c r="U772" s="35">
        <v>0</v>
      </c>
      <c r="V772" s="762">
        <f>T772-J773</f>
        <v>0</v>
      </c>
      <c r="W772" s="35">
        <v>0</v>
      </c>
      <c r="X772" s="35"/>
    </row>
    <row r="773" spans="1:30">
      <c r="B773" s="256"/>
      <c r="D773" s="256"/>
      <c r="E773" s="36"/>
      <c r="F773" s="256"/>
      <c r="G773" s="35"/>
      <c r="H773" s="256"/>
      <c r="I773" s="256"/>
      <c r="J773" s="750"/>
      <c r="K773" s="256"/>
      <c r="L773" s="762"/>
      <c r="M773" s="762"/>
      <c r="N773" s="762"/>
      <c r="O773" s="771"/>
      <c r="P773" s="453"/>
      <c r="Q773" s="762"/>
      <c r="R773" s="762"/>
      <c r="S773" s="771"/>
      <c r="T773" s="771"/>
      <c r="U773" s="947"/>
      <c r="V773" s="762"/>
      <c r="W773" s="504"/>
    </row>
    <row r="774" spans="1:30" ht="13.5" thickBot="1">
      <c r="A774" s="1">
        <v>347</v>
      </c>
      <c r="B774" s="256"/>
      <c r="C774" s="12" t="s">
        <v>879</v>
      </c>
      <c r="D774" s="256"/>
      <c r="E774" s="36"/>
      <c r="F774" s="256"/>
      <c r="G774" s="458">
        <f>SUM(G751:G773)</f>
        <v>624051256.25498545</v>
      </c>
      <c r="H774" s="256"/>
      <c r="I774" s="766">
        <f>J774/G774*100</f>
        <v>1.6769552530672263E-2</v>
      </c>
      <c r="J774" s="756">
        <f>SUM(J751:J772)</f>
        <v>104650.60323599997</v>
      </c>
      <c r="K774" s="750"/>
      <c r="L774" s="781">
        <f>SUM(L751:L772)</f>
        <v>0</v>
      </c>
      <c r="M774" s="781">
        <f>SUM(M751:M772)</f>
        <v>0</v>
      </c>
      <c r="N774" s="781">
        <f>SUM(N751:N772)</f>
        <v>104650.60323599997</v>
      </c>
      <c r="O774" s="771"/>
      <c r="P774" s="781">
        <f>SUM(P751:P772)</f>
        <v>2821.9219832848885</v>
      </c>
      <c r="Q774" s="781">
        <f>SUM(Q751:Q772)</f>
        <v>0</v>
      </c>
      <c r="R774" s="781">
        <f>SUM(R751:R772)</f>
        <v>0</v>
      </c>
      <c r="S774" s="771"/>
      <c r="T774" s="781">
        <f>SUM(T751:T772)</f>
        <v>107472.52521928489</v>
      </c>
      <c r="U774" s="766">
        <f>T774/G774*100</f>
        <v>1.7221746473878093E-2</v>
      </c>
      <c r="V774" s="781">
        <f>SUM(V751:V772)</f>
        <v>2821.9219832848885</v>
      </c>
      <c r="W774" s="780">
        <f>U774/I774-1</f>
        <v>2.6965176463638274E-2</v>
      </c>
      <c r="X774" s="779"/>
      <c r="Z774" s="938"/>
      <c r="AB774" s="938"/>
      <c r="AD774" s="938"/>
    </row>
    <row r="775" spans="1:30" ht="13.5" thickTop="1">
      <c r="A775" s="4"/>
      <c r="B775" s="256"/>
      <c r="C775" s="12"/>
      <c r="D775" s="256"/>
      <c r="E775" s="36"/>
      <c r="F775" s="256"/>
      <c r="G775" s="453"/>
      <c r="H775" s="256"/>
      <c r="I775" s="792"/>
      <c r="J775" s="750"/>
      <c r="K775" s="750"/>
      <c r="L775" s="771"/>
      <c r="M775" s="771"/>
      <c r="N775" s="771"/>
      <c r="O775" s="771"/>
      <c r="P775" s="771"/>
      <c r="Q775" s="771"/>
      <c r="R775" s="771"/>
      <c r="S775" s="771"/>
      <c r="T775" s="771"/>
      <c r="U775" s="771"/>
      <c r="V775" s="771"/>
      <c r="W775" s="779"/>
      <c r="X775" s="779"/>
    </row>
    <row r="776" spans="1:30">
      <c r="A776" s="4"/>
      <c r="B776" s="256"/>
      <c r="C776" s="12"/>
      <c r="D776" s="256"/>
      <c r="E776" s="36"/>
      <c r="F776" s="256"/>
      <c r="G776" s="453"/>
      <c r="H776" s="256"/>
      <c r="I776" s="792"/>
      <c r="J776" s="750"/>
      <c r="K776" s="750"/>
      <c r="L776" s="771"/>
      <c r="M776" s="771"/>
      <c r="N776" s="771"/>
      <c r="O776" s="771"/>
      <c r="P776" s="771"/>
      <c r="Q776" s="771"/>
      <c r="R776" s="771"/>
      <c r="S776" s="771"/>
      <c r="T776" s="771"/>
      <c r="U776" s="771"/>
      <c r="V776" s="771"/>
      <c r="W776" s="779"/>
      <c r="X776" s="779"/>
    </row>
    <row r="777" spans="1:30">
      <c r="L777" s="2"/>
      <c r="M777" s="2"/>
      <c r="N777" s="504"/>
      <c r="Q777" s="504"/>
      <c r="R777" s="504"/>
      <c r="V777" s="504"/>
      <c r="W777" s="504"/>
    </row>
    <row r="778" spans="1:30">
      <c r="L778" s="2"/>
      <c r="M778" s="2"/>
      <c r="N778" s="504"/>
      <c r="Q778" s="504"/>
      <c r="R778" s="504"/>
      <c r="V778" s="762"/>
      <c r="W778" s="504"/>
    </row>
    <row r="779" spans="1:30">
      <c r="L779" s="2"/>
      <c r="M779" s="2"/>
      <c r="N779" s="504"/>
      <c r="Q779" s="504"/>
      <c r="R779" s="504"/>
      <c r="V779" s="504"/>
      <c r="W779" s="504"/>
    </row>
    <row r="780" spans="1:30">
      <c r="A780" s="1324" t="s">
        <v>724</v>
      </c>
      <c r="B780" s="1324"/>
      <c r="C780" s="1324"/>
      <c r="D780" s="1324"/>
      <c r="E780" s="1324"/>
      <c r="F780" s="1324"/>
      <c r="G780" s="1324"/>
      <c r="H780" s="1324"/>
      <c r="I780" s="1324"/>
      <c r="J780" s="1324"/>
      <c r="K780" s="1324"/>
      <c r="L780" s="1324"/>
      <c r="M780" s="1324"/>
      <c r="N780" s="1324"/>
      <c r="O780" s="1324"/>
      <c r="P780" s="1324"/>
      <c r="Q780" s="1324"/>
      <c r="R780" s="1324"/>
      <c r="S780" s="1324"/>
      <c r="T780" s="1324"/>
      <c r="U780" s="1324"/>
      <c r="V780" s="1324"/>
      <c r="W780" s="1324"/>
      <c r="X780" s="665"/>
    </row>
    <row r="781" spans="1:30">
      <c r="A781" s="1324" t="s">
        <v>938</v>
      </c>
      <c r="B781" s="1324"/>
      <c r="C781" s="1324"/>
      <c r="D781" s="1324"/>
      <c r="E781" s="1324"/>
      <c r="F781" s="1324"/>
      <c r="G781" s="1324"/>
      <c r="H781" s="1324"/>
      <c r="I781" s="1324"/>
      <c r="J781" s="1324"/>
      <c r="K781" s="1324"/>
      <c r="L781" s="1324"/>
      <c r="M781" s="1324"/>
      <c r="N781" s="1324"/>
      <c r="O781" s="1324"/>
      <c r="P781" s="1324"/>
      <c r="Q781" s="1324"/>
      <c r="R781" s="1324"/>
      <c r="S781" s="1324"/>
      <c r="T781" s="1324"/>
      <c r="U781" s="1324"/>
      <c r="V781" s="1324"/>
      <c r="W781" s="1324"/>
      <c r="X781" s="644"/>
      <c r="Y781" s="644"/>
    </row>
    <row r="782" spans="1:30">
      <c r="A782" s="385"/>
      <c r="B782" s="385"/>
      <c r="C782" s="385"/>
      <c r="D782" s="385"/>
      <c r="E782" s="447"/>
      <c r="F782" s="385"/>
      <c r="G782" s="447"/>
      <c r="H782" s="385"/>
      <c r="I782" s="385"/>
      <c r="J782" s="385"/>
      <c r="K782" s="385"/>
      <c r="L782" s="385"/>
      <c r="M782" s="385"/>
      <c r="N782" s="504"/>
      <c r="O782" s="385"/>
      <c r="P782" s="385"/>
      <c r="Q782" s="504"/>
      <c r="R782" s="504"/>
      <c r="S782" s="385"/>
      <c r="T782" s="385"/>
      <c r="U782" s="385"/>
      <c r="V782" s="504"/>
      <c r="W782" s="504"/>
    </row>
    <row r="783" spans="1:30" ht="26.45" customHeight="1">
      <c r="A783" s="447"/>
      <c r="B783" s="447"/>
      <c r="C783" s="447"/>
      <c r="D783" s="447"/>
      <c r="E783" s="385"/>
      <c r="F783" s="1313" t="s">
        <v>682</v>
      </c>
      <c r="G783" s="1313"/>
      <c r="H783" s="1313"/>
      <c r="I783" s="1313"/>
      <c r="J783" s="1313"/>
      <c r="K783" s="447"/>
      <c r="L783" s="1325" t="s">
        <v>496</v>
      </c>
      <c r="M783" s="1325"/>
      <c r="N783" s="256"/>
      <c r="O783" s="447"/>
      <c r="P783" s="449"/>
      <c r="Q783" s="1325" t="s">
        <v>497</v>
      </c>
      <c r="R783" s="1325"/>
      <c r="S783" s="447"/>
      <c r="T783" s="1313" t="s">
        <v>926</v>
      </c>
      <c r="U783" s="1313"/>
      <c r="V783" s="1313"/>
      <c r="W783" s="1313"/>
      <c r="X783" s="4"/>
    </row>
    <row r="784" spans="1:30" ht="38.25">
      <c r="A784" s="254" t="s">
        <v>1</v>
      </c>
      <c r="B784" s="254"/>
      <c r="C784" s="254"/>
      <c r="D784" s="254"/>
      <c r="E784" s="4" t="s">
        <v>670</v>
      </c>
      <c r="F784" s="254"/>
      <c r="G784" s="13" t="s">
        <v>684</v>
      </c>
      <c r="H784" s="254"/>
      <c r="I784" s="13" t="s">
        <v>196</v>
      </c>
      <c r="J784" s="13" t="s">
        <v>503</v>
      </c>
      <c r="K784" s="254"/>
      <c r="L784" s="13" t="s">
        <v>505</v>
      </c>
      <c r="M784" s="13" t="s">
        <v>685</v>
      </c>
      <c r="N784" s="254" t="s">
        <v>688</v>
      </c>
      <c r="O784" s="254"/>
      <c r="P784" s="254" t="s">
        <v>689</v>
      </c>
      <c r="Q784" s="13" t="s">
        <v>505</v>
      </c>
      <c r="R784" s="13" t="s">
        <v>685</v>
      </c>
      <c r="S784" s="254"/>
      <c r="T784" s="13" t="s">
        <v>690</v>
      </c>
      <c r="U784" s="13" t="s">
        <v>691</v>
      </c>
      <c r="V784" s="13" t="s">
        <v>692</v>
      </c>
      <c r="W784" s="254" t="s">
        <v>693</v>
      </c>
      <c r="X784" s="254"/>
    </row>
    <row r="785" spans="1:32">
      <c r="A785" s="255" t="s">
        <v>2</v>
      </c>
      <c r="B785" s="256"/>
      <c r="C785" s="449" t="s">
        <v>3</v>
      </c>
      <c r="D785" s="256"/>
      <c r="E785" s="255" t="s">
        <v>4</v>
      </c>
      <c r="F785" s="256"/>
      <c r="G785" s="255" t="s">
        <v>694</v>
      </c>
      <c r="H785" s="256"/>
      <c r="I785" s="255" t="s">
        <v>131</v>
      </c>
      <c r="J785" s="255" t="s">
        <v>20</v>
      </c>
      <c r="K785" s="256"/>
      <c r="L785" s="255" t="s">
        <v>20</v>
      </c>
      <c r="M785" s="255" t="s">
        <v>20</v>
      </c>
      <c r="N785" s="255" t="s">
        <v>20</v>
      </c>
      <c r="O785" s="256"/>
      <c r="P785" s="255" t="s">
        <v>20</v>
      </c>
      <c r="Q785" s="255" t="s">
        <v>20</v>
      </c>
      <c r="R785" s="255" t="s">
        <v>20</v>
      </c>
      <c r="S785" s="256"/>
      <c r="T785" s="255" t="s">
        <v>20</v>
      </c>
      <c r="U785" s="255" t="s">
        <v>131</v>
      </c>
      <c r="V785" s="255" t="s">
        <v>20</v>
      </c>
      <c r="W785" s="255" t="s">
        <v>76</v>
      </c>
      <c r="X785" s="4"/>
    </row>
    <row r="786" spans="1:32">
      <c r="A786" s="4"/>
      <c r="B786" s="256"/>
      <c r="C786" s="256"/>
      <c r="D786" s="256"/>
      <c r="E786" s="4"/>
      <c r="F786" s="256"/>
      <c r="G786" s="4" t="s">
        <v>8</v>
      </c>
      <c r="H786" s="4"/>
      <c r="I786" s="4" t="s">
        <v>9</v>
      </c>
      <c r="J786" s="4" t="s">
        <v>370</v>
      </c>
      <c r="K786" s="4"/>
      <c r="L786" s="132" t="s">
        <v>79</v>
      </c>
      <c r="M786" s="132" t="s">
        <v>115</v>
      </c>
      <c r="N786" s="4" t="s">
        <v>927</v>
      </c>
      <c r="O786" s="4"/>
      <c r="P786" s="4" t="s">
        <v>928</v>
      </c>
      <c r="Q786" s="4" t="s">
        <v>118</v>
      </c>
      <c r="R786" s="4" t="s">
        <v>84</v>
      </c>
      <c r="S786" s="4"/>
      <c r="T786" s="4" t="s">
        <v>929</v>
      </c>
      <c r="U786" s="4" t="s">
        <v>517</v>
      </c>
      <c r="V786" s="4" t="s">
        <v>930</v>
      </c>
      <c r="W786" s="4" t="s">
        <v>931</v>
      </c>
    </row>
    <row r="787" spans="1:32">
      <c r="A787" s="4"/>
      <c r="B787" s="256"/>
      <c r="C787" s="6" t="s">
        <v>529</v>
      </c>
      <c r="D787" s="256"/>
      <c r="E787" s="134"/>
      <c r="F787" s="256"/>
      <c r="G787" s="749"/>
      <c r="H787" s="256"/>
      <c r="I787" s="256"/>
      <c r="J787" s="256"/>
      <c r="K787" s="256"/>
      <c r="L787" s="762"/>
      <c r="M787" s="762"/>
      <c r="N787" s="762"/>
      <c r="O787" s="771"/>
      <c r="P787" s="771"/>
      <c r="Q787" s="762"/>
      <c r="R787" s="762"/>
      <c r="S787" s="771"/>
      <c r="T787" s="771"/>
      <c r="U787" s="771"/>
      <c r="V787" s="762"/>
      <c r="W787" s="504"/>
    </row>
    <row r="788" spans="1:32">
      <c r="A788" s="4"/>
      <c r="C788" s="7" t="s">
        <v>880</v>
      </c>
      <c r="E788" s="513"/>
      <c r="G788" s="35"/>
      <c r="L788" s="762"/>
      <c r="M788" s="762"/>
      <c r="N788" s="762"/>
      <c r="O788" s="68"/>
      <c r="P788" s="68"/>
      <c r="Q788" s="762"/>
      <c r="R788" s="762"/>
      <c r="S788" s="68"/>
      <c r="T788" s="68"/>
      <c r="U788" s="68"/>
      <c r="V788" s="762"/>
      <c r="W788" s="504"/>
    </row>
    <row r="789" spans="1:32" ht="25.5">
      <c r="A789" s="1">
        <v>348</v>
      </c>
      <c r="C789" s="794" t="s">
        <v>881</v>
      </c>
      <c r="E789" s="513" t="s">
        <v>882</v>
      </c>
      <c r="G789" s="35">
        <v>443124</v>
      </c>
      <c r="I789" s="773">
        <v>2.3260000000000001</v>
      </c>
      <c r="J789" s="752">
        <v>959.80658399999993</v>
      </c>
      <c r="L789" s="35">
        <v>0</v>
      </c>
      <c r="M789" s="35">
        <v>0</v>
      </c>
      <c r="N789" s="68">
        <f>J789</f>
        <v>959.80658399999993</v>
      </c>
      <c r="O789" s="68"/>
      <c r="P789" s="35">
        <v>25.881353908521419</v>
      </c>
      <c r="Q789" s="35">
        <v>0</v>
      </c>
      <c r="R789" s="35">
        <v>0</v>
      </c>
      <c r="S789" s="68"/>
      <c r="T789" s="68">
        <f>N789+P789+Q789+R789</f>
        <v>985.68793790852135</v>
      </c>
      <c r="U789" s="773">
        <f>T789/G789*1000</f>
        <v>2.2244065722202393</v>
      </c>
      <c r="V789" s="762">
        <f>T789-J789</f>
        <v>25.881353908521419</v>
      </c>
      <c r="W789" s="785">
        <f>U789/I789-1</f>
        <v>-4.3677312029131832E-2</v>
      </c>
      <c r="X789" s="769"/>
      <c r="Z789" s="938"/>
      <c r="AB789" s="938"/>
      <c r="AD789" s="938"/>
      <c r="AF789" s="941"/>
    </row>
    <row r="790" spans="1:32">
      <c r="A790" s="4"/>
      <c r="B790" s="256"/>
      <c r="C790" s="741"/>
      <c r="D790" s="256"/>
      <c r="E790" s="513"/>
      <c r="F790" s="256"/>
      <c r="G790" s="35"/>
      <c r="H790" s="256"/>
      <c r="I790" s="773"/>
      <c r="J790" s="68"/>
      <c r="K790" s="256"/>
      <c r="L790" s="35"/>
      <c r="M790" s="35"/>
      <c r="N790" s="68"/>
      <c r="O790" s="771"/>
      <c r="P790" s="35"/>
      <c r="Q790" s="35"/>
      <c r="R790" s="35"/>
      <c r="S790" s="771"/>
      <c r="T790" s="68"/>
      <c r="U790" s="942"/>
      <c r="V790" s="762"/>
      <c r="W790" s="770"/>
      <c r="X790" s="769"/>
      <c r="Z790" s="938"/>
      <c r="AB790" s="938"/>
      <c r="AD790" s="938"/>
      <c r="AF790" s="941"/>
    </row>
    <row r="791" spans="1:32">
      <c r="A791" s="4">
        <v>349</v>
      </c>
      <c r="B791" s="256"/>
      <c r="C791" s="9" t="s">
        <v>883</v>
      </c>
      <c r="D791" s="256"/>
      <c r="E791" s="513" t="s">
        <v>882</v>
      </c>
      <c r="F791" s="256"/>
      <c r="G791" s="35">
        <v>2443512</v>
      </c>
      <c r="H791" s="256"/>
      <c r="I791" s="773">
        <v>3.2000000000000001E-2</v>
      </c>
      <c r="J791" s="752">
        <f>G791*I791/1000</f>
        <v>78.192384000000004</v>
      </c>
      <c r="K791" s="256"/>
      <c r="L791" s="35">
        <v>0</v>
      </c>
      <c r="M791" s="35">
        <v>0</v>
      </c>
      <c r="N791" s="68">
        <f>J791</f>
        <v>78.192384000000004</v>
      </c>
      <c r="O791" s="771"/>
      <c r="P791" s="35">
        <v>2.1084714326725305</v>
      </c>
      <c r="Q791" s="35">
        <v>0</v>
      </c>
      <c r="R791" s="35">
        <v>0</v>
      </c>
      <c r="S791" s="771"/>
      <c r="T791" s="68">
        <f>N791+P791+Q791+R791</f>
        <v>80.300855432672535</v>
      </c>
      <c r="U791" s="773">
        <f>T791/G791*1000</f>
        <v>3.2862885646836412E-2</v>
      </c>
      <c r="V791" s="762">
        <f>T791-J791</f>
        <v>2.1084714326725305</v>
      </c>
      <c r="W791" s="770">
        <f>U791/I791-1</f>
        <v>2.696517646363783E-2</v>
      </c>
      <c r="X791" s="769"/>
      <c r="Z791" s="938"/>
      <c r="AB791" s="938"/>
      <c r="AD791" s="938"/>
      <c r="AF791" s="941"/>
    </row>
    <row r="792" spans="1:32">
      <c r="A792" s="4">
        <v>350</v>
      </c>
      <c r="B792" s="256"/>
      <c r="C792" s="543" t="s">
        <v>866</v>
      </c>
      <c r="D792" s="256"/>
      <c r="E792" s="513" t="s">
        <v>882</v>
      </c>
      <c r="F792" s="256"/>
      <c r="G792" s="35">
        <v>1329372</v>
      </c>
      <c r="H792" s="256"/>
      <c r="I792" s="773">
        <v>7.6999999999999999E-2</v>
      </c>
      <c r="J792" s="752">
        <f>G792*I792/1000</f>
        <v>102.361644</v>
      </c>
      <c r="K792" s="256"/>
      <c r="L792" s="35">
        <v>0</v>
      </c>
      <c r="M792" s="35">
        <v>0</v>
      </c>
      <c r="N792" s="68">
        <f>J792</f>
        <v>102.361644</v>
      </c>
      <c r="O792" s="771"/>
      <c r="P792" s="35">
        <v>2.7601997935680771</v>
      </c>
      <c r="Q792" s="35">
        <v>0</v>
      </c>
      <c r="R792" s="35">
        <v>0</v>
      </c>
      <c r="S792" s="771"/>
      <c r="T792" s="68">
        <f>N792+P792+Q792+R792</f>
        <v>105.12184379356808</v>
      </c>
      <c r="U792" s="773">
        <f>T792/G792*1000</f>
        <v>7.9076318587700117E-2</v>
      </c>
      <c r="V792" s="762">
        <f>T792-J792</f>
        <v>2.7601997935680771</v>
      </c>
      <c r="W792" s="770">
        <f>U792/I792-1</f>
        <v>2.696517646363783E-2</v>
      </c>
      <c r="X792" s="769"/>
      <c r="Z792" s="938"/>
      <c r="AB792" s="938"/>
      <c r="AD792" s="938"/>
      <c r="AF792" s="941"/>
    </row>
    <row r="793" spans="1:32">
      <c r="A793" s="4">
        <v>351</v>
      </c>
      <c r="B793" s="256"/>
      <c r="C793" s="9" t="s">
        <v>884</v>
      </c>
      <c r="D793" s="256"/>
      <c r="E793" s="513" t="s">
        <v>882</v>
      </c>
      <c r="F793" s="256"/>
      <c r="G793" s="35">
        <v>6000000</v>
      </c>
      <c r="H793" s="256"/>
      <c r="I793" s="773">
        <v>0.152</v>
      </c>
      <c r="J793" s="752">
        <f>G793*I793/1000</f>
        <v>912</v>
      </c>
      <c r="K793" s="256"/>
      <c r="L793" s="35">
        <v>0</v>
      </c>
      <c r="M793" s="35">
        <v>0</v>
      </c>
      <c r="N793" s="68">
        <f>J793</f>
        <v>912</v>
      </c>
      <c r="O793" s="771"/>
      <c r="P793" s="35">
        <v>24.592240934837719</v>
      </c>
      <c r="Q793" s="35">
        <v>0</v>
      </c>
      <c r="R793" s="35">
        <v>0</v>
      </c>
      <c r="S793" s="771"/>
      <c r="T793" s="68">
        <f>N793+P793+Q793+R793</f>
        <v>936.59224093483772</v>
      </c>
      <c r="U793" s="773">
        <f>T793/G793*1000</f>
        <v>0.15609870682247295</v>
      </c>
      <c r="V793" s="762">
        <f>T793-J793</f>
        <v>24.592240934837719</v>
      </c>
      <c r="W793" s="770">
        <f>U793/I793-1</f>
        <v>2.696517646363783E-2</v>
      </c>
      <c r="X793" s="769"/>
      <c r="Z793" s="938"/>
      <c r="AB793" s="938"/>
      <c r="AD793" s="938"/>
      <c r="AF793" s="941"/>
    </row>
    <row r="794" spans="1:32">
      <c r="A794" s="4"/>
      <c r="B794" s="256"/>
      <c r="D794" s="256"/>
      <c r="E794" s="742"/>
      <c r="F794" s="256"/>
      <c r="G794" s="35"/>
      <c r="H794" s="256"/>
      <c r="I794" s="774"/>
      <c r="J794" s="752"/>
      <c r="K794" s="256"/>
      <c r="L794" s="762"/>
      <c r="M794" s="762"/>
      <c r="N794" s="68"/>
      <c r="O794" s="771"/>
      <c r="P794" s="35"/>
      <c r="Q794" s="762"/>
      <c r="R794" s="762"/>
      <c r="S794" s="771"/>
      <c r="T794" s="68"/>
      <c r="U794" s="946"/>
      <c r="V794" s="762"/>
      <c r="W794" s="504"/>
      <c r="AD794" s="938"/>
    </row>
    <row r="795" spans="1:32">
      <c r="A795" s="4"/>
      <c r="B795" s="256"/>
      <c r="C795" s="7" t="s">
        <v>885</v>
      </c>
      <c r="D795" s="256"/>
      <c r="E795" s="742"/>
      <c r="F795" s="256"/>
      <c r="G795" s="35"/>
      <c r="H795" s="256"/>
      <c r="I795" s="256"/>
      <c r="J795" s="752"/>
      <c r="K795" s="256"/>
      <c r="L795" s="762"/>
      <c r="M795" s="762"/>
      <c r="N795" s="68"/>
      <c r="O795" s="771"/>
      <c r="P795" s="35"/>
      <c r="Q795" s="762"/>
      <c r="R795" s="762"/>
      <c r="S795" s="771"/>
      <c r="T795" s="68"/>
      <c r="U795" s="946"/>
      <c r="V795" s="762"/>
      <c r="W795" s="504"/>
    </row>
    <row r="796" spans="1:32">
      <c r="A796" s="4"/>
      <c r="B796" s="256"/>
      <c r="C796" s="519" t="s">
        <v>886</v>
      </c>
      <c r="D796" s="256"/>
      <c r="E796" s="36"/>
      <c r="F796" s="256"/>
      <c r="G796" s="35"/>
      <c r="H796" s="256"/>
      <c r="I796" s="256"/>
      <c r="J796" s="752"/>
      <c r="K796" s="256"/>
      <c r="L796" s="762"/>
      <c r="M796" s="762"/>
      <c r="N796" s="68"/>
      <c r="O796" s="771"/>
      <c r="P796" s="35"/>
      <c r="Q796" s="762"/>
      <c r="R796" s="762"/>
      <c r="S796" s="771"/>
      <c r="T796" s="68"/>
      <c r="U796" s="946"/>
      <c r="V796" s="762"/>
      <c r="W796" s="504"/>
    </row>
    <row r="797" spans="1:32">
      <c r="A797" s="4">
        <v>352</v>
      </c>
      <c r="B797" s="256"/>
      <c r="C797" s="740" t="s">
        <v>887</v>
      </c>
      <c r="D797" s="256"/>
      <c r="E797" s="513" t="s">
        <v>777</v>
      </c>
      <c r="F797" s="256"/>
      <c r="G797" s="35">
        <v>182561.93109999999</v>
      </c>
      <c r="H797" s="256"/>
      <c r="I797" s="35">
        <v>0</v>
      </c>
      <c r="J797" s="68">
        <f>G797*I797/1000</f>
        <v>0</v>
      </c>
      <c r="K797" s="256"/>
      <c r="L797" s="35">
        <v>0</v>
      </c>
      <c r="M797" s="35">
        <v>0</v>
      </c>
      <c r="N797" s="68">
        <f>J797</f>
        <v>0</v>
      </c>
      <c r="O797" s="771"/>
      <c r="P797" s="35">
        <v>0</v>
      </c>
      <c r="Q797" s="35">
        <v>0</v>
      </c>
      <c r="R797" s="35">
        <v>0</v>
      </c>
      <c r="S797" s="771"/>
      <c r="T797" s="68">
        <f>N797+P797+Q797+R797</f>
        <v>0</v>
      </c>
      <c r="U797" s="35">
        <v>0</v>
      </c>
      <c r="V797" s="762">
        <f>T797-J797</f>
        <v>0</v>
      </c>
      <c r="W797" s="35"/>
      <c r="X797" s="35"/>
    </row>
    <row r="798" spans="1:32">
      <c r="A798" s="4">
        <v>353</v>
      </c>
      <c r="B798" s="256"/>
      <c r="C798" s="740" t="s">
        <v>888</v>
      </c>
      <c r="D798" s="256"/>
      <c r="E798" s="513" t="s">
        <v>777</v>
      </c>
      <c r="F798" s="256"/>
      <c r="G798" s="35">
        <v>36496498.858000003</v>
      </c>
      <c r="H798" s="256"/>
      <c r="I798" s="35">
        <v>0</v>
      </c>
      <c r="J798" s="68">
        <f>G798*I798/1000</f>
        <v>0</v>
      </c>
      <c r="K798" s="256"/>
      <c r="L798" s="35">
        <v>0</v>
      </c>
      <c r="M798" s="35">
        <v>0</v>
      </c>
      <c r="N798" s="68">
        <f>J798</f>
        <v>0</v>
      </c>
      <c r="O798" s="771"/>
      <c r="P798" s="35">
        <v>0</v>
      </c>
      <c r="Q798" s="35">
        <v>0</v>
      </c>
      <c r="R798" s="35">
        <v>0</v>
      </c>
      <c r="S798" s="771"/>
      <c r="T798" s="68">
        <f>N798+P798+Q798+R798</f>
        <v>0</v>
      </c>
      <c r="U798" s="35">
        <v>0</v>
      </c>
      <c r="V798" s="762">
        <f>T798-J798</f>
        <v>0</v>
      </c>
      <c r="W798" s="35"/>
      <c r="X798" s="35"/>
    </row>
    <row r="799" spans="1:32">
      <c r="A799" s="4">
        <v>354</v>
      </c>
      <c r="B799" s="256"/>
      <c r="C799" s="740" t="s">
        <v>889</v>
      </c>
      <c r="D799" s="256"/>
      <c r="E799" s="513" t="s">
        <v>777</v>
      </c>
      <c r="F799" s="256"/>
      <c r="G799" s="35">
        <v>10101454.704</v>
      </c>
      <c r="H799" s="256"/>
      <c r="I799" s="35">
        <v>0</v>
      </c>
      <c r="J799" s="68">
        <f>G799*I799/1000</f>
        <v>0</v>
      </c>
      <c r="K799" s="256"/>
      <c r="L799" s="35">
        <v>0</v>
      </c>
      <c r="M799" s="35">
        <v>0</v>
      </c>
      <c r="N799" s="68">
        <f>J799</f>
        <v>0</v>
      </c>
      <c r="O799" s="771"/>
      <c r="P799" s="35">
        <v>0</v>
      </c>
      <c r="Q799" s="35">
        <v>0</v>
      </c>
      <c r="R799" s="35">
        <v>0</v>
      </c>
      <c r="S799" s="771"/>
      <c r="T799" s="68">
        <f>N799+P799+Q799+R799</f>
        <v>0</v>
      </c>
      <c r="U799" s="35">
        <v>0</v>
      </c>
      <c r="V799" s="762">
        <f>T799-J799</f>
        <v>0</v>
      </c>
      <c r="W799" s="35"/>
      <c r="X799" s="35"/>
    </row>
    <row r="800" spans="1:32">
      <c r="A800" s="4">
        <v>355</v>
      </c>
      <c r="C800" s="740" t="s">
        <v>890</v>
      </c>
      <c r="E800" s="513" t="s">
        <v>777</v>
      </c>
      <c r="G800" s="35">
        <v>0</v>
      </c>
      <c r="I800" s="35">
        <v>0</v>
      </c>
      <c r="J800" s="752"/>
      <c r="L800" s="762"/>
      <c r="M800" s="762"/>
      <c r="N800" s="762"/>
      <c r="O800" s="68"/>
      <c r="P800" s="35"/>
      <c r="Q800" s="762"/>
      <c r="R800" s="762"/>
      <c r="S800" s="68"/>
      <c r="T800" s="68"/>
      <c r="U800" s="68"/>
      <c r="V800" s="762">
        <f>T800-J800</f>
        <v>0</v>
      </c>
      <c r="W800" s="35"/>
      <c r="X800" s="35"/>
    </row>
    <row r="801" spans="1:30">
      <c r="A801" s="4"/>
      <c r="C801" s="504"/>
      <c r="E801" s="36"/>
      <c r="G801" s="35"/>
      <c r="J801" s="752"/>
      <c r="L801" s="762"/>
      <c r="M801" s="762"/>
      <c r="N801" s="762"/>
      <c r="O801" s="68"/>
      <c r="P801" s="35"/>
      <c r="Q801" s="762"/>
      <c r="R801" s="762"/>
      <c r="S801" s="68"/>
      <c r="T801" s="68"/>
      <c r="U801" s="68"/>
      <c r="V801" s="762"/>
      <c r="W801" s="504"/>
    </row>
    <row r="802" spans="1:30">
      <c r="A802" s="4"/>
      <c r="C802" s="512" t="s">
        <v>891</v>
      </c>
      <c r="E802" s="36"/>
      <c r="G802" s="35"/>
      <c r="J802" s="752"/>
      <c r="L802" s="762"/>
      <c r="M802" s="762"/>
      <c r="N802" s="762"/>
      <c r="O802" s="68"/>
      <c r="P802" s="35"/>
      <c r="Q802" s="762"/>
      <c r="R802" s="762"/>
      <c r="S802" s="68"/>
      <c r="T802" s="68"/>
      <c r="U802" s="68"/>
      <c r="V802" s="762"/>
      <c r="W802" s="504"/>
    </row>
    <row r="803" spans="1:30">
      <c r="A803" s="4">
        <v>356</v>
      </c>
      <c r="C803" s="740" t="s">
        <v>892</v>
      </c>
      <c r="E803" s="513" t="s">
        <v>777</v>
      </c>
      <c r="G803" s="35">
        <v>0</v>
      </c>
      <c r="I803" s="35">
        <v>0</v>
      </c>
      <c r="J803" s="35">
        <v>0</v>
      </c>
      <c r="L803" s="35">
        <v>0</v>
      </c>
      <c r="M803" s="35">
        <v>0</v>
      </c>
      <c r="N803" s="762">
        <f>J803</f>
        <v>0</v>
      </c>
      <c r="O803" s="68"/>
      <c r="P803" s="35">
        <v>0</v>
      </c>
      <c r="Q803" s="35">
        <v>0</v>
      </c>
      <c r="R803" s="35">
        <v>0</v>
      </c>
      <c r="S803" s="68"/>
      <c r="T803" s="68">
        <f>N803+P803+Q803+R803</f>
        <v>0</v>
      </c>
      <c r="U803" s="35">
        <v>0</v>
      </c>
      <c r="V803" s="762">
        <f>T803-J803</f>
        <v>0</v>
      </c>
      <c r="W803" s="35"/>
      <c r="X803" s="35"/>
    </row>
    <row r="804" spans="1:30">
      <c r="A804" s="4">
        <v>357</v>
      </c>
      <c r="C804" s="740" t="s">
        <v>893</v>
      </c>
      <c r="E804" s="513" t="s">
        <v>777</v>
      </c>
      <c r="G804" s="35">
        <v>0</v>
      </c>
      <c r="I804" s="35">
        <v>0</v>
      </c>
      <c r="J804" s="35">
        <v>0</v>
      </c>
      <c r="L804" s="35">
        <v>0</v>
      </c>
      <c r="M804" s="35">
        <v>0</v>
      </c>
      <c r="N804" s="762">
        <f>J804</f>
        <v>0</v>
      </c>
      <c r="O804" s="68"/>
      <c r="P804" s="35">
        <v>0</v>
      </c>
      <c r="Q804" s="35">
        <v>0</v>
      </c>
      <c r="R804" s="35">
        <v>0</v>
      </c>
      <c r="S804" s="68"/>
      <c r="T804" s="68">
        <f>N804+P804+Q804+R804</f>
        <v>0</v>
      </c>
      <c r="U804" s="35">
        <v>0</v>
      </c>
      <c r="V804" s="762">
        <f>T804-J804</f>
        <v>0</v>
      </c>
      <c r="W804" s="35"/>
      <c r="X804" s="35"/>
    </row>
    <row r="805" spans="1:30">
      <c r="A805" s="4"/>
      <c r="E805" s="36"/>
      <c r="G805" s="35"/>
      <c r="J805" s="752"/>
      <c r="L805" s="762"/>
      <c r="M805" s="762"/>
      <c r="N805" s="762"/>
      <c r="O805" s="68"/>
      <c r="P805" s="35"/>
      <c r="Q805" s="762"/>
      <c r="R805" s="762"/>
      <c r="S805" s="68"/>
      <c r="T805" s="68"/>
      <c r="U805" s="68"/>
      <c r="V805" s="762"/>
      <c r="W805" s="504"/>
    </row>
    <row r="806" spans="1:30">
      <c r="A806" s="4">
        <v>358</v>
      </c>
      <c r="C806" s="2" t="s">
        <v>894</v>
      </c>
      <c r="E806" s="513" t="s">
        <v>777</v>
      </c>
      <c r="G806" s="35">
        <v>45665000</v>
      </c>
      <c r="I806" s="35">
        <v>0</v>
      </c>
      <c r="J806" s="35">
        <v>12138.692302499876</v>
      </c>
      <c r="L806" s="35">
        <v>0</v>
      </c>
      <c r="M806" s="35">
        <v>0</v>
      </c>
      <c r="N806" s="762">
        <f>J806</f>
        <v>12138.692302499876</v>
      </c>
      <c r="O806" s="68"/>
      <c r="P806" s="35">
        <v>0</v>
      </c>
      <c r="Q806" s="35">
        <v>0</v>
      </c>
      <c r="R806" s="35">
        <v>0</v>
      </c>
      <c r="S806" s="68"/>
      <c r="T806" s="68">
        <f>N806+P806+Q806+R806</f>
        <v>12138.692302499876</v>
      </c>
      <c r="U806" s="35">
        <v>0</v>
      </c>
      <c r="V806" s="762">
        <f>T806-J806</f>
        <v>0</v>
      </c>
      <c r="W806" s="35"/>
      <c r="X806" s="35"/>
    </row>
    <row r="807" spans="1:30">
      <c r="A807" s="4">
        <v>359</v>
      </c>
      <c r="C807" s="2" t="s">
        <v>895</v>
      </c>
      <c r="E807" s="513" t="s">
        <v>777</v>
      </c>
      <c r="G807" s="35">
        <v>0</v>
      </c>
      <c r="I807" s="35">
        <v>0</v>
      </c>
      <c r="J807" s="35">
        <v>0</v>
      </c>
      <c r="L807" s="35">
        <v>0</v>
      </c>
      <c r="M807" s="35">
        <v>0</v>
      </c>
      <c r="N807" s="35">
        <v>0</v>
      </c>
      <c r="O807" s="68"/>
      <c r="P807" s="35">
        <v>0</v>
      </c>
      <c r="Q807" s="35">
        <v>0</v>
      </c>
      <c r="R807" s="35">
        <v>0</v>
      </c>
      <c r="S807" s="68"/>
      <c r="T807" s="68">
        <f>N807+P807+Q807+R807</f>
        <v>0</v>
      </c>
      <c r="U807" s="35">
        <v>0</v>
      </c>
      <c r="V807" s="762">
        <f>T807-J807</f>
        <v>0</v>
      </c>
      <c r="W807" s="35"/>
      <c r="X807" s="35"/>
    </row>
    <row r="808" spans="1:30">
      <c r="A808" s="4"/>
      <c r="E808" s="36"/>
      <c r="G808" s="35"/>
      <c r="J808" s="752"/>
      <c r="L808" s="762"/>
      <c r="M808" s="762"/>
      <c r="N808" s="762"/>
      <c r="O808" s="68"/>
      <c r="P808" s="68"/>
      <c r="Q808" s="762"/>
      <c r="R808" s="762"/>
      <c r="S808" s="68"/>
      <c r="T808" s="68"/>
      <c r="U808" s="68"/>
      <c r="V808" s="762"/>
      <c r="W808" s="504"/>
    </row>
    <row r="809" spans="1:30" ht="13.5" thickBot="1">
      <c r="A809" s="4">
        <v>360</v>
      </c>
      <c r="C809" s="2" t="str">
        <f>"Total " &amp;C787</f>
        <v>Total Rate C1</v>
      </c>
      <c r="E809" s="36"/>
      <c r="G809" s="768">
        <f>SUM(G789:G807)</f>
        <v>102661523.4931</v>
      </c>
      <c r="I809" s="940">
        <f>J809/G809*100</f>
        <v>1.38231466197301E-2</v>
      </c>
      <c r="J809" s="758">
        <f>SUM(J789:J807)</f>
        <v>14191.052914499876</v>
      </c>
      <c r="K809" s="752"/>
      <c r="L809" s="760">
        <f>SUM(L789:L807)</f>
        <v>0</v>
      </c>
      <c r="M809" s="760">
        <f>SUM(M789:M807)</f>
        <v>0</v>
      </c>
      <c r="N809" s="760">
        <f>SUM(N789:N807)</f>
        <v>14191.052914499876</v>
      </c>
      <c r="O809" s="68"/>
      <c r="P809" s="760">
        <f>SUM(P789:P807)</f>
        <v>55.342266069599745</v>
      </c>
      <c r="Q809" s="760">
        <f>SUM(Q789:Q807)</f>
        <v>0</v>
      </c>
      <c r="R809" s="760">
        <f>SUM(R789:R807)</f>
        <v>0</v>
      </c>
      <c r="S809" s="68"/>
      <c r="T809" s="760">
        <f>SUM(T789:T807)</f>
        <v>14246.395180569476</v>
      </c>
      <c r="U809" s="945">
        <f>T809/G809*100</f>
        <v>1.3877054124885447E-2</v>
      </c>
      <c r="V809" s="760">
        <f>SUM(V789:V807)</f>
        <v>55.342266069599745</v>
      </c>
      <c r="W809" s="765">
        <f>U809/I809-1</f>
        <v>3.8997998529801681E-3</v>
      </c>
      <c r="X809" s="764"/>
      <c r="Z809" s="938"/>
      <c r="AB809" s="938"/>
      <c r="AD809" s="938"/>
    </row>
    <row r="810" spans="1:30" ht="13.5" thickTop="1">
      <c r="L810" s="2"/>
      <c r="M810" s="2"/>
      <c r="N810" s="504"/>
      <c r="Q810" s="504"/>
      <c r="R810" s="504"/>
      <c r="V810" s="504"/>
      <c r="W810" s="504"/>
    </row>
    <row r="811" spans="1:30">
      <c r="L811" s="2"/>
      <c r="M811" s="2"/>
      <c r="N811" s="504"/>
      <c r="Q811" s="504"/>
      <c r="R811" s="504"/>
      <c r="V811" s="762"/>
      <c r="W811" s="504"/>
    </row>
    <row r="812" spans="1:30">
      <c r="L812" s="2"/>
      <c r="M812" s="2"/>
      <c r="N812" s="504"/>
      <c r="Q812" s="504"/>
      <c r="R812" s="504"/>
      <c r="V812" s="762"/>
      <c r="W812" s="504"/>
    </row>
    <row r="813" spans="1:30">
      <c r="L813" s="2"/>
      <c r="M813" s="2"/>
      <c r="N813" s="504"/>
      <c r="Q813" s="504"/>
      <c r="R813" s="504"/>
      <c r="V813" s="504"/>
      <c r="W813" s="504"/>
    </row>
    <row r="814" spans="1:30">
      <c r="L814" s="2"/>
      <c r="M814" s="2"/>
      <c r="N814" s="504"/>
      <c r="Q814" s="504"/>
      <c r="R814" s="504"/>
      <c r="V814" s="504"/>
      <c r="W814" s="504"/>
    </row>
    <row r="815" spans="1:30">
      <c r="A815" s="1324" t="s">
        <v>724</v>
      </c>
      <c r="B815" s="1324"/>
      <c r="C815" s="1324"/>
      <c r="D815" s="1324"/>
      <c r="E815" s="1324"/>
      <c r="F815" s="1324"/>
      <c r="G815" s="1324"/>
      <c r="H815" s="1324"/>
      <c r="I815" s="1324"/>
      <c r="J815" s="1324"/>
      <c r="K815" s="1324"/>
      <c r="L815" s="1324"/>
      <c r="M815" s="1324"/>
      <c r="N815" s="1324"/>
      <c r="O815" s="1324"/>
      <c r="P815" s="1324"/>
      <c r="Q815" s="1324"/>
      <c r="R815" s="1324"/>
      <c r="S815" s="1324"/>
      <c r="T815" s="1324"/>
      <c r="U815" s="1324"/>
      <c r="V815" s="1324"/>
      <c r="W815" s="1324"/>
      <c r="X815" s="665"/>
    </row>
    <row r="816" spans="1:30">
      <c r="A816" s="1324" t="s">
        <v>938</v>
      </c>
      <c r="B816" s="1324"/>
      <c r="C816" s="1324"/>
      <c r="D816" s="1324"/>
      <c r="E816" s="1324"/>
      <c r="F816" s="1324"/>
      <c r="G816" s="1324"/>
      <c r="H816" s="1324"/>
      <c r="I816" s="1324"/>
      <c r="J816" s="1324"/>
      <c r="K816" s="1324"/>
      <c r="L816" s="1324"/>
      <c r="M816" s="1324"/>
      <c r="N816" s="1324"/>
      <c r="O816" s="1324"/>
      <c r="P816" s="1324"/>
      <c r="Q816" s="1324"/>
      <c r="R816" s="1324"/>
      <c r="S816" s="1324"/>
      <c r="T816" s="1324"/>
      <c r="U816" s="1324"/>
      <c r="V816" s="1324"/>
      <c r="W816" s="1324"/>
      <c r="X816" s="644"/>
      <c r="Y816" s="644"/>
    </row>
    <row r="817" spans="1:32">
      <c r="A817" s="385"/>
      <c r="B817" s="385"/>
      <c r="C817" s="385"/>
      <c r="D817" s="385"/>
      <c r="E817" s="447"/>
      <c r="F817" s="385"/>
      <c r="G817" s="447"/>
      <c r="H817" s="385"/>
      <c r="I817" s="385"/>
      <c r="J817" s="385"/>
      <c r="K817" s="385"/>
      <c r="L817" s="385"/>
      <c r="M817" s="385"/>
      <c r="N817" s="504"/>
      <c r="O817" s="385"/>
      <c r="P817" s="385"/>
      <c r="Q817" s="504"/>
      <c r="R817" s="504"/>
      <c r="S817" s="385"/>
      <c r="T817" s="385"/>
      <c r="U817" s="385"/>
      <c r="V817" s="504"/>
      <c r="W817" s="504"/>
    </row>
    <row r="818" spans="1:32" ht="26.45" customHeight="1">
      <c r="A818" s="447"/>
      <c r="B818" s="447"/>
      <c r="C818" s="447"/>
      <c r="D818" s="447"/>
      <c r="E818" s="385"/>
      <c r="F818" s="1313" t="s">
        <v>682</v>
      </c>
      <c r="G818" s="1313"/>
      <c r="H818" s="1313"/>
      <c r="I818" s="1313"/>
      <c r="J818" s="1313"/>
      <c r="K818" s="447"/>
      <c r="L818" s="1325" t="s">
        <v>496</v>
      </c>
      <c r="M818" s="1325"/>
      <c r="N818" s="256"/>
      <c r="O818" s="447"/>
      <c r="P818" s="449"/>
      <c r="Q818" s="1325" t="s">
        <v>497</v>
      </c>
      <c r="R818" s="1325"/>
      <c r="S818" s="447"/>
      <c r="T818" s="1313" t="s">
        <v>926</v>
      </c>
      <c r="U818" s="1313"/>
      <c r="V818" s="1313"/>
      <c r="W818" s="1313"/>
      <c r="X818" s="4"/>
    </row>
    <row r="819" spans="1:32" ht="38.25">
      <c r="A819" s="254" t="s">
        <v>1</v>
      </c>
      <c r="B819" s="254"/>
      <c r="C819" s="254"/>
      <c r="D819" s="254"/>
      <c r="E819" s="4" t="s">
        <v>670</v>
      </c>
      <c r="F819" s="254"/>
      <c r="G819" s="13" t="s">
        <v>684</v>
      </c>
      <c r="H819" s="254"/>
      <c r="I819" s="13" t="s">
        <v>196</v>
      </c>
      <c r="J819" s="13" t="s">
        <v>503</v>
      </c>
      <c r="K819" s="254"/>
      <c r="L819" s="13" t="s">
        <v>505</v>
      </c>
      <c r="M819" s="13" t="s">
        <v>685</v>
      </c>
      <c r="N819" s="254" t="s">
        <v>688</v>
      </c>
      <c r="O819" s="254"/>
      <c r="P819" s="254" t="s">
        <v>689</v>
      </c>
      <c r="Q819" s="13" t="s">
        <v>505</v>
      </c>
      <c r="R819" s="13" t="s">
        <v>685</v>
      </c>
      <c r="S819" s="254"/>
      <c r="T819" s="13" t="s">
        <v>690</v>
      </c>
      <c r="U819" s="13" t="s">
        <v>691</v>
      </c>
      <c r="V819" s="13" t="s">
        <v>692</v>
      </c>
      <c r="W819" s="254" t="s">
        <v>693</v>
      </c>
      <c r="X819" s="254"/>
    </row>
    <row r="820" spans="1:32">
      <c r="A820" s="255" t="s">
        <v>2</v>
      </c>
      <c r="B820" s="256"/>
      <c r="C820" s="449" t="s">
        <v>3</v>
      </c>
      <c r="D820" s="256"/>
      <c r="E820" s="255" t="s">
        <v>4</v>
      </c>
      <c r="F820" s="256"/>
      <c r="G820" s="255" t="s">
        <v>694</v>
      </c>
      <c r="H820" s="256"/>
      <c r="I820" s="255" t="s">
        <v>131</v>
      </c>
      <c r="J820" s="255" t="s">
        <v>20</v>
      </c>
      <c r="K820" s="256"/>
      <c r="L820" s="255" t="s">
        <v>20</v>
      </c>
      <c r="M820" s="255" t="s">
        <v>20</v>
      </c>
      <c r="N820" s="255" t="s">
        <v>20</v>
      </c>
      <c r="O820" s="256"/>
      <c r="P820" s="255" t="s">
        <v>20</v>
      </c>
      <c r="Q820" s="255" t="s">
        <v>20</v>
      </c>
      <c r="R820" s="255" t="s">
        <v>20</v>
      </c>
      <c r="S820" s="256"/>
      <c r="T820" s="255" t="s">
        <v>20</v>
      </c>
      <c r="U820" s="255" t="s">
        <v>131</v>
      </c>
      <c r="V820" s="255" t="s">
        <v>20</v>
      </c>
      <c r="W820" s="255" t="s">
        <v>76</v>
      </c>
      <c r="X820" s="4"/>
    </row>
    <row r="821" spans="1:32">
      <c r="A821" s="4"/>
      <c r="B821" s="256"/>
      <c r="C821" s="256"/>
      <c r="D821" s="256"/>
      <c r="E821" s="4"/>
      <c r="F821" s="256"/>
      <c r="G821" s="4" t="s">
        <v>8</v>
      </c>
      <c r="H821" s="4"/>
      <c r="I821" s="4" t="s">
        <v>9</v>
      </c>
      <c r="J821" s="4" t="s">
        <v>370</v>
      </c>
      <c r="K821" s="4"/>
      <c r="L821" s="132" t="s">
        <v>79</v>
      </c>
      <c r="M821" s="132" t="s">
        <v>115</v>
      </c>
      <c r="N821" s="4" t="s">
        <v>927</v>
      </c>
      <c r="O821" s="4"/>
      <c r="P821" s="4" t="s">
        <v>928</v>
      </c>
      <c r="Q821" s="4" t="s">
        <v>118</v>
      </c>
      <c r="R821" s="4" t="s">
        <v>84</v>
      </c>
      <c r="S821" s="4"/>
      <c r="T821" s="4" t="s">
        <v>929</v>
      </c>
      <c r="U821" s="4" t="s">
        <v>517</v>
      </c>
      <c r="V821" s="4" t="s">
        <v>930</v>
      </c>
      <c r="W821" s="4" t="s">
        <v>931</v>
      </c>
    </row>
    <row r="822" spans="1:32">
      <c r="C822" s="512"/>
      <c r="E822" s="36"/>
      <c r="G822" s="35"/>
      <c r="J822" s="752"/>
      <c r="L822" s="762"/>
      <c r="M822" s="762"/>
      <c r="N822" s="762"/>
      <c r="O822" s="68"/>
      <c r="P822" s="68"/>
      <c r="Q822" s="762"/>
      <c r="R822" s="762"/>
      <c r="S822" s="68"/>
      <c r="T822" s="68"/>
      <c r="U822" s="68"/>
      <c r="V822" s="762"/>
      <c r="W822" s="504"/>
    </row>
    <row r="823" spans="1:32">
      <c r="A823" s="4"/>
      <c r="B823" s="256"/>
      <c r="C823" s="553" t="s">
        <v>896</v>
      </c>
      <c r="D823" s="256"/>
      <c r="E823" s="742"/>
      <c r="F823" s="256"/>
      <c r="G823" s="35"/>
      <c r="H823" s="256"/>
      <c r="I823" s="256"/>
      <c r="J823" s="256"/>
      <c r="K823" s="256"/>
      <c r="L823" s="762"/>
      <c r="M823" s="762"/>
      <c r="N823" s="762"/>
      <c r="O823" s="771"/>
      <c r="P823" s="771"/>
      <c r="Q823" s="762"/>
      <c r="R823" s="762"/>
      <c r="S823" s="771"/>
      <c r="T823" s="771"/>
      <c r="U823" s="771"/>
      <c r="V823" s="762"/>
      <c r="W823" s="504"/>
      <c r="Z823" s="938"/>
      <c r="AB823" s="938"/>
    </row>
    <row r="824" spans="1:32">
      <c r="A824" s="4">
        <v>361</v>
      </c>
      <c r="C824" s="512" t="s">
        <v>897</v>
      </c>
      <c r="E824" s="513" t="s">
        <v>704</v>
      </c>
      <c r="G824" s="35">
        <v>129</v>
      </c>
      <c r="I824" s="778">
        <v>1047.53</v>
      </c>
      <c r="J824" s="752">
        <f>G824*I824/1000</f>
        <v>135.13137</v>
      </c>
      <c r="L824" s="35">
        <v>0</v>
      </c>
      <c r="M824" s="35">
        <v>0</v>
      </c>
      <c r="N824" s="762">
        <f>J824</f>
        <v>135.13137</v>
      </c>
      <c r="O824" s="68"/>
      <c r="P824" s="35">
        <v>0</v>
      </c>
      <c r="Q824" s="35">
        <v>0</v>
      </c>
      <c r="R824" s="35">
        <v>0</v>
      </c>
      <c r="S824" s="68"/>
      <c r="T824" s="68">
        <f>N824+P824+Q824+R824</f>
        <v>135.13137</v>
      </c>
      <c r="U824" s="778">
        <f>T824/G824*1000</f>
        <v>1047.53</v>
      </c>
      <c r="V824" s="762">
        <f>T824-N824</f>
        <v>0</v>
      </c>
      <c r="W824" s="770">
        <f>U824/I824-1</f>
        <v>0</v>
      </c>
      <c r="X824" s="769"/>
      <c r="Z824" s="938"/>
      <c r="AB824" s="938"/>
      <c r="AD824" s="938"/>
      <c r="AF824" s="943"/>
    </row>
    <row r="825" spans="1:32">
      <c r="A825" s="4">
        <v>362</v>
      </c>
      <c r="B825" s="256"/>
      <c r="C825" s="512" t="s">
        <v>898</v>
      </c>
      <c r="D825" s="256"/>
      <c r="E825" s="513" t="s">
        <v>777</v>
      </c>
      <c r="F825" s="256"/>
      <c r="G825" s="35">
        <v>4791112.166666666</v>
      </c>
      <c r="H825" s="256"/>
      <c r="I825" s="773">
        <v>3.7999999999999999E-2</v>
      </c>
      <c r="J825" s="752">
        <f>G825*I825/1000</f>
        <v>182.06226233333331</v>
      </c>
      <c r="K825" s="256"/>
      <c r="L825" s="35">
        <v>0</v>
      </c>
      <c r="M825" s="35">
        <v>0</v>
      </c>
      <c r="N825" s="762">
        <f>J825</f>
        <v>182.06226233333331</v>
      </c>
      <c r="O825" s="771"/>
      <c r="P825" s="35">
        <v>4.9093410311874663</v>
      </c>
      <c r="Q825" s="35">
        <v>0</v>
      </c>
      <c r="R825" s="35">
        <v>0</v>
      </c>
      <c r="S825" s="771"/>
      <c r="T825" s="68">
        <f>N825+P825+Q825+R825</f>
        <v>186.97160336452077</v>
      </c>
      <c r="U825" s="773">
        <f>T825/G825*1000</f>
        <v>3.9024676705618246E-2</v>
      </c>
      <c r="V825" s="762">
        <f>T825-N825</f>
        <v>4.9093410311874663</v>
      </c>
      <c r="W825" s="770">
        <f>U825/I825-1</f>
        <v>2.6965176463638052E-2</v>
      </c>
      <c r="X825" s="769"/>
      <c r="Z825" s="938"/>
      <c r="AB825" s="938"/>
      <c r="AD825" s="938"/>
      <c r="AF825" s="941"/>
    </row>
    <row r="826" spans="1:32">
      <c r="A826" s="4">
        <v>363</v>
      </c>
      <c r="B826" s="256"/>
      <c r="C826" s="512" t="s">
        <v>899</v>
      </c>
      <c r="D826" s="256"/>
      <c r="E826" s="513" t="s">
        <v>777</v>
      </c>
      <c r="F826" s="256"/>
      <c r="G826" s="35">
        <v>0</v>
      </c>
      <c r="H826" s="256"/>
      <c r="I826" s="35">
        <v>0</v>
      </c>
      <c r="J826" s="68">
        <f>G826*I826/1000</f>
        <v>0</v>
      </c>
      <c r="K826" s="256"/>
      <c r="L826" s="35">
        <v>0</v>
      </c>
      <c r="M826" s="35">
        <v>0</v>
      </c>
      <c r="N826" s="762">
        <v>0</v>
      </c>
      <c r="O826" s="771"/>
      <c r="P826" s="35">
        <v>0</v>
      </c>
      <c r="Q826" s="762">
        <v>0</v>
      </c>
      <c r="R826" s="762">
        <v>0</v>
      </c>
      <c r="S826" s="771"/>
      <c r="T826" s="68">
        <v>0</v>
      </c>
      <c r="U826" s="35">
        <v>0</v>
      </c>
      <c r="V826" s="762">
        <v>0</v>
      </c>
      <c r="W826" s="770"/>
      <c r="X826" s="769"/>
      <c r="Z826" s="938"/>
      <c r="AB826" s="938"/>
      <c r="AD826" s="938"/>
      <c r="AF826" s="941"/>
    </row>
    <row r="827" spans="1:32">
      <c r="A827" s="4">
        <v>364</v>
      </c>
      <c r="B827" s="256"/>
      <c r="C827" s="512" t="s">
        <v>900</v>
      </c>
      <c r="D827" s="256"/>
      <c r="E827" s="513" t="s">
        <v>777</v>
      </c>
      <c r="F827" s="256"/>
      <c r="G827" s="35">
        <v>4791112.166666666</v>
      </c>
      <c r="H827" s="256"/>
      <c r="I827" s="35">
        <v>0</v>
      </c>
      <c r="J827" s="35">
        <v>0</v>
      </c>
      <c r="K827" s="256"/>
      <c r="L827" s="35">
        <v>0</v>
      </c>
      <c r="M827" s="35">
        <v>0</v>
      </c>
      <c r="N827" s="762">
        <f>J827</f>
        <v>0</v>
      </c>
      <c r="O827" s="771"/>
      <c r="P827" s="35">
        <v>0</v>
      </c>
      <c r="Q827" s="35">
        <v>0</v>
      </c>
      <c r="R827" s="35">
        <v>0</v>
      </c>
      <c r="S827" s="771"/>
      <c r="T827" s="68">
        <f>N827+P827+Q827+R827</f>
        <v>0</v>
      </c>
      <c r="U827" s="35">
        <f>T827/G827*1000</f>
        <v>0</v>
      </c>
      <c r="V827" s="762">
        <f>T827-N827</f>
        <v>0</v>
      </c>
      <c r="W827" s="35"/>
      <c r="X827" s="35"/>
      <c r="Z827" s="938"/>
      <c r="AB827" s="938"/>
      <c r="AD827" s="938"/>
      <c r="AF827" s="941"/>
    </row>
    <row r="828" spans="1:32">
      <c r="A828" s="4"/>
      <c r="B828" s="256"/>
      <c r="C828" s="7"/>
      <c r="D828" s="256"/>
      <c r="E828" s="742"/>
      <c r="F828" s="256"/>
      <c r="G828" s="453"/>
      <c r="H828" s="256"/>
      <c r="I828" s="256"/>
      <c r="J828" s="256"/>
      <c r="K828" s="256"/>
      <c r="L828" s="762"/>
      <c r="M828" s="762"/>
      <c r="N828" s="762"/>
      <c r="O828" s="771"/>
      <c r="P828" s="771"/>
      <c r="Q828" s="762"/>
      <c r="R828" s="762"/>
      <c r="S828" s="771"/>
      <c r="T828" s="771"/>
      <c r="U828" s="771"/>
      <c r="V828" s="762"/>
      <c r="W828" s="770"/>
      <c r="X828" s="769"/>
      <c r="Z828" s="938"/>
      <c r="AD828" s="938"/>
    </row>
    <row r="829" spans="1:32" ht="13.5" thickBot="1">
      <c r="A829" s="4">
        <v>365</v>
      </c>
      <c r="C829" s="791" t="str">
        <f>"Total " &amp;C823</f>
        <v>Total Rate M13</v>
      </c>
      <c r="G829" s="760">
        <f>G827</f>
        <v>4791112.166666666</v>
      </c>
      <c r="I829" s="940">
        <f>J829/G829*100</f>
        <v>6.6204593275889711E-3</v>
      </c>
      <c r="J829" s="758">
        <f>SUM(J824:J828)</f>
        <v>317.19363233333331</v>
      </c>
      <c r="K829" s="752"/>
      <c r="L829" s="760">
        <f>SUM(L824:L828)</f>
        <v>0</v>
      </c>
      <c r="M829" s="760">
        <f>SUM(M824:M828)</f>
        <v>0</v>
      </c>
      <c r="N829" s="760">
        <f>SUM(N824:N828)</f>
        <v>317.19363233333331</v>
      </c>
      <c r="O829" s="68"/>
      <c r="P829" s="760">
        <f>SUM(P824:P828)</f>
        <v>4.9093410311874663</v>
      </c>
      <c r="Q829" s="760">
        <f>SUM(Q824:Q828)</f>
        <v>0</v>
      </c>
      <c r="R829" s="760">
        <f>SUM(R824:R828)</f>
        <v>0</v>
      </c>
      <c r="S829" s="68"/>
      <c r="T829" s="760">
        <f>SUM(T824:T828)</f>
        <v>322.10297336452078</v>
      </c>
      <c r="U829" s="939">
        <f>T829/G829*100</f>
        <v>6.7229269981507953E-3</v>
      </c>
      <c r="V829" s="760">
        <f>SUM(V824:V827)</f>
        <v>4.9093410311874663</v>
      </c>
      <c r="W829" s="765">
        <f>U829/I829-1</f>
        <v>1.5477426186249366E-2</v>
      </c>
      <c r="X829" s="764"/>
      <c r="Z829" s="938"/>
      <c r="AB829" s="938"/>
      <c r="AD829" s="938"/>
    </row>
    <row r="830" spans="1:32" ht="13.5" thickTop="1">
      <c r="A830" s="4"/>
      <c r="B830" s="734"/>
      <c r="C830" s="7"/>
      <c r="D830" s="734"/>
      <c r="E830" s="734"/>
      <c r="F830" s="734"/>
      <c r="G830" s="734"/>
      <c r="H830" s="734"/>
      <c r="I830" s="734"/>
      <c r="J830" s="734"/>
      <c r="K830" s="734"/>
      <c r="L830" s="762"/>
      <c r="M830" s="762"/>
      <c r="N830" s="762"/>
      <c r="O830" s="790"/>
      <c r="P830" s="790"/>
      <c r="Q830" s="762"/>
      <c r="R830" s="762"/>
      <c r="S830" s="790"/>
      <c r="T830" s="790"/>
      <c r="U830" s="790"/>
      <c r="V830" s="762"/>
      <c r="W830" s="504"/>
    </row>
    <row r="831" spans="1:32">
      <c r="A831" s="4">
        <v>366</v>
      </c>
      <c r="B831" s="385"/>
      <c r="C831" s="512" t="s">
        <v>901</v>
      </c>
      <c r="D831" s="385"/>
      <c r="E831" s="513" t="s">
        <v>704</v>
      </c>
      <c r="F831" s="385"/>
      <c r="G831" s="35">
        <v>768</v>
      </c>
      <c r="H831" s="385"/>
      <c r="I831" s="788">
        <v>90</v>
      </c>
      <c r="J831" s="828">
        <v>63.72</v>
      </c>
      <c r="K831" s="385"/>
      <c r="L831" s="762">
        <v>0</v>
      </c>
      <c r="M831" s="762">
        <v>0</v>
      </c>
      <c r="N831" s="762">
        <f>J831</f>
        <v>63.72</v>
      </c>
      <c r="O831" s="789"/>
      <c r="P831" s="789">
        <v>0</v>
      </c>
      <c r="Q831" s="762">
        <v>0</v>
      </c>
      <c r="R831" s="762">
        <v>0</v>
      </c>
      <c r="S831" s="789"/>
      <c r="T831" s="453">
        <f>J831</f>
        <v>63.72</v>
      </c>
      <c r="U831" s="788">
        <f>I831</f>
        <v>90</v>
      </c>
      <c r="V831" s="762">
        <v>0</v>
      </c>
      <c r="W831" s="504"/>
      <c r="Z831" s="938"/>
      <c r="AB831" s="938"/>
      <c r="AD831" s="938"/>
    </row>
    <row r="832" spans="1:32">
      <c r="A832" s="4"/>
      <c r="B832" s="447"/>
      <c r="C832" s="447"/>
      <c r="D832" s="447"/>
      <c r="E832" s="385"/>
      <c r="F832" s="447"/>
      <c r="G832" s="385"/>
      <c r="H832" s="447"/>
      <c r="I832" s="447"/>
      <c r="J832" s="447"/>
      <c r="K832" s="447"/>
      <c r="L832" s="762"/>
      <c r="M832" s="762"/>
      <c r="N832" s="762"/>
      <c r="O832" s="787"/>
      <c r="P832" s="787"/>
      <c r="Q832" s="762"/>
      <c r="R832" s="762"/>
      <c r="S832" s="787"/>
      <c r="T832" s="787"/>
      <c r="U832" s="787"/>
      <c r="V832" s="762"/>
      <c r="W832" s="504"/>
    </row>
    <row r="833" spans="1:32">
      <c r="A833" s="4"/>
      <c r="B833" s="254"/>
      <c r="C833" s="6" t="s">
        <v>531</v>
      </c>
      <c r="D833" s="254"/>
      <c r="E833" s="4"/>
      <c r="F833" s="254"/>
      <c r="G833" s="13"/>
      <c r="H833" s="254"/>
      <c r="I833" s="254"/>
      <c r="J833" s="254"/>
      <c r="K833" s="254"/>
      <c r="L833" s="762"/>
      <c r="M833" s="762"/>
      <c r="N833" s="762"/>
      <c r="O833" s="786"/>
      <c r="P833" s="786"/>
      <c r="Q833" s="762"/>
      <c r="R833" s="762"/>
      <c r="S833" s="786"/>
      <c r="T833" s="786"/>
      <c r="U833" s="786"/>
      <c r="V833" s="762"/>
      <c r="W833" s="504"/>
    </row>
    <row r="834" spans="1:32">
      <c r="A834" s="4">
        <v>367</v>
      </c>
      <c r="B834" s="256"/>
      <c r="C834" s="512" t="s">
        <v>897</v>
      </c>
      <c r="D834" s="256"/>
      <c r="E834" s="513" t="s">
        <v>704</v>
      </c>
      <c r="F834" s="256"/>
      <c r="G834" s="35">
        <v>24</v>
      </c>
      <c r="H834" s="256"/>
      <c r="I834" s="778">
        <v>1666.51</v>
      </c>
      <c r="J834" s="750">
        <f>G834*I834/1000</f>
        <v>39.99624</v>
      </c>
      <c r="K834" s="256"/>
      <c r="L834" s="35">
        <v>0</v>
      </c>
      <c r="M834" s="35">
        <v>0</v>
      </c>
      <c r="N834" s="762">
        <f>J834</f>
        <v>39.99624</v>
      </c>
      <c r="O834" s="771"/>
      <c r="P834" s="35">
        <v>1.0785056694820128</v>
      </c>
      <c r="Q834" s="35">
        <v>0</v>
      </c>
      <c r="R834" s="35">
        <v>0</v>
      </c>
      <c r="S834" s="771"/>
      <c r="T834" s="762">
        <f>N834+P834+Q834+R834</f>
        <v>41.074745669482013</v>
      </c>
      <c r="U834" s="778">
        <f>T834/G834*1000</f>
        <v>1711.4477362284172</v>
      </c>
      <c r="V834" s="762">
        <f>T834-J834</f>
        <v>1.0785056694820128</v>
      </c>
      <c r="W834" s="770">
        <f>U834/I834-1</f>
        <v>2.696517646363783E-2</v>
      </c>
      <c r="X834" s="769"/>
      <c r="Z834" s="938"/>
      <c r="AB834" s="938"/>
      <c r="AD834" s="938"/>
      <c r="AF834" s="943"/>
    </row>
    <row r="835" spans="1:32">
      <c r="A835" s="4">
        <v>368</v>
      </c>
      <c r="B835" s="256"/>
      <c r="C835" s="512" t="s">
        <v>898</v>
      </c>
      <c r="D835" s="256"/>
      <c r="E835" s="513" t="s">
        <v>777</v>
      </c>
      <c r="F835" s="256"/>
      <c r="G835" s="35">
        <v>5198226.8965517245</v>
      </c>
      <c r="H835" s="256"/>
      <c r="I835" s="773">
        <v>3.7999999999999999E-2</v>
      </c>
      <c r="J835" s="750">
        <f>G835*I835/1000</f>
        <v>197.53262206896551</v>
      </c>
      <c r="K835" s="256"/>
      <c r="L835" s="35">
        <v>0</v>
      </c>
      <c r="M835" s="35">
        <v>0</v>
      </c>
      <c r="N835" s="762">
        <f>J835</f>
        <v>197.53262206896551</v>
      </c>
      <c r="O835" s="771"/>
      <c r="P835" s="35">
        <v>5.3265020114147319</v>
      </c>
      <c r="Q835" s="35">
        <v>0</v>
      </c>
      <c r="R835" s="35">
        <v>0</v>
      </c>
      <c r="S835" s="771"/>
      <c r="T835" s="762">
        <f>N835+P835+Q835+R835</f>
        <v>202.85912408038024</v>
      </c>
      <c r="U835" s="773">
        <f>T835/G835*1000</f>
        <v>3.9024676705618239E-2</v>
      </c>
      <c r="V835" s="762">
        <f>T835-J835</f>
        <v>5.3265020114147319</v>
      </c>
      <c r="W835" s="770">
        <f>U835/I835-1</f>
        <v>2.696517646363783E-2</v>
      </c>
      <c r="X835" s="769"/>
      <c r="Z835" s="938"/>
      <c r="AB835" s="938"/>
      <c r="AD835" s="938"/>
      <c r="AF835" s="941"/>
    </row>
    <row r="836" spans="1:32">
      <c r="A836" s="4"/>
      <c r="B836" s="256"/>
      <c r="C836" s="512" t="s">
        <v>902</v>
      </c>
      <c r="D836" s="256"/>
      <c r="E836" s="513"/>
      <c r="F836" s="256"/>
      <c r="G836" s="35"/>
      <c r="H836" s="256"/>
      <c r="I836" s="773"/>
      <c r="J836" s="750"/>
      <c r="K836" s="256"/>
      <c r="L836" s="762"/>
      <c r="M836" s="762"/>
      <c r="N836" s="762"/>
      <c r="O836" s="771"/>
      <c r="P836" s="35"/>
      <c r="Q836" s="762"/>
      <c r="R836" s="762"/>
      <c r="S836" s="771"/>
      <c r="T836" s="762"/>
      <c r="U836" s="773"/>
      <c r="V836" s="762"/>
      <c r="W836" s="770"/>
      <c r="X836" s="769"/>
      <c r="Z836" s="938"/>
      <c r="AB836" s="938"/>
      <c r="AD836" s="938"/>
      <c r="AF836" s="941"/>
    </row>
    <row r="837" spans="1:32">
      <c r="A837" s="4">
        <v>369</v>
      </c>
      <c r="B837" s="256"/>
      <c r="C837" s="519" t="s">
        <v>903</v>
      </c>
      <c r="D837" s="256"/>
      <c r="E837" s="513" t="s">
        <v>775</v>
      </c>
      <c r="F837" s="256"/>
      <c r="G837" s="35">
        <v>7333.3333333333339</v>
      </c>
      <c r="H837" s="256"/>
      <c r="I837" s="773">
        <v>2.3260000000000001</v>
      </c>
      <c r="J837" s="828">
        <v>190.608</v>
      </c>
      <c r="K837" s="256"/>
      <c r="L837" s="35">
        <v>0</v>
      </c>
      <c r="M837" s="35">
        <v>0</v>
      </c>
      <c r="N837" s="762">
        <f>J837</f>
        <v>190.608</v>
      </c>
      <c r="O837" s="771"/>
      <c r="P837" s="35">
        <v>5.1397783553810825</v>
      </c>
      <c r="Q837" s="35">
        <v>0</v>
      </c>
      <c r="R837" s="35">
        <v>0</v>
      </c>
      <c r="S837" s="771"/>
      <c r="T837" s="762">
        <f>N837+P837+Q837+R837</f>
        <v>195.74777835538109</v>
      </c>
      <c r="U837" s="773">
        <f>T837/G837*100</f>
        <v>2.6692878866642871</v>
      </c>
      <c r="V837" s="762">
        <f>T837-J837</f>
        <v>5.1397783553810825</v>
      </c>
      <c r="W837" s="770">
        <f>U837/I837-1</f>
        <v>0.14758722556504167</v>
      </c>
      <c r="X837" s="769"/>
      <c r="Z837" s="938"/>
      <c r="AB837" s="938"/>
      <c r="AD837" s="938"/>
    </row>
    <row r="838" spans="1:32">
      <c r="A838" s="4">
        <v>370</v>
      </c>
      <c r="C838" s="519" t="s">
        <v>904</v>
      </c>
      <c r="E838" s="513" t="s">
        <v>777</v>
      </c>
      <c r="G838" s="35">
        <v>655235.89655172406</v>
      </c>
      <c r="I838" s="35">
        <v>0</v>
      </c>
      <c r="J838" s="35">
        <v>0</v>
      </c>
      <c r="L838" s="35">
        <v>0</v>
      </c>
      <c r="M838" s="35">
        <v>0</v>
      </c>
      <c r="N838" s="35">
        <v>0</v>
      </c>
      <c r="O838" s="35"/>
      <c r="P838" s="35">
        <v>0</v>
      </c>
      <c r="Q838" s="35">
        <v>0</v>
      </c>
      <c r="R838" s="35">
        <v>0</v>
      </c>
      <c r="S838" s="68"/>
      <c r="T838" s="35">
        <v>0</v>
      </c>
      <c r="U838" s="35">
        <v>0</v>
      </c>
      <c r="V838" s="762">
        <f>T838-J838</f>
        <v>0</v>
      </c>
      <c r="W838" s="35">
        <v>0</v>
      </c>
      <c r="X838" s="782"/>
      <c r="Z838" s="938"/>
      <c r="AB838" s="938"/>
      <c r="AD838" s="938"/>
    </row>
    <row r="839" spans="1:32">
      <c r="A839" s="4">
        <v>371</v>
      </c>
      <c r="C839" s="519" t="s">
        <v>905</v>
      </c>
      <c r="E839" s="513" t="s">
        <v>777</v>
      </c>
      <c r="G839" s="35">
        <v>642043</v>
      </c>
      <c r="I839" s="35">
        <v>0</v>
      </c>
      <c r="J839" s="35">
        <v>0</v>
      </c>
      <c r="L839" s="35">
        <v>0</v>
      </c>
      <c r="M839" s="35">
        <v>0</v>
      </c>
      <c r="N839" s="35">
        <v>0</v>
      </c>
      <c r="O839" s="35"/>
      <c r="P839" s="35">
        <v>0</v>
      </c>
      <c r="Q839" s="35">
        <v>0</v>
      </c>
      <c r="R839" s="35">
        <v>0</v>
      </c>
      <c r="S839" s="68"/>
      <c r="T839" s="35">
        <v>0</v>
      </c>
      <c r="U839" s="35">
        <v>0</v>
      </c>
      <c r="V839" s="762">
        <f>T839-J839</f>
        <v>0</v>
      </c>
      <c r="W839" s="35"/>
      <c r="X839" s="782"/>
      <c r="Z839" s="938"/>
      <c r="AB839" s="938"/>
      <c r="AD839" s="938"/>
    </row>
    <row r="840" spans="1:32">
      <c r="A840" s="4">
        <v>372</v>
      </c>
      <c r="B840" s="256"/>
      <c r="C840" s="519" t="s">
        <v>906</v>
      </c>
      <c r="D840" s="256"/>
      <c r="E840" s="513" t="s">
        <v>777</v>
      </c>
      <c r="F840" s="256"/>
      <c r="G840" s="35">
        <v>4542991</v>
      </c>
      <c r="H840" s="256"/>
      <c r="I840" s="35">
        <v>0</v>
      </c>
      <c r="J840" s="35">
        <v>0</v>
      </c>
      <c r="K840" s="256"/>
      <c r="L840" s="35">
        <v>0</v>
      </c>
      <c r="M840" s="35">
        <v>0</v>
      </c>
      <c r="N840" s="35">
        <v>0</v>
      </c>
      <c r="O840" s="35"/>
      <c r="P840" s="35">
        <v>0</v>
      </c>
      <c r="Q840" s="35">
        <v>0</v>
      </c>
      <c r="R840" s="35">
        <v>0</v>
      </c>
      <c r="S840" s="771"/>
      <c r="T840" s="35">
        <v>0</v>
      </c>
      <c r="U840" s="35">
        <v>0</v>
      </c>
      <c r="V840" s="762">
        <f>T840-J840</f>
        <v>0</v>
      </c>
      <c r="W840" s="35"/>
      <c r="X840" s="782"/>
      <c r="Z840" s="938"/>
      <c r="AB840" s="938"/>
      <c r="AD840" s="938"/>
    </row>
    <row r="841" spans="1:32">
      <c r="A841" s="4">
        <v>373</v>
      </c>
      <c r="B841" s="256"/>
      <c r="C841" s="519" t="s">
        <v>907</v>
      </c>
      <c r="D841" s="256"/>
      <c r="E841" s="513" t="s">
        <v>777</v>
      </c>
      <c r="F841" s="256"/>
      <c r="G841" s="35">
        <v>5048908.75</v>
      </c>
      <c r="H841" s="256"/>
      <c r="I841" s="35">
        <v>0</v>
      </c>
      <c r="J841" s="35">
        <v>0</v>
      </c>
      <c r="K841" s="256"/>
      <c r="L841" s="35">
        <v>0</v>
      </c>
      <c r="M841" s="35">
        <v>0</v>
      </c>
      <c r="N841" s="35">
        <v>0</v>
      </c>
      <c r="O841" s="35"/>
      <c r="P841" s="35">
        <v>0</v>
      </c>
      <c r="Q841" s="35">
        <v>0</v>
      </c>
      <c r="R841" s="35">
        <v>0</v>
      </c>
      <c r="S841" s="771"/>
      <c r="T841" s="35">
        <v>0</v>
      </c>
      <c r="U841" s="35">
        <v>0</v>
      </c>
      <c r="V841" s="762">
        <f>T841-J841</f>
        <v>0</v>
      </c>
      <c r="W841" s="35"/>
      <c r="X841" s="782"/>
      <c r="Z841" s="938"/>
      <c r="AB841" s="938"/>
      <c r="AD841" s="938"/>
    </row>
    <row r="842" spans="1:32">
      <c r="A842" s="4"/>
      <c r="B842" s="256"/>
      <c r="C842" s="512" t="s">
        <v>908</v>
      </c>
      <c r="D842" s="256"/>
      <c r="E842" s="513"/>
      <c r="F842" s="256"/>
      <c r="G842" s="35"/>
      <c r="H842" s="256"/>
      <c r="I842" s="256"/>
      <c r="J842" s="750"/>
      <c r="K842" s="256"/>
      <c r="L842" s="762"/>
      <c r="M842" s="762"/>
      <c r="N842" s="35"/>
      <c r="O842" s="35"/>
      <c r="P842" s="35"/>
      <c r="Q842" s="762"/>
      <c r="R842" s="762"/>
      <c r="S842" s="771"/>
      <c r="T842" s="771"/>
      <c r="U842" s="771"/>
      <c r="V842" s="762"/>
      <c r="W842" s="771"/>
      <c r="X842" s="769"/>
    </row>
    <row r="843" spans="1:32">
      <c r="A843" s="4">
        <v>374</v>
      </c>
      <c r="B843" s="256"/>
      <c r="C843" s="519" t="s">
        <v>903</v>
      </c>
      <c r="D843" s="256"/>
      <c r="E843" s="513" t="s">
        <v>775</v>
      </c>
      <c r="F843" s="256"/>
      <c r="G843" s="35">
        <v>0</v>
      </c>
      <c r="H843" s="256"/>
      <c r="I843" s="35">
        <v>0</v>
      </c>
      <c r="J843" s="35">
        <v>0</v>
      </c>
      <c r="K843" s="256"/>
      <c r="L843" s="35">
        <v>0</v>
      </c>
      <c r="M843" s="35">
        <v>0</v>
      </c>
      <c r="N843" s="35">
        <v>0</v>
      </c>
      <c r="O843" s="771"/>
      <c r="P843" s="35">
        <v>0</v>
      </c>
      <c r="Q843" s="35">
        <v>0</v>
      </c>
      <c r="R843" s="35">
        <v>0</v>
      </c>
      <c r="S843" s="771"/>
      <c r="T843" s="35">
        <v>0</v>
      </c>
      <c r="U843" s="35">
        <v>0</v>
      </c>
      <c r="V843" s="762">
        <f>T843-J843</f>
        <v>0</v>
      </c>
      <c r="W843" s="35"/>
      <c r="X843" s="782"/>
    </row>
    <row r="844" spans="1:32">
      <c r="A844" s="4">
        <v>375</v>
      </c>
      <c r="B844" s="256"/>
      <c r="C844" s="519" t="s">
        <v>904</v>
      </c>
      <c r="D844" s="256"/>
      <c r="E844" s="513" t="s">
        <v>777</v>
      </c>
      <c r="F844" s="256"/>
      <c r="G844" s="35">
        <v>0</v>
      </c>
      <c r="H844" s="256"/>
      <c r="I844" s="35">
        <v>0</v>
      </c>
      <c r="J844" s="35">
        <v>0</v>
      </c>
      <c r="K844" s="256"/>
      <c r="L844" s="35">
        <v>0</v>
      </c>
      <c r="M844" s="35">
        <v>0</v>
      </c>
      <c r="N844" s="35">
        <v>0</v>
      </c>
      <c r="O844" s="771"/>
      <c r="P844" s="35">
        <v>0</v>
      </c>
      <c r="Q844" s="35">
        <v>0</v>
      </c>
      <c r="R844" s="35">
        <v>0</v>
      </c>
      <c r="S844" s="771"/>
      <c r="T844" s="35">
        <v>0</v>
      </c>
      <c r="U844" s="35">
        <v>0</v>
      </c>
      <c r="V844" s="762">
        <f>T844-J844</f>
        <v>0</v>
      </c>
      <c r="W844" s="35"/>
      <c r="X844" s="782"/>
    </row>
    <row r="845" spans="1:32">
      <c r="A845" s="4">
        <v>376</v>
      </c>
      <c r="B845" s="256"/>
      <c r="C845" s="519" t="s">
        <v>905</v>
      </c>
      <c r="D845" s="256"/>
      <c r="E845" s="513" t="s">
        <v>777</v>
      </c>
      <c r="F845" s="256"/>
      <c r="G845" s="35">
        <v>0</v>
      </c>
      <c r="H845" s="256"/>
      <c r="I845" s="35">
        <v>0</v>
      </c>
      <c r="J845" s="35">
        <v>0</v>
      </c>
      <c r="K845" s="256"/>
      <c r="L845" s="35">
        <v>0</v>
      </c>
      <c r="M845" s="35">
        <v>0</v>
      </c>
      <c r="N845" s="35">
        <v>0</v>
      </c>
      <c r="O845" s="771"/>
      <c r="P845" s="35">
        <v>0</v>
      </c>
      <c r="Q845" s="35">
        <v>0</v>
      </c>
      <c r="R845" s="35">
        <v>0</v>
      </c>
      <c r="S845" s="771"/>
      <c r="T845" s="35">
        <v>0</v>
      </c>
      <c r="U845" s="35">
        <v>0</v>
      </c>
      <c r="V845" s="762">
        <f>T845-J845</f>
        <v>0</v>
      </c>
      <c r="W845" s="35"/>
      <c r="X845" s="782"/>
    </row>
    <row r="846" spans="1:32">
      <c r="A846" s="4">
        <v>377</v>
      </c>
      <c r="B846" s="256"/>
      <c r="C846" s="519" t="s">
        <v>906</v>
      </c>
      <c r="D846" s="256"/>
      <c r="E846" s="513" t="s">
        <v>777</v>
      </c>
      <c r="F846" s="256"/>
      <c r="G846" s="35">
        <v>0</v>
      </c>
      <c r="H846" s="256"/>
      <c r="I846" s="35">
        <v>0</v>
      </c>
      <c r="J846" s="35">
        <v>0</v>
      </c>
      <c r="K846" s="256"/>
      <c r="L846" s="35">
        <v>0</v>
      </c>
      <c r="M846" s="35">
        <v>0</v>
      </c>
      <c r="N846" s="35">
        <v>0</v>
      </c>
      <c r="O846" s="771"/>
      <c r="P846" s="35">
        <v>0</v>
      </c>
      <c r="Q846" s="35">
        <v>0</v>
      </c>
      <c r="R846" s="35">
        <v>0</v>
      </c>
      <c r="S846" s="771"/>
      <c r="T846" s="35">
        <v>0</v>
      </c>
      <c r="U846" s="35">
        <v>0</v>
      </c>
      <c r="V846" s="762">
        <f>T846-J846</f>
        <v>0</v>
      </c>
      <c r="W846" s="35"/>
      <c r="X846" s="769"/>
    </row>
    <row r="847" spans="1:32">
      <c r="A847" s="4">
        <v>378</v>
      </c>
      <c r="B847" s="256"/>
      <c r="C847" s="519" t="s">
        <v>907</v>
      </c>
      <c r="D847" s="256"/>
      <c r="E847" s="513" t="s">
        <v>777</v>
      </c>
      <c r="F847" s="256"/>
      <c r="G847" s="35">
        <v>0</v>
      </c>
      <c r="H847" s="256"/>
      <c r="I847" s="35">
        <v>0</v>
      </c>
      <c r="J847" s="35">
        <v>0</v>
      </c>
      <c r="K847" s="256"/>
      <c r="L847" s="35">
        <v>0</v>
      </c>
      <c r="M847" s="35">
        <v>0</v>
      </c>
      <c r="N847" s="35">
        <v>0</v>
      </c>
      <c r="O847" s="771"/>
      <c r="P847" s="35">
        <v>0</v>
      </c>
      <c r="Q847" s="35">
        <v>0</v>
      </c>
      <c r="R847" s="35">
        <v>0</v>
      </c>
      <c r="S847" s="771"/>
      <c r="T847" s="35">
        <v>0</v>
      </c>
      <c r="U847" s="35">
        <v>0</v>
      </c>
      <c r="V847" s="762">
        <f>T847-J847</f>
        <v>0</v>
      </c>
      <c r="W847" s="35"/>
      <c r="X847" s="782"/>
    </row>
    <row r="848" spans="1:32">
      <c r="A848" s="4"/>
      <c r="B848" s="256"/>
      <c r="C848" s="736"/>
      <c r="D848" s="256"/>
      <c r="E848" s="36"/>
      <c r="F848" s="256"/>
      <c r="G848" s="35"/>
      <c r="H848" s="256"/>
      <c r="I848" s="256"/>
      <c r="J848" s="750"/>
      <c r="K848" s="256"/>
      <c r="L848" s="762"/>
      <c r="M848" s="762"/>
      <c r="N848" s="762"/>
      <c r="O848" s="771"/>
      <c r="P848" s="35"/>
      <c r="Q848" s="762"/>
      <c r="R848" s="762"/>
      <c r="S848" s="771"/>
      <c r="T848" s="771"/>
      <c r="U848" s="915"/>
      <c r="V848" s="762"/>
      <c r="W848" s="770"/>
      <c r="X848" s="769"/>
    </row>
    <row r="849" spans="1:32" ht="13.5" thickBot="1">
      <c r="A849" s="4">
        <v>379</v>
      </c>
      <c r="B849" s="256"/>
      <c r="C849" s="2" t="str">
        <f>"Total " &amp;C833</f>
        <v>Total Rate M16</v>
      </c>
      <c r="D849" s="256"/>
      <c r="E849" s="742"/>
      <c r="F849" s="256"/>
      <c r="G849" s="768">
        <f>SUM(G838:G847)</f>
        <v>10889178.646551725</v>
      </c>
      <c r="H849" s="256"/>
      <c r="I849" s="766">
        <f>J849/G849*100</f>
        <v>3.9317645156326242E-3</v>
      </c>
      <c r="J849" s="756">
        <f>SUM(J834:J847)</f>
        <v>428.13686206896551</v>
      </c>
      <c r="K849" s="750"/>
      <c r="L849" s="781">
        <f>SUM(L834:L847)</f>
        <v>0</v>
      </c>
      <c r="M849" s="781">
        <f>SUM(M834:M847)</f>
        <v>0</v>
      </c>
      <c r="N849" s="781">
        <f>SUM(N834:N847)</f>
        <v>428.13686206896551</v>
      </c>
      <c r="O849" s="771"/>
      <c r="P849" s="781">
        <f>SUM(P834:P847)</f>
        <v>11.544786036277827</v>
      </c>
      <c r="Q849" s="781">
        <f>SUM(Q834:Q847)</f>
        <v>0</v>
      </c>
      <c r="R849" s="781">
        <f>SUM(R834:R847)</f>
        <v>0</v>
      </c>
      <c r="S849" s="771"/>
      <c r="T849" s="781">
        <f>SUM(T834:T847)</f>
        <v>439.68164810524331</v>
      </c>
      <c r="U849" s="944">
        <f>T849/G849*100</f>
        <v>4.0377852396101272E-3</v>
      </c>
      <c r="V849" s="781">
        <f>SUM(V834:V847)</f>
        <v>11.544786036277827</v>
      </c>
      <c r="W849" s="780">
        <f>U849/I849-1</f>
        <v>2.696517646363783E-2</v>
      </c>
      <c r="X849" s="779"/>
      <c r="Z849" s="938"/>
      <c r="AB849" s="938"/>
      <c r="AD849" s="938"/>
    </row>
    <row r="850" spans="1:32" ht="13.5" thickTop="1">
      <c r="A850" s="4"/>
      <c r="B850" s="256"/>
      <c r="D850" s="256"/>
      <c r="E850" s="742"/>
      <c r="F850" s="256"/>
      <c r="G850" s="35"/>
      <c r="H850" s="256"/>
      <c r="I850" s="792"/>
      <c r="J850" s="750"/>
      <c r="K850" s="750"/>
      <c r="L850" s="771"/>
      <c r="M850" s="771"/>
      <c r="N850" s="771"/>
      <c r="O850" s="771"/>
      <c r="P850" s="771"/>
      <c r="Q850" s="771"/>
      <c r="R850" s="771"/>
      <c r="S850" s="771"/>
      <c r="T850" s="771"/>
      <c r="U850" s="821"/>
      <c r="V850" s="771"/>
      <c r="W850" s="779"/>
      <c r="X850" s="779"/>
      <c r="Z850" s="938"/>
      <c r="AB850" s="938"/>
      <c r="AD850" s="938"/>
    </row>
    <row r="851" spans="1:32">
      <c r="A851" s="4"/>
      <c r="B851" s="256"/>
      <c r="D851" s="256"/>
      <c r="E851" s="742"/>
      <c r="F851" s="256"/>
      <c r="G851" s="35"/>
      <c r="H851" s="256"/>
      <c r="I851" s="792"/>
      <c r="J851" s="750"/>
      <c r="K851" s="750"/>
      <c r="L851" s="771"/>
      <c r="M851" s="771"/>
      <c r="N851" s="771"/>
      <c r="O851" s="771"/>
      <c r="P851" s="771"/>
      <c r="Q851" s="771"/>
      <c r="R851" s="771"/>
      <c r="S851" s="771"/>
      <c r="T851" s="771"/>
      <c r="U851" s="821"/>
      <c r="V851" s="771"/>
      <c r="W851" s="779"/>
      <c r="X851" s="779"/>
      <c r="Z851" s="938"/>
      <c r="AB851" s="938"/>
      <c r="AD851" s="938"/>
    </row>
    <row r="852" spans="1:32">
      <c r="L852" s="2"/>
      <c r="M852" s="2"/>
      <c r="N852" s="504"/>
      <c r="Q852" s="504"/>
      <c r="R852" s="504"/>
      <c r="V852" s="762"/>
      <c r="W852" s="504"/>
    </row>
    <row r="853" spans="1:32">
      <c r="L853" s="2"/>
      <c r="M853" s="2"/>
      <c r="N853" s="504"/>
      <c r="Q853" s="504"/>
      <c r="R853" s="504"/>
      <c r="V853" s="762"/>
      <c r="W853" s="504"/>
    </row>
    <row r="854" spans="1:32">
      <c r="L854" s="2"/>
      <c r="M854" s="2"/>
      <c r="N854" s="504"/>
      <c r="Q854" s="504"/>
      <c r="R854" s="504"/>
      <c r="V854" s="504"/>
      <c r="W854" s="504"/>
    </row>
    <row r="855" spans="1:32">
      <c r="A855" s="1324" t="s">
        <v>724</v>
      </c>
      <c r="B855" s="1324"/>
      <c r="C855" s="1324"/>
      <c r="D855" s="1324"/>
      <c r="E855" s="1324"/>
      <c r="F855" s="1324"/>
      <c r="G855" s="1324"/>
      <c r="H855" s="1324"/>
      <c r="I855" s="1324"/>
      <c r="J855" s="1324"/>
      <c r="K855" s="1324"/>
      <c r="L855" s="1324"/>
      <c r="M855" s="1324"/>
      <c r="N855" s="1324"/>
      <c r="O855" s="1324"/>
      <c r="P855" s="1324"/>
      <c r="Q855" s="1324"/>
      <c r="R855" s="1324"/>
      <c r="S855" s="1324"/>
      <c r="T855" s="1324"/>
      <c r="U855" s="1324"/>
      <c r="V855" s="1324"/>
      <c r="W855" s="1324"/>
      <c r="X855" s="665"/>
    </row>
    <row r="856" spans="1:32">
      <c r="A856" s="1324" t="s">
        <v>938</v>
      </c>
      <c r="B856" s="1324"/>
      <c r="C856" s="1324"/>
      <c r="D856" s="1324"/>
      <c r="E856" s="1324"/>
      <c r="F856" s="1324"/>
      <c r="G856" s="1324"/>
      <c r="H856" s="1324"/>
      <c r="I856" s="1324"/>
      <c r="J856" s="1324"/>
      <c r="K856" s="1324"/>
      <c r="L856" s="1324"/>
      <c r="M856" s="1324"/>
      <c r="N856" s="1324"/>
      <c r="O856" s="1324"/>
      <c r="P856" s="1324"/>
      <c r="Q856" s="1324"/>
      <c r="R856" s="1324"/>
      <c r="S856" s="1324"/>
      <c r="T856" s="1324"/>
      <c r="U856" s="1324"/>
      <c r="V856" s="1324"/>
      <c r="W856" s="1324"/>
      <c r="X856" s="644"/>
      <c r="Y856" s="644"/>
    </row>
    <row r="857" spans="1:32">
      <c r="A857" s="385"/>
      <c r="B857" s="385"/>
      <c r="C857" s="385"/>
      <c r="D857" s="385"/>
      <c r="E857" s="447"/>
      <c r="F857" s="385"/>
      <c r="G857" s="447"/>
      <c r="H857" s="385"/>
      <c r="I857" s="385"/>
      <c r="J857" s="385"/>
      <c r="K857" s="385"/>
      <c r="L857" s="385"/>
      <c r="M857" s="385"/>
      <c r="N857" s="504"/>
      <c r="O857" s="385"/>
      <c r="P857" s="385"/>
      <c r="Q857" s="504"/>
      <c r="R857" s="504"/>
      <c r="S857" s="385"/>
      <c r="T857" s="385"/>
      <c r="U857" s="385"/>
      <c r="V857" s="504"/>
      <c r="W857" s="504"/>
    </row>
    <row r="858" spans="1:32" ht="26.45" customHeight="1">
      <c r="A858" s="447"/>
      <c r="B858" s="447"/>
      <c r="C858" s="447"/>
      <c r="D858" s="447"/>
      <c r="E858" s="385"/>
      <c r="F858" s="1313" t="s">
        <v>682</v>
      </c>
      <c r="G858" s="1313"/>
      <c r="H858" s="1313"/>
      <c r="I858" s="1313"/>
      <c r="J858" s="1313"/>
      <c r="K858" s="447"/>
      <c r="L858" s="1325" t="s">
        <v>496</v>
      </c>
      <c r="M858" s="1325"/>
      <c r="N858" s="256"/>
      <c r="O858" s="447"/>
      <c r="P858" s="449"/>
      <c r="Q858" s="1325" t="s">
        <v>497</v>
      </c>
      <c r="R858" s="1325"/>
      <c r="S858" s="447"/>
      <c r="T858" s="1313" t="s">
        <v>926</v>
      </c>
      <c r="U858" s="1313"/>
      <c r="V858" s="1313"/>
      <c r="W858" s="1313"/>
      <c r="X858" s="4"/>
    </row>
    <row r="859" spans="1:32" ht="38.25">
      <c r="A859" s="254" t="s">
        <v>1</v>
      </c>
      <c r="B859" s="254"/>
      <c r="C859" s="254"/>
      <c r="D859" s="254"/>
      <c r="E859" s="4" t="s">
        <v>670</v>
      </c>
      <c r="F859" s="254"/>
      <c r="G859" s="13" t="s">
        <v>684</v>
      </c>
      <c r="H859" s="254"/>
      <c r="I859" s="13" t="s">
        <v>196</v>
      </c>
      <c r="J859" s="13" t="s">
        <v>503</v>
      </c>
      <c r="K859" s="254"/>
      <c r="L859" s="13" t="s">
        <v>505</v>
      </c>
      <c r="M859" s="13" t="s">
        <v>685</v>
      </c>
      <c r="N859" s="254" t="s">
        <v>688</v>
      </c>
      <c r="O859" s="254"/>
      <c r="P859" s="254" t="s">
        <v>689</v>
      </c>
      <c r="Q859" s="13" t="s">
        <v>505</v>
      </c>
      <c r="R859" s="13" t="s">
        <v>685</v>
      </c>
      <c r="S859" s="254"/>
      <c r="T859" s="13" t="s">
        <v>690</v>
      </c>
      <c r="U859" s="13" t="s">
        <v>691</v>
      </c>
      <c r="V859" s="13" t="s">
        <v>692</v>
      </c>
      <c r="W859" s="254" t="s">
        <v>693</v>
      </c>
      <c r="X859" s="254"/>
    </row>
    <row r="860" spans="1:32">
      <c r="A860" s="255" t="s">
        <v>2</v>
      </c>
      <c r="B860" s="256"/>
      <c r="C860" s="449" t="s">
        <v>3</v>
      </c>
      <c r="D860" s="256"/>
      <c r="E860" s="255" t="s">
        <v>4</v>
      </c>
      <c r="F860" s="256"/>
      <c r="G860" s="255" t="s">
        <v>694</v>
      </c>
      <c r="H860" s="256"/>
      <c r="I860" s="255" t="s">
        <v>131</v>
      </c>
      <c r="J860" s="255" t="s">
        <v>20</v>
      </c>
      <c r="K860" s="256"/>
      <c r="L860" s="255" t="s">
        <v>20</v>
      </c>
      <c r="M860" s="255" t="s">
        <v>20</v>
      </c>
      <c r="N860" s="255" t="s">
        <v>20</v>
      </c>
      <c r="O860" s="256"/>
      <c r="P860" s="255" t="s">
        <v>20</v>
      </c>
      <c r="Q860" s="255" t="s">
        <v>20</v>
      </c>
      <c r="R860" s="255" t="s">
        <v>20</v>
      </c>
      <c r="S860" s="256"/>
      <c r="T860" s="255" t="s">
        <v>20</v>
      </c>
      <c r="U860" s="255" t="s">
        <v>131</v>
      </c>
      <c r="V860" s="255" t="s">
        <v>20</v>
      </c>
      <c r="W860" s="255" t="s">
        <v>76</v>
      </c>
      <c r="X860" s="4"/>
    </row>
    <row r="861" spans="1:32">
      <c r="A861" s="4"/>
      <c r="B861" s="256"/>
      <c r="C861" s="256"/>
      <c r="D861" s="256"/>
      <c r="E861" s="4"/>
      <c r="F861" s="256"/>
      <c r="G861" s="4" t="s">
        <v>8</v>
      </c>
      <c r="H861" s="4"/>
      <c r="I861" s="4" t="s">
        <v>9</v>
      </c>
      <c r="J861" s="4" t="s">
        <v>370</v>
      </c>
      <c r="K861" s="4"/>
      <c r="L861" s="132" t="s">
        <v>79</v>
      </c>
      <c r="M861" s="132" t="s">
        <v>115</v>
      </c>
      <c r="N861" s="4" t="s">
        <v>927</v>
      </c>
      <c r="O861" s="4"/>
      <c r="P861" s="4" t="s">
        <v>928</v>
      </c>
      <c r="Q861" s="4" t="s">
        <v>118</v>
      </c>
      <c r="R861" s="4" t="s">
        <v>84</v>
      </c>
      <c r="S861" s="4"/>
      <c r="T861" s="4" t="s">
        <v>929</v>
      </c>
      <c r="U861" s="4" t="s">
        <v>517</v>
      </c>
      <c r="V861" s="4" t="s">
        <v>930</v>
      </c>
      <c r="W861" s="4" t="s">
        <v>931</v>
      </c>
    </row>
    <row r="862" spans="1:32">
      <c r="A862" s="4"/>
      <c r="B862" s="256"/>
      <c r="C862" s="9"/>
      <c r="D862" s="256"/>
      <c r="E862" s="742"/>
      <c r="F862" s="256"/>
      <c r="G862" s="35"/>
      <c r="H862" s="256"/>
      <c r="I862" s="256"/>
      <c r="J862" s="256"/>
      <c r="K862" s="256"/>
      <c r="L862" s="762"/>
      <c r="M862" s="762"/>
      <c r="N862" s="762"/>
      <c r="O862" s="771"/>
      <c r="P862" s="771"/>
      <c r="Q862" s="762"/>
      <c r="R862" s="762"/>
      <c r="S862" s="771"/>
      <c r="T862" s="771"/>
      <c r="U862" s="771"/>
      <c r="V862" s="762"/>
      <c r="W862" s="504"/>
    </row>
    <row r="863" spans="1:32">
      <c r="A863" s="4"/>
      <c r="B863" s="256"/>
      <c r="C863" s="6" t="s">
        <v>909</v>
      </c>
      <c r="D863" s="256"/>
      <c r="E863" s="36"/>
      <c r="F863" s="256"/>
      <c r="G863" s="35"/>
      <c r="H863" s="256"/>
      <c r="I863" s="256"/>
      <c r="J863" s="256"/>
      <c r="K863" s="256"/>
      <c r="L863" s="762"/>
      <c r="M863" s="762"/>
      <c r="N863" s="762"/>
      <c r="O863" s="771"/>
      <c r="P863" s="771"/>
      <c r="Q863" s="762"/>
      <c r="R863" s="762"/>
      <c r="S863" s="771"/>
      <c r="T863" s="771"/>
      <c r="U863" s="771"/>
      <c r="V863" s="762"/>
      <c r="W863" s="504"/>
    </row>
    <row r="864" spans="1:32">
      <c r="A864" s="4">
        <v>380</v>
      </c>
      <c r="B864" s="256"/>
      <c r="C864" s="512" t="s">
        <v>897</v>
      </c>
      <c r="D864" s="256"/>
      <c r="E864" s="513" t="s">
        <v>704</v>
      </c>
      <c r="F864" s="256"/>
      <c r="G864" s="35">
        <v>12</v>
      </c>
      <c r="H864" s="256"/>
      <c r="I864" s="778">
        <v>2135.348</v>
      </c>
      <c r="J864" s="750">
        <f>G864*I864/1000</f>
        <v>25.624175999999999</v>
      </c>
      <c r="K864" s="256"/>
      <c r="L864" s="35">
        <v>0</v>
      </c>
      <c r="M864" s="35">
        <v>0</v>
      </c>
      <c r="N864" s="762">
        <f>J864</f>
        <v>25.624175999999999</v>
      </c>
      <c r="O864" s="771"/>
      <c r="P864" s="35">
        <v>0.69096042757531251</v>
      </c>
      <c r="Q864" s="35">
        <v>0</v>
      </c>
      <c r="R864" s="35">
        <v>0</v>
      </c>
      <c r="S864" s="771"/>
      <c r="T864" s="771">
        <f>N864+P864+Q864+R864</f>
        <v>26.315136427575311</v>
      </c>
      <c r="U864" s="788">
        <f>T864/G864*1000</f>
        <v>2192.9280356312761</v>
      </c>
      <c r="V864" s="762">
        <f>T864-J864</f>
        <v>0.69096042757531251</v>
      </c>
      <c r="W864" s="770">
        <f>U864/I864-1</f>
        <v>2.696517646363783E-2</v>
      </c>
      <c r="X864" s="769"/>
      <c r="Z864" s="938"/>
      <c r="AB864" s="938"/>
      <c r="AD864" s="938"/>
      <c r="AF864" s="943"/>
    </row>
    <row r="865" spans="1:32">
      <c r="A865" s="4"/>
      <c r="B865" s="256"/>
      <c r="C865" s="512" t="s">
        <v>880</v>
      </c>
      <c r="D865" s="256"/>
      <c r="E865" s="36"/>
      <c r="F865" s="256"/>
      <c r="G865" s="35"/>
      <c r="H865" s="256"/>
      <c r="I865" s="774"/>
      <c r="J865" s="750"/>
      <c r="K865" s="256"/>
      <c r="L865" s="762"/>
      <c r="M865" s="762"/>
      <c r="N865" s="762"/>
      <c r="O865" s="771"/>
      <c r="P865" s="35"/>
      <c r="Q865" s="762"/>
      <c r="R865" s="762"/>
      <c r="S865" s="771"/>
      <c r="T865" s="771"/>
      <c r="U865" s="897"/>
      <c r="V865" s="762"/>
      <c r="W865" s="770"/>
      <c r="X865" s="769"/>
      <c r="Z865" s="938"/>
      <c r="AB865" s="938"/>
      <c r="AD865" s="938"/>
    </row>
    <row r="866" spans="1:32">
      <c r="A866" s="4">
        <v>381</v>
      </c>
      <c r="B866" s="256"/>
      <c r="C866" s="775" t="s">
        <v>910</v>
      </c>
      <c r="D866" s="256"/>
      <c r="E866" s="513" t="s">
        <v>840</v>
      </c>
      <c r="F866" s="256"/>
      <c r="G866" s="35">
        <v>8863</v>
      </c>
      <c r="H866" s="256"/>
      <c r="I866" s="784">
        <v>4.734</v>
      </c>
      <c r="J866" s="750">
        <f>(G866*I866*12/1000)</f>
        <v>503.489304</v>
      </c>
      <c r="K866" s="256"/>
      <c r="L866" s="35">
        <v>0</v>
      </c>
      <c r="M866" s="35">
        <v>0</v>
      </c>
      <c r="N866" s="762">
        <f>J866</f>
        <v>503.489304</v>
      </c>
      <c r="O866" s="771"/>
      <c r="P866" s="35">
        <v>13.576677929914183</v>
      </c>
      <c r="Q866" s="35">
        <v>0</v>
      </c>
      <c r="R866" s="35">
        <v>0</v>
      </c>
      <c r="S866" s="771"/>
      <c r="T866" s="771">
        <f>N866+P866+Q866+R866</f>
        <v>517.06598192991419</v>
      </c>
      <c r="U866" s="66">
        <v>4.8620000000000001</v>
      </c>
      <c r="V866" s="762">
        <f>T866-J866</f>
        <v>13.576677929914183</v>
      </c>
      <c r="W866" s="770">
        <f>U866/I866-1</f>
        <v>2.7038445289395918E-2</v>
      </c>
      <c r="X866" s="769"/>
      <c r="Z866" s="938"/>
      <c r="AB866" s="938"/>
      <c r="AD866" s="938"/>
      <c r="AF866" s="941"/>
    </row>
    <row r="867" spans="1:32">
      <c r="A867" s="4">
        <v>382</v>
      </c>
      <c r="C867" s="775" t="s">
        <v>911</v>
      </c>
      <c r="E867" s="513" t="s">
        <v>840</v>
      </c>
      <c r="G867" s="35">
        <v>0</v>
      </c>
      <c r="I867" s="784">
        <v>2.9039999999999999</v>
      </c>
      <c r="J867" s="35">
        <v>0</v>
      </c>
      <c r="L867" s="35">
        <v>0</v>
      </c>
      <c r="M867" s="35">
        <v>0</v>
      </c>
      <c r="N867" s="762">
        <f>J867</f>
        <v>0</v>
      </c>
      <c r="O867" s="68"/>
      <c r="P867" s="35">
        <v>0</v>
      </c>
      <c r="Q867" s="35">
        <v>0</v>
      </c>
      <c r="R867" s="35">
        <v>0</v>
      </c>
      <c r="S867" s="68"/>
      <c r="T867" s="771">
        <f>N867+P867+Q867+R867</f>
        <v>0</v>
      </c>
      <c r="U867" s="66">
        <f>I867</f>
        <v>2.9039999999999999</v>
      </c>
      <c r="V867" s="762">
        <f>T867-J867</f>
        <v>0</v>
      </c>
      <c r="W867" s="770">
        <f>U867/I867-1</f>
        <v>0</v>
      </c>
      <c r="X867" s="769"/>
      <c r="Z867" s="938"/>
      <c r="AB867" s="938"/>
      <c r="AD867" s="938"/>
      <c r="AF867" s="941"/>
    </row>
    <row r="868" spans="1:32">
      <c r="A868" s="4">
        <v>383</v>
      </c>
      <c r="C868" s="775" t="s">
        <v>912</v>
      </c>
      <c r="E868" s="513" t="s">
        <v>840</v>
      </c>
      <c r="G868" s="35">
        <v>0</v>
      </c>
      <c r="I868" s="784">
        <v>2.9039999999999999</v>
      </c>
      <c r="J868" s="35">
        <v>0</v>
      </c>
      <c r="L868" s="35">
        <v>0</v>
      </c>
      <c r="M868" s="35">
        <v>0</v>
      </c>
      <c r="N868" s="762">
        <f>J868</f>
        <v>0</v>
      </c>
      <c r="O868" s="68"/>
      <c r="P868" s="35">
        <v>0</v>
      </c>
      <c r="Q868" s="35">
        <v>0</v>
      </c>
      <c r="R868" s="35">
        <v>0</v>
      </c>
      <c r="S868" s="68"/>
      <c r="T868" s="771">
        <f>N868+P868+Q868+R868</f>
        <v>0</v>
      </c>
      <c r="U868" s="66">
        <f>I868</f>
        <v>2.9039999999999999</v>
      </c>
      <c r="V868" s="762">
        <f>T868-J868</f>
        <v>0</v>
      </c>
      <c r="W868" s="770">
        <f>U868/I868-1</f>
        <v>0</v>
      </c>
      <c r="X868" s="769"/>
      <c r="Z868" s="938"/>
      <c r="AB868" s="938"/>
      <c r="AD868" s="938"/>
      <c r="AF868" s="941"/>
    </row>
    <row r="869" spans="1:32">
      <c r="A869" s="4"/>
      <c r="C869" s="512" t="s">
        <v>913</v>
      </c>
      <c r="E869" s="504"/>
      <c r="G869" s="35"/>
      <c r="J869" s="752"/>
      <c r="L869" s="762"/>
      <c r="M869" s="762"/>
      <c r="N869" s="762"/>
      <c r="O869" s="68"/>
      <c r="P869" s="35"/>
      <c r="Q869" s="762"/>
      <c r="R869" s="762"/>
      <c r="S869" s="68"/>
      <c r="T869" s="771"/>
      <c r="U869" s="942"/>
      <c r="V869" s="762"/>
      <c r="W869" s="770"/>
      <c r="X869" s="769"/>
      <c r="Z869" s="938"/>
      <c r="AB869" s="938"/>
      <c r="AD869" s="938"/>
      <c r="AF869" s="941"/>
    </row>
    <row r="870" spans="1:32">
      <c r="A870" s="4">
        <v>384</v>
      </c>
      <c r="C870" s="519" t="s">
        <v>914</v>
      </c>
      <c r="E870" s="513" t="s">
        <v>777</v>
      </c>
      <c r="G870" s="35">
        <v>1303506.0105505299</v>
      </c>
      <c r="I870" s="35">
        <v>0</v>
      </c>
      <c r="J870" s="35">
        <v>0</v>
      </c>
      <c r="L870" s="35">
        <v>0</v>
      </c>
      <c r="M870" s="35">
        <v>0</v>
      </c>
      <c r="N870" s="762">
        <f>J870</f>
        <v>0</v>
      </c>
      <c r="O870" s="68"/>
      <c r="P870" s="35">
        <v>0</v>
      </c>
      <c r="Q870" s="35">
        <v>0</v>
      </c>
      <c r="R870" s="35">
        <v>0</v>
      </c>
      <c r="S870" s="68"/>
      <c r="T870" s="771">
        <f>N870+P870+Q870+R870</f>
        <v>0</v>
      </c>
      <c r="U870" s="35">
        <f>T870/G870*1000</f>
        <v>0</v>
      </c>
      <c r="V870" s="762">
        <f>T870-J870</f>
        <v>0</v>
      </c>
      <c r="W870" s="770"/>
      <c r="X870" s="769"/>
      <c r="Z870" s="938"/>
      <c r="AB870" s="938"/>
      <c r="AD870" s="938"/>
      <c r="AF870" s="941"/>
    </row>
    <row r="871" spans="1:32">
      <c r="A871" s="4"/>
      <c r="C871" s="504"/>
      <c r="E871" s="36"/>
      <c r="G871" s="35"/>
      <c r="J871" s="752"/>
      <c r="L871" s="762"/>
      <c r="M871" s="762"/>
      <c r="N871" s="762"/>
      <c r="O871" s="68"/>
      <c r="P871" s="68"/>
      <c r="Q871" s="762"/>
      <c r="R871" s="762"/>
      <c r="S871" s="68"/>
      <c r="T871" s="68"/>
      <c r="U871" s="911"/>
      <c r="V871" s="762"/>
      <c r="W871" s="770"/>
      <c r="X871" s="769"/>
      <c r="Z871" s="938"/>
      <c r="AB871" s="938"/>
      <c r="AD871" s="938"/>
    </row>
    <row r="872" spans="1:32" ht="13.5" thickBot="1">
      <c r="A872" s="4">
        <v>385</v>
      </c>
      <c r="C872" s="504" t="s">
        <v>915</v>
      </c>
      <c r="E872" s="36"/>
      <c r="G872" s="768">
        <v>1303506.0105505299</v>
      </c>
      <c r="I872" s="940">
        <f>J872/G872*1000</f>
        <v>0.4059156426724348</v>
      </c>
      <c r="J872" s="758">
        <f>SUM(J864:J868)</f>
        <v>529.11347999999998</v>
      </c>
      <c r="K872" s="752"/>
      <c r="L872" s="760">
        <f>SUM(L864:L870)</f>
        <v>0</v>
      </c>
      <c r="M872" s="760">
        <f>SUM(M864:M870)</f>
        <v>0</v>
      </c>
      <c r="N872" s="760">
        <f>SUM(N864:N870)</f>
        <v>529.11347999999998</v>
      </c>
      <c r="O872" s="760"/>
      <c r="P872" s="760">
        <f>SUM(P864:P867)</f>
        <v>14.267638357489496</v>
      </c>
      <c r="Q872" s="760">
        <f>SUM(Q864:Q868)</f>
        <v>0</v>
      </c>
      <c r="R872" s="760">
        <f>SUM(R864:R868)</f>
        <v>0</v>
      </c>
      <c r="S872" s="68"/>
      <c r="T872" s="760">
        <f>SUM(T864:T870)</f>
        <v>543.38111835748953</v>
      </c>
      <c r="U872" s="939">
        <f>T872/G872*1000</f>
        <v>0.41686122960644806</v>
      </c>
      <c r="V872" s="760">
        <f>SUM(V864:V870)</f>
        <v>14.267638357489496</v>
      </c>
      <c r="W872" s="765">
        <f>U872/I872-1</f>
        <v>2.6965176463638052E-2</v>
      </c>
      <c r="X872" s="764"/>
      <c r="Z872" s="938"/>
      <c r="AB872" s="938"/>
      <c r="AD872" s="938"/>
    </row>
    <row r="873" spans="1:32" ht="13.5" thickTop="1">
      <c r="A873" s="4"/>
      <c r="C873" s="504"/>
      <c r="E873" s="36"/>
      <c r="G873" s="35"/>
      <c r="L873" s="504"/>
      <c r="M873" s="504"/>
      <c r="N873" s="504"/>
      <c r="Q873" s="504"/>
      <c r="R873" s="504"/>
      <c r="V873" s="762"/>
      <c r="W873" s="504"/>
    </row>
    <row r="874" spans="1:32">
      <c r="A874" s="4">
        <v>386</v>
      </c>
      <c r="C874" s="730" t="s">
        <v>916</v>
      </c>
      <c r="E874" s="36"/>
      <c r="G874" s="35"/>
      <c r="J874" s="35">
        <v>1196.9395495536583</v>
      </c>
      <c r="L874" s="762">
        <v>0</v>
      </c>
      <c r="M874" s="762">
        <v>0</v>
      </c>
      <c r="N874" s="762">
        <f>J874</f>
        <v>1196.9395495536583</v>
      </c>
      <c r="P874" s="68">
        <f>T874-N874</f>
        <v>12.998163194410154</v>
      </c>
      <c r="Q874" s="762">
        <v>0</v>
      </c>
      <c r="R874" s="762">
        <v>0</v>
      </c>
      <c r="T874" s="68">
        <v>1209.9377127480684</v>
      </c>
      <c r="V874" s="762">
        <f>T874-J874</f>
        <v>12.998163194410154</v>
      </c>
      <c r="W874" s="504"/>
    </row>
    <row r="875" spans="1:32">
      <c r="A875" s="4"/>
      <c r="C875" s="757" t="s">
        <v>917</v>
      </c>
      <c r="E875" s="36"/>
      <c r="G875" s="35"/>
      <c r="L875" s="504"/>
      <c r="M875" s="504"/>
      <c r="N875" s="504"/>
      <c r="Q875" s="504"/>
      <c r="R875" s="504"/>
      <c r="V875" s="504"/>
      <c r="W875" s="504"/>
      <c r="X875" s="728"/>
    </row>
    <row r="876" spans="1:32" ht="13.5" thickBot="1">
      <c r="A876" s="4">
        <v>387</v>
      </c>
      <c r="C876" s="504" t="s">
        <v>533</v>
      </c>
      <c r="E876" s="36"/>
      <c r="G876" s="35"/>
      <c r="J876" s="758">
        <f>J739+J744+J747+J774+J809+J829+J831+J849+J872+J874</f>
        <v>144286.2059512198</v>
      </c>
      <c r="K876" s="752"/>
      <c r="L876" s="760">
        <f>L739+L744+L747+L774+L809+L829+L831+L849+L872+L874</f>
        <v>0</v>
      </c>
      <c r="M876" s="760">
        <f>M739+M744+M747+M774+M809+M829+M831+M849+M872+M874</f>
        <v>0</v>
      </c>
      <c r="N876" s="758">
        <f>N739+N744+N747+N774+N809+N829+N831+N849+N872+N874</f>
        <v>144286.2059512198</v>
      </c>
      <c r="O876" s="758"/>
      <c r="P876" s="758">
        <f>P739+P744+P747+P774+P809+P829+P831+P849+P872+P874</f>
        <v>3442.7190409146451</v>
      </c>
      <c r="Q876" s="760">
        <f>Q739+Q744+Q747+Q774+Q809+Q829+Q831+Q849+Q872+Q874</f>
        <v>0</v>
      </c>
      <c r="R876" s="760">
        <f>R739+R744+R747+R774+R809+R829+R831+R849+R872+R874</f>
        <v>0</v>
      </c>
      <c r="S876" s="752"/>
      <c r="T876" s="758">
        <f>T739+T744+T747+T774+T809+T829+T831+T849+T872+T874</f>
        <v>147728.9249921345</v>
      </c>
      <c r="U876" s="752"/>
      <c r="V876" s="758">
        <f>V739+V744+V747+V774+V809+V829+V849+V872+V874</f>
        <v>3442.7190409146451</v>
      </c>
      <c r="W876" s="504"/>
    </row>
    <row r="877" spans="1:32" ht="13.5" thickTop="1">
      <c r="A877" s="4"/>
      <c r="E877" s="36"/>
      <c r="G877" s="35"/>
      <c r="L877" s="504"/>
      <c r="M877" s="504"/>
      <c r="N877" s="504"/>
      <c r="Q877" s="504"/>
      <c r="R877" s="504"/>
      <c r="V877" s="504"/>
      <c r="W877" s="504"/>
    </row>
    <row r="878" spans="1:32" ht="13.5" thickBot="1">
      <c r="A878" s="4">
        <v>388</v>
      </c>
      <c r="C878" s="757" t="s">
        <v>949</v>
      </c>
      <c r="E878" s="36"/>
      <c r="G878" s="35"/>
      <c r="J878" s="756">
        <f>J720+J876</f>
        <v>2811398.343567003</v>
      </c>
      <c r="K878" s="750"/>
      <c r="L878" s="756">
        <f>L720+L876</f>
        <v>143871.4637834662</v>
      </c>
      <c r="M878" s="756">
        <f>M720+M876</f>
        <v>46925.204694014014</v>
      </c>
      <c r="N878" s="756">
        <f>N720+N876</f>
        <v>2622644.0721751251</v>
      </c>
      <c r="O878" s="750"/>
      <c r="P878" s="756">
        <f>P720+P876</f>
        <v>70272.076237206784</v>
      </c>
      <c r="Q878" s="756">
        <f>Q720+Q876</f>
        <v>183081.92719976377</v>
      </c>
      <c r="R878" s="756">
        <f>R720+R876</f>
        <v>46390.692841946395</v>
      </c>
      <c r="S878" s="750"/>
      <c r="T878" s="756">
        <f>T720+T876</f>
        <v>2922388.7684540423</v>
      </c>
      <c r="U878" s="750"/>
      <c r="V878" s="756">
        <f>V720+V876</f>
        <v>110990.42488703917</v>
      </c>
      <c r="W878" s="504"/>
    </row>
    <row r="879" spans="1:32" ht="13.5" thickTop="1">
      <c r="A879" s="4"/>
      <c r="B879" s="256"/>
      <c r="C879" s="9"/>
      <c r="D879" s="256"/>
      <c r="E879" s="742"/>
      <c r="F879" s="256"/>
      <c r="G879" s="35"/>
      <c r="H879" s="256"/>
      <c r="I879" s="256"/>
      <c r="J879" s="937"/>
      <c r="K879" s="937"/>
      <c r="L879" s="937"/>
      <c r="M879" s="937"/>
      <c r="N879" s="937"/>
      <c r="O879" s="937"/>
      <c r="P879" s="937"/>
      <c r="Q879" s="937"/>
      <c r="R879" s="937"/>
      <c r="S879" s="937"/>
      <c r="T879" s="937"/>
      <c r="U879" s="937"/>
      <c r="V879" s="937"/>
      <c r="W879" s="504"/>
    </row>
    <row r="880" spans="1:32">
      <c r="G880" s="135"/>
      <c r="J880" s="937"/>
      <c r="K880" s="937"/>
      <c r="L880" s="937"/>
      <c r="M880" s="937"/>
      <c r="N880" s="937"/>
      <c r="O880" s="937"/>
      <c r="P880" s="937"/>
      <c r="Q880" s="937"/>
      <c r="R880" s="937"/>
      <c r="S880" s="937"/>
      <c r="T880" s="937"/>
      <c r="U880" s="937"/>
      <c r="V880" s="937"/>
      <c r="W880" s="504"/>
    </row>
    <row r="881" spans="1:23">
      <c r="A881" s="6" t="s">
        <v>39</v>
      </c>
      <c r="D881" s="256"/>
      <c r="E881" s="36"/>
      <c r="F881" s="256"/>
      <c r="G881" s="453"/>
      <c r="H881" s="256"/>
      <c r="I881" s="256"/>
      <c r="J881" s="937"/>
      <c r="K881" s="937"/>
      <c r="L881" s="937"/>
      <c r="M881" s="937"/>
      <c r="N881" s="937"/>
      <c r="O881" s="937"/>
      <c r="P881" s="937"/>
      <c r="Q881" s="937"/>
      <c r="R881" s="937"/>
      <c r="S881" s="937"/>
      <c r="T881" s="937"/>
      <c r="U881" s="937"/>
      <c r="V881" s="937"/>
      <c r="W881" s="504"/>
    </row>
    <row r="882" spans="1:23">
      <c r="A882" s="5" t="s">
        <v>40</v>
      </c>
      <c r="C882" s="2" t="s">
        <v>919</v>
      </c>
      <c r="G882" s="135"/>
      <c r="L882" s="504"/>
      <c r="M882" s="504"/>
      <c r="N882" s="504"/>
      <c r="O882" s="256"/>
      <c r="P882" s="256"/>
      <c r="Q882" s="504"/>
      <c r="R882" s="504"/>
      <c r="S882" s="256"/>
      <c r="T882" s="256"/>
      <c r="U882" s="256"/>
      <c r="V882" s="504"/>
      <c r="W882" s="504"/>
    </row>
    <row r="883" spans="1:23">
      <c r="A883" s="5" t="s">
        <v>42</v>
      </c>
      <c r="C883" s="2" t="s">
        <v>536</v>
      </c>
      <c r="D883" s="256"/>
      <c r="E883" s="36"/>
      <c r="F883" s="256"/>
      <c r="G883" s="453"/>
      <c r="H883" s="256"/>
      <c r="I883" s="256"/>
      <c r="J883" s="256"/>
      <c r="K883" s="256"/>
      <c r="L883" s="504"/>
      <c r="M883" s="504"/>
      <c r="N883" s="504"/>
      <c r="O883" s="256"/>
      <c r="P883" s="256"/>
      <c r="Q883" s="504"/>
      <c r="R883" s="504"/>
      <c r="S883" s="256"/>
      <c r="T883" s="256"/>
      <c r="U883" s="256"/>
      <c r="V883" s="504"/>
      <c r="W883" s="504"/>
    </row>
    <row r="884" spans="1:23">
      <c r="A884" s="5" t="s">
        <v>44</v>
      </c>
      <c r="C884" s="2" t="s">
        <v>950</v>
      </c>
      <c r="D884" s="256"/>
      <c r="E884" s="36"/>
      <c r="F884" s="256"/>
      <c r="G884" s="35"/>
      <c r="H884" s="256"/>
      <c r="I884" s="256"/>
      <c r="J884" s="256"/>
      <c r="K884" s="256"/>
      <c r="L884" s="504"/>
      <c r="M884" s="504"/>
      <c r="N884" s="504"/>
      <c r="O884" s="504"/>
      <c r="P884" s="504"/>
      <c r="Q884" s="504"/>
      <c r="R884" s="504"/>
      <c r="S884" s="256"/>
      <c r="T884" s="256"/>
      <c r="U884" s="256"/>
      <c r="V884" s="504"/>
      <c r="W884" s="504"/>
    </row>
    <row r="885" spans="1:23" ht="12" customHeight="1">
      <c r="A885" s="5" t="s">
        <v>46</v>
      </c>
      <c r="B885" s="504"/>
      <c r="C885" s="12" t="s">
        <v>951</v>
      </c>
      <c r="D885" s="256"/>
      <c r="E885" s="36"/>
      <c r="F885" s="256"/>
      <c r="G885" s="35"/>
      <c r="H885" s="256"/>
      <c r="I885" s="256"/>
      <c r="J885" s="256"/>
      <c r="K885" s="256"/>
      <c r="L885" s="504"/>
      <c r="M885" s="504"/>
      <c r="N885" s="504"/>
      <c r="O885" s="504"/>
      <c r="P885" s="504"/>
      <c r="Q885" s="753"/>
      <c r="R885" s="504"/>
      <c r="S885" s="256"/>
      <c r="T885" s="256"/>
      <c r="U885" s="256"/>
      <c r="V885" s="504"/>
      <c r="W885" s="504"/>
    </row>
    <row r="886" spans="1:23" ht="12" customHeight="1">
      <c r="A886" s="5" t="s">
        <v>48</v>
      </c>
      <c r="B886" s="504"/>
      <c r="C886" s="2" t="s">
        <v>921</v>
      </c>
      <c r="D886" s="256"/>
      <c r="E886" s="36"/>
      <c r="F886" s="256"/>
      <c r="G886" s="35"/>
      <c r="H886" s="256"/>
      <c r="I886" s="256"/>
      <c r="J886" s="256"/>
      <c r="K886" s="256"/>
      <c r="L886" s="504"/>
      <c r="M886" s="504"/>
      <c r="N886" s="504"/>
      <c r="O886" s="504"/>
      <c r="P886" s="504"/>
      <c r="Q886" s="504"/>
      <c r="R886" s="504"/>
      <c r="S886" s="256"/>
      <c r="T886" s="256"/>
      <c r="U886" s="256"/>
      <c r="V886" s="504"/>
      <c r="W886" s="504"/>
    </row>
    <row r="887" spans="1:23" ht="12" customHeight="1">
      <c r="A887" s="5" t="s">
        <v>50</v>
      </c>
      <c r="B887" s="504"/>
      <c r="C887" s="2" t="s">
        <v>922</v>
      </c>
      <c r="D887" s="256"/>
      <c r="E887" s="36"/>
      <c r="F887" s="256"/>
      <c r="G887" s="35"/>
      <c r="H887" s="256"/>
      <c r="I887" s="256"/>
      <c r="J887" s="256"/>
      <c r="K887" s="256"/>
      <c r="L887" s="504"/>
      <c r="M887" s="504"/>
      <c r="N887" s="504"/>
      <c r="O887" s="504"/>
      <c r="P887" s="504"/>
      <c r="Q887" s="504"/>
      <c r="R887" s="504"/>
      <c r="S887" s="256"/>
      <c r="T887" s="256"/>
      <c r="U887" s="256"/>
      <c r="V887" s="504"/>
      <c r="W887" s="504"/>
    </row>
    <row r="888" spans="1:23">
      <c r="A888" s="5" t="s">
        <v>52</v>
      </c>
      <c r="C888" s="2" t="s">
        <v>952</v>
      </c>
      <c r="D888" s="256"/>
      <c r="E888" s="36"/>
      <c r="F888" s="256"/>
      <c r="G888" s="453"/>
      <c r="H888" s="256"/>
      <c r="I888" s="256"/>
      <c r="J888" s="256"/>
      <c r="K888" s="256"/>
      <c r="L888" s="504"/>
      <c r="M888" s="504"/>
      <c r="N888" s="504"/>
      <c r="O888" s="504"/>
      <c r="P888" s="504"/>
      <c r="Q888" s="504"/>
      <c r="R888" s="504"/>
      <c r="S888" s="256"/>
      <c r="T888" s="256"/>
      <c r="U888" s="256"/>
      <c r="V888" s="504"/>
      <c r="W888" s="504"/>
    </row>
    <row r="889" spans="1:23">
      <c r="A889" s="5" t="s">
        <v>54</v>
      </c>
      <c r="B889" s="256"/>
      <c r="C889" s="12" t="s">
        <v>953</v>
      </c>
      <c r="D889" s="256"/>
      <c r="E889" s="742"/>
      <c r="F889" s="256"/>
      <c r="G889" s="453"/>
      <c r="H889" s="256"/>
      <c r="I889" s="256"/>
      <c r="J889" s="256"/>
      <c r="K889" s="256"/>
      <c r="L889" s="504"/>
      <c r="M889" s="504"/>
      <c r="N889" s="504"/>
      <c r="O889" s="504"/>
      <c r="P889" s="504"/>
      <c r="Q889" s="504"/>
      <c r="R889" s="504"/>
      <c r="S889" s="256"/>
      <c r="T889" s="256"/>
      <c r="U889" s="256"/>
      <c r="V889" s="504"/>
      <c r="W889" s="504"/>
    </row>
    <row r="890" spans="1:23">
      <c r="A890" s="4"/>
      <c r="B890" s="256"/>
      <c r="C890" s="6"/>
      <c r="D890" s="256"/>
      <c r="E890" s="134"/>
      <c r="F890" s="256"/>
      <c r="G890" s="749"/>
      <c r="H890" s="256"/>
      <c r="I890" s="256"/>
      <c r="J890" s="256"/>
      <c r="K890" s="256"/>
      <c r="O890" s="268"/>
      <c r="P890" s="268"/>
      <c r="S890" s="256"/>
      <c r="T890" s="256"/>
      <c r="U890" s="256"/>
    </row>
    <row r="891" spans="1:23">
      <c r="A891" s="4"/>
      <c r="C891" s="7"/>
      <c r="E891" s="513"/>
      <c r="G891" s="24"/>
      <c r="L891" s="644"/>
      <c r="N891" s="936"/>
      <c r="O891" s="256"/>
      <c r="P891" s="256"/>
    </row>
    <row r="892" spans="1:23">
      <c r="C892" s="7"/>
      <c r="E892" s="36"/>
      <c r="G892" s="24"/>
      <c r="L892" s="644"/>
      <c r="N892" s="728"/>
      <c r="O892" s="256"/>
      <c r="P892" s="256"/>
    </row>
    <row r="893" spans="1:23">
      <c r="A893" s="4"/>
      <c r="B893" s="256"/>
      <c r="C893" s="9"/>
      <c r="D893" s="256"/>
      <c r="E893" s="318"/>
      <c r="F893" s="256"/>
      <c r="G893" s="24"/>
      <c r="H893" s="256"/>
      <c r="I893" s="256"/>
      <c r="J893" s="256"/>
      <c r="K893" s="256"/>
      <c r="M893" s="728"/>
      <c r="N893" s="728"/>
      <c r="O893" s="256"/>
      <c r="P893" s="750"/>
      <c r="R893" s="728"/>
      <c r="S893" s="256"/>
      <c r="T893" s="750"/>
      <c r="U893" s="256"/>
    </row>
    <row r="894" spans="1:23">
      <c r="A894" s="4"/>
      <c r="B894" s="256"/>
      <c r="C894" s="9"/>
      <c r="D894" s="256"/>
      <c r="E894" s="742"/>
      <c r="F894" s="256"/>
      <c r="G894" s="24"/>
      <c r="H894" s="256"/>
      <c r="I894" s="256"/>
      <c r="J894" s="256"/>
      <c r="K894" s="256"/>
      <c r="M894" s="728"/>
      <c r="N894" s="728"/>
      <c r="O894" s="256"/>
      <c r="P894" s="750"/>
      <c r="S894" s="256"/>
      <c r="T894" s="256"/>
      <c r="U894" s="256"/>
    </row>
    <row r="895" spans="1:23">
      <c r="A895" s="4"/>
      <c r="B895" s="256"/>
      <c r="C895" s="9"/>
      <c r="D895" s="256"/>
      <c r="E895" s="318"/>
      <c r="F895" s="256"/>
      <c r="G895" s="24"/>
      <c r="H895" s="256"/>
      <c r="I895" s="256"/>
      <c r="J895" s="256"/>
      <c r="K895" s="256"/>
      <c r="M895" s="728"/>
      <c r="N895" s="728"/>
      <c r="P895" s="750"/>
      <c r="S895" s="256"/>
      <c r="T895" s="256"/>
      <c r="U895" s="256"/>
    </row>
    <row r="896" spans="1:23">
      <c r="A896" s="4"/>
      <c r="B896" s="256"/>
      <c r="C896" s="7"/>
      <c r="D896" s="256"/>
      <c r="E896" s="36"/>
      <c r="F896" s="256"/>
      <c r="G896" s="453"/>
      <c r="H896" s="256"/>
      <c r="I896" s="256"/>
      <c r="J896" s="256"/>
      <c r="K896" s="256"/>
      <c r="M896" s="728"/>
      <c r="N896" s="728"/>
      <c r="P896" s="750"/>
      <c r="S896" s="256"/>
      <c r="T896" s="256"/>
      <c r="U896" s="256"/>
    </row>
    <row r="897" spans="1:21">
      <c r="E897" s="36"/>
      <c r="G897" s="24"/>
      <c r="N897" s="728"/>
      <c r="O897" s="256"/>
      <c r="P897" s="750"/>
    </row>
    <row r="898" spans="1:21">
      <c r="C898" s="733"/>
      <c r="E898" s="36"/>
      <c r="G898" s="24"/>
      <c r="L898" s="644"/>
      <c r="M898" s="644"/>
      <c r="N898" s="728"/>
      <c r="O898" s="256"/>
      <c r="P898" s="750"/>
    </row>
    <row r="899" spans="1:21">
      <c r="C899" s="320"/>
      <c r="E899" s="36"/>
      <c r="G899" s="24"/>
      <c r="M899" s="728"/>
      <c r="N899" s="728"/>
      <c r="O899" s="256"/>
      <c r="P899" s="750"/>
      <c r="R899" s="728"/>
      <c r="T899" s="752"/>
    </row>
    <row r="900" spans="1:21">
      <c r="A900" s="4"/>
      <c r="C900" s="747"/>
      <c r="E900" s="36"/>
      <c r="G900" s="24"/>
      <c r="M900" s="728"/>
      <c r="N900" s="728"/>
      <c r="O900" s="256"/>
      <c r="P900" s="750"/>
    </row>
    <row r="901" spans="1:21">
      <c r="C901" s="320"/>
      <c r="E901" s="36"/>
      <c r="G901" s="24"/>
      <c r="M901" s="728"/>
      <c r="N901" s="728"/>
      <c r="P901" s="750"/>
    </row>
    <row r="902" spans="1:21">
      <c r="A902" s="4"/>
      <c r="C902" s="747"/>
      <c r="E902" s="36"/>
      <c r="G902" s="24"/>
      <c r="M902" s="728"/>
      <c r="N902" s="728"/>
      <c r="P902" s="750"/>
    </row>
    <row r="903" spans="1:21">
      <c r="A903" s="4"/>
      <c r="C903" s="747"/>
      <c r="E903" s="36"/>
      <c r="G903" s="24"/>
      <c r="N903" s="728"/>
      <c r="P903" s="750"/>
    </row>
    <row r="904" spans="1:21">
      <c r="A904" s="4"/>
      <c r="C904" s="747"/>
      <c r="E904" s="36"/>
      <c r="G904" s="24"/>
      <c r="L904" s="644"/>
      <c r="M904" s="644"/>
      <c r="N904" s="728"/>
      <c r="P904" s="750"/>
    </row>
    <row r="905" spans="1:21">
      <c r="A905" s="4"/>
      <c r="C905" s="747"/>
      <c r="E905" s="36"/>
      <c r="G905" s="24"/>
      <c r="M905" s="728"/>
      <c r="N905" s="728"/>
      <c r="P905" s="750"/>
      <c r="R905" s="728"/>
      <c r="T905" s="752"/>
    </row>
    <row r="906" spans="1:21">
      <c r="C906" s="320"/>
      <c r="E906" s="36"/>
      <c r="G906" s="24"/>
      <c r="M906" s="728"/>
      <c r="N906" s="728"/>
      <c r="P906" s="750"/>
    </row>
    <row r="907" spans="1:21">
      <c r="A907" s="4"/>
      <c r="C907" s="747"/>
      <c r="E907" s="36"/>
      <c r="G907" s="24"/>
      <c r="M907" s="728"/>
      <c r="N907" s="728"/>
      <c r="P907" s="750"/>
      <c r="Q907" s="728"/>
    </row>
    <row r="908" spans="1:21">
      <c r="C908" s="733"/>
      <c r="E908" s="36"/>
      <c r="G908" s="24"/>
      <c r="M908" s="728"/>
      <c r="N908" s="728"/>
      <c r="P908" s="750"/>
      <c r="Q908" s="728"/>
    </row>
    <row r="909" spans="1:21">
      <c r="A909" s="4"/>
      <c r="B909" s="256"/>
      <c r="C909" s="9"/>
      <c r="D909" s="256"/>
      <c r="E909" s="742"/>
      <c r="F909" s="256"/>
      <c r="G909" s="24"/>
      <c r="H909" s="256"/>
      <c r="I909" s="256"/>
      <c r="J909" s="256"/>
      <c r="K909" s="256"/>
      <c r="N909" s="728"/>
      <c r="P909" s="750"/>
      <c r="S909" s="256"/>
      <c r="T909" s="256"/>
      <c r="U909" s="256"/>
    </row>
    <row r="910" spans="1:21">
      <c r="G910" s="135"/>
      <c r="L910" s="644"/>
      <c r="N910" s="728"/>
      <c r="P910" s="750"/>
    </row>
    <row r="911" spans="1:21">
      <c r="A911" s="4"/>
      <c r="B911" s="256"/>
      <c r="C911" s="7"/>
      <c r="D911" s="256"/>
      <c r="E911" s="36"/>
      <c r="F911" s="256"/>
      <c r="G911" s="453"/>
      <c r="H911" s="256"/>
      <c r="I911" s="256"/>
      <c r="J911" s="256"/>
      <c r="K911" s="256"/>
      <c r="M911" s="728"/>
      <c r="N911" s="728"/>
      <c r="P911" s="750"/>
      <c r="S911" s="256"/>
      <c r="T911" s="256"/>
      <c r="U911" s="256"/>
    </row>
    <row r="912" spans="1:21">
      <c r="A912" s="4"/>
      <c r="B912" s="256"/>
      <c r="C912" s="7"/>
      <c r="D912" s="256"/>
      <c r="E912" s="36"/>
      <c r="F912" s="256"/>
      <c r="G912" s="24"/>
      <c r="H912" s="256"/>
      <c r="I912" s="256"/>
      <c r="J912" s="256"/>
      <c r="K912" s="256"/>
      <c r="M912" s="728"/>
      <c r="N912" s="728"/>
      <c r="P912" s="750"/>
      <c r="S912" s="256"/>
      <c r="T912" s="256"/>
      <c r="U912" s="256"/>
    </row>
    <row r="913" spans="1:21">
      <c r="A913" s="4"/>
      <c r="B913" s="256"/>
      <c r="C913" s="7"/>
      <c r="D913" s="256"/>
      <c r="E913" s="36"/>
      <c r="F913" s="256"/>
      <c r="G913" s="453"/>
      <c r="H913" s="256"/>
      <c r="I913" s="256"/>
      <c r="J913" s="256"/>
      <c r="K913" s="256"/>
      <c r="M913" s="728"/>
      <c r="N913" s="728"/>
      <c r="O913" s="256"/>
      <c r="P913" s="750"/>
      <c r="S913" s="256"/>
      <c r="T913" s="256"/>
      <c r="U913" s="256"/>
    </row>
    <row r="914" spans="1:21">
      <c r="A914" s="4"/>
      <c r="B914" s="256"/>
      <c r="C914" s="7"/>
      <c r="D914" s="256"/>
      <c r="E914" s="36"/>
      <c r="F914" s="256"/>
      <c r="G914" s="453"/>
      <c r="H914" s="256"/>
      <c r="I914" s="256"/>
      <c r="J914" s="256"/>
      <c r="K914" s="256"/>
      <c r="O914" s="256"/>
      <c r="P914" s="256"/>
      <c r="S914" s="256"/>
      <c r="T914" s="256"/>
      <c r="U914" s="256"/>
    </row>
    <row r="915" spans="1:21">
      <c r="A915" s="4"/>
      <c r="B915" s="256"/>
      <c r="C915" s="268"/>
      <c r="D915" s="256"/>
      <c r="F915" s="256"/>
      <c r="G915" s="135"/>
      <c r="H915" s="256"/>
      <c r="I915" s="256"/>
      <c r="J915" s="256"/>
      <c r="K915" s="256"/>
      <c r="O915" s="256"/>
      <c r="P915" s="256"/>
      <c r="S915" s="256"/>
      <c r="T915" s="256"/>
      <c r="U915" s="256"/>
    </row>
    <row r="916" spans="1:21">
      <c r="A916" s="4"/>
      <c r="B916" s="256"/>
      <c r="D916" s="256"/>
      <c r="E916" s="742"/>
      <c r="F916" s="256"/>
      <c r="G916" s="453"/>
      <c r="H916" s="256"/>
      <c r="I916" s="256"/>
      <c r="J916" s="256"/>
      <c r="K916" s="256"/>
      <c r="O916" s="256"/>
      <c r="P916" s="256"/>
      <c r="S916" s="256"/>
      <c r="T916" s="256"/>
      <c r="U916" s="256"/>
    </row>
    <row r="917" spans="1:21">
      <c r="A917" s="4"/>
      <c r="B917" s="256"/>
      <c r="D917" s="256"/>
      <c r="E917" s="742"/>
      <c r="F917" s="256"/>
      <c r="G917" s="453"/>
      <c r="H917" s="256"/>
      <c r="I917" s="256"/>
      <c r="J917" s="256"/>
      <c r="K917" s="256"/>
      <c r="O917" s="256"/>
      <c r="P917" s="256"/>
      <c r="S917" s="256"/>
      <c r="T917" s="256"/>
      <c r="U917" s="256"/>
    </row>
    <row r="918" spans="1:21">
      <c r="A918" s="734"/>
      <c r="B918" s="3"/>
      <c r="C918" s="3"/>
      <c r="D918" s="3"/>
      <c r="E918" s="3"/>
      <c r="F918" s="3"/>
      <c r="G918" s="3"/>
      <c r="H918" s="3"/>
      <c r="I918" s="3"/>
      <c r="J918" s="3"/>
      <c r="K918" s="3"/>
      <c r="O918" s="3"/>
      <c r="P918" s="3"/>
      <c r="S918" s="3"/>
      <c r="T918" s="3"/>
      <c r="U918" s="3"/>
    </row>
    <row r="919" spans="1:21">
      <c r="A919" s="735"/>
      <c r="B919" s="734"/>
      <c r="C919" s="734"/>
      <c r="D919" s="734"/>
      <c r="E919" s="734"/>
      <c r="F919" s="734"/>
      <c r="G919" s="734"/>
      <c r="H919" s="734"/>
      <c r="I919" s="734"/>
      <c r="J919" s="734"/>
      <c r="K919" s="734"/>
      <c r="O919" s="734"/>
      <c r="P919" s="734"/>
      <c r="S919" s="734"/>
      <c r="T919" s="734"/>
      <c r="U919" s="734"/>
    </row>
    <row r="920" spans="1:21">
      <c r="B920" s="385"/>
      <c r="D920" s="385"/>
      <c r="E920" s="447"/>
      <c r="F920" s="385"/>
      <c r="H920" s="385"/>
      <c r="I920" s="385"/>
      <c r="J920" s="385"/>
      <c r="K920" s="385"/>
      <c r="O920" s="385"/>
      <c r="P920" s="385"/>
      <c r="S920" s="385"/>
      <c r="T920" s="385"/>
      <c r="U920" s="385"/>
    </row>
    <row r="921" spans="1:21">
      <c r="A921" s="447"/>
      <c r="B921" s="447"/>
      <c r="C921" s="447"/>
      <c r="D921" s="447"/>
      <c r="E921" s="385"/>
      <c r="F921" s="447"/>
      <c r="G921" s="385"/>
      <c r="H921" s="447"/>
      <c r="I921" s="447"/>
      <c r="J921" s="447"/>
      <c r="K921" s="447"/>
      <c r="O921" s="447"/>
      <c r="P921" s="447"/>
      <c r="S921" s="447"/>
      <c r="T921" s="447"/>
      <c r="U921" s="447"/>
    </row>
    <row r="922" spans="1:21">
      <c r="A922" s="254"/>
      <c r="B922" s="254"/>
      <c r="C922" s="254"/>
      <c r="D922" s="254"/>
      <c r="E922" s="4"/>
      <c r="F922" s="254"/>
      <c r="G922" s="13"/>
      <c r="H922" s="254"/>
      <c r="I922" s="254"/>
      <c r="J922" s="254"/>
      <c r="K922" s="254"/>
      <c r="O922" s="254"/>
      <c r="P922" s="254"/>
      <c r="S922" s="254"/>
      <c r="T922" s="254"/>
      <c r="U922" s="254"/>
    </row>
    <row r="923" spans="1:21">
      <c r="A923" s="4"/>
      <c r="B923" s="256"/>
      <c r="C923" s="256"/>
      <c r="D923" s="256"/>
      <c r="E923" s="4"/>
      <c r="F923" s="256"/>
      <c r="G923" s="4"/>
      <c r="H923" s="256"/>
      <c r="I923" s="256"/>
      <c r="J923" s="256"/>
      <c r="K923" s="256"/>
      <c r="O923" s="256"/>
      <c r="P923" s="256"/>
      <c r="S923" s="256"/>
      <c r="T923" s="256"/>
      <c r="U923" s="256"/>
    </row>
    <row r="924" spans="1:21">
      <c r="A924" s="4"/>
      <c r="B924" s="256"/>
      <c r="C924" s="256"/>
      <c r="D924" s="256"/>
      <c r="E924" s="4"/>
      <c r="F924" s="256"/>
      <c r="G924" s="4"/>
      <c r="H924" s="256"/>
      <c r="I924" s="256"/>
      <c r="J924" s="256"/>
      <c r="K924" s="256"/>
      <c r="O924" s="256"/>
      <c r="P924" s="256"/>
      <c r="S924" s="256"/>
      <c r="T924" s="256"/>
      <c r="U924" s="256"/>
    </row>
    <row r="925" spans="1:21">
      <c r="C925" s="671"/>
      <c r="G925" s="135"/>
    </row>
    <row r="926" spans="1:21">
      <c r="C926" s="6"/>
      <c r="G926" s="135"/>
    </row>
    <row r="927" spans="1:21">
      <c r="A927" s="4"/>
      <c r="C927" s="733"/>
      <c r="G927" s="135"/>
    </row>
    <row r="928" spans="1:21">
      <c r="A928" s="4"/>
      <c r="C928" s="732"/>
      <c r="E928" s="513"/>
      <c r="G928" s="24"/>
    </row>
    <row r="929" spans="1:7">
      <c r="A929" s="4"/>
      <c r="C929" s="732"/>
      <c r="E929" s="318"/>
      <c r="G929" s="24"/>
    </row>
    <row r="930" spans="1:7">
      <c r="G930" s="135"/>
    </row>
    <row r="931" spans="1:7">
      <c r="A931" s="4"/>
      <c r="C931" s="504"/>
      <c r="E931" s="268"/>
      <c r="G931" s="453"/>
    </row>
    <row r="932" spans="1:7">
      <c r="C932" s="525"/>
      <c r="G932" s="135"/>
    </row>
    <row r="933" spans="1:7">
      <c r="C933" s="6"/>
      <c r="G933" s="135"/>
    </row>
    <row r="934" spans="1:7">
      <c r="A934" s="4"/>
      <c r="C934" s="733"/>
      <c r="G934" s="135"/>
    </row>
    <row r="935" spans="1:7">
      <c r="A935" s="4"/>
      <c r="C935" s="745"/>
      <c r="E935" s="513"/>
      <c r="G935" s="744"/>
    </row>
    <row r="936" spans="1:7">
      <c r="A936" s="4"/>
      <c r="C936" s="512"/>
      <c r="E936" s="513"/>
      <c r="G936" s="135"/>
    </row>
    <row r="937" spans="1:7">
      <c r="A937" s="4"/>
      <c r="C937" s="512"/>
      <c r="E937" s="318"/>
      <c r="G937" s="744"/>
    </row>
    <row r="938" spans="1:7">
      <c r="A938" s="4"/>
      <c r="C938" s="504"/>
      <c r="G938" s="135"/>
    </row>
    <row r="939" spans="1:7">
      <c r="A939" s="4"/>
      <c r="C939" s="504"/>
      <c r="G939" s="453"/>
    </row>
    <row r="940" spans="1:7">
      <c r="A940" s="4"/>
      <c r="C940" s="504"/>
      <c r="G940" s="453"/>
    </row>
    <row r="941" spans="1:7">
      <c r="A941" s="4"/>
      <c r="C941" s="736"/>
      <c r="G941" s="453"/>
    </row>
    <row r="942" spans="1:7">
      <c r="A942" s="4"/>
      <c r="C942" s="512"/>
      <c r="E942" s="268"/>
      <c r="G942" s="24"/>
    </row>
    <row r="944" spans="1:7">
      <c r="C944" s="6"/>
      <c r="G944" s="135"/>
    </row>
    <row r="945" spans="1:7">
      <c r="C945" s="7"/>
      <c r="G945" s="135"/>
    </row>
    <row r="946" spans="1:7">
      <c r="A946" s="4"/>
      <c r="C946" s="9"/>
      <c r="E946" s="513"/>
      <c r="G946" s="24"/>
    </row>
    <row r="947" spans="1:7">
      <c r="A947" s="4"/>
      <c r="C947" s="743"/>
      <c r="E947" s="513"/>
      <c r="G947" s="24"/>
    </row>
    <row r="948" spans="1:7">
      <c r="A948" s="4"/>
      <c r="C948" s="9"/>
      <c r="E948" s="513"/>
      <c r="G948" s="24"/>
    </row>
    <row r="949" spans="1:7">
      <c r="A949" s="4"/>
      <c r="C949" s="743"/>
      <c r="E949" s="513"/>
      <c r="G949" s="24"/>
    </row>
    <row r="950" spans="1:7">
      <c r="A950" s="4"/>
      <c r="C950" s="519"/>
      <c r="E950" s="513"/>
      <c r="G950" s="24"/>
    </row>
    <row r="951" spans="1:7">
      <c r="A951" s="4"/>
      <c r="C951" s="9"/>
    </row>
    <row r="952" spans="1:7">
      <c r="A952" s="4"/>
      <c r="C952" s="743"/>
      <c r="E952" s="513"/>
      <c r="G952" s="24"/>
    </row>
    <row r="953" spans="1:7">
      <c r="A953" s="4"/>
      <c r="C953" s="7"/>
      <c r="G953" s="135"/>
    </row>
    <row r="954" spans="1:7">
      <c r="A954" s="4"/>
      <c r="C954" s="512"/>
      <c r="G954" s="135"/>
    </row>
    <row r="955" spans="1:7">
      <c r="A955" s="4"/>
      <c r="C955" s="9"/>
      <c r="E955" s="513"/>
      <c r="G955" s="24"/>
    </row>
    <row r="956" spans="1:7">
      <c r="A956" s="4"/>
      <c r="C956" s="9"/>
      <c r="E956" s="513"/>
      <c r="G956" s="24"/>
    </row>
    <row r="957" spans="1:7">
      <c r="A957" s="4"/>
      <c r="C957" s="9"/>
      <c r="E957" s="513"/>
      <c r="G957" s="24"/>
    </row>
    <row r="958" spans="1:7">
      <c r="A958" s="4"/>
      <c r="C958" s="9"/>
      <c r="E958" s="513"/>
      <c r="G958" s="24"/>
    </row>
    <row r="959" spans="1:7">
      <c r="A959" s="4"/>
      <c r="C959" s="9"/>
      <c r="E959" s="513"/>
      <c r="G959" s="24"/>
    </row>
    <row r="960" spans="1:7">
      <c r="A960" s="4"/>
      <c r="C960" s="543"/>
      <c r="E960" s="513"/>
      <c r="G960" s="24"/>
    </row>
    <row r="961" spans="1:21">
      <c r="C961" s="512"/>
      <c r="G961" s="135"/>
    </row>
    <row r="962" spans="1:21">
      <c r="A962" s="4"/>
      <c r="C962" s="9"/>
      <c r="E962" s="513"/>
      <c r="G962" s="24"/>
    </row>
    <row r="963" spans="1:21">
      <c r="A963" s="4"/>
      <c r="C963" s="9"/>
      <c r="E963" s="513"/>
      <c r="G963" s="24"/>
    </row>
    <row r="964" spans="1:21">
      <c r="C964" s="733"/>
      <c r="E964" s="268"/>
      <c r="G964" s="135"/>
    </row>
    <row r="965" spans="1:21">
      <c r="C965" s="512"/>
      <c r="E965" s="268"/>
      <c r="G965" s="135"/>
    </row>
    <row r="966" spans="1:21">
      <c r="A966" s="4"/>
      <c r="C966" s="9"/>
      <c r="E966" s="513"/>
      <c r="G966" s="24"/>
    </row>
    <row r="967" spans="1:21">
      <c r="A967" s="4"/>
      <c r="C967" s="9"/>
      <c r="E967" s="513"/>
      <c r="G967" s="24"/>
    </row>
    <row r="968" spans="1:21">
      <c r="G968" s="135"/>
    </row>
    <row r="969" spans="1:21">
      <c r="A969" s="4"/>
      <c r="C969" s="12"/>
      <c r="E969" s="13"/>
      <c r="G969" s="453"/>
    </row>
    <row r="970" spans="1:21">
      <c r="G970" s="135"/>
    </row>
    <row r="971" spans="1:21">
      <c r="A971" s="4"/>
      <c r="B971" s="256"/>
      <c r="D971" s="256"/>
      <c r="E971" s="742"/>
      <c r="F971" s="256"/>
      <c r="G971" s="453"/>
      <c r="H971" s="256"/>
      <c r="I971" s="256"/>
      <c r="J971" s="256"/>
      <c r="K971" s="256"/>
      <c r="O971" s="256"/>
      <c r="P971" s="256"/>
      <c r="S971" s="256"/>
      <c r="T971" s="256"/>
      <c r="U971" s="256"/>
    </row>
    <row r="972" spans="1:21">
      <c r="A972" s="4"/>
      <c r="B972" s="256"/>
      <c r="D972" s="256"/>
      <c r="E972" s="742"/>
      <c r="F972" s="256"/>
      <c r="G972" s="453"/>
      <c r="H972" s="256"/>
      <c r="I972" s="256"/>
      <c r="J972" s="256"/>
      <c r="K972" s="256"/>
      <c r="O972" s="256"/>
      <c r="P972" s="256"/>
      <c r="S972" s="256"/>
      <c r="T972" s="256"/>
      <c r="U972" s="256"/>
    </row>
    <row r="973" spans="1:21">
      <c r="A973" s="734"/>
      <c r="B973" s="3"/>
      <c r="C973" s="3"/>
      <c r="D973" s="3"/>
      <c r="E973" s="3"/>
      <c r="F973" s="3"/>
      <c r="G973" s="3"/>
      <c r="H973" s="3"/>
      <c r="I973" s="3"/>
      <c r="J973" s="3"/>
      <c r="K973" s="3"/>
      <c r="O973" s="3"/>
      <c r="P973" s="3"/>
      <c r="S973" s="3"/>
      <c r="T973" s="3"/>
      <c r="U973" s="3"/>
    </row>
    <row r="974" spans="1:21">
      <c r="A974" s="735"/>
      <c r="B974" s="734"/>
      <c r="C974" s="734"/>
      <c r="D974" s="734"/>
      <c r="E974" s="734"/>
      <c r="F974" s="734"/>
      <c r="G974" s="734"/>
      <c r="H974" s="734"/>
      <c r="I974" s="734"/>
      <c r="J974" s="734"/>
      <c r="K974" s="734"/>
      <c r="O974" s="734"/>
      <c r="P974" s="734"/>
      <c r="S974" s="734"/>
      <c r="T974" s="734"/>
      <c r="U974" s="734"/>
    </row>
    <row r="975" spans="1:21">
      <c r="B975" s="4"/>
      <c r="C975" s="4"/>
      <c r="D975" s="4"/>
      <c r="E975" s="447"/>
      <c r="F975" s="4"/>
      <c r="G975" s="447"/>
      <c r="H975" s="4"/>
      <c r="I975" s="4"/>
      <c r="J975" s="4"/>
      <c r="K975" s="4"/>
      <c r="O975" s="4"/>
      <c r="P975" s="4"/>
      <c r="S975" s="4"/>
      <c r="T975" s="4"/>
      <c r="U975" s="4"/>
    </row>
    <row r="976" spans="1:21">
      <c r="A976" s="447"/>
      <c r="B976" s="447"/>
      <c r="C976" s="447"/>
      <c r="D976" s="447"/>
      <c r="E976" s="4"/>
      <c r="F976" s="447"/>
      <c r="G976" s="4"/>
      <c r="H976" s="447"/>
      <c r="I976" s="447"/>
      <c r="J976" s="447"/>
      <c r="K976" s="447"/>
      <c r="O976" s="447"/>
      <c r="P976" s="447"/>
      <c r="S976" s="447"/>
      <c r="T976" s="447"/>
      <c r="U976" s="447"/>
    </row>
    <row r="977" spans="1:21">
      <c r="A977" s="254"/>
      <c r="B977" s="254"/>
      <c r="C977" s="254"/>
      <c r="D977" s="254"/>
      <c r="E977" s="4"/>
      <c r="F977" s="254"/>
      <c r="G977" s="13"/>
      <c r="H977" s="254"/>
      <c r="I977" s="254"/>
      <c r="J977" s="254"/>
      <c r="K977" s="254"/>
      <c r="O977" s="254"/>
      <c r="P977" s="254"/>
      <c r="S977" s="254"/>
      <c r="T977" s="254"/>
      <c r="U977" s="254"/>
    </row>
    <row r="978" spans="1:21">
      <c r="A978" s="4"/>
      <c r="B978" s="256"/>
      <c r="C978" s="256"/>
      <c r="D978" s="256"/>
      <c r="E978" s="4"/>
      <c r="F978" s="256"/>
      <c r="G978" s="4"/>
      <c r="H978" s="256"/>
      <c r="I978" s="256"/>
      <c r="J978" s="256"/>
      <c r="K978" s="256"/>
      <c r="O978" s="256"/>
      <c r="P978" s="256"/>
      <c r="S978" s="256"/>
      <c r="T978" s="256"/>
      <c r="U978" s="256"/>
    </row>
    <row r="979" spans="1:21">
      <c r="A979" s="4"/>
      <c r="B979" s="256"/>
      <c r="C979" s="256"/>
      <c r="D979" s="256"/>
      <c r="E979" s="4"/>
      <c r="F979" s="256"/>
      <c r="G979" s="4"/>
      <c r="H979" s="256"/>
      <c r="I979" s="256"/>
      <c r="J979" s="256"/>
      <c r="K979" s="256"/>
      <c r="O979" s="256"/>
      <c r="P979" s="256"/>
      <c r="S979" s="256"/>
      <c r="T979" s="256"/>
      <c r="U979" s="256"/>
    </row>
    <row r="980" spans="1:21">
      <c r="G980" s="135"/>
    </row>
    <row r="981" spans="1:21">
      <c r="C981" s="6"/>
      <c r="G981" s="135"/>
    </row>
    <row r="982" spans="1:21">
      <c r="C982" s="7"/>
      <c r="G982" s="135"/>
    </row>
    <row r="983" spans="1:21">
      <c r="A983" s="4"/>
      <c r="C983" s="741"/>
      <c r="E983" s="513"/>
      <c r="G983" s="35"/>
    </row>
    <row r="984" spans="1:21">
      <c r="A984" s="4"/>
      <c r="C984" s="741"/>
      <c r="E984" s="513"/>
      <c r="G984" s="24"/>
    </row>
    <row r="985" spans="1:21">
      <c r="A985" s="4"/>
      <c r="C985" s="9"/>
      <c r="E985" s="513"/>
      <c r="G985" s="24"/>
    </row>
    <row r="986" spans="1:21">
      <c r="A986" s="4"/>
      <c r="C986" s="543"/>
      <c r="E986" s="513"/>
      <c r="G986" s="24"/>
    </row>
    <row r="987" spans="1:21">
      <c r="A987" s="4"/>
      <c r="C987" s="9"/>
      <c r="E987" s="513"/>
      <c r="G987" s="24"/>
    </row>
    <row r="988" spans="1:21">
      <c r="G988" s="135"/>
    </row>
    <row r="989" spans="1:21">
      <c r="C989" s="7"/>
      <c r="G989" s="135"/>
    </row>
    <row r="990" spans="1:21">
      <c r="C990" s="519"/>
      <c r="G990" s="135"/>
    </row>
    <row r="991" spans="1:21">
      <c r="C991" s="731"/>
      <c r="G991" s="135"/>
    </row>
    <row r="992" spans="1:21">
      <c r="A992" s="4"/>
      <c r="C992" s="740"/>
      <c r="E992" s="513"/>
      <c r="G992" s="24"/>
    </row>
    <row r="993" spans="1:7">
      <c r="C993" s="731"/>
      <c r="E993" s="268"/>
      <c r="G993" s="135"/>
    </row>
    <row r="994" spans="1:7">
      <c r="A994" s="4"/>
      <c r="C994" s="740"/>
      <c r="E994" s="513"/>
      <c r="G994" s="24"/>
    </row>
    <row r="995" spans="1:7">
      <c r="A995" s="4"/>
      <c r="C995" s="740"/>
      <c r="E995" s="513"/>
      <c r="G995" s="24"/>
    </row>
    <row r="996" spans="1:7">
      <c r="A996" s="4"/>
      <c r="C996" s="740"/>
      <c r="E996" s="513"/>
      <c r="G996" s="24"/>
    </row>
    <row r="997" spans="1:7">
      <c r="A997" s="4"/>
      <c r="C997" s="740"/>
      <c r="E997" s="513"/>
      <c r="G997" s="24"/>
    </row>
    <row r="998" spans="1:7">
      <c r="C998" s="268"/>
      <c r="E998" s="268"/>
      <c r="G998" s="135"/>
    </row>
    <row r="999" spans="1:7">
      <c r="C999" s="519"/>
      <c r="E999" s="513"/>
      <c r="G999" s="135"/>
    </row>
    <row r="1000" spans="1:7">
      <c r="C1000" s="731"/>
      <c r="E1000" s="268"/>
      <c r="G1000" s="135"/>
    </row>
    <row r="1001" spans="1:7">
      <c r="A1001" s="4"/>
      <c r="C1001" s="740"/>
      <c r="E1001" s="513"/>
      <c r="G1001" s="24"/>
    </row>
    <row r="1002" spans="1:7">
      <c r="A1002" s="4"/>
      <c r="C1002" s="740"/>
      <c r="E1002" s="513"/>
      <c r="G1002" s="24"/>
    </row>
    <row r="1003" spans="1:7">
      <c r="G1003" s="135"/>
    </row>
    <row r="1004" spans="1:7">
      <c r="A1004" s="4"/>
      <c r="E1004" s="513"/>
      <c r="G1004" s="24"/>
    </row>
    <row r="1005" spans="1:7">
      <c r="A1005" s="4"/>
      <c r="G1005" s="135"/>
    </row>
    <row r="1006" spans="1:7">
      <c r="G1006" s="135"/>
    </row>
    <row r="1007" spans="1:7">
      <c r="A1007" s="4"/>
      <c r="G1007" s="739"/>
    </row>
    <row r="1008" spans="1:7">
      <c r="G1008" s="135"/>
    </row>
    <row r="1009" spans="1:21">
      <c r="G1009" s="135"/>
    </row>
    <row r="1010" spans="1:21">
      <c r="G1010" s="135"/>
    </row>
    <row r="1011" spans="1:21">
      <c r="A1011" s="734"/>
      <c r="B1011" s="3"/>
      <c r="C1011" s="3"/>
      <c r="D1011" s="3"/>
      <c r="E1011" s="3"/>
      <c r="F1011" s="3"/>
      <c r="G1011" s="3"/>
      <c r="H1011" s="3"/>
      <c r="I1011" s="3"/>
      <c r="J1011" s="3"/>
      <c r="K1011" s="3"/>
      <c r="O1011" s="3"/>
      <c r="P1011" s="3"/>
      <c r="S1011" s="3"/>
      <c r="T1011" s="3"/>
      <c r="U1011" s="3"/>
    </row>
    <row r="1012" spans="1:21">
      <c r="A1012" s="735"/>
      <c r="B1012" s="734"/>
      <c r="C1012" s="734"/>
      <c r="D1012" s="734"/>
      <c r="E1012" s="734"/>
      <c r="F1012" s="734"/>
      <c r="G1012" s="734"/>
      <c r="H1012" s="734"/>
      <c r="I1012" s="734"/>
      <c r="J1012" s="734"/>
      <c r="K1012" s="734"/>
      <c r="O1012" s="734"/>
      <c r="P1012" s="734"/>
      <c r="S1012" s="734"/>
      <c r="T1012" s="734"/>
      <c r="U1012" s="734"/>
    </row>
    <row r="1013" spans="1:21">
      <c r="A1013" s="4"/>
      <c r="B1013" s="4"/>
      <c r="C1013" s="4"/>
      <c r="D1013" s="4"/>
      <c r="E1013" s="447"/>
      <c r="F1013" s="4"/>
      <c r="G1013" s="447"/>
      <c r="H1013" s="4"/>
      <c r="I1013" s="4"/>
      <c r="J1013" s="4"/>
      <c r="K1013" s="4"/>
      <c r="O1013" s="4"/>
      <c r="P1013" s="4"/>
      <c r="S1013" s="4"/>
      <c r="T1013" s="4"/>
      <c r="U1013" s="4"/>
    </row>
    <row r="1014" spans="1:21">
      <c r="A1014" s="447"/>
      <c r="B1014" s="447"/>
      <c r="C1014" s="447"/>
      <c r="D1014" s="447"/>
      <c r="E1014" s="4"/>
      <c r="F1014" s="447"/>
      <c r="G1014" s="4"/>
      <c r="H1014" s="447"/>
      <c r="I1014" s="447"/>
      <c r="J1014" s="447"/>
      <c r="K1014" s="447"/>
      <c r="O1014" s="447"/>
      <c r="P1014" s="447"/>
      <c r="S1014" s="447"/>
      <c r="T1014" s="447"/>
      <c r="U1014" s="447"/>
    </row>
    <row r="1015" spans="1:21">
      <c r="A1015" s="254"/>
      <c r="B1015" s="254"/>
      <c r="C1015" s="254"/>
      <c r="D1015" s="254"/>
      <c r="E1015" s="4"/>
      <c r="F1015" s="254"/>
      <c r="G1015" s="13"/>
      <c r="H1015" s="254"/>
      <c r="I1015" s="254"/>
      <c r="J1015" s="254"/>
      <c r="K1015" s="254"/>
      <c r="O1015" s="254"/>
      <c r="P1015" s="254"/>
      <c r="S1015" s="254"/>
      <c r="T1015" s="254"/>
      <c r="U1015" s="254"/>
    </row>
    <row r="1016" spans="1:21">
      <c r="A1016" s="4"/>
      <c r="B1016" s="256"/>
      <c r="C1016" s="256"/>
      <c r="D1016" s="256"/>
      <c r="E1016" s="4"/>
      <c r="F1016" s="256"/>
      <c r="G1016" s="4"/>
      <c r="H1016" s="256"/>
      <c r="I1016" s="256"/>
      <c r="J1016" s="256"/>
      <c r="K1016" s="256"/>
      <c r="O1016" s="256"/>
      <c r="P1016" s="256"/>
      <c r="S1016" s="256"/>
      <c r="T1016" s="256"/>
      <c r="U1016" s="256"/>
    </row>
    <row r="1017" spans="1:21">
      <c r="A1017" s="4"/>
      <c r="B1017" s="256"/>
      <c r="C1017" s="256"/>
      <c r="D1017" s="256"/>
      <c r="E1017" s="4"/>
      <c r="F1017" s="256"/>
      <c r="G1017" s="4"/>
      <c r="H1017" s="256"/>
      <c r="I1017" s="256"/>
      <c r="J1017" s="256"/>
      <c r="K1017" s="256"/>
      <c r="O1017" s="256"/>
      <c r="P1017" s="256"/>
      <c r="S1017" s="256"/>
      <c r="T1017" s="256"/>
      <c r="U1017" s="256"/>
    </row>
    <row r="1018" spans="1:21">
      <c r="G1018" s="135"/>
    </row>
    <row r="1019" spans="1:21">
      <c r="C1019" s="553"/>
      <c r="E1019" s="738"/>
      <c r="G1019" s="135"/>
    </row>
    <row r="1020" spans="1:21">
      <c r="A1020" s="4"/>
      <c r="C1020" s="512"/>
      <c r="E1020" s="36"/>
      <c r="G1020" s="24"/>
    </row>
    <row r="1021" spans="1:21">
      <c r="A1021" s="4"/>
      <c r="C1021" s="512"/>
      <c r="E1021" s="36"/>
      <c r="G1021" s="24"/>
    </row>
    <row r="1022" spans="1:21">
      <c r="A1022" s="4"/>
      <c r="C1022" s="512"/>
      <c r="E1022" s="36"/>
      <c r="G1022" s="24"/>
    </row>
    <row r="1023" spans="1:21">
      <c r="A1023" s="4"/>
      <c r="C1023" s="512"/>
      <c r="E1023" s="1"/>
      <c r="G1023" s="24"/>
    </row>
    <row r="1024" spans="1:21">
      <c r="A1024" s="4"/>
      <c r="C1024" s="512"/>
      <c r="E1024" s="1"/>
      <c r="G1024" s="24"/>
    </row>
    <row r="1025" spans="1:7">
      <c r="A1025" s="4"/>
      <c r="C1025" s="512"/>
      <c r="E1025" s="1"/>
      <c r="G1025" s="24"/>
    </row>
    <row r="1026" spans="1:7">
      <c r="C1026" s="7"/>
    </row>
    <row r="1027" spans="1:7">
      <c r="A1027" s="4"/>
      <c r="C1027" s="737"/>
      <c r="E1027" s="558"/>
      <c r="G1027" s="453"/>
    </row>
    <row r="1028" spans="1:7">
      <c r="C1028" s="7"/>
      <c r="G1028" s="135"/>
    </row>
    <row r="1029" spans="1:7">
      <c r="A1029" s="4"/>
      <c r="C1029" s="512"/>
      <c r="E1029" s="36"/>
      <c r="G1029" s="24"/>
    </row>
    <row r="1030" spans="1:7">
      <c r="A1030" s="4"/>
    </row>
    <row r="1031" spans="1:7">
      <c r="G1031" s="135"/>
    </row>
    <row r="1032" spans="1:7">
      <c r="G1032" s="135"/>
    </row>
    <row r="1033" spans="1:7">
      <c r="C1033" s="6"/>
      <c r="G1033" s="135"/>
    </row>
    <row r="1034" spans="1:7">
      <c r="A1034" s="4"/>
      <c r="C1034" s="512"/>
      <c r="E1034" s="36"/>
      <c r="G1034" s="24"/>
    </row>
    <row r="1035" spans="1:7">
      <c r="A1035" s="4"/>
      <c r="C1035" s="512"/>
      <c r="E1035" s="1"/>
      <c r="G1035" s="24"/>
    </row>
    <row r="1036" spans="1:7">
      <c r="C1036" s="512"/>
      <c r="G1036" s="135"/>
    </row>
    <row r="1037" spans="1:7">
      <c r="A1037" s="4"/>
      <c r="C1037" s="519"/>
      <c r="E1037" s="513"/>
      <c r="G1037" s="24"/>
    </row>
    <row r="1038" spans="1:7">
      <c r="A1038" s="4"/>
      <c r="C1038" s="519"/>
      <c r="E1038" s="1"/>
      <c r="G1038" s="24"/>
    </row>
    <row r="1039" spans="1:7">
      <c r="A1039" s="4"/>
      <c r="C1039" s="519"/>
      <c r="E1039" s="1"/>
      <c r="G1039" s="24"/>
    </row>
    <row r="1040" spans="1:7">
      <c r="A1040" s="4"/>
      <c r="C1040" s="519"/>
      <c r="E1040" s="1"/>
      <c r="G1040" s="24"/>
    </row>
    <row r="1041" spans="1:21">
      <c r="A1041" s="4"/>
      <c r="C1041" s="519"/>
      <c r="E1041" s="1"/>
      <c r="G1041" s="24"/>
    </row>
    <row r="1042" spans="1:21">
      <c r="C1042" s="512"/>
      <c r="G1042" s="135"/>
    </row>
    <row r="1043" spans="1:21">
      <c r="A1043" s="4"/>
      <c r="C1043" s="519"/>
      <c r="E1043" s="513"/>
      <c r="G1043" s="24"/>
    </row>
    <row r="1044" spans="1:21">
      <c r="A1044" s="4"/>
      <c r="C1044" s="519"/>
      <c r="E1044" s="1"/>
      <c r="G1044" s="24"/>
    </row>
    <row r="1045" spans="1:21">
      <c r="A1045" s="4"/>
      <c r="C1045" s="519"/>
      <c r="E1045" s="1"/>
      <c r="G1045" s="24"/>
    </row>
    <row r="1046" spans="1:21">
      <c r="C1046" s="736"/>
      <c r="G1046" s="135"/>
    </row>
    <row r="1047" spans="1:21">
      <c r="A1047" s="4"/>
      <c r="G1047" s="453"/>
    </row>
    <row r="1048" spans="1:21">
      <c r="A1048" s="4"/>
      <c r="C1048" s="504"/>
      <c r="G1048" s="24"/>
    </row>
    <row r="1049" spans="1:21">
      <c r="A1049" s="2"/>
    </row>
    <row r="1050" spans="1:21">
      <c r="G1050" s="135"/>
    </row>
    <row r="1051" spans="1:21">
      <c r="G1051" s="135"/>
    </row>
    <row r="1052" spans="1:21">
      <c r="G1052" s="135"/>
    </row>
    <row r="1053" spans="1:21">
      <c r="A1053" s="734"/>
      <c r="B1053" s="3"/>
      <c r="C1053" s="3"/>
      <c r="D1053" s="3"/>
      <c r="E1053" s="3"/>
      <c r="F1053" s="3"/>
      <c r="G1053" s="3"/>
      <c r="H1053" s="3"/>
      <c r="I1053" s="3"/>
      <c r="J1053" s="3"/>
      <c r="K1053" s="3"/>
      <c r="O1053" s="3"/>
      <c r="P1053" s="3"/>
      <c r="S1053" s="3"/>
      <c r="T1053" s="3"/>
      <c r="U1053" s="3"/>
    </row>
    <row r="1054" spans="1:21">
      <c r="A1054" s="735"/>
      <c r="B1054" s="734"/>
      <c r="C1054" s="734"/>
      <c r="D1054" s="734"/>
      <c r="E1054" s="734"/>
      <c r="F1054" s="734"/>
      <c r="G1054" s="734"/>
      <c r="H1054" s="734"/>
      <c r="I1054" s="734"/>
      <c r="J1054" s="734"/>
      <c r="K1054" s="734"/>
      <c r="O1054" s="734"/>
      <c r="P1054" s="734"/>
      <c r="S1054" s="734"/>
      <c r="T1054" s="734"/>
      <c r="U1054" s="734"/>
    </row>
    <row r="1055" spans="1:21">
      <c r="A1055" s="4"/>
      <c r="B1055" s="4"/>
      <c r="C1055" s="4"/>
      <c r="D1055" s="4"/>
      <c r="E1055" s="447"/>
      <c r="F1055" s="4"/>
      <c r="G1055" s="447"/>
      <c r="H1055" s="4"/>
      <c r="I1055" s="4"/>
      <c r="J1055" s="4"/>
      <c r="K1055" s="4"/>
      <c r="O1055" s="4"/>
      <c r="P1055" s="4"/>
      <c r="S1055" s="4"/>
      <c r="T1055" s="4"/>
      <c r="U1055" s="4"/>
    </row>
    <row r="1056" spans="1:21">
      <c r="A1056" s="447"/>
      <c r="B1056" s="447"/>
      <c r="C1056" s="447"/>
      <c r="D1056" s="447"/>
      <c r="E1056" s="4"/>
      <c r="F1056" s="447"/>
      <c r="G1056" s="4"/>
      <c r="H1056" s="447"/>
      <c r="I1056" s="447"/>
      <c r="J1056" s="447"/>
      <c r="K1056" s="447"/>
      <c r="O1056" s="447"/>
      <c r="P1056" s="447"/>
      <c r="S1056" s="447"/>
      <c r="T1056" s="447"/>
      <c r="U1056" s="447"/>
    </row>
    <row r="1057" spans="1:21">
      <c r="A1057" s="254"/>
      <c r="B1057" s="254"/>
      <c r="C1057" s="254"/>
      <c r="D1057" s="254"/>
      <c r="E1057" s="4"/>
      <c r="F1057" s="254"/>
      <c r="G1057" s="13"/>
      <c r="H1057" s="254"/>
      <c r="I1057" s="254"/>
      <c r="J1057" s="254"/>
      <c r="K1057" s="254"/>
      <c r="O1057" s="254"/>
      <c r="P1057" s="254"/>
      <c r="S1057" s="254"/>
      <c r="T1057" s="254"/>
      <c r="U1057" s="254"/>
    </row>
    <row r="1058" spans="1:21">
      <c r="A1058" s="4"/>
      <c r="B1058" s="256"/>
      <c r="C1058" s="256"/>
      <c r="D1058" s="256"/>
      <c r="E1058" s="4"/>
      <c r="F1058" s="256"/>
      <c r="G1058" s="4"/>
      <c r="H1058" s="256"/>
      <c r="I1058" s="256"/>
      <c r="J1058" s="256"/>
      <c r="K1058" s="256"/>
      <c r="O1058" s="256"/>
      <c r="P1058" s="256"/>
      <c r="S1058" s="256"/>
      <c r="T1058" s="256"/>
      <c r="U1058" s="256"/>
    </row>
    <row r="1059" spans="1:21">
      <c r="A1059" s="4"/>
      <c r="B1059" s="256"/>
      <c r="C1059" s="256"/>
      <c r="D1059" s="256"/>
      <c r="E1059" s="4"/>
      <c r="F1059" s="256"/>
      <c r="G1059" s="4"/>
      <c r="H1059" s="256"/>
      <c r="I1059" s="256"/>
      <c r="J1059" s="256"/>
      <c r="K1059" s="256"/>
      <c r="O1059" s="256"/>
      <c r="P1059" s="256"/>
      <c r="S1059" s="256"/>
      <c r="T1059" s="256"/>
      <c r="U1059" s="256"/>
    </row>
    <row r="1060" spans="1:21">
      <c r="G1060" s="135"/>
    </row>
    <row r="1061" spans="1:21">
      <c r="C1061" s="6"/>
      <c r="G1061" s="135"/>
    </row>
    <row r="1062" spans="1:21">
      <c r="A1062" s="4"/>
      <c r="C1062" s="512"/>
      <c r="E1062" s="513"/>
      <c r="G1062" s="24"/>
    </row>
    <row r="1063" spans="1:21">
      <c r="A1063" s="4"/>
      <c r="C1063" s="733"/>
      <c r="E1063" s="268"/>
      <c r="G1063" s="24"/>
    </row>
    <row r="1064" spans="1:21">
      <c r="A1064" s="4"/>
      <c r="C1064" s="732"/>
      <c r="E1064" s="513"/>
      <c r="G1064" s="24"/>
    </row>
    <row r="1065" spans="1:21">
      <c r="A1065" s="4"/>
      <c r="C1065" s="732"/>
      <c r="E1065" s="513"/>
      <c r="G1065" s="24"/>
    </row>
    <row r="1066" spans="1:21">
      <c r="A1066" s="4"/>
      <c r="C1066" s="732"/>
      <c r="E1066" s="513"/>
      <c r="G1066" s="24"/>
    </row>
    <row r="1067" spans="1:21">
      <c r="A1067" s="4"/>
      <c r="C1067" s="512"/>
      <c r="E1067" s="268"/>
      <c r="G1067" s="24"/>
    </row>
    <row r="1068" spans="1:21">
      <c r="A1068" s="4"/>
      <c r="C1068" s="731"/>
      <c r="E1068" s="513"/>
      <c r="G1068" s="24"/>
    </row>
    <row r="1069" spans="1:21">
      <c r="A1069" s="4"/>
      <c r="C1069" s="268"/>
      <c r="G1069" s="24"/>
    </row>
    <row r="1070" spans="1:21">
      <c r="A1070" s="4"/>
      <c r="C1070" s="504"/>
      <c r="G1070" s="453"/>
    </row>
    <row r="1071" spans="1:21">
      <c r="A1071" s="4"/>
      <c r="C1071" s="268"/>
      <c r="G1071" s="135"/>
    </row>
    <row r="1072" spans="1:21">
      <c r="A1072" s="4"/>
      <c r="C1072" s="730"/>
      <c r="G1072" s="135"/>
    </row>
    <row r="1073" spans="1:21">
      <c r="A1073" s="4"/>
      <c r="C1073" s="647"/>
      <c r="G1073" s="135"/>
    </row>
    <row r="1074" spans="1:21">
      <c r="A1074" s="4"/>
      <c r="C1074" s="268"/>
      <c r="G1074" s="135"/>
    </row>
    <row r="1075" spans="1:21">
      <c r="A1075" s="4"/>
    </row>
    <row r="1076" spans="1:21">
      <c r="A1076" s="4"/>
      <c r="C1076" s="647"/>
      <c r="G1076" s="729"/>
    </row>
    <row r="1077" spans="1:21">
      <c r="A1077" s="4"/>
    </row>
    <row r="1078" spans="1:21">
      <c r="A1078" s="4"/>
    </row>
    <row r="1079" spans="1:21">
      <c r="B1079" s="6"/>
      <c r="D1079" s="6"/>
      <c r="F1079" s="6"/>
      <c r="H1079" s="6"/>
      <c r="I1079" s="6"/>
      <c r="J1079" s="6"/>
      <c r="K1079" s="6"/>
      <c r="O1079" s="6"/>
      <c r="P1079" s="6"/>
      <c r="S1079" s="6"/>
      <c r="T1079" s="6"/>
      <c r="U1079" s="6"/>
    </row>
    <row r="1080" spans="1:21">
      <c r="B1080" s="11"/>
      <c r="C1080" s="11"/>
      <c r="D1080" s="11"/>
      <c r="F1080" s="11"/>
      <c r="H1080" s="11"/>
      <c r="I1080" s="11"/>
      <c r="J1080" s="11"/>
      <c r="K1080" s="11"/>
      <c r="O1080" s="11"/>
      <c r="P1080" s="11"/>
      <c r="S1080" s="11"/>
      <c r="T1080" s="11"/>
      <c r="U1080" s="11"/>
    </row>
    <row r="1081" spans="1:21">
      <c r="C1081" s="11"/>
    </row>
    <row r="1082" spans="1:21">
      <c r="C1082" s="11"/>
    </row>
    <row r="1083" spans="1:21">
      <c r="C1083" s="11"/>
    </row>
    <row r="1084" spans="1:21">
      <c r="C1084" s="11"/>
    </row>
    <row r="1092" spans="7:7">
      <c r="G1092" s="326"/>
    </row>
    <row r="1093" spans="7:7">
      <c r="G1093" s="268"/>
    </row>
    <row r="1094" spans="7:7">
      <c r="G1094" s="268"/>
    </row>
    <row r="1095" spans="7:7">
      <c r="G1095" s="268"/>
    </row>
  </sheetData>
  <mergeCells count="103">
    <mergeCell ref="F783:J783"/>
    <mergeCell ref="L783:M783"/>
    <mergeCell ref="T783:W783"/>
    <mergeCell ref="A781:W781"/>
    <mergeCell ref="A582:W582"/>
    <mergeCell ref="T858:W858"/>
    <mergeCell ref="L729:M729"/>
    <mergeCell ref="T729:W729"/>
    <mergeCell ref="A780:W780"/>
    <mergeCell ref="A727:W727"/>
    <mergeCell ref="F818:J818"/>
    <mergeCell ref="L818:M818"/>
    <mergeCell ref="T818:W818"/>
    <mergeCell ref="A815:W815"/>
    <mergeCell ref="A816:W816"/>
    <mergeCell ref="Q858:R858"/>
    <mergeCell ref="A855:W855"/>
    <mergeCell ref="A856:W856"/>
    <mergeCell ref="F858:J858"/>
    <mergeCell ref="L858:M858"/>
    <mergeCell ref="Q729:R729"/>
    <mergeCell ref="L641:M641"/>
    <mergeCell ref="T641:W641"/>
    <mergeCell ref="Q585:R585"/>
    <mergeCell ref="Q783:R783"/>
    <mergeCell ref="Q818:R818"/>
    <mergeCell ref="A419:W419"/>
    <mergeCell ref="L421:M421"/>
    <mergeCell ref="T421:W421"/>
    <mergeCell ref="F119:J119"/>
    <mergeCell ref="L119:M119"/>
    <mergeCell ref="T119:W119"/>
    <mergeCell ref="F284:J284"/>
    <mergeCell ref="F354:J354"/>
    <mergeCell ref="A685:W685"/>
    <mergeCell ref="F687:J687"/>
    <mergeCell ref="L687:M687"/>
    <mergeCell ref="Q687:R687"/>
    <mergeCell ref="T687:W687"/>
    <mergeCell ref="L534:M534"/>
    <mergeCell ref="T534:W534"/>
    <mergeCell ref="Q534:R534"/>
    <mergeCell ref="A583:W583"/>
    <mergeCell ref="L585:M585"/>
    <mergeCell ref="F421:J421"/>
    <mergeCell ref="F534:J534"/>
    <mergeCell ref="A473:W473"/>
    <mergeCell ref="F729:J729"/>
    <mergeCell ref="Z11:AD11"/>
    <mergeCell ref="A159:W159"/>
    <mergeCell ref="F161:J161"/>
    <mergeCell ref="L161:M161"/>
    <mergeCell ref="T585:W585"/>
    <mergeCell ref="L284:M284"/>
    <mergeCell ref="T161:W161"/>
    <mergeCell ref="T284:W284"/>
    <mergeCell ref="A351:W351"/>
    <mergeCell ref="A352:W352"/>
    <mergeCell ref="L354:M354"/>
    <mergeCell ref="T354:W354"/>
    <mergeCell ref="Q119:R119"/>
    <mergeCell ref="Q161:R161"/>
    <mergeCell ref="A281:W281"/>
    <mergeCell ref="A282:W282"/>
    <mergeCell ref="A226:W226"/>
    <mergeCell ref="A227:W227"/>
    <mergeCell ref="F229:J229"/>
    <mergeCell ref="L229:M229"/>
    <mergeCell ref="T229:W229"/>
    <mergeCell ref="Q229:R229"/>
    <mergeCell ref="Q284:R284"/>
    <mergeCell ref="Q354:R354"/>
    <mergeCell ref="A158:W158"/>
    <mergeCell ref="A726:W726"/>
    <mergeCell ref="F585:J585"/>
    <mergeCell ref="A638:W638"/>
    <mergeCell ref="A639:W639"/>
    <mergeCell ref="F641:J641"/>
    <mergeCell ref="A531:W531"/>
    <mergeCell ref="A532:W532"/>
    <mergeCell ref="Q421:R421"/>
    <mergeCell ref="Q476:R476"/>
    <mergeCell ref="A474:W474"/>
    <mergeCell ref="F476:J476"/>
    <mergeCell ref="L476:M476"/>
    <mergeCell ref="T476:W476"/>
    <mergeCell ref="A418:W418"/>
    <mergeCell ref="Q641:R641"/>
    <mergeCell ref="A684:W684"/>
    <mergeCell ref="A6:W6"/>
    <mergeCell ref="T9:W9"/>
    <mergeCell ref="A7:W7"/>
    <mergeCell ref="A116:W116"/>
    <mergeCell ref="A117:W117"/>
    <mergeCell ref="A64:W64"/>
    <mergeCell ref="Q67:R67"/>
    <mergeCell ref="L9:M9"/>
    <mergeCell ref="Q9:R9"/>
    <mergeCell ref="F9:J9"/>
    <mergeCell ref="A65:W65"/>
    <mergeCell ref="F67:J67"/>
    <mergeCell ref="L67:M67"/>
    <mergeCell ref="T67:W67"/>
  </mergeCells>
  <printOptions horizontalCentered="1"/>
  <pageMargins left="0.7" right="0.7" top="0.75" bottom="0.75" header="0.3" footer="0.3"/>
  <pageSetup scale="42" firstPageNumber="18" fitToHeight="0" orientation="landscape" useFirstPageNumber="1" r:id="rId1"/>
  <headerFooter>
    <oddHeader>&amp;R&amp;10Updated: 2024-03-15
EB-2022-0200
Rate Order
Working Papers
Schedule 19
Page &amp;P of 51</oddHeader>
  </headerFooter>
  <rowBreaks count="17" manualBreakCount="17">
    <brk id="58" max="22" man="1"/>
    <brk id="110" max="22" man="1"/>
    <brk id="153" max="22" man="1"/>
    <brk id="220" max="22" man="1"/>
    <brk id="278" max="22" man="1"/>
    <brk id="345" max="22" man="1"/>
    <brk id="412" max="22" man="1"/>
    <brk id="467" max="22" man="1"/>
    <brk id="525" max="22" man="1"/>
    <brk id="576" max="22" man="1"/>
    <brk id="632" max="22" man="1"/>
    <brk id="678" max="22" man="1"/>
    <brk id="720" max="22" man="1"/>
    <brk id="774" max="22" man="1"/>
    <brk id="809" max="22" man="1"/>
    <brk id="849" max="22" man="1"/>
    <brk id="889" max="30" man="1"/>
  </rowBreaks>
  <colBreaks count="1" manualBreakCount="1">
    <brk id="25" max="91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DEEC-A1A6-4EE6-A0FD-D3027E6C4D27}">
  <dimension ref="A1:AT1094"/>
  <sheetViews>
    <sheetView view="pageLayout" topLeftCell="A643" zoomScale="90" zoomScaleNormal="80" zoomScaleSheetLayoutView="80" zoomScalePageLayoutView="90" workbookViewId="0">
      <selection activeCell="N674" sqref="N674"/>
    </sheetView>
  </sheetViews>
  <sheetFormatPr defaultColWidth="8" defaultRowHeight="12.75"/>
  <cols>
    <col min="1" max="1" width="4" style="1" customWidth="1"/>
    <col min="2" max="2" width="3" style="2" customWidth="1"/>
    <col min="3" max="3" width="39.875" style="2" customWidth="1"/>
    <col min="4" max="4" width="1.375" style="2" customWidth="1"/>
    <col min="5" max="5" width="9.25" style="2" customWidth="1"/>
    <col min="6" max="6" width="1.375" style="2" customWidth="1"/>
    <col min="7" max="7" width="10.875" style="2" customWidth="1"/>
    <col min="8" max="8" width="1.375" style="2" customWidth="1"/>
    <col min="9" max="9" width="9.5" style="2" customWidth="1"/>
    <col min="10" max="10" width="10" style="268" customWidth="1"/>
    <col min="11" max="11" width="1.375" style="268" customWidth="1"/>
    <col min="12" max="13" width="8" style="268" customWidth="1"/>
    <col min="14" max="14" width="10.875" style="268" customWidth="1"/>
    <col min="15" max="15" width="13.5" style="268" customWidth="1"/>
    <col min="16" max="16" width="1.375" style="2" customWidth="1"/>
    <col min="17" max="17" width="8.5" style="268" customWidth="1"/>
    <col min="18" max="18" width="8" style="268" customWidth="1"/>
    <col min="19" max="19" width="10.375" style="268" customWidth="1"/>
    <col min="20" max="20" width="1.375" style="2" customWidth="1"/>
    <col min="21" max="21" width="10" style="2" customWidth="1"/>
    <col min="22" max="22" width="9.25" style="2" customWidth="1"/>
    <col min="23" max="23" width="11" style="268" customWidth="1"/>
    <col min="24" max="24" width="12.625" style="318" customWidth="1"/>
    <col min="25" max="25" width="9.25" style="268" customWidth="1"/>
    <col min="26" max="26" width="8" style="268"/>
    <col min="27" max="27" width="10" style="728" customWidth="1"/>
    <col min="28" max="28" width="5.375" style="728" bestFit="1" customWidth="1"/>
    <col min="29" max="29" width="11.875" style="728" bestFit="1" customWidth="1"/>
    <col min="30" max="30" width="5.375" style="728" customWidth="1"/>
    <col min="31" max="31" width="9.75" style="935" bestFit="1" customWidth="1"/>
    <col min="32" max="16384" width="8" style="268"/>
  </cols>
  <sheetData>
    <row r="1" spans="1:31">
      <c r="J1" s="504"/>
      <c r="K1" s="504"/>
      <c r="L1" s="2"/>
      <c r="M1" s="2"/>
      <c r="N1" s="504"/>
      <c r="O1" s="504"/>
      <c r="Q1" s="504"/>
      <c r="R1" s="504"/>
      <c r="S1" s="504"/>
      <c r="W1" s="504"/>
      <c r="X1" s="513"/>
    </row>
    <row r="2" spans="1:31">
      <c r="J2" s="504"/>
      <c r="K2" s="504"/>
      <c r="L2" s="2"/>
      <c r="M2" s="2"/>
      <c r="N2" s="504"/>
      <c r="O2" s="504"/>
      <c r="Q2" s="504"/>
      <c r="R2" s="504"/>
      <c r="S2" s="504"/>
      <c r="W2" s="504"/>
      <c r="X2" s="513"/>
    </row>
    <row r="3" spans="1:31">
      <c r="J3" s="504"/>
      <c r="K3" s="504"/>
      <c r="L3" s="2"/>
      <c r="M3" s="2"/>
      <c r="N3" s="504"/>
      <c r="O3" s="504"/>
      <c r="Q3" s="504"/>
      <c r="R3" s="504"/>
      <c r="S3" s="504"/>
      <c r="W3" s="504"/>
      <c r="X3" s="513"/>
    </row>
    <row r="4" spans="1:31">
      <c r="J4" s="504"/>
      <c r="K4" s="504"/>
      <c r="L4" s="2"/>
      <c r="M4" s="2"/>
      <c r="N4" s="504"/>
      <c r="O4" s="504"/>
      <c r="Q4" s="504"/>
      <c r="R4" s="504"/>
      <c r="S4" s="504"/>
      <c r="W4" s="504"/>
      <c r="X4" s="513"/>
    </row>
    <row r="5" spans="1:31">
      <c r="J5" s="504"/>
      <c r="K5" s="504"/>
      <c r="L5" s="2"/>
      <c r="M5" s="2"/>
      <c r="N5" s="504"/>
      <c r="O5" s="504"/>
      <c r="Q5" s="504"/>
      <c r="R5" s="504"/>
      <c r="S5" s="504"/>
      <c r="W5" s="504"/>
      <c r="X5" s="513"/>
    </row>
    <row r="6" spans="1:31">
      <c r="A6" s="1324" t="s">
        <v>681</v>
      </c>
      <c r="B6" s="1324"/>
      <c r="C6" s="1324"/>
      <c r="D6" s="1324"/>
      <c r="E6" s="1324"/>
      <c r="F6" s="1324"/>
      <c r="G6" s="1324"/>
      <c r="H6" s="1324"/>
      <c r="I6" s="1324"/>
      <c r="J6" s="1324"/>
      <c r="K6" s="1324"/>
      <c r="L6" s="1324"/>
      <c r="M6" s="1324"/>
      <c r="N6" s="1324"/>
      <c r="O6" s="1324"/>
      <c r="P6" s="1324"/>
      <c r="Q6" s="1324"/>
      <c r="R6" s="1324"/>
      <c r="S6" s="1324"/>
      <c r="T6" s="1324"/>
      <c r="U6" s="1324"/>
      <c r="V6" s="1324"/>
      <c r="W6" s="1324"/>
      <c r="X6" s="1324"/>
      <c r="Y6" s="665"/>
    </row>
    <row r="7" spans="1:31">
      <c r="A7" s="1324" t="s">
        <v>954</v>
      </c>
      <c r="B7" s="1324"/>
      <c r="C7" s="1324"/>
      <c r="D7" s="1324"/>
      <c r="E7" s="1324"/>
      <c r="F7" s="1324"/>
      <c r="G7" s="1324"/>
      <c r="H7" s="1324"/>
      <c r="I7" s="1324"/>
      <c r="J7" s="1324"/>
      <c r="K7" s="1324"/>
      <c r="L7" s="1324"/>
      <c r="M7" s="1324"/>
      <c r="N7" s="1324"/>
      <c r="O7" s="1324"/>
      <c r="P7" s="1324"/>
      <c r="Q7" s="1324"/>
      <c r="R7" s="1324"/>
      <c r="S7" s="1324"/>
      <c r="T7" s="1324"/>
      <c r="U7" s="1324"/>
      <c r="V7" s="1324"/>
      <c r="W7" s="1324"/>
      <c r="X7" s="1324"/>
      <c r="Y7" s="644"/>
      <c r="Z7" s="644"/>
    </row>
    <row r="8" spans="1:31">
      <c r="A8" s="385"/>
      <c r="B8" s="385"/>
      <c r="C8" s="385"/>
      <c r="D8" s="385"/>
      <c r="E8" s="447"/>
      <c r="F8" s="385"/>
      <c r="G8" s="447"/>
      <c r="H8" s="385"/>
      <c r="I8" s="385"/>
      <c r="J8" s="504"/>
      <c r="K8" s="504"/>
      <c r="L8" s="3"/>
      <c r="M8" s="3"/>
      <c r="N8" s="504"/>
      <c r="O8" s="504"/>
      <c r="P8" s="385"/>
      <c r="Q8" s="504"/>
      <c r="R8" s="504"/>
      <c r="S8" s="504"/>
      <c r="T8" s="385"/>
      <c r="U8" s="385"/>
      <c r="V8" s="385"/>
      <c r="W8" s="504"/>
      <c r="X8" s="513"/>
    </row>
    <row r="9" spans="1:31" ht="15" customHeight="1">
      <c r="A9" s="447"/>
      <c r="B9" s="447"/>
      <c r="C9" s="447"/>
      <c r="D9" s="447"/>
      <c r="E9" s="256"/>
      <c r="F9" s="256"/>
      <c r="G9" s="1313" t="s">
        <v>682</v>
      </c>
      <c r="H9" s="1313"/>
      <c r="I9" s="1313"/>
      <c r="J9" s="1313"/>
      <c r="K9" s="256"/>
      <c r="L9" s="1313" t="s">
        <v>496</v>
      </c>
      <c r="M9" s="1313"/>
      <c r="N9" s="1313"/>
      <c r="O9" s="256"/>
      <c r="P9" s="447"/>
      <c r="Q9" s="1313" t="s">
        <v>497</v>
      </c>
      <c r="R9" s="1313"/>
      <c r="S9" s="1313"/>
      <c r="T9" s="447"/>
      <c r="U9" s="1313" t="s">
        <v>683</v>
      </c>
      <c r="V9" s="1313"/>
      <c r="W9" s="1313"/>
      <c r="X9" s="1313"/>
      <c r="Y9" s="4"/>
    </row>
    <row r="10" spans="1:31" ht="38.25">
      <c r="A10" s="254" t="s">
        <v>1</v>
      </c>
      <c r="B10" s="254"/>
      <c r="C10" s="254"/>
      <c r="D10" s="254"/>
      <c r="E10" s="4" t="s">
        <v>670</v>
      </c>
      <c r="F10" s="254"/>
      <c r="G10" s="13" t="s">
        <v>684</v>
      </c>
      <c r="H10" s="254"/>
      <c r="I10" s="13" t="s">
        <v>196</v>
      </c>
      <c r="J10" s="254" t="s">
        <v>503</v>
      </c>
      <c r="K10" s="254"/>
      <c r="L10" s="254" t="s">
        <v>955</v>
      </c>
      <c r="M10" s="254" t="s">
        <v>956</v>
      </c>
      <c r="N10" s="254" t="s">
        <v>957</v>
      </c>
      <c r="O10" s="254" t="s">
        <v>958</v>
      </c>
      <c r="P10" s="254"/>
      <c r="Q10" s="254" t="s">
        <v>955</v>
      </c>
      <c r="R10" s="254" t="s">
        <v>956</v>
      </c>
      <c r="S10" s="254" t="s">
        <v>957</v>
      </c>
      <c r="T10" s="254"/>
      <c r="U10" s="13" t="s">
        <v>512</v>
      </c>
      <c r="V10" s="13" t="s">
        <v>691</v>
      </c>
      <c r="W10" s="13" t="s">
        <v>692</v>
      </c>
      <c r="X10" s="254" t="s">
        <v>693</v>
      </c>
      <c r="Y10" s="254"/>
    </row>
    <row r="11" spans="1:31" ht="14.25">
      <c r="A11" s="255" t="s">
        <v>2</v>
      </c>
      <c r="B11" s="256"/>
      <c r="C11" s="449" t="s">
        <v>3</v>
      </c>
      <c r="D11" s="256"/>
      <c r="E11" s="255" t="s">
        <v>4</v>
      </c>
      <c r="F11" s="256"/>
      <c r="G11" s="255" t="s">
        <v>694</v>
      </c>
      <c r="H11" s="256"/>
      <c r="I11" s="255" t="s">
        <v>77</v>
      </c>
      <c r="J11" s="255" t="s">
        <v>20</v>
      </c>
      <c r="K11" s="4"/>
      <c r="L11" s="255" t="s">
        <v>20</v>
      </c>
      <c r="M11" s="255" t="s">
        <v>20</v>
      </c>
      <c r="N11" s="255" t="s">
        <v>20</v>
      </c>
      <c r="O11" s="255" t="s">
        <v>20</v>
      </c>
      <c r="P11" s="256"/>
      <c r="Q11" s="255" t="s">
        <v>20</v>
      </c>
      <c r="R11" s="255" t="s">
        <v>20</v>
      </c>
      <c r="S11" s="255" t="s">
        <v>20</v>
      </c>
      <c r="T11" s="256"/>
      <c r="U11" s="255" t="s">
        <v>20</v>
      </c>
      <c r="V11" s="255" t="s">
        <v>77</v>
      </c>
      <c r="W11" s="255" t="s">
        <v>20</v>
      </c>
      <c r="X11" s="255" t="s">
        <v>76</v>
      </c>
      <c r="Y11" s="4"/>
      <c r="AA11" s="1326"/>
      <c r="AB11" s="1326"/>
      <c r="AC11" s="1000"/>
      <c r="AD11" s="1000"/>
    </row>
    <row r="12" spans="1:31">
      <c r="A12" s="4"/>
      <c r="B12" s="256"/>
      <c r="C12" s="256"/>
      <c r="D12" s="256"/>
      <c r="E12" s="4"/>
      <c r="F12" s="256"/>
      <c r="G12" s="4" t="s">
        <v>8</v>
      </c>
      <c r="H12" s="4"/>
      <c r="I12" s="4" t="s">
        <v>9</v>
      </c>
      <c r="J12" s="4" t="s">
        <v>370</v>
      </c>
      <c r="K12" s="4"/>
      <c r="L12" s="132" t="s">
        <v>79</v>
      </c>
      <c r="M12" s="132" t="s">
        <v>115</v>
      </c>
      <c r="N12" s="4" t="s">
        <v>81</v>
      </c>
      <c r="O12" s="4" t="s">
        <v>959</v>
      </c>
      <c r="P12" s="4"/>
      <c r="Q12" s="4" t="s">
        <v>118</v>
      </c>
      <c r="R12" s="4" t="s">
        <v>84</v>
      </c>
      <c r="S12" s="4" t="s">
        <v>516</v>
      </c>
      <c r="T12" s="4"/>
      <c r="U12" s="4" t="s">
        <v>960</v>
      </c>
      <c r="V12" s="4" t="s">
        <v>518</v>
      </c>
      <c r="W12" s="4" t="s">
        <v>961</v>
      </c>
      <c r="X12" s="4" t="s">
        <v>962</v>
      </c>
      <c r="Y12" s="4"/>
    </row>
    <row r="13" spans="1:31">
      <c r="A13" s="4"/>
      <c r="B13" s="256"/>
      <c r="C13" s="6" t="s">
        <v>11</v>
      </c>
      <c r="D13" s="256"/>
      <c r="E13" s="934"/>
      <c r="F13" s="256"/>
      <c r="G13" s="934"/>
      <c r="H13" s="256"/>
      <c r="I13" s="753"/>
      <c r="J13" s="753"/>
      <c r="K13" s="753"/>
      <c r="L13" s="753"/>
      <c r="M13" s="753"/>
      <c r="N13" s="753"/>
      <c r="O13" s="753"/>
      <c r="P13" s="256"/>
      <c r="Q13" s="753"/>
      <c r="R13" s="504"/>
      <c r="S13" s="504"/>
      <c r="T13" s="256"/>
      <c r="U13" s="256"/>
      <c r="V13" s="256"/>
      <c r="W13" s="504"/>
      <c r="X13" s="666"/>
    </row>
    <row r="14" spans="1:31">
      <c r="A14" s="4"/>
      <c r="B14" s="256"/>
      <c r="C14" s="6" t="s">
        <v>162</v>
      </c>
      <c r="D14" s="256"/>
      <c r="E14" s="934"/>
      <c r="F14" s="256"/>
      <c r="G14" s="934"/>
      <c r="H14" s="256"/>
      <c r="I14" s="753"/>
      <c r="J14" s="753"/>
      <c r="K14" s="753"/>
      <c r="L14" s="753"/>
      <c r="M14" s="753"/>
      <c r="N14" s="753"/>
      <c r="O14" s="753"/>
      <c r="P14" s="256"/>
      <c r="Q14" s="753"/>
      <c r="R14" s="504"/>
      <c r="S14" s="504"/>
      <c r="T14" s="256"/>
      <c r="U14" s="256"/>
      <c r="V14" s="256"/>
      <c r="W14" s="504"/>
      <c r="X14" s="666"/>
    </row>
    <row r="15" spans="1:31">
      <c r="A15" s="4">
        <v>1</v>
      </c>
      <c r="B15" s="256"/>
      <c r="C15" s="7" t="s">
        <v>703</v>
      </c>
      <c r="D15" s="256"/>
      <c r="E15" s="929" t="s">
        <v>704</v>
      </c>
      <c r="F15" s="256"/>
      <c r="G15" s="828">
        <v>25957058</v>
      </c>
      <c r="H15" s="256"/>
      <c r="I15" s="35">
        <v>0</v>
      </c>
      <c r="J15" s="762">
        <v>0</v>
      </c>
      <c r="K15" s="762"/>
      <c r="L15" s="762">
        <v>0</v>
      </c>
      <c r="M15" s="762">
        <v>0</v>
      </c>
      <c r="N15" s="762">
        <v>0</v>
      </c>
      <c r="O15" s="762">
        <v>0</v>
      </c>
      <c r="P15" s="771"/>
      <c r="Q15" s="762">
        <v>0</v>
      </c>
      <c r="R15" s="762">
        <v>0</v>
      </c>
      <c r="S15" s="762">
        <v>0</v>
      </c>
      <c r="T15" s="771"/>
      <c r="U15" s="771">
        <v>0</v>
      </c>
      <c r="V15" s="771">
        <v>0</v>
      </c>
      <c r="W15" s="762">
        <v>0</v>
      </c>
      <c r="X15" s="834"/>
      <c r="Y15" s="769"/>
      <c r="AA15" s="938"/>
      <c r="AE15" s="954"/>
    </row>
    <row r="16" spans="1:31">
      <c r="A16" s="4"/>
      <c r="B16" s="256"/>
      <c r="C16" s="512" t="s">
        <v>705</v>
      </c>
      <c r="D16" s="256"/>
      <c r="E16" s="930"/>
      <c r="F16" s="256"/>
      <c r="G16" s="828"/>
      <c r="H16" s="256"/>
      <c r="I16" s="932"/>
      <c r="J16" s="753"/>
      <c r="K16" s="753"/>
      <c r="L16" s="762"/>
      <c r="M16" s="762"/>
      <c r="N16" s="762"/>
      <c r="O16" s="753"/>
      <c r="P16" s="256"/>
      <c r="Q16" s="762"/>
      <c r="R16" s="762"/>
      <c r="S16" s="762"/>
      <c r="T16" s="256"/>
      <c r="U16" s="750"/>
      <c r="V16" s="811"/>
      <c r="W16" s="762"/>
      <c r="X16" s="834"/>
      <c r="Y16" s="769"/>
    </row>
    <row r="17" spans="1:31">
      <c r="A17" s="4">
        <v>2</v>
      </c>
      <c r="B17" s="256"/>
      <c r="C17" s="9" t="s">
        <v>706</v>
      </c>
      <c r="D17" s="256"/>
      <c r="E17" s="929" t="s">
        <v>674</v>
      </c>
      <c r="F17" s="256"/>
      <c r="G17" s="828">
        <v>712504.72543658817</v>
      </c>
      <c r="H17" s="256"/>
      <c r="I17" s="861">
        <v>1.0639170489819383</v>
      </c>
      <c r="J17" s="753">
        <f>G17*I17/100</f>
        <v>7580.4592487218106</v>
      </c>
      <c r="K17" s="753"/>
      <c r="L17" s="828">
        <v>75.363704646275892</v>
      </c>
      <c r="M17" s="828">
        <v>1852.1238562290882</v>
      </c>
      <c r="N17" s="828">
        <v>850.92417633214632</v>
      </c>
      <c r="O17" s="753">
        <f>J17-L17-M17-N17</f>
        <v>4802.0475115143008</v>
      </c>
      <c r="P17" s="256"/>
      <c r="Q17" s="828">
        <v>63.025010984317262</v>
      </c>
      <c r="R17" s="828">
        <v>2029.7810962375736</v>
      </c>
      <c r="S17" s="828">
        <v>760.00782252723377</v>
      </c>
      <c r="T17" s="256"/>
      <c r="U17" s="750">
        <f>SUM(O17:S17)</f>
        <v>7654.8614412634251</v>
      </c>
      <c r="V17" s="792">
        <f>U17/G17*100</f>
        <v>1.0743593927146096</v>
      </c>
      <c r="W17" s="753">
        <f>U17-J17</f>
        <v>74.402192541614568</v>
      </c>
      <c r="X17" s="834"/>
      <c r="Y17" s="769"/>
      <c r="AA17" s="938"/>
      <c r="AC17" s="938"/>
      <c r="AE17" s="971"/>
    </row>
    <row r="18" spans="1:31">
      <c r="A18" s="4">
        <v>3</v>
      </c>
      <c r="B18" s="256"/>
      <c r="C18" s="9" t="s">
        <v>707</v>
      </c>
      <c r="D18" s="256"/>
      <c r="E18" s="929" t="s">
        <v>674</v>
      </c>
      <c r="F18" s="256"/>
      <c r="G18" s="828">
        <v>1022924.1636396735</v>
      </c>
      <c r="H18" s="256"/>
      <c r="I18" s="861">
        <v>1.0595704235754624</v>
      </c>
      <c r="J18" s="753">
        <f>G18*I18/100</f>
        <v>10838.601893532645</v>
      </c>
      <c r="K18" s="753"/>
      <c r="L18" s="828">
        <v>108.19767475484646</v>
      </c>
      <c r="M18" s="828">
        <v>2659.0451669346044</v>
      </c>
      <c r="N18" s="828">
        <v>1221.6493032547696</v>
      </c>
      <c r="O18" s="753">
        <f>J18-L18-M18-N18</f>
        <v>6849.7097485884242</v>
      </c>
      <c r="P18" s="256"/>
      <c r="Q18" s="828">
        <v>90.483339054362091</v>
      </c>
      <c r="R18" s="828">
        <v>2914.1029611672775</v>
      </c>
      <c r="S18" s="828">
        <v>1091.123102014388</v>
      </c>
      <c r="T18" s="256"/>
      <c r="U18" s="750">
        <f>SUM(O18:S18)</f>
        <v>10945.419150824451</v>
      </c>
      <c r="V18" s="792">
        <f>U18/G18*100</f>
        <v>1.0700127673081337</v>
      </c>
      <c r="W18" s="753">
        <f>U18-J18</f>
        <v>106.81725729180653</v>
      </c>
      <c r="X18" s="834"/>
      <c r="Y18" s="769"/>
      <c r="AA18" s="938"/>
      <c r="AC18" s="938"/>
      <c r="AE18" s="971"/>
    </row>
    <row r="19" spans="1:31">
      <c r="A19" s="4">
        <v>4</v>
      </c>
      <c r="B19" s="256"/>
      <c r="C19" s="9" t="s">
        <v>708</v>
      </c>
      <c r="D19" s="256"/>
      <c r="E19" s="929" t="s">
        <v>674</v>
      </c>
      <c r="F19" s="256"/>
      <c r="G19" s="828">
        <v>1109755.6772268531</v>
      </c>
      <c r="H19" s="256"/>
      <c r="I19" s="861">
        <v>1.0561655696514423</v>
      </c>
      <c r="J19" s="753">
        <f>G19*I19/100</f>
        <v>11720.857370122214</v>
      </c>
      <c r="K19" s="753"/>
      <c r="L19" s="828">
        <v>117.38209741248355</v>
      </c>
      <c r="M19" s="828">
        <v>2884.7597650921834</v>
      </c>
      <c r="N19" s="828">
        <v>1325.3497160956388</v>
      </c>
      <c r="O19" s="753">
        <f>J19-L19-M19-N19</f>
        <v>7393.3657915219092</v>
      </c>
      <c r="P19" s="256"/>
      <c r="Q19" s="828">
        <v>98.16407000567412</v>
      </c>
      <c r="R19" s="828">
        <v>3161.4682887852196</v>
      </c>
      <c r="S19" s="828">
        <v>1183.7437222182741</v>
      </c>
      <c r="T19" s="256"/>
      <c r="U19" s="750">
        <f>SUM(O19:S19)</f>
        <v>11836.741872531078</v>
      </c>
      <c r="V19" s="792">
        <f>U19/G19*100</f>
        <v>1.0666079133841138</v>
      </c>
      <c r="W19" s="753">
        <f>U19-J19</f>
        <v>115.88450240886414</v>
      </c>
      <c r="X19" s="834"/>
      <c r="Y19" s="769"/>
      <c r="AA19" s="938"/>
      <c r="AC19" s="938"/>
      <c r="AE19" s="971"/>
    </row>
    <row r="20" spans="1:31">
      <c r="A20" s="4">
        <v>5</v>
      </c>
      <c r="B20" s="256"/>
      <c r="C20" s="9" t="s">
        <v>709</v>
      </c>
      <c r="D20" s="256"/>
      <c r="E20" s="929" t="s">
        <v>674</v>
      </c>
      <c r="F20" s="256"/>
      <c r="G20" s="828">
        <v>2166403.060431628</v>
      </c>
      <c r="H20" s="256"/>
      <c r="I20" s="861">
        <v>1.0536284924449102</v>
      </c>
      <c r="J20" s="753">
        <f>G20*I20/100</f>
        <v>22825.839905906163</v>
      </c>
      <c r="K20" s="753"/>
      <c r="L20" s="828">
        <v>229.14677554049152</v>
      </c>
      <c r="M20" s="828">
        <v>5631.4669183063925</v>
      </c>
      <c r="N20" s="828">
        <v>2587.2737035837213</v>
      </c>
      <c r="O20" s="753">
        <f>J20-L20-M20-N20</f>
        <v>14377.952508475557</v>
      </c>
      <c r="P20" s="256"/>
      <c r="Q20" s="828">
        <v>191.63041563899569</v>
      </c>
      <c r="R20" s="828">
        <v>6171.6418458851322</v>
      </c>
      <c r="S20" s="828">
        <v>2310.8383901118577</v>
      </c>
      <c r="T20" s="256"/>
      <c r="U20" s="750">
        <f>SUM(O20:S20)</f>
        <v>23052.063160111542</v>
      </c>
      <c r="V20" s="792">
        <f>U20/G20*100</f>
        <v>1.0640708361775817</v>
      </c>
      <c r="W20" s="753">
        <f>U20-J20</f>
        <v>226.22325420537891</v>
      </c>
      <c r="X20" s="834"/>
      <c r="Y20" s="769"/>
      <c r="AA20" s="938"/>
      <c r="AC20" s="938"/>
      <c r="AE20" s="971"/>
    </row>
    <row r="21" spans="1:31">
      <c r="A21" s="4">
        <v>6</v>
      </c>
      <c r="B21" s="256"/>
      <c r="C21" s="512" t="s">
        <v>705</v>
      </c>
      <c r="D21" s="256"/>
      <c r="E21" s="930"/>
      <c r="F21" s="256"/>
      <c r="G21" s="852">
        <f>SUM(G17:G20)</f>
        <v>5011587.6267347429</v>
      </c>
      <c r="H21" s="256"/>
      <c r="I21" s="931">
        <f>J21/G21*100</f>
        <v>1.056865854958466</v>
      </c>
      <c r="J21" s="842">
        <f>SUM(J17:J20)</f>
        <v>52965.758418282829</v>
      </c>
      <c r="K21" s="753"/>
      <c r="L21" s="830">
        <f>SUM(L17:L20)</f>
        <v>530.0902523540974</v>
      </c>
      <c r="M21" s="830">
        <f>SUM(M17:M20)</f>
        <v>13027.395706562269</v>
      </c>
      <c r="N21" s="830">
        <f>SUM(N17:N20)</f>
        <v>5985.1968992662751</v>
      </c>
      <c r="O21" s="842">
        <f>SUM(O17:O20)</f>
        <v>33423.075560100187</v>
      </c>
      <c r="P21" s="256"/>
      <c r="Q21" s="830">
        <f>SUM(Q17:Q20)</f>
        <v>443.30283568334914</v>
      </c>
      <c r="R21" s="830">
        <f>SUM(R17:R20)</f>
        <v>14276.994192075203</v>
      </c>
      <c r="S21" s="830">
        <f>SUM(S17:S20)</f>
        <v>5345.7130368717535</v>
      </c>
      <c r="T21" s="256"/>
      <c r="U21" s="808">
        <f>SUM(U17:U20)</f>
        <v>53489.085624730491</v>
      </c>
      <c r="V21" s="806">
        <f>U21/G21*100</f>
        <v>1.067308198691137</v>
      </c>
      <c r="W21" s="842">
        <f>U21-J21</f>
        <v>523.32720644766232</v>
      </c>
      <c r="X21" s="816">
        <f>V21/I21-1</f>
        <v>9.8804816937543283E-3</v>
      </c>
      <c r="Y21" s="785"/>
      <c r="AA21" s="938"/>
      <c r="AC21" s="938"/>
      <c r="AE21" s="971"/>
    </row>
    <row r="22" spans="1:31">
      <c r="A22" s="4"/>
      <c r="B22" s="256"/>
      <c r="C22" s="7"/>
      <c r="D22" s="256"/>
      <c r="E22" s="930"/>
      <c r="F22" s="256"/>
      <c r="G22" s="828"/>
      <c r="H22" s="256"/>
      <c r="I22" s="753"/>
      <c r="J22" s="753"/>
      <c r="K22" s="753"/>
      <c r="L22" s="762"/>
      <c r="M22" s="762"/>
      <c r="N22" s="762"/>
      <c r="O22" s="753"/>
      <c r="P22" s="256"/>
      <c r="Q22" s="762"/>
      <c r="R22" s="762"/>
      <c r="S22" s="762"/>
      <c r="T22" s="256"/>
      <c r="U22" s="256"/>
      <c r="V22" s="256"/>
      <c r="W22" s="504"/>
      <c r="X22" s="834"/>
      <c r="Y22" s="769"/>
    </row>
    <row r="23" spans="1:31">
      <c r="A23" s="4">
        <v>7</v>
      </c>
      <c r="B23" s="256"/>
      <c r="C23" s="7" t="s">
        <v>710</v>
      </c>
      <c r="D23" s="256"/>
      <c r="E23" s="930"/>
      <c r="F23" s="256"/>
      <c r="G23" s="852">
        <f>G21</f>
        <v>5011587.6267347429</v>
      </c>
      <c r="H23" s="256"/>
      <c r="I23" s="931">
        <f>I21</f>
        <v>1.056865854958466</v>
      </c>
      <c r="J23" s="842">
        <f>J21</f>
        <v>52965.758418282829</v>
      </c>
      <c r="K23" s="753"/>
      <c r="L23" s="842">
        <f>L21</f>
        <v>530.0902523540974</v>
      </c>
      <c r="M23" s="842">
        <f>M21</f>
        <v>13027.395706562269</v>
      </c>
      <c r="N23" s="842">
        <f>N21</f>
        <v>5985.1968992662751</v>
      </c>
      <c r="O23" s="842">
        <f>O21</f>
        <v>33423.075560100187</v>
      </c>
      <c r="P23" s="753"/>
      <c r="Q23" s="842">
        <f>Q21</f>
        <v>443.30283568334914</v>
      </c>
      <c r="R23" s="842">
        <f>R21</f>
        <v>14276.994192075203</v>
      </c>
      <c r="S23" s="842">
        <f>S21</f>
        <v>5345.7130368717535</v>
      </c>
      <c r="T23" s="753"/>
      <c r="U23" s="842">
        <f>U21</f>
        <v>53489.085624730491</v>
      </c>
      <c r="V23" s="931">
        <f>V21</f>
        <v>1.067308198691137</v>
      </c>
      <c r="W23" s="842">
        <f>W21</f>
        <v>523.32720644766232</v>
      </c>
      <c r="X23" s="921">
        <f>X21</f>
        <v>9.8804816937543283E-3</v>
      </c>
      <c r="Y23" s="769"/>
      <c r="Z23" s="782"/>
      <c r="AA23" s="955"/>
    </row>
    <row r="24" spans="1:31">
      <c r="E24" s="930"/>
      <c r="G24" s="828"/>
      <c r="I24" s="753"/>
      <c r="J24" s="999"/>
      <c r="K24" s="762"/>
      <c r="L24" s="762"/>
      <c r="M24" s="762"/>
      <c r="N24" s="762"/>
      <c r="O24" s="753"/>
      <c r="P24" s="68"/>
      <c r="Q24" s="762"/>
      <c r="R24" s="762"/>
      <c r="S24" s="762"/>
      <c r="T24" s="68"/>
      <c r="U24" s="999"/>
      <c r="V24" s="932"/>
      <c r="W24" s="762"/>
      <c r="X24" s="834"/>
      <c r="Y24" s="769"/>
      <c r="Z24" s="782"/>
    </row>
    <row r="25" spans="1:31">
      <c r="A25" s="4">
        <v>8</v>
      </c>
      <c r="B25" s="256"/>
      <c r="C25" s="9" t="s">
        <v>711</v>
      </c>
      <c r="D25" s="256"/>
      <c r="E25" s="929" t="s">
        <v>674</v>
      </c>
      <c r="F25" s="256"/>
      <c r="G25" s="828">
        <v>5011587.6267347429</v>
      </c>
      <c r="H25" s="256"/>
      <c r="I25" s="861">
        <v>0.59903985367194279</v>
      </c>
      <c r="J25" s="753">
        <f>G25*I25/100</f>
        <v>30021.407185832992</v>
      </c>
      <c r="K25" s="762"/>
      <c r="L25" s="762">
        <v>0</v>
      </c>
      <c r="M25" s="762">
        <v>0</v>
      </c>
      <c r="N25" s="762">
        <v>0</v>
      </c>
      <c r="O25" s="753">
        <f>J25-L25-M25-N25</f>
        <v>30021.407185832992</v>
      </c>
      <c r="P25" s="771"/>
      <c r="Q25" s="762">
        <v>0</v>
      </c>
      <c r="R25" s="762">
        <v>0</v>
      </c>
      <c r="S25" s="762">
        <v>0</v>
      </c>
      <c r="T25" s="771"/>
      <c r="U25" s="753">
        <f>O25+Q25+R25+S25</f>
        <v>30021.407185832992</v>
      </c>
      <c r="V25" s="932">
        <f>U25/G25*100</f>
        <v>0.59903985367194279</v>
      </c>
      <c r="W25" s="762">
        <f>U25-J25</f>
        <v>0</v>
      </c>
      <c r="X25" s="785">
        <f>V25/I25-1</f>
        <v>0</v>
      </c>
      <c r="Y25" s="785"/>
      <c r="Z25" s="782"/>
      <c r="AA25" s="938"/>
      <c r="AC25" s="938"/>
      <c r="AE25" s="971"/>
    </row>
    <row r="26" spans="1:31">
      <c r="A26" s="4"/>
      <c r="B26" s="256"/>
      <c r="C26" s="9"/>
      <c r="D26" s="256"/>
      <c r="E26" s="929"/>
      <c r="F26" s="256"/>
      <c r="G26" s="828"/>
      <c r="H26" s="256"/>
      <c r="I26" s="861"/>
      <c r="J26" s="753"/>
      <c r="K26" s="762"/>
      <c r="L26" s="762"/>
      <c r="M26" s="762"/>
      <c r="N26" s="762"/>
      <c r="O26" s="753"/>
      <c r="P26" s="771"/>
      <c r="Q26" s="762"/>
      <c r="R26" s="762"/>
      <c r="S26" s="762"/>
      <c r="T26" s="771"/>
      <c r="U26" s="753"/>
      <c r="V26" s="932"/>
      <c r="W26" s="762"/>
      <c r="X26" s="785"/>
      <c r="Y26" s="785"/>
      <c r="Z26" s="782"/>
      <c r="AA26" s="938"/>
      <c r="AC26" s="938"/>
      <c r="AE26" s="971"/>
    </row>
    <row r="27" spans="1:31">
      <c r="A27" s="4"/>
      <c r="B27" s="256"/>
      <c r="C27" s="7" t="s">
        <v>712</v>
      </c>
      <c r="D27" s="256"/>
      <c r="E27" s="929"/>
      <c r="F27" s="256"/>
      <c r="G27" s="828"/>
      <c r="H27" s="256"/>
      <c r="I27" s="861"/>
      <c r="J27" s="753"/>
      <c r="K27" s="762"/>
      <c r="L27" s="762"/>
      <c r="M27" s="762"/>
      <c r="N27" s="762"/>
      <c r="O27" s="753"/>
      <c r="P27" s="771"/>
      <c r="Q27" s="762"/>
      <c r="R27" s="762"/>
      <c r="S27" s="762"/>
      <c r="T27" s="771"/>
      <c r="U27" s="753"/>
      <c r="V27" s="932"/>
      <c r="W27" s="762"/>
      <c r="X27" s="785"/>
      <c r="Y27" s="785"/>
      <c r="Z27" s="782"/>
      <c r="AA27" s="938"/>
      <c r="AC27" s="938"/>
      <c r="AE27" s="971"/>
    </row>
    <row r="28" spans="1:31">
      <c r="A28" s="4">
        <v>9</v>
      </c>
      <c r="B28" s="256"/>
      <c r="C28" s="9" t="s">
        <v>713</v>
      </c>
      <c r="D28" s="256"/>
      <c r="E28" s="929" t="s">
        <v>674</v>
      </c>
      <c r="F28" s="256"/>
      <c r="G28" s="828">
        <v>4941365.8225043351</v>
      </c>
      <c r="H28" s="256"/>
      <c r="I28" s="861">
        <v>3.8514964846403119</v>
      </c>
      <c r="J28" s="753">
        <f>G28*I28/100</f>
        <v>190316.53094697229</v>
      </c>
      <c r="K28" s="762"/>
      <c r="L28" s="762">
        <v>0</v>
      </c>
      <c r="M28" s="762">
        <v>0</v>
      </c>
      <c r="N28" s="762">
        <v>0</v>
      </c>
      <c r="O28" s="753">
        <f>J28-L28-M28-N28</f>
        <v>190316.53094697229</v>
      </c>
      <c r="P28" s="771"/>
      <c r="Q28" s="762">
        <v>0</v>
      </c>
      <c r="R28" s="762">
        <v>0</v>
      </c>
      <c r="S28" s="762">
        <v>0</v>
      </c>
      <c r="T28" s="771"/>
      <c r="U28" s="753">
        <f>O28+Q28+R28+S28</f>
        <v>190316.53094697229</v>
      </c>
      <c r="V28" s="932">
        <f>U28/G28*100</f>
        <v>3.8514964846403115</v>
      </c>
      <c r="W28" s="762">
        <f>U28-J28</f>
        <v>0</v>
      </c>
      <c r="X28" s="834"/>
      <c r="Y28" s="769"/>
      <c r="Z28" s="782"/>
      <c r="AA28" s="938"/>
      <c r="AC28" s="938"/>
      <c r="AE28" s="971"/>
    </row>
    <row r="29" spans="1:31">
      <c r="A29" s="4">
        <v>10</v>
      </c>
      <c r="B29" s="256"/>
      <c r="C29" s="9" t="s">
        <v>714</v>
      </c>
      <c r="D29" s="256"/>
      <c r="E29" s="929" t="s">
        <v>674</v>
      </c>
      <c r="F29" s="256"/>
      <c r="G29" s="828">
        <v>70111.872093691025</v>
      </c>
      <c r="H29" s="256"/>
      <c r="I29" s="861">
        <v>0.37192678988229777</v>
      </c>
      <c r="J29" s="753">
        <f>G29*I29/100</f>
        <v>260.76483520444759</v>
      </c>
      <c r="K29" s="762"/>
      <c r="L29" s="762">
        <v>0</v>
      </c>
      <c r="M29" s="762">
        <v>0</v>
      </c>
      <c r="N29" s="762">
        <v>0</v>
      </c>
      <c r="O29" s="753">
        <f>J29-L29-M29-N29</f>
        <v>260.76483520444759</v>
      </c>
      <c r="P29" s="771"/>
      <c r="Q29" s="762">
        <v>0</v>
      </c>
      <c r="R29" s="762">
        <v>0</v>
      </c>
      <c r="S29" s="762">
        <v>0</v>
      </c>
      <c r="T29" s="771"/>
      <c r="U29" s="753">
        <f>O29+Q29+R29+S29</f>
        <v>260.76483520444759</v>
      </c>
      <c r="V29" s="932">
        <f>U29/G29*100</f>
        <v>0.37192678988229777</v>
      </c>
      <c r="W29" s="762">
        <f>U29-J29</f>
        <v>0</v>
      </c>
      <c r="X29" s="834"/>
      <c r="Y29" s="769"/>
      <c r="Z29" s="782"/>
      <c r="AA29" s="938"/>
      <c r="AC29" s="938"/>
      <c r="AE29" s="971"/>
    </row>
    <row r="30" spans="1:31">
      <c r="A30" s="4">
        <v>11</v>
      </c>
      <c r="B30" s="256"/>
      <c r="C30" s="7" t="s">
        <v>712</v>
      </c>
      <c r="D30" s="256"/>
      <c r="E30" s="929"/>
      <c r="F30" s="256"/>
      <c r="G30" s="830">
        <f>SUM(G28:G29)</f>
        <v>5011477.6945980266</v>
      </c>
      <c r="H30" s="256"/>
      <c r="I30" s="891">
        <f>J30/G30*100</f>
        <v>3.8028164025872822</v>
      </c>
      <c r="J30" s="842">
        <f>SUM(J28:J29)</f>
        <v>190577.29578217672</v>
      </c>
      <c r="K30" s="762"/>
      <c r="L30" s="805">
        <f>SUM(L28:L29)</f>
        <v>0</v>
      </c>
      <c r="M30" s="805">
        <f>SUM(M28:M29)</f>
        <v>0</v>
      </c>
      <c r="N30" s="805">
        <f>SUM(N28:N29)</f>
        <v>0</v>
      </c>
      <c r="O30" s="842">
        <f>SUM(O28:O29)</f>
        <v>190577.29578217672</v>
      </c>
      <c r="P30" s="762"/>
      <c r="Q30" s="805">
        <f>SUM(Q28:Q29)</f>
        <v>0</v>
      </c>
      <c r="R30" s="805">
        <f>SUM(R28:R29)</f>
        <v>0</v>
      </c>
      <c r="S30" s="805">
        <f>SUM(S28:S29)</f>
        <v>0</v>
      </c>
      <c r="T30" s="762"/>
      <c r="U30" s="842">
        <f>SUM(U28:U29)</f>
        <v>190577.29578217672</v>
      </c>
      <c r="V30" s="931">
        <f>U30/G30*100</f>
        <v>3.8028164025872822</v>
      </c>
      <c r="W30" s="805">
        <f>SUM(W28:W29)</f>
        <v>0</v>
      </c>
      <c r="X30" s="921">
        <f>V30/I30-1</f>
        <v>0</v>
      </c>
      <c r="Y30" s="769"/>
      <c r="Z30" s="782"/>
      <c r="AA30" s="938"/>
      <c r="AC30" s="938"/>
      <c r="AE30" s="971"/>
    </row>
    <row r="31" spans="1:31">
      <c r="E31" s="752"/>
      <c r="G31" s="744"/>
      <c r="I31" s="753"/>
      <c r="J31" s="762"/>
      <c r="K31" s="762"/>
      <c r="L31" s="762"/>
      <c r="M31" s="762"/>
      <c r="N31" s="762"/>
      <c r="O31" s="753"/>
      <c r="P31" s="68"/>
      <c r="Q31" s="762"/>
      <c r="R31" s="762"/>
      <c r="S31" s="762"/>
      <c r="T31" s="68"/>
      <c r="U31" s="999"/>
      <c r="V31" s="932"/>
      <c r="W31" s="762"/>
      <c r="X31" s="834"/>
      <c r="Y31" s="769"/>
      <c r="Z31" s="782"/>
      <c r="AA31" s="938"/>
      <c r="AC31" s="938"/>
      <c r="AE31" s="971"/>
    </row>
    <row r="32" spans="1:31">
      <c r="A32" s="4">
        <v>12</v>
      </c>
      <c r="B32" s="256"/>
      <c r="C32" s="7" t="s">
        <v>715</v>
      </c>
      <c r="D32" s="256"/>
      <c r="E32" s="929" t="s">
        <v>674</v>
      </c>
      <c r="F32" s="256"/>
      <c r="G32" s="828">
        <v>4926335.0754972538</v>
      </c>
      <c r="H32" s="256"/>
      <c r="I32" s="861">
        <v>18.292544616419534</v>
      </c>
      <c r="J32" s="762">
        <f>G32*I32/100</f>
        <v>901152.04163966002</v>
      </c>
      <c r="K32" s="762"/>
      <c r="L32" s="762">
        <v>0</v>
      </c>
      <c r="M32" s="762">
        <v>0</v>
      </c>
      <c r="N32" s="762">
        <v>0</v>
      </c>
      <c r="O32" s="753">
        <f>J32-L32-M32-N32</f>
        <v>901152.04163966002</v>
      </c>
      <c r="P32" s="771"/>
      <c r="Q32" s="762">
        <v>0</v>
      </c>
      <c r="R32" s="762">
        <v>0</v>
      </c>
      <c r="S32" s="762">
        <v>0</v>
      </c>
      <c r="T32" s="771"/>
      <c r="U32" s="753">
        <f>O32+Q32+R32+S32</f>
        <v>901152.04163966002</v>
      </c>
      <c r="V32" s="932">
        <f>U32/G32*100</f>
        <v>18.29254461641953</v>
      </c>
      <c r="W32" s="762">
        <f>U32-J32</f>
        <v>0</v>
      </c>
      <c r="X32" s="834">
        <f>V32/I32-1</f>
        <v>0</v>
      </c>
      <c r="Y32" s="769"/>
      <c r="Z32" s="782"/>
      <c r="AA32" s="938"/>
      <c r="AC32" s="938"/>
      <c r="AE32" s="971"/>
    </row>
    <row r="33" spans="1:31">
      <c r="A33" s="4"/>
      <c r="B33" s="256"/>
      <c r="C33" s="7"/>
      <c r="D33" s="256"/>
      <c r="E33" s="930"/>
      <c r="F33" s="256"/>
      <c r="G33" s="828"/>
      <c r="H33" s="256"/>
      <c r="I33" s="753"/>
      <c r="J33" s="762"/>
      <c r="K33" s="762"/>
      <c r="L33" s="762"/>
      <c r="M33" s="762"/>
      <c r="N33" s="762"/>
      <c r="O33" s="762"/>
      <c r="P33" s="771"/>
      <c r="Q33" s="762"/>
      <c r="R33" s="762"/>
      <c r="S33" s="762"/>
      <c r="T33" s="771"/>
      <c r="U33" s="771"/>
      <c r="V33" s="932"/>
      <c r="W33" s="762"/>
      <c r="X33" s="834"/>
      <c r="Y33" s="769"/>
      <c r="Z33" s="782"/>
    </row>
    <row r="34" spans="1:31" ht="13.5" thickBot="1">
      <c r="A34" s="4">
        <v>13</v>
      </c>
      <c r="B34" s="256"/>
      <c r="C34" s="7" t="s">
        <v>716</v>
      </c>
      <c r="D34" s="256"/>
      <c r="E34" s="930"/>
      <c r="F34" s="256"/>
      <c r="G34" s="819">
        <f>G21</f>
        <v>5011587.6267347429</v>
      </c>
      <c r="H34" s="256"/>
      <c r="I34" s="919">
        <f>J34/G34*100</f>
        <v>23.440007249585477</v>
      </c>
      <c r="J34" s="839">
        <f>J23+J25+J30+J32</f>
        <v>1174716.5030259525</v>
      </c>
      <c r="K34" s="753"/>
      <c r="L34" s="839">
        <f>L23+L25+L30+L32</f>
        <v>530.0902523540974</v>
      </c>
      <c r="M34" s="839">
        <f>M23+M25+M30+M32</f>
        <v>13027.395706562269</v>
      </c>
      <c r="N34" s="839">
        <f>N23+N25+N30+N32</f>
        <v>5985.1968992662751</v>
      </c>
      <c r="O34" s="839">
        <f>O23+O25+O30+O32</f>
        <v>1155173.8201677699</v>
      </c>
      <c r="P34" s="753"/>
      <c r="Q34" s="839">
        <f>Q23+Q25+Q30+Q32</f>
        <v>443.30283568334914</v>
      </c>
      <c r="R34" s="839">
        <f>R23+R25+R30+R32</f>
        <v>14276.994192075203</v>
      </c>
      <c r="S34" s="839">
        <f>S23+S25+S30+S32</f>
        <v>5345.7130368717535</v>
      </c>
      <c r="T34" s="753"/>
      <c r="U34" s="839">
        <f>U23+U25+U30+U32</f>
        <v>1175239.8302324002</v>
      </c>
      <c r="V34" s="919">
        <f>U34/G34*100</f>
        <v>23.450449593318147</v>
      </c>
      <c r="W34" s="839">
        <f>U34-J34</f>
        <v>523.32720644772053</v>
      </c>
      <c r="X34" s="917">
        <f>V34/I34-1</f>
        <v>4.4549234227964085E-4</v>
      </c>
      <c r="Y34" s="769"/>
      <c r="Z34" s="782"/>
      <c r="AA34" s="938"/>
      <c r="AC34" s="938"/>
      <c r="AE34" s="971"/>
    </row>
    <row r="35" spans="1:31" ht="13.5" thickTop="1">
      <c r="A35" s="4"/>
      <c r="B35" s="256"/>
      <c r="D35" s="256"/>
      <c r="E35" s="742"/>
      <c r="F35" s="256"/>
      <c r="G35" s="453"/>
      <c r="H35" s="256"/>
      <c r="I35" s="504"/>
      <c r="J35" s="504"/>
      <c r="K35" s="504"/>
      <c r="L35" s="504"/>
      <c r="M35" s="504"/>
      <c r="N35" s="504"/>
      <c r="O35" s="504"/>
      <c r="P35" s="256"/>
      <c r="Q35" s="504"/>
      <c r="R35" s="504"/>
      <c r="S35" s="504"/>
      <c r="T35" s="256"/>
      <c r="U35" s="256"/>
      <c r="V35" s="256"/>
      <c r="W35" s="504"/>
      <c r="X35" s="666"/>
    </row>
    <row r="36" spans="1:31">
      <c r="A36" s="4"/>
      <c r="B36" s="256"/>
      <c r="C36" s="6" t="s">
        <v>163</v>
      </c>
      <c r="D36" s="256"/>
      <c r="E36" s="134"/>
      <c r="F36" s="256"/>
      <c r="G36" s="749"/>
      <c r="H36" s="256"/>
      <c r="I36" s="504"/>
      <c r="J36" s="504"/>
      <c r="K36" s="504"/>
      <c r="L36" s="504"/>
      <c r="M36" s="504"/>
      <c r="N36" s="504"/>
      <c r="O36" s="504"/>
      <c r="P36" s="256"/>
      <c r="Q36" s="504"/>
      <c r="R36" s="504"/>
      <c r="S36" s="504"/>
      <c r="T36" s="256"/>
      <c r="U36" s="750"/>
      <c r="V36" s="750"/>
      <c r="W36" s="753"/>
      <c r="X36" s="666"/>
    </row>
    <row r="37" spans="1:31">
      <c r="A37" s="4">
        <v>14</v>
      </c>
      <c r="B37" s="256"/>
      <c r="C37" s="7" t="s">
        <v>703</v>
      </c>
      <c r="D37" s="256"/>
      <c r="E37" s="929" t="s">
        <v>704</v>
      </c>
      <c r="F37" s="256"/>
      <c r="G37" s="828">
        <v>2075693</v>
      </c>
      <c r="H37" s="256"/>
      <c r="I37" s="35">
        <v>0</v>
      </c>
      <c r="J37" s="762">
        <v>0</v>
      </c>
      <c r="K37" s="762"/>
      <c r="L37" s="762">
        <v>0</v>
      </c>
      <c r="M37" s="762">
        <v>0</v>
      </c>
      <c r="N37" s="762">
        <v>0</v>
      </c>
      <c r="O37" s="762">
        <v>0</v>
      </c>
      <c r="P37" s="771"/>
      <c r="Q37" s="762">
        <v>0</v>
      </c>
      <c r="R37" s="762">
        <v>0</v>
      </c>
      <c r="S37" s="762">
        <v>0</v>
      </c>
      <c r="T37" s="771"/>
      <c r="U37" s="771">
        <v>0</v>
      </c>
      <c r="V37" s="771">
        <v>0</v>
      </c>
      <c r="W37" s="762">
        <v>0</v>
      </c>
      <c r="X37" s="834"/>
      <c r="Y37" s="769"/>
      <c r="AA37" s="938"/>
      <c r="AE37" s="954"/>
    </row>
    <row r="38" spans="1:31">
      <c r="A38" s="4"/>
      <c r="B38" s="256"/>
      <c r="C38" s="512" t="s">
        <v>705</v>
      </c>
      <c r="D38" s="256"/>
      <c r="E38" s="930"/>
      <c r="F38" s="256"/>
      <c r="G38" s="828"/>
      <c r="H38" s="256"/>
      <c r="I38" s="932"/>
      <c r="J38" s="753"/>
      <c r="K38" s="753"/>
      <c r="L38" s="762"/>
      <c r="M38" s="762"/>
      <c r="N38" s="504"/>
      <c r="O38" s="753"/>
      <c r="P38" s="256"/>
      <c r="Q38" s="762"/>
      <c r="R38" s="762"/>
      <c r="S38" s="762"/>
      <c r="T38" s="256"/>
      <c r="U38" s="750"/>
      <c r="V38" s="811"/>
      <c r="W38" s="753"/>
      <c r="X38" s="834"/>
      <c r="Y38" s="769"/>
    </row>
    <row r="39" spans="1:31">
      <c r="A39" s="4">
        <v>15</v>
      </c>
      <c r="B39" s="256"/>
      <c r="C39" s="9" t="s">
        <v>932</v>
      </c>
      <c r="D39" s="256"/>
      <c r="E39" s="929" t="s">
        <v>674</v>
      </c>
      <c r="F39" s="256"/>
      <c r="G39" s="828">
        <v>581366.01608913206</v>
      </c>
      <c r="H39" s="256"/>
      <c r="I39" s="861">
        <v>0.97910480440383962</v>
      </c>
      <c r="J39" s="753">
        <f t="shared" ref="J39:J44" si="0">G39*I39/100</f>
        <v>5692.1825946998906</v>
      </c>
      <c r="K39" s="753"/>
      <c r="L39" s="828">
        <v>61.492780558158977</v>
      </c>
      <c r="M39" s="828">
        <v>1491.6446912700828</v>
      </c>
      <c r="N39" s="828">
        <v>591.47125002692655</v>
      </c>
      <c r="O39" s="753">
        <f t="shared" ref="O39:O44" si="1">J39-L39-M39-N39</f>
        <v>3547.5738728447218</v>
      </c>
      <c r="P39" s="256"/>
      <c r="Q39" s="828">
        <v>51.42506181622128</v>
      </c>
      <c r="R39" s="828">
        <v>1634.7244739925482</v>
      </c>
      <c r="S39" s="828">
        <v>528.27594904879106</v>
      </c>
      <c r="T39" s="256"/>
      <c r="U39" s="750">
        <f t="shared" ref="U39:U44" si="2">SUM(O39:S39)</f>
        <v>5761.9993577022833</v>
      </c>
      <c r="V39" s="792">
        <f t="shared" ref="V39:V45" si="3">U39/G39*100</f>
        <v>0.99111389352673873</v>
      </c>
      <c r="W39" s="753">
        <f t="shared" ref="W39:W44" si="4">U39-J39</f>
        <v>69.81676300239269</v>
      </c>
      <c r="X39" s="834"/>
      <c r="Y39" s="769"/>
      <c r="AA39" s="938"/>
      <c r="AC39" s="938"/>
      <c r="AE39" s="971"/>
    </row>
    <row r="40" spans="1:31">
      <c r="A40" s="4">
        <v>16</v>
      </c>
      <c r="B40" s="256"/>
      <c r="C40" s="9" t="s">
        <v>933</v>
      </c>
      <c r="D40" s="256"/>
      <c r="E40" s="929" t="s">
        <v>674</v>
      </c>
      <c r="F40" s="256"/>
      <c r="G40" s="828">
        <v>654833.14152139914</v>
      </c>
      <c r="H40" s="256"/>
      <c r="I40" s="861">
        <v>0.94913409640100943</v>
      </c>
      <c r="J40" s="753">
        <f t="shared" si="0"/>
        <v>6215.2446207134753</v>
      </c>
      <c r="K40" s="753"/>
      <c r="L40" s="828">
        <v>69.263612869335049</v>
      </c>
      <c r="M40" s="828">
        <v>1680.1435794079014</v>
      </c>
      <c r="N40" s="828">
        <v>666.21537216812499</v>
      </c>
      <c r="O40" s="753">
        <f t="shared" si="1"/>
        <v>3799.6220562681137</v>
      </c>
      <c r="P40" s="256"/>
      <c r="Q40" s="828">
        <v>57.923638207441201</v>
      </c>
      <c r="R40" s="828">
        <v>1841.3043301491118</v>
      </c>
      <c r="S40" s="828">
        <v>595.03409166039353</v>
      </c>
      <c r="T40" s="256"/>
      <c r="U40" s="750">
        <f t="shared" si="2"/>
        <v>6293.8841162850604</v>
      </c>
      <c r="V40" s="792">
        <f t="shared" si="3"/>
        <v>0.96114318552390865</v>
      </c>
      <c r="W40" s="753">
        <f t="shared" si="4"/>
        <v>78.63949557158503</v>
      </c>
      <c r="X40" s="834"/>
      <c r="Y40" s="769"/>
      <c r="AA40" s="938"/>
      <c r="AC40" s="938"/>
      <c r="AE40" s="971"/>
    </row>
    <row r="41" spans="1:31">
      <c r="A41" s="4">
        <v>17</v>
      </c>
      <c r="C41" s="9" t="s">
        <v>934</v>
      </c>
      <c r="E41" s="929" t="s">
        <v>674</v>
      </c>
      <c r="G41" s="828">
        <v>1156632.1092895225</v>
      </c>
      <c r="H41" s="256"/>
      <c r="I41" s="861">
        <v>0.9281443050874324</v>
      </c>
      <c r="J41" s="753">
        <f t="shared" si="0"/>
        <v>10735.21505318335</v>
      </c>
      <c r="K41" s="753"/>
      <c r="L41" s="828">
        <v>122.34035446639645</v>
      </c>
      <c r="M41" s="828">
        <v>2967.6384546525037</v>
      </c>
      <c r="N41" s="828">
        <v>1176.7365490415418</v>
      </c>
      <c r="O41" s="753">
        <f t="shared" si="1"/>
        <v>6468.4996950229088</v>
      </c>
      <c r="P41" s="256"/>
      <c r="Q41" s="828">
        <v>102.31055148177246</v>
      </c>
      <c r="R41" s="828">
        <v>3252.2967702524297</v>
      </c>
      <c r="S41" s="828">
        <v>1051.0090172548871</v>
      </c>
      <c r="T41" s="256"/>
      <c r="U41" s="750">
        <f t="shared" si="2"/>
        <v>10874.116034011997</v>
      </c>
      <c r="V41" s="792">
        <f t="shared" si="3"/>
        <v>0.94015339421033151</v>
      </c>
      <c r="W41" s="753">
        <f t="shared" si="4"/>
        <v>138.90098082864642</v>
      </c>
      <c r="X41" s="834"/>
      <c r="Y41" s="769"/>
      <c r="AA41" s="938"/>
      <c r="AC41" s="938"/>
      <c r="AE41" s="971"/>
    </row>
    <row r="42" spans="1:31">
      <c r="A42" s="4">
        <v>18</v>
      </c>
      <c r="C42" s="9" t="s">
        <v>935</v>
      </c>
      <c r="E42" s="929" t="s">
        <v>674</v>
      </c>
      <c r="G42" s="828">
        <v>751680.94105884049</v>
      </c>
      <c r="H42" s="256"/>
      <c r="I42" s="861">
        <v>0.91465965967797269</v>
      </c>
      <c r="J42" s="753">
        <f t="shared" si="0"/>
        <v>6875.3223373529736</v>
      </c>
      <c r="K42" s="753"/>
      <c r="L42" s="828">
        <v>79.507487329969834</v>
      </c>
      <c r="M42" s="828">
        <v>1928.6316265989249</v>
      </c>
      <c r="N42" s="828">
        <v>764.7465684704307</v>
      </c>
      <c r="O42" s="753">
        <f t="shared" si="1"/>
        <v>4102.436654953648</v>
      </c>
      <c r="P42" s="256"/>
      <c r="Q42" s="828">
        <v>66.490365432883905</v>
      </c>
      <c r="R42" s="828">
        <v>2113.627554718033</v>
      </c>
      <c r="S42" s="828">
        <v>683.03779638001208</v>
      </c>
      <c r="T42" s="256"/>
      <c r="U42" s="750">
        <f t="shared" si="2"/>
        <v>6965.5923714845767</v>
      </c>
      <c r="V42" s="792">
        <f t="shared" si="3"/>
        <v>0.92666874880087191</v>
      </c>
      <c r="W42" s="753">
        <f t="shared" si="4"/>
        <v>90.270034131603097</v>
      </c>
      <c r="X42" s="834"/>
      <c r="Y42" s="769"/>
      <c r="AA42" s="938"/>
      <c r="AC42" s="938"/>
      <c r="AE42" s="971"/>
    </row>
    <row r="43" spans="1:31">
      <c r="A43" s="4">
        <v>19</v>
      </c>
      <c r="C43" s="9" t="s">
        <v>936</v>
      </c>
      <c r="E43" s="929" t="s">
        <v>674</v>
      </c>
      <c r="G43" s="828">
        <v>714347.32692564209</v>
      </c>
      <c r="H43" s="256"/>
      <c r="I43" s="861">
        <v>0.9086670476072608</v>
      </c>
      <c r="J43" s="753">
        <f t="shared" si="0"/>
        <v>6491.0387652366189</v>
      </c>
      <c r="K43" s="753"/>
      <c r="L43" s="828">
        <v>75.558601984418814</v>
      </c>
      <c r="M43" s="828">
        <v>1832.8425956157771</v>
      </c>
      <c r="N43" s="828">
        <v>726.76402596144385</v>
      </c>
      <c r="O43" s="753">
        <f t="shared" si="1"/>
        <v>3855.8735416749796</v>
      </c>
      <c r="P43" s="256"/>
      <c r="Q43" s="828">
        <v>63.187999347680304</v>
      </c>
      <c r="R43" s="828">
        <v>2008.6503612854249</v>
      </c>
      <c r="S43" s="828">
        <v>649.11347006608275</v>
      </c>
      <c r="T43" s="256"/>
      <c r="U43" s="750">
        <f t="shared" si="2"/>
        <v>6576.8253723741673</v>
      </c>
      <c r="V43" s="792">
        <f t="shared" si="3"/>
        <v>0.92067613673015991</v>
      </c>
      <c r="W43" s="753">
        <f t="shared" si="4"/>
        <v>85.786607137548344</v>
      </c>
      <c r="X43" s="834"/>
      <c r="Y43" s="769"/>
      <c r="AA43" s="938"/>
      <c r="AC43" s="938"/>
      <c r="AE43" s="971"/>
    </row>
    <row r="44" spans="1:31">
      <c r="A44" s="4">
        <v>20</v>
      </c>
      <c r="C44" s="9" t="s">
        <v>937</v>
      </c>
      <c r="E44" s="929" t="s">
        <v>674</v>
      </c>
      <c r="G44" s="828">
        <v>940380.33721585828</v>
      </c>
      <c r="H44" s="256"/>
      <c r="I44" s="861">
        <v>0.90716290007246025</v>
      </c>
      <c r="J44" s="753">
        <f t="shared" si="0"/>
        <v>8530.7815387985611</v>
      </c>
      <c r="K44" s="753"/>
      <c r="L44" s="828">
        <v>99.466773284451207</v>
      </c>
      <c r="M44" s="828">
        <v>2412.788671788735</v>
      </c>
      <c r="N44" s="828">
        <v>956.7259147609542</v>
      </c>
      <c r="O44" s="753">
        <f t="shared" si="1"/>
        <v>5061.8001789644204</v>
      </c>
      <c r="P44" s="256"/>
      <c r="Q44" s="828">
        <v>83.181877911264692</v>
      </c>
      <c r="R44" s="828">
        <v>2644.2253409467326</v>
      </c>
      <c r="S44" s="828">
        <v>854.50525376661494</v>
      </c>
      <c r="T44" s="256"/>
      <c r="U44" s="750">
        <f t="shared" si="2"/>
        <v>8643.7126515890322</v>
      </c>
      <c r="V44" s="792">
        <f t="shared" si="3"/>
        <v>0.91917198919535936</v>
      </c>
      <c r="W44" s="753">
        <f t="shared" si="4"/>
        <v>112.93111279047116</v>
      </c>
      <c r="X44" s="834"/>
      <c r="Y44" s="769"/>
      <c r="AA44" s="938"/>
      <c r="AC44" s="938"/>
      <c r="AE44" s="971"/>
    </row>
    <row r="45" spans="1:31">
      <c r="A45" s="4">
        <v>21</v>
      </c>
      <c r="B45" s="256"/>
      <c r="C45" s="512" t="s">
        <v>705</v>
      </c>
      <c r="D45" s="256"/>
      <c r="E45" s="930"/>
      <c r="F45" s="256"/>
      <c r="G45" s="852">
        <f>SUM(G39:G44)</f>
        <v>4799239.8721003952</v>
      </c>
      <c r="H45" s="256"/>
      <c r="I45" s="931">
        <f>J45/G45*100</f>
        <v>0.92805915305275122</v>
      </c>
      <c r="J45" s="842">
        <f>SUM(J39:J44)</f>
        <v>44539.784909984868</v>
      </c>
      <c r="K45" s="762"/>
      <c r="L45" s="830">
        <f>SUM(L39:L44)</f>
        <v>507.62961049273036</v>
      </c>
      <c r="M45" s="830">
        <f>SUM(M39:M44)</f>
        <v>12313.689619333923</v>
      </c>
      <c r="N45" s="830">
        <f>SUM(N39:N44)</f>
        <v>4882.6596804294222</v>
      </c>
      <c r="O45" s="842">
        <f>SUM(O39:O44)</f>
        <v>26835.805999728793</v>
      </c>
      <c r="P45" s="256"/>
      <c r="Q45" s="830">
        <f>SUM(Q39:Q44)</f>
        <v>424.51949419726384</v>
      </c>
      <c r="R45" s="830">
        <f>SUM(R39:R44)</f>
        <v>13494.828831344281</v>
      </c>
      <c r="S45" s="830">
        <f>SUM(S39:S44)</f>
        <v>4360.9755781767817</v>
      </c>
      <c r="T45" s="256"/>
      <c r="U45" s="808">
        <f>SUM(U39:U44)</f>
        <v>45116.129903447116</v>
      </c>
      <c r="V45" s="806">
        <f t="shared" si="3"/>
        <v>0.94006824217565033</v>
      </c>
      <c r="W45" s="842">
        <f>SUM(W39:W44)</f>
        <v>576.34499346224675</v>
      </c>
      <c r="X45" s="816">
        <f>V45/I45-1</f>
        <v>1.2940003967846669E-2</v>
      </c>
      <c r="Y45" s="785"/>
      <c r="AA45" s="938"/>
      <c r="AC45" s="938"/>
      <c r="AE45" s="971"/>
    </row>
    <row r="46" spans="1:31">
      <c r="A46" s="4"/>
      <c r="B46" s="256"/>
      <c r="C46" s="7"/>
      <c r="D46" s="256"/>
      <c r="E46" s="930"/>
      <c r="F46" s="256"/>
      <c r="G46" s="828"/>
      <c r="H46" s="256"/>
      <c r="I46" s="753"/>
      <c r="J46" s="753"/>
      <c r="K46" s="753"/>
      <c r="L46" s="762"/>
      <c r="M46" s="762"/>
      <c r="N46" s="762"/>
      <c r="O46" s="753"/>
      <c r="P46" s="256"/>
      <c r="Q46" s="762"/>
      <c r="R46" s="762"/>
      <c r="S46" s="762"/>
      <c r="T46" s="256"/>
      <c r="U46" s="256"/>
      <c r="V46" s="256"/>
      <c r="W46" s="504"/>
      <c r="X46" s="834"/>
      <c r="Y46" s="769"/>
    </row>
    <row r="47" spans="1:31">
      <c r="A47" s="4">
        <v>22</v>
      </c>
      <c r="B47" s="256"/>
      <c r="C47" s="7" t="s">
        <v>710</v>
      </c>
      <c r="D47" s="256"/>
      <c r="E47" s="930"/>
      <c r="F47" s="256"/>
      <c r="G47" s="852">
        <f>G45</f>
        <v>4799239.8721003952</v>
      </c>
      <c r="H47" s="256"/>
      <c r="I47" s="931">
        <f>I45</f>
        <v>0.92805915305275122</v>
      </c>
      <c r="J47" s="842">
        <f>J45</f>
        <v>44539.784909984868</v>
      </c>
      <c r="K47" s="753"/>
      <c r="L47" s="842">
        <f>L45</f>
        <v>507.62961049273036</v>
      </c>
      <c r="M47" s="842">
        <f>M45</f>
        <v>12313.689619333923</v>
      </c>
      <c r="N47" s="842">
        <f>N45</f>
        <v>4882.6596804294222</v>
      </c>
      <c r="O47" s="842">
        <f>O45</f>
        <v>26835.805999728793</v>
      </c>
      <c r="P47" s="753"/>
      <c r="Q47" s="842">
        <f>Q45</f>
        <v>424.51949419726384</v>
      </c>
      <c r="R47" s="842">
        <f>R45</f>
        <v>13494.828831344281</v>
      </c>
      <c r="S47" s="842">
        <f>S45</f>
        <v>4360.9755781767817</v>
      </c>
      <c r="T47" s="753"/>
      <c r="U47" s="842">
        <f>U45</f>
        <v>45116.129903447116</v>
      </c>
      <c r="V47" s="931">
        <f>V45</f>
        <v>0.94006824217565033</v>
      </c>
      <c r="W47" s="842">
        <f>W45</f>
        <v>576.34499346224675</v>
      </c>
      <c r="X47" s="921">
        <f>X45</f>
        <v>1.2940003967846669E-2</v>
      </c>
      <c r="Y47" s="769"/>
    </row>
    <row r="48" spans="1:31">
      <c r="A48" s="4"/>
      <c r="B48" s="256"/>
      <c r="D48" s="256"/>
      <c r="E48" s="930"/>
      <c r="F48" s="256"/>
      <c r="G48" s="828"/>
      <c r="I48" s="753"/>
      <c r="J48" s="762"/>
      <c r="K48" s="762"/>
      <c r="L48" s="762"/>
      <c r="M48" s="762"/>
      <c r="N48" s="762"/>
      <c r="O48" s="762"/>
      <c r="P48" s="68"/>
      <c r="Q48" s="762"/>
      <c r="R48" s="762"/>
      <c r="S48" s="762"/>
      <c r="T48" s="68"/>
      <c r="U48" s="68"/>
      <c r="V48" s="68"/>
      <c r="W48" s="762"/>
      <c r="X48" s="834"/>
      <c r="Y48" s="769"/>
    </row>
    <row r="49" spans="1:31">
      <c r="A49" s="4">
        <v>23</v>
      </c>
      <c r="B49" s="256"/>
      <c r="C49" s="9" t="s">
        <v>711</v>
      </c>
      <c r="D49" s="256"/>
      <c r="E49" s="929" t="s">
        <v>674</v>
      </c>
      <c r="F49" s="256"/>
      <c r="G49" s="828">
        <v>4799239.8721003952</v>
      </c>
      <c r="H49" s="256"/>
      <c r="I49" s="861">
        <v>0.56229042178857536</v>
      </c>
      <c r="J49" s="753">
        <f>G49*I49/100</f>
        <v>26985.666119478796</v>
      </c>
      <c r="K49" s="762"/>
      <c r="L49" s="762">
        <v>0</v>
      </c>
      <c r="M49" s="762">
        <v>0</v>
      </c>
      <c r="N49" s="762">
        <v>0</v>
      </c>
      <c r="O49" s="753">
        <f>J49-L49-M49-N49</f>
        <v>26985.666119478796</v>
      </c>
      <c r="P49" s="771"/>
      <c r="Q49" s="762">
        <v>0</v>
      </c>
      <c r="R49" s="762">
        <v>0</v>
      </c>
      <c r="S49" s="762">
        <v>0</v>
      </c>
      <c r="T49" s="771"/>
      <c r="U49" s="750">
        <f>SUM(O49:S49)</f>
        <v>26985.666119478796</v>
      </c>
      <c r="V49" s="792">
        <f>U49/G49*100</f>
        <v>0.56229042178857536</v>
      </c>
      <c r="W49" s="762">
        <f>U49-J49</f>
        <v>0</v>
      </c>
      <c r="X49" s="785">
        <f>V49/I49-1</f>
        <v>0</v>
      </c>
      <c r="Y49" s="785"/>
      <c r="AA49" s="938"/>
      <c r="AC49" s="938"/>
      <c r="AE49" s="971"/>
    </row>
    <row r="50" spans="1:31">
      <c r="A50" s="4"/>
      <c r="B50" s="256"/>
      <c r="C50" s="9"/>
      <c r="D50" s="256"/>
      <c r="E50" s="929"/>
      <c r="F50" s="256"/>
      <c r="G50" s="828"/>
      <c r="H50" s="256"/>
      <c r="I50" s="861"/>
      <c r="J50" s="753"/>
      <c r="K50" s="762"/>
      <c r="L50" s="762"/>
      <c r="M50" s="762"/>
      <c r="N50" s="762"/>
      <c r="O50" s="753"/>
      <c r="P50" s="771"/>
      <c r="Q50" s="762"/>
      <c r="R50" s="762"/>
      <c r="S50" s="762"/>
      <c r="T50" s="771"/>
      <c r="U50" s="750"/>
      <c r="V50" s="821"/>
      <c r="W50" s="762"/>
      <c r="X50" s="785"/>
      <c r="Y50" s="785"/>
      <c r="AA50" s="938"/>
      <c r="AC50" s="938"/>
      <c r="AE50" s="971"/>
    </row>
    <row r="51" spans="1:31">
      <c r="A51" s="4"/>
      <c r="B51" s="256"/>
      <c r="C51" s="7" t="s">
        <v>712</v>
      </c>
      <c r="D51" s="256"/>
      <c r="E51" s="929"/>
      <c r="F51" s="256"/>
      <c r="G51" s="828"/>
      <c r="H51" s="256"/>
      <c r="I51" s="861"/>
      <c r="J51" s="753"/>
      <c r="K51" s="762"/>
      <c r="L51" s="762"/>
      <c r="M51" s="762"/>
      <c r="N51" s="762"/>
      <c r="O51" s="753"/>
      <c r="P51" s="771"/>
      <c r="Q51" s="762"/>
      <c r="R51" s="762"/>
      <c r="S51" s="762"/>
      <c r="T51" s="771"/>
      <c r="U51" s="750"/>
      <c r="V51" s="821"/>
      <c r="W51" s="762"/>
      <c r="X51" s="785"/>
      <c r="Y51" s="785"/>
      <c r="AA51" s="938"/>
      <c r="AC51" s="938"/>
      <c r="AE51" s="971"/>
    </row>
    <row r="52" spans="1:31">
      <c r="A52" s="1">
        <v>24</v>
      </c>
      <c r="C52" s="9" t="s">
        <v>713</v>
      </c>
      <c r="E52" s="929" t="s">
        <v>674</v>
      </c>
      <c r="G52" s="828">
        <v>3151717.8705886342</v>
      </c>
      <c r="H52" s="256"/>
      <c r="I52" s="861">
        <v>3.8514965103672711</v>
      </c>
      <c r="J52" s="753">
        <f>G52*I52/100</f>
        <v>121388.30380234291</v>
      </c>
      <c r="K52" s="762"/>
      <c r="L52" s="762">
        <v>0</v>
      </c>
      <c r="M52" s="762">
        <v>0</v>
      </c>
      <c r="N52" s="762">
        <v>0</v>
      </c>
      <c r="O52" s="753">
        <f>J52-L52-M52-N52</f>
        <v>121388.30380234291</v>
      </c>
      <c r="P52" s="771"/>
      <c r="Q52" s="762">
        <v>0</v>
      </c>
      <c r="R52" s="762">
        <v>0</v>
      </c>
      <c r="S52" s="762">
        <v>0</v>
      </c>
      <c r="T52" s="771"/>
      <c r="U52" s="750">
        <f>SUM(O52:S52)</f>
        <v>121388.30380234291</v>
      </c>
      <c r="V52" s="792">
        <f>U52/G52*100</f>
        <v>3.8514965103672716</v>
      </c>
      <c r="W52" s="762">
        <f>U52-J52</f>
        <v>0</v>
      </c>
      <c r="X52" s="834"/>
      <c r="Y52" s="769"/>
      <c r="AA52" s="938"/>
      <c r="AC52" s="938"/>
      <c r="AE52" s="971"/>
    </row>
    <row r="53" spans="1:31">
      <c r="A53" s="4">
        <v>25</v>
      </c>
      <c r="B53" s="256"/>
      <c r="C53" s="9" t="s">
        <v>714</v>
      </c>
      <c r="D53" s="256"/>
      <c r="E53" s="929" t="s">
        <v>674</v>
      </c>
      <c r="F53" s="256"/>
      <c r="G53" s="828">
        <v>1595783.9460776143</v>
      </c>
      <c r="H53" s="256"/>
      <c r="I53" s="861">
        <v>0.37192382270332858</v>
      </c>
      <c r="J53" s="753">
        <f>G53*I53/100</f>
        <v>5935.1006543378871</v>
      </c>
      <c r="K53" s="762"/>
      <c r="L53" s="762">
        <v>0</v>
      </c>
      <c r="M53" s="762">
        <v>0</v>
      </c>
      <c r="N53" s="762">
        <v>0</v>
      </c>
      <c r="O53" s="753">
        <f>J53-L53-M53-N53</f>
        <v>5935.1006543378871</v>
      </c>
      <c r="P53" s="771"/>
      <c r="Q53" s="762">
        <v>0</v>
      </c>
      <c r="R53" s="762">
        <v>0</v>
      </c>
      <c r="S53" s="762">
        <v>0</v>
      </c>
      <c r="T53" s="771"/>
      <c r="U53" s="750">
        <f>SUM(O53:S53)</f>
        <v>5935.1006543378871</v>
      </c>
      <c r="V53" s="792">
        <f>U53/G53*100</f>
        <v>0.37192382270332858</v>
      </c>
      <c r="W53" s="762">
        <f>U53-J53</f>
        <v>0</v>
      </c>
      <c r="X53" s="834"/>
      <c r="Y53" s="769"/>
      <c r="AA53" s="938"/>
      <c r="AC53" s="938"/>
      <c r="AE53" s="971"/>
    </row>
    <row r="54" spans="1:31">
      <c r="A54" s="4">
        <v>26</v>
      </c>
      <c r="B54" s="256"/>
      <c r="C54" s="7" t="s">
        <v>712</v>
      </c>
      <c r="D54" s="256"/>
      <c r="E54" s="929"/>
      <c r="F54" s="256"/>
      <c r="G54" s="830">
        <f>SUM(G52:G53)</f>
        <v>4747501.8166662483</v>
      </c>
      <c r="H54" s="256"/>
      <c r="I54" s="891">
        <f>J54/G54*100</f>
        <v>2.6819032277082688</v>
      </c>
      <c r="J54" s="842">
        <f>SUM(J52:J53)</f>
        <v>127323.4044566808</v>
      </c>
      <c r="K54" s="762"/>
      <c r="L54" s="805">
        <f>SUM(L52:L53)</f>
        <v>0</v>
      </c>
      <c r="M54" s="805">
        <f>SUM(M52:M53)</f>
        <v>0</v>
      </c>
      <c r="N54" s="805">
        <f>SUM(N52:N53)</f>
        <v>0</v>
      </c>
      <c r="O54" s="842">
        <f>SUM(O52:O53)</f>
        <v>127323.4044566808</v>
      </c>
      <c r="P54" s="771"/>
      <c r="Q54" s="805">
        <f>SUM(Q52:Q53)</f>
        <v>0</v>
      </c>
      <c r="R54" s="805">
        <f>SUM(R52:R53)</f>
        <v>0</v>
      </c>
      <c r="S54" s="805">
        <f>SUM(S52:S53)</f>
        <v>0</v>
      </c>
      <c r="T54" s="771"/>
      <c r="U54" s="808">
        <f>SUM(U52:U53)</f>
        <v>127323.4044566808</v>
      </c>
      <c r="V54" s="806">
        <f>U54/G54*100</f>
        <v>2.6819032277082688</v>
      </c>
      <c r="W54" s="805">
        <f>SUM(W52:W53)</f>
        <v>0</v>
      </c>
      <c r="X54" s="921">
        <f>V54/I54-1</f>
        <v>0</v>
      </c>
      <c r="Y54" s="769"/>
      <c r="AA54" s="938"/>
      <c r="AC54" s="938"/>
      <c r="AE54" s="971"/>
    </row>
    <row r="55" spans="1:31">
      <c r="A55" s="4"/>
      <c r="B55" s="256"/>
      <c r="D55" s="256"/>
      <c r="E55" s="752"/>
      <c r="F55" s="256"/>
      <c r="G55" s="744"/>
      <c r="I55" s="753"/>
      <c r="J55" s="762"/>
      <c r="K55" s="762"/>
      <c r="L55" s="762"/>
      <c r="M55" s="762"/>
      <c r="N55" s="762"/>
      <c r="O55" s="762"/>
      <c r="P55" s="68"/>
      <c r="Q55" s="762"/>
      <c r="R55" s="762"/>
      <c r="S55" s="762"/>
      <c r="T55" s="68"/>
      <c r="U55" s="771"/>
      <c r="V55" s="821"/>
      <c r="W55" s="762"/>
      <c r="X55" s="834"/>
      <c r="Y55" s="769"/>
      <c r="AA55" s="938"/>
      <c r="AC55" s="938"/>
      <c r="AE55" s="971"/>
    </row>
    <row r="56" spans="1:31">
      <c r="A56" s="4">
        <v>27</v>
      </c>
      <c r="B56" s="256"/>
      <c r="C56" s="7" t="s">
        <v>715</v>
      </c>
      <c r="D56" s="256"/>
      <c r="E56" s="929" t="s">
        <v>674</v>
      </c>
      <c r="F56" s="256"/>
      <c r="G56" s="828">
        <v>2974410.3609594423</v>
      </c>
      <c r="H56" s="256"/>
      <c r="I56" s="861">
        <v>18.292533838805749</v>
      </c>
      <c r="J56" s="753">
        <f>G56*I56/100</f>
        <v>544095.02178345027</v>
      </c>
      <c r="K56" s="762"/>
      <c r="L56" s="762">
        <v>0</v>
      </c>
      <c r="M56" s="762">
        <v>0</v>
      </c>
      <c r="N56" s="762">
        <v>0</v>
      </c>
      <c r="O56" s="753">
        <f>J56-L56-M56-N56</f>
        <v>544095.02178345027</v>
      </c>
      <c r="P56" s="771"/>
      <c r="Q56" s="762">
        <v>0</v>
      </c>
      <c r="R56" s="762">
        <v>0</v>
      </c>
      <c r="S56" s="762">
        <v>0</v>
      </c>
      <c r="T56" s="771"/>
      <c r="U56" s="750">
        <f>SUM(O56:S56)</f>
        <v>544095.02178345027</v>
      </c>
      <c r="V56" s="792">
        <f>U56/G56*100</f>
        <v>18.292533838805749</v>
      </c>
      <c r="W56" s="762">
        <f>U56-J56</f>
        <v>0</v>
      </c>
      <c r="X56" s="834">
        <f>V56/I56-1</f>
        <v>0</v>
      </c>
      <c r="Y56" s="769"/>
      <c r="AA56" s="938"/>
      <c r="AC56" s="938"/>
      <c r="AE56" s="971"/>
    </row>
    <row r="57" spans="1:31">
      <c r="A57" s="4"/>
      <c r="B57" s="256"/>
      <c r="C57" s="7"/>
      <c r="D57" s="256"/>
      <c r="E57" s="930"/>
      <c r="F57" s="256"/>
      <c r="G57" s="828"/>
      <c r="H57" s="256"/>
      <c r="I57" s="753"/>
      <c r="J57" s="762"/>
      <c r="K57" s="762"/>
      <c r="L57" s="762"/>
      <c r="M57" s="762"/>
      <c r="N57" s="762"/>
      <c r="O57" s="762"/>
      <c r="P57" s="771"/>
      <c r="Q57" s="762"/>
      <c r="R57" s="762"/>
      <c r="S57" s="762"/>
      <c r="T57" s="771"/>
      <c r="U57" s="771"/>
      <c r="V57" s="821"/>
      <c r="W57" s="762"/>
      <c r="X57" s="834"/>
      <c r="Y57" s="769"/>
      <c r="AE57" s="971"/>
    </row>
    <row r="58" spans="1:31" ht="13.5" thickBot="1">
      <c r="A58" s="4">
        <v>28</v>
      </c>
      <c r="B58" s="256"/>
      <c r="C58" s="7" t="s">
        <v>723</v>
      </c>
      <c r="D58" s="256"/>
      <c r="E58" s="742"/>
      <c r="F58" s="256"/>
      <c r="G58" s="819">
        <f>G45</f>
        <v>4799239.8721003952</v>
      </c>
      <c r="H58" s="256"/>
      <c r="I58" s="919">
        <f>J58/G58*100</f>
        <v>15.480448926684803</v>
      </c>
      <c r="J58" s="839">
        <f>J47+J49+J54+J56</f>
        <v>742943.8772695947</v>
      </c>
      <c r="K58" s="753"/>
      <c r="L58" s="839">
        <f>L47+L49+L54+L56</f>
        <v>507.62961049273036</v>
      </c>
      <c r="M58" s="839">
        <f>M47+M49+M54+M56</f>
        <v>12313.689619333923</v>
      </c>
      <c r="N58" s="839">
        <f>N47+N49+N54+N56</f>
        <v>4882.6596804294222</v>
      </c>
      <c r="O58" s="839">
        <f>O47+O49+O54+O56</f>
        <v>725239.89835933864</v>
      </c>
      <c r="P58" s="753"/>
      <c r="Q58" s="839">
        <f>Q47+Q49+Q54+Q56</f>
        <v>424.51949419726384</v>
      </c>
      <c r="R58" s="839">
        <f>R47+R49+R54+R56</f>
        <v>13494.828831344281</v>
      </c>
      <c r="S58" s="839">
        <f>S47+S49+S54+S56</f>
        <v>4360.9755781767817</v>
      </c>
      <c r="T58" s="753"/>
      <c r="U58" s="839">
        <f>U47+U49+U54+U56</f>
        <v>743520.22226305702</v>
      </c>
      <c r="V58" s="919">
        <f>U58/G58*100</f>
        <v>15.492458015807703</v>
      </c>
      <c r="W58" s="839">
        <f>U58-J58</f>
        <v>576.34499346232042</v>
      </c>
      <c r="X58" s="917">
        <f>V58/I58-1</f>
        <v>7.7575845376154362E-4</v>
      </c>
      <c r="Y58" s="769"/>
      <c r="AA58" s="938"/>
      <c r="AC58" s="938"/>
      <c r="AE58" s="971"/>
    </row>
    <row r="59" spans="1:31" ht="13.5" thickTop="1">
      <c r="A59" s="4"/>
      <c r="B59" s="256"/>
      <c r="C59" s="7"/>
      <c r="D59" s="256"/>
      <c r="E59" s="742"/>
      <c r="F59" s="256"/>
      <c r="G59" s="818"/>
      <c r="H59" s="256"/>
      <c r="I59" s="932"/>
      <c r="J59" s="753"/>
      <c r="K59" s="753"/>
      <c r="L59" s="753"/>
      <c r="M59" s="753"/>
      <c r="N59" s="753"/>
      <c r="O59" s="753"/>
      <c r="P59" s="753"/>
      <c r="Q59" s="753"/>
      <c r="R59" s="753"/>
      <c r="S59" s="753"/>
      <c r="T59" s="753"/>
      <c r="U59" s="753"/>
      <c r="V59" s="932"/>
      <c r="W59" s="753"/>
      <c r="X59" s="834"/>
      <c r="Y59" s="769"/>
      <c r="AA59" s="938"/>
      <c r="AC59" s="938"/>
      <c r="AE59" s="971"/>
    </row>
    <row r="60" spans="1:31">
      <c r="A60" s="4"/>
      <c r="B60" s="256"/>
      <c r="C60" s="256"/>
      <c r="D60" s="256"/>
      <c r="E60" s="860"/>
      <c r="F60" s="256"/>
      <c r="G60" s="860"/>
      <c r="H60" s="256"/>
      <c r="I60" s="504"/>
      <c r="J60" s="504"/>
      <c r="K60" s="504"/>
      <c r="L60" s="504"/>
      <c r="M60" s="504"/>
      <c r="N60" s="504"/>
      <c r="O60" s="504"/>
      <c r="P60" s="256"/>
      <c r="Q60" s="504"/>
      <c r="R60" s="504"/>
      <c r="S60" s="504"/>
      <c r="T60" s="256"/>
      <c r="U60" s="256"/>
      <c r="V60" s="256"/>
      <c r="W60" s="504"/>
      <c r="X60" s="513"/>
      <c r="AA60" s="938"/>
      <c r="AC60" s="938"/>
      <c r="AE60" s="971"/>
    </row>
    <row r="61" spans="1:31">
      <c r="A61" s="4"/>
      <c r="B61" s="256"/>
      <c r="C61" s="256"/>
      <c r="D61" s="256"/>
      <c r="E61" s="860"/>
      <c r="F61" s="256"/>
      <c r="G61" s="860"/>
      <c r="H61" s="256"/>
      <c r="I61" s="504"/>
      <c r="J61" s="504"/>
      <c r="K61" s="504"/>
      <c r="L61" s="504"/>
      <c r="M61" s="504"/>
      <c r="N61" s="504"/>
      <c r="O61" s="504"/>
      <c r="P61" s="256"/>
      <c r="Q61" s="504"/>
      <c r="R61" s="504"/>
      <c r="S61" s="504"/>
      <c r="T61" s="256"/>
      <c r="U61" s="256"/>
      <c r="V61" s="256"/>
      <c r="W61" s="504"/>
      <c r="X61" s="513"/>
      <c r="AA61" s="938"/>
      <c r="AC61" s="938"/>
      <c r="AE61" s="971"/>
    </row>
    <row r="62" spans="1:31">
      <c r="J62" s="504"/>
      <c r="K62" s="504"/>
      <c r="L62" s="2"/>
      <c r="M62" s="2"/>
      <c r="N62" s="504"/>
      <c r="O62" s="504"/>
      <c r="Q62" s="504"/>
      <c r="R62" s="504"/>
      <c r="S62" s="504"/>
      <c r="W62" s="753"/>
      <c r="X62" s="513"/>
      <c r="AA62" s="938"/>
      <c r="AC62" s="938"/>
      <c r="AE62" s="971"/>
    </row>
    <row r="63" spans="1:31">
      <c r="J63" s="504"/>
      <c r="K63" s="504"/>
      <c r="L63" s="2"/>
      <c r="M63" s="2"/>
      <c r="N63" s="504"/>
      <c r="O63" s="504"/>
      <c r="Q63" s="504"/>
      <c r="R63" s="504"/>
      <c r="S63" s="504"/>
      <c r="V63" s="752"/>
      <c r="W63" s="504"/>
      <c r="X63" s="513"/>
      <c r="AA63" s="938"/>
      <c r="AC63" s="938"/>
      <c r="AE63" s="971"/>
    </row>
    <row r="64" spans="1:31">
      <c r="J64" s="504"/>
      <c r="K64" s="504"/>
      <c r="L64" s="2"/>
      <c r="M64" s="2"/>
      <c r="N64" s="504"/>
      <c r="O64" s="504"/>
      <c r="Q64" s="504"/>
      <c r="R64" s="504"/>
      <c r="S64" s="504"/>
      <c r="U64" s="752"/>
      <c r="W64" s="504"/>
      <c r="X64" s="513"/>
      <c r="AA64" s="938"/>
      <c r="AC64" s="938"/>
      <c r="AE64" s="971"/>
    </row>
    <row r="65" spans="1:31">
      <c r="A65" s="1324" t="s">
        <v>724</v>
      </c>
      <c r="B65" s="1324"/>
      <c r="C65" s="1324"/>
      <c r="D65" s="1324"/>
      <c r="E65" s="1324"/>
      <c r="F65" s="1324"/>
      <c r="G65" s="1324"/>
      <c r="H65" s="1324"/>
      <c r="I65" s="1324"/>
      <c r="J65" s="1324"/>
      <c r="K65" s="1324"/>
      <c r="L65" s="1324"/>
      <c r="M65" s="1324"/>
      <c r="N65" s="1324"/>
      <c r="O65" s="1324"/>
      <c r="P65" s="1324"/>
      <c r="Q65" s="1324"/>
      <c r="R65" s="1324"/>
      <c r="S65" s="1324"/>
      <c r="T65" s="1324"/>
      <c r="U65" s="1324"/>
      <c r="V65" s="1324"/>
      <c r="W65" s="1324"/>
      <c r="X65" s="1324"/>
      <c r="Y65" s="644"/>
      <c r="Z65" s="644"/>
      <c r="AA65" s="938"/>
      <c r="AC65" s="938"/>
      <c r="AE65" s="971"/>
    </row>
    <row r="66" spans="1:31">
      <c r="A66" s="1324" t="s">
        <v>963</v>
      </c>
      <c r="B66" s="1324"/>
      <c r="C66" s="1324"/>
      <c r="D66" s="1324"/>
      <c r="E66" s="1324"/>
      <c r="F66" s="1324"/>
      <c r="G66" s="1324"/>
      <c r="H66" s="1324"/>
      <c r="I66" s="1324"/>
      <c r="J66" s="1324"/>
      <c r="K66" s="1324"/>
      <c r="L66" s="1324"/>
      <c r="M66" s="1324"/>
      <c r="N66" s="1324"/>
      <c r="O66" s="1324"/>
      <c r="P66" s="1324"/>
      <c r="Q66" s="1324"/>
      <c r="R66" s="1324"/>
      <c r="S66" s="1324"/>
      <c r="T66" s="1324"/>
      <c r="U66" s="1324"/>
      <c r="V66" s="1324"/>
      <c r="W66" s="1324"/>
      <c r="X66" s="1324"/>
      <c r="AA66" s="938"/>
      <c r="AC66" s="938"/>
      <c r="AE66" s="971"/>
    </row>
    <row r="67" spans="1:31">
      <c r="A67" s="385"/>
      <c r="B67" s="385"/>
      <c r="C67" s="385"/>
      <c r="D67" s="385"/>
      <c r="E67" s="447"/>
      <c r="F67" s="385"/>
      <c r="G67" s="447"/>
      <c r="H67" s="385"/>
      <c r="I67" s="385"/>
      <c r="J67" s="504"/>
      <c r="K67" s="504"/>
      <c r="L67" s="3"/>
      <c r="M67" s="3"/>
      <c r="N67" s="504"/>
      <c r="O67" s="504"/>
      <c r="P67" s="385"/>
      <c r="Q67" s="504"/>
      <c r="R67" s="504"/>
      <c r="S67" s="504"/>
      <c r="T67" s="385"/>
      <c r="U67" s="385"/>
      <c r="V67" s="385"/>
      <c r="W67" s="504"/>
      <c r="X67" s="513"/>
      <c r="Y67" s="4"/>
      <c r="AA67" s="938"/>
      <c r="AC67" s="938"/>
      <c r="AE67" s="971"/>
    </row>
    <row r="68" spans="1:31">
      <c r="A68" s="447"/>
      <c r="B68" s="447"/>
      <c r="C68" s="447"/>
      <c r="D68" s="447"/>
      <c r="E68" s="256"/>
      <c r="F68" s="256"/>
      <c r="G68" s="1313" t="s">
        <v>682</v>
      </c>
      <c r="H68" s="1313"/>
      <c r="I68" s="1313"/>
      <c r="J68" s="1313"/>
      <c r="K68" s="256"/>
      <c r="L68" s="1313" t="s">
        <v>496</v>
      </c>
      <c r="M68" s="1313"/>
      <c r="N68" s="1313"/>
      <c r="O68" s="256"/>
      <c r="P68" s="447"/>
      <c r="Q68" s="1313" t="s">
        <v>497</v>
      </c>
      <c r="R68" s="1313"/>
      <c r="S68" s="1313"/>
      <c r="T68" s="447"/>
      <c r="U68" s="1313" t="s">
        <v>683</v>
      </c>
      <c r="V68" s="1313"/>
      <c r="W68" s="1313"/>
      <c r="X68" s="1313"/>
      <c r="Y68" s="254"/>
      <c r="AA68" s="938"/>
      <c r="AC68" s="938"/>
      <c r="AE68" s="971"/>
    </row>
    <row r="69" spans="1:31" ht="38.25">
      <c r="A69" s="254" t="s">
        <v>1</v>
      </c>
      <c r="B69" s="254"/>
      <c r="C69" s="254"/>
      <c r="D69" s="254"/>
      <c r="E69" s="4" t="s">
        <v>670</v>
      </c>
      <c r="F69" s="254"/>
      <c r="G69" s="13" t="s">
        <v>684</v>
      </c>
      <c r="H69" s="254"/>
      <c r="I69" s="13" t="s">
        <v>196</v>
      </c>
      <c r="J69" s="254" t="s">
        <v>503</v>
      </c>
      <c r="K69" s="254"/>
      <c r="L69" s="254" t="s">
        <v>955</v>
      </c>
      <c r="M69" s="254" t="s">
        <v>956</v>
      </c>
      <c r="N69" s="254" t="s">
        <v>957</v>
      </c>
      <c r="O69" s="254" t="s">
        <v>958</v>
      </c>
      <c r="P69" s="254"/>
      <c r="Q69" s="254" t="s">
        <v>955</v>
      </c>
      <c r="R69" s="254" t="s">
        <v>956</v>
      </c>
      <c r="S69" s="254" t="s">
        <v>957</v>
      </c>
      <c r="T69" s="254"/>
      <c r="U69" s="13" t="s">
        <v>512</v>
      </c>
      <c r="V69" s="13" t="s">
        <v>691</v>
      </c>
      <c r="W69" s="13" t="s">
        <v>692</v>
      </c>
      <c r="X69" s="254" t="s">
        <v>693</v>
      </c>
      <c r="Y69" s="4"/>
      <c r="AA69" s="938"/>
      <c r="AC69" s="938"/>
      <c r="AE69" s="971"/>
    </row>
    <row r="70" spans="1:31" ht="14.25">
      <c r="A70" s="255" t="s">
        <v>2</v>
      </c>
      <c r="B70" s="256"/>
      <c r="C70" s="449" t="s">
        <v>3</v>
      </c>
      <c r="D70" s="256"/>
      <c r="E70" s="255" t="s">
        <v>4</v>
      </c>
      <c r="F70" s="256"/>
      <c r="G70" s="255" t="s">
        <v>694</v>
      </c>
      <c r="H70" s="256"/>
      <c r="I70" s="255" t="s">
        <v>77</v>
      </c>
      <c r="J70" s="255" t="s">
        <v>20</v>
      </c>
      <c r="K70" s="4"/>
      <c r="L70" s="255" t="s">
        <v>20</v>
      </c>
      <c r="M70" s="255" t="s">
        <v>20</v>
      </c>
      <c r="N70" s="255" t="s">
        <v>20</v>
      </c>
      <c r="O70" s="255" t="s">
        <v>20</v>
      </c>
      <c r="P70" s="256"/>
      <c r="Q70" s="255" t="s">
        <v>20</v>
      </c>
      <c r="R70" s="255" t="s">
        <v>20</v>
      </c>
      <c r="S70" s="255" t="s">
        <v>20</v>
      </c>
      <c r="T70" s="256"/>
      <c r="U70" s="255" t="s">
        <v>20</v>
      </c>
      <c r="V70" s="255" t="s">
        <v>77</v>
      </c>
      <c r="W70" s="255" t="s">
        <v>20</v>
      </c>
      <c r="X70" s="255" t="s">
        <v>76</v>
      </c>
      <c r="Y70" s="4"/>
      <c r="AA70" s="938"/>
      <c r="AC70" s="938"/>
      <c r="AE70" s="971"/>
    </row>
    <row r="71" spans="1:31">
      <c r="A71" s="4"/>
      <c r="B71" s="256"/>
      <c r="C71" s="256"/>
      <c r="D71" s="256"/>
      <c r="E71" s="4"/>
      <c r="F71" s="256"/>
      <c r="G71" s="4" t="s">
        <v>8</v>
      </c>
      <c r="H71" s="4"/>
      <c r="I71" s="4" t="s">
        <v>9</v>
      </c>
      <c r="J71" s="4" t="s">
        <v>370</v>
      </c>
      <c r="K71" s="4"/>
      <c r="L71" s="132" t="s">
        <v>79</v>
      </c>
      <c r="M71" s="132" t="s">
        <v>115</v>
      </c>
      <c r="N71" s="4" t="s">
        <v>81</v>
      </c>
      <c r="O71" s="4" t="s">
        <v>959</v>
      </c>
      <c r="P71" s="4"/>
      <c r="Q71" s="4" t="s">
        <v>118</v>
      </c>
      <c r="R71" s="4" t="s">
        <v>84</v>
      </c>
      <c r="S71" s="4" t="s">
        <v>516</v>
      </c>
      <c r="T71" s="4"/>
      <c r="U71" s="4" t="s">
        <v>960</v>
      </c>
      <c r="V71" s="4" t="s">
        <v>518</v>
      </c>
      <c r="W71" s="4" t="s">
        <v>961</v>
      </c>
      <c r="X71" s="4" t="s">
        <v>962</v>
      </c>
    </row>
    <row r="72" spans="1:31">
      <c r="C72" s="6" t="s">
        <v>164</v>
      </c>
      <c r="G72" s="135"/>
      <c r="I72" s="504"/>
      <c r="J72" s="504"/>
      <c r="K72" s="504"/>
      <c r="L72" s="504"/>
      <c r="M72" s="504"/>
      <c r="N72" s="504"/>
      <c r="O72" s="504"/>
      <c r="Q72" s="504"/>
      <c r="R72" s="504"/>
      <c r="S72" s="504"/>
      <c r="W72" s="504"/>
      <c r="X72" s="513"/>
    </row>
    <row r="73" spans="1:31">
      <c r="A73" s="4">
        <v>29</v>
      </c>
      <c r="B73" s="256"/>
      <c r="C73" s="7" t="s">
        <v>703</v>
      </c>
      <c r="D73" s="256"/>
      <c r="E73" s="929" t="s">
        <v>704</v>
      </c>
      <c r="F73" s="256"/>
      <c r="G73" s="35">
        <v>168</v>
      </c>
      <c r="H73" s="771"/>
      <c r="I73" s="762">
        <v>0</v>
      </c>
      <c r="J73" s="762">
        <v>0</v>
      </c>
      <c r="K73" s="762"/>
      <c r="L73" s="762">
        <v>0</v>
      </c>
      <c r="M73" s="762">
        <v>0</v>
      </c>
      <c r="N73" s="762">
        <v>0</v>
      </c>
      <c r="O73" s="762">
        <v>0</v>
      </c>
      <c r="P73" s="771"/>
      <c r="Q73" s="762">
        <v>0</v>
      </c>
      <c r="R73" s="762">
        <v>0</v>
      </c>
      <c r="S73" s="762">
        <v>0</v>
      </c>
      <c r="T73" s="771"/>
      <c r="U73" s="771">
        <v>0</v>
      </c>
      <c r="V73" s="771">
        <v>0</v>
      </c>
      <c r="W73" s="762">
        <v>0</v>
      </c>
      <c r="X73" s="976"/>
      <c r="Y73" s="769"/>
      <c r="AA73" s="938"/>
      <c r="AE73" s="954"/>
    </row>
    <row r="74" spans="1:31">
      <c r="A74" s="4">
        <v>30</v>
      </c>
      <c r="B74" s="256"/>
      <c r="C74" s="512" t="s">
        <v>726</v>
      </c>
      <c r="D74" s="256"/>
      <c r="E74" s="513" t="s">
        <v>675</v>
      </c>
      <c r="F74" s="256"/>
      <c r="G74" s="35">
        <v>4503.3599999999997</v>
      </c>
      <c r="H74" s="771"/>
      <c r="I74" s="762">
        <v>0</v>
      </c>
      <c r="J74" s="762">
        <v>0</v>
      </c>
      <c r="K74" s="762"/>
      <c r="L74" s="762">
        <v>0</v>
      </c>
      <c r="M74" s="762">
        <v>0</v>
      </c>
      <c r="N74" s="762">
        <v>0</v>
      </c>
      <c r="O74" s="762">
        <v>0</v>
      </c>
      <c r="P74" s="771"/>
      <c r="Q74" s="762">
        <v>0</v>
      </c>
      <c r="R74" s="762">
        <v>0</v>
      </c>
      <c r="S74" s="762">
        <v>0</v>
      </c>
      <c r="T74" s="771"/>
      <c r="U74" s="771">
        <v>0</v>
      </c>
      <c r="V74" s="771">
        <v>0</v>
      </c>
      <c r="W74" s="762">
        <v>0</v>
      </c>
      <c r="X74" s="834"/>
      <c r="Y74" s="769"/>
    </row>
    <row r="75" spans="1:31">
      <c r="A75" s="4">
        <v>31</v>
      </c>
      <c r="B75" s="256"/>
      <c r="C75" s="512" t="s">
        <v>705</v>
      </c>
      <c r="D75" s="256"/>
      <c r="E75" s="513" t="s">
        <v>674</v>
      </c>
      <c r="F75" s="256"/>
      <c r="G75" s="35">
        <v>27429.148000000001</v>
      </c>
      <c r="H75" s="771"/>
      <c r="I75" s="35">
        <v>0.18751269562434469</v>
      </c>
      <c r="J75" s="762">
        <f>G75*I75/100</f>
        <v>51.433134801591031</v>
      </c>
      <c r="K75" s="762"/>
      <c r="L75" s="35">
        <v>2.9012610510117431</v>
      </c>
      <c r="M75" s="35">
        <v>58.27058444301003</v>
      </c>
      <c r="N75" s="762">
        <v>0</v>
      </c>
      <c r="O75" s="762">
        <f>J75-L75-M75-N75</f>
        <v>-9.7387106924307432</v>
      </c>
      <c r="P75" s="771"/>
      <c r="Q75" s="35">
        <v>2.4262608966294046</v>
      </c>
      <c r="R75" s="35">
        <v>63.859946715414175</v>
      </c>
      <c r="S75" s="762">
        <v>0</v>
      </c>
      <c r="T75" s="771"/>
      <c r="U75" s="771">
        <f>SUM(O75:S75)</f>
        <v>56.54749691961284</v>
      </c>
      <c r="V75" s="821">
        <f>U75/G75*100</f>
        <v>0.2061584155643946</v>
      </c>
      <c r="W75" s="762">
        <f>U75-J75</f>
        <v>5.1143621180218091</v>
      </c>
      <c r="X75" s="834">
        <f>IFERROR(V75/I75-1,"-")</f>
        <v>9.9437106794112662E-2</v>
      </c>
      <c r="Y75" s="769"/>
      <c r="AA75" s="938"/>
      <c r="AC75" s="938"/>
      <c r="AE75" s="971"/>
    </row>
    <row r="76" spans="1:31">
      <c r="A76" s="4"/>
      <c r="B76" s="256"/>
      <c r="C76" s="447"/>
      <c r="D76" s="256"/>
      <c r="E76" s="742"/>
      <c r="F76" s="256"/>
      <c r="G76" s="742"/>
      <c r="H76" s="771"/>
      <c r="I76" s="762"/>
      <c r="J76" s="762"/>
      <c r="K76" s="762"/>
      <c r="L76" s="762"/>
      <c r="M76" s="762"/>
      <c r="N76" s="762"/>
      <c r="O76" s="762"/>
      <c r="P76" s="771"/>
      <c r="Q76" s="762"/>
      <c r="R76" s="762"/>
      <c r="S76" s="762"/>
      <c r="T76" s="771"/>
      <c r="U76" s="771"/>
      <c r="V76" s="771"/>
      <c r="W76" s="762"/>
      <c r="X76" s="827"/>
      <c r="Y76" s="782"/>
      <c r="AE76" s="728"/>
    </row>
    <row r="77" spans="1:31">
      <c r="A77" s="4">
        <v>32</v>
      </c>
      <c r="C77" s="7" t="s">
        <v>710</v>
      </c>
      <c r="G77" s="416">
        <f>G75</f>
        <v>27429.148000000001</v>
      </c>
      <c r="H77" s="68"/>
      <c r="I77" s="805">
        <f>I75</f>
        <v>0.18751269562434469</v>
      </c>
      <c r="J77" s="805">
        <f>SUM(J75)</f>
        <v>51.433134801591031</v>
      </c>
      <c r="K77" s="762"/>
      <c r="L77" s="805">
        <f>SUM(L75)</f>
        <v>2.9012610510117431</v>
      </c>
      <c r="M77" s="805">
        <f>SUM(M75)</f>
        <v>58.27058444301003</v>
      </c>
      <c r="N77" s="805">
        <f>SUM(N75)</f>
        <v>0</v>
      </c>
      <c r="O77" s="805">
        <f>SUM(O75)</f>
        <v>-9.7387106924307432</v>
      </c>
      <c r="P77" s="68"/>
      <c r="Q77" s="416">
        <f>SUM(Q75)</f>
        <v>2.4262608966294046</v>
      </c>
      <c r="R77" s="416">
        <f>SUM(R75)</f>
        <v>63.859946715414175</v>
      </c>
      <c r="S77" s="416">
        <f>SUM(S75)</f>
        <v>0</v>
      </c>
      <c r="T77" s="68"/>
      <c r="U77" s="416">
        <f>SUM(U75)</f>
        <v>56.54749691961284</v>
      </c>
      <c r="V77" s="902">
        <f>V75</f>
        <v>0.2061584155643946</v>
      </c>
      <c r="W77" s="416">
        <f>W75</f>
        <v>5.1143621180218091</v>
      </c>
      <c r="X77" s="921">
        <f>X75</f>
        <v>9.9437106794112662E-2</v>
      </c>
      <c r="Y77" s="769"/>
      <c r="AE77" s="728"/>
    </row>
    <row r="78" spans="1:31">
      <c r="A78" s="4"/>
      <c r="G78" s="68"/>
      <c r="H78" s="68"/>
      <c r="I78" s="762"/>
      <c r="J78" s="762"/>
      <c r="K78" s="762"/>
      <c r="L78" s="762"/>
      <c r="M78" s="762"/>
      <c r="N78" s="762"/>
      <c r="O78" s="762"/>
      <c r="P78" s="68"/>
      <c r="Q78" s="762"/>
      <c r="R78" s="762"/>
      <c r="S78" s="762"/>
      <c r="T78" s="68"/>
      <c r="U78" s="68"/>
      <c r="V78" s="68"/>
      <c r="W78" s="762"/>
      <c r="X78" s="827"/>
      <c r="Y78" s="782"/>
    </row>
    <row r="79" spans="1:31">
      <c r="A79" s="4">
        <v>33</v>
      </c>
      <c r="C79" s="9" t="s">
        <v>711</v>
      </c>
      <c r="E79" s="513" t="s">
        <v>674</v>
      </c>
      <c r="G79" s="35">
        <v>27429.148000000001</v>
      </c>
      <c r="H79" s="68"/>
      <c r="I79" s="35">
        <v>0.61182696025617955</v>
      </c>
      <c r="J79" s="762">
        <f>G79*I79/100</f>
        <v>167.81892243256868</v>
      </c>
      <c r="K79" s="762"/>
      <c r="L79" s="762">
        <v>0</v>
      </c>
      <c r="M79" s="762">
        <v>0</v>
      </c>
      <c r="N79" s="762">
        <v>0</v>
      </c>
      <c r="O79" s="762">
        <f>J79-L79-M79-N79</f>
        <v>167.81892243256868</v>
      </c>
      <c r="P79" s="68"/>
      <c r="Q79" s="762">
        <v>0</v>
      </c>
      <c r="R79" s="762">
        <v>0</v>
      </c>
      <c r="S79" s="762">
        <v>0</v>
      </c>
      <c r="T79" s="68"/>
      <c r="U79" s="68">
        <f>SUM(O79:S79)</f>
        <v>167.81892243256868</v>
      </c>
      <c r="V79" s="911">
        <f>U79/G79*100</f>
        <v>0.61182696025617955</v>
      </c>
      <c r="W79" s="762">
        <f>U79-J79</f>
        <v>0</v>
      </c>
      <c r="X79" s="834">
        <f>V79/I79-1</f>
        <v>0</v>
      </c>
      <c r="Y79" s="769"/>
      <c r="AA79" s="938"/>
      <c r="AC79" s="938"/>
      <c r="AE79" s="971"/>
    </row>
    <row r="80" spans="1:31">
      <c r="A80" s="4"/>
      <c r="C80" s="9"/>
      <c r="E80" s="513"/>
      <c r="G80" s="35"/>
      <c r="H80" s="68"/>
      <c r="I80" s="35"/>
      <c r="J80" s="762"/>
      <c r="K80" s="762"/>
      <c r="L80" s="762"/>
      <c r="M80" s="762"/>
      <c r="N80" s="762"/>
      <c r="O80" s="762"/>
      <c r="P80" s="68"/>
      <c r="Q80" s="762"/>
      <c r="R80" s="762"/>
      <c r="S80" s="762"/>
      <c r="T80" s="68"/>
      <c r="U80" s="68"/>
      <c r="V80" s="911"/>
      <c r="W80" s="762"/>
      <c r="X80" s="834"/>
      <c r="Y80" s="769"/>
      <c r="AA80" s="938"/>
      <c r="AC80" s="938"/>
      <c r="AE80" s="971"/>
    </row>
    <row r="81" spans="1:31">
      <c r="A81" s="4"/>
      <c r="C81" s="7" t="s">
        <v>712</v>
      </c>
      <c r="E81" s="513"/>
      <c r="G81" s="35"/>
      <c r="H81" s="68"/>
      <c r="I81" s="35"/>
      <c r="J81" s="762"/>
      <c r="K81" s="762"/>
      <c r="L81" s="762"/>
      <c r="M81" s="762"/>
      <c r="N81" s="762"/>
      <c r="O81" s="762"/>
      <c r="P81" s="68"/>
      <c r="Q81" s="762"/>
      <c r="R81" s="762"/>
      <c r="S81" s="762"/>
      <c r="T81" s="68"/>
      <c r="U81" s="68"/>
      <c r="V81" s="911"/>
      <c r="W81" s="762"/>
      <c r="X81" s="834"/>
      <c r="Y81" s="769"/>
      <c r="AA81" s="938"/>
      <c r="AC81" s="938"/>
      <c r="AE81" s="971"/>
    </row>
    <row r="82" spans="1:31">
      <c r="A82" s="4">
        <v>34</v>
      </c>
      <c r="B82" s="734"/>
      <c r="C82" s="9" t="s">
        <v>713</v>
      </c>
      <c r="D82" s="734"/>
      <c r="E82" s="513" t="s">
        <v>674</v>
      </c>
      <c r="F82" s="734"/>
      <c r="G82" s="35">
        <v>14756.638999999999</v>
      </c>
      <c r="H82" s="790"/>
      <c r="I82" s="35">
        <v>3.8514524578068499</v>
      </c>
      <c r="J82" s="762">
        <f>G82*I82/100</f>
        <v>568.3449354551841</v>
      </c>
      <c r="K82" s="762"/>
      <c r="L82" s="762">
        <v>0</v>
      </c>
      <c r="M82" s="762">
        <v>0</v>
      </c>
      <c r="N82" s="762">
        <v>0</v>
      </c>
      <c r="O82" s="762">
        <f>J82-L82-M82-N82</f>
        <v>568.3449354551841</v>
      </c>
      <c r="P82" s="790"/>
      <c r="Q82" s="762">
        <v>0</v>
      </c>
      <c r="R82" s="762">
        <v>0</v>
      </c>
      <c r="S82" s="762">
        <v>0</v>
      </c>
      <c r="T82" s="790"/>
      <c r="U82" s="68">
        <f>SUM(O82:S82)</f>
        <v>568.3449354551841</v>
      </c>
      <c r="V82" s="911">
        <f>U82/G82*100</f>
        <v>3.8514524578068499</v>
      </c>
      <c r="W82" s="762">
        <f>U82-J82</f>
        <v>0</v>
      </c>
      <c r="X82" s="834"/>
      <c r="Y82" s="769"/>
      <c r="AA82" s="938"/>
      <c r="AC82" s="938"/>
      <c r="AE82" s="971"/>
    </row>
    <row r="83" spans="1:31">
      <c r="A83" s="4">
        <v>35</v>
      </c>
      <c r="B83" s="385"/>
      <c r="C83" s="9" t="s">
        <v>714</v>
      </c>
      <c r="D83" s="385"/>
      <c r="E83" s="513" t="s">
        <v>674</v>
      </c>
      <c r="F83" s="385"/>
      <c r="G83" s="35">
        <v>10804.124</v>
      </c>
      <c r="H83" s="789"/>
      <c r="I83" s="35">
        <v>0.37193566687267077</v>
      </c>
      <c r="J83" s="762">
        <f>G83*I83/100</f>
        <v>40.184390649150274</v>
      </c>
      <c r="K83" s="762"/>
      <c r="L83" s="762">
        <v>0</v>
      </c>
      <c r="M83" s="762">
        <v>0</v>
      </c>
      <c r="N83" s="762">
        <v>0</v>
      </c>
      <c r="O83" s="762">
        <f>J83-L83-M83-N83</f>
        <v>40.184390649150274</v>
      </c>
      <c r="P83" s="789"/>
      <c r="Q83" s="762">
        <v>0</v>
      </c>
      <c r="R83" s="762">
        <v>0</v>
      </c>
      <c r="S83" s="762">
        <v>0</v>
      </c>
      <c r="T83" s="789"/>
      <c r="U83" s="68">
        <f>SUM(O83:S83)</f>
        <v>40.184390649150274</v>
      </c>
      <c r="V83" s="911">
        <f>U83/G83*100</f>
        <v>0.37193566687267077</v>
      </c>
      <c r="W83" s="762">
        <f>U83-J83</f>
        <v>0</v>
      </c>
      <c r="X83" s="834"/>
      <c r="Y83" s="769"/>
      <c r="AA83" s="938"/>
      <c r="AC83" s="938"/>
      <c r="AE83" s="971"/>
    </row>
    <row r="84" spans="1:31">
      <c r="A84" s="4">
        <v>36</v>
      </c>
      <c r="B84" s="385"/>
      <c r="C84" s="7" t="s">
        <v>712</v>
      </c>
      <c r="D84" s="385"/>
      <c r="E84" s="513"/>
      <c r="F84" s="385"/>
      <c r="G84" s="420">
        <f>SUM(G82:G83)</f>
        <v>25560.762999999999</v>
      </c>
      <c r="H84" s="789"/>
      <c r="I84" s="420">
        <f>J84/G84*100</f>
        <v>2.3807165932579335</v>
      </c>
      <c r="J84" s="805">
        <f>SUM(J82:J83)</f>
        <v>608.52932610433436</v>
      </c>
      <c r="K84" s="762"/>
      <c r="L84" s="805">
        <f>SUM(L82:L83)</f>
        <v>0</v>
      </c>
      <c r="M84" s="805">
        <f>SUM(M82:M83)</f>
        <v>0</v>
      </c>
      <c r="N84" s="805">
        <f>SUM(N82:N83)</f>
        <v>0</v>
      </c>
      <c r="O84" s="805">
        <f>SUM(O82:O83)</f>
        <v>608.52932610433436</v>
      </c>
      <c r="P84" s="762"/>
      <c r="Q84" s="805">
        <f>SUM(Q82:Q83)</f>
        <v>0</v>
      </c>
      <c r="R84" s="805">
        <f>SUM(R82:R83)</f>
        <v>0</v>
      </c>
      <c r="S84" s="805">
        <f>SUM(S82:S83)</f>
        <v>0</v>
      </c>
      <c r="T84" s="762"/>
      <c r="U84" s="805">
        <f>SUM(U82:U83)</f>
        <v>608.52932610433436</v>
      </c>
      <c r="V84" s="912">
        <f>U84/G84*100</f>
        <v>2.3807165932579335</v>
      </c>
      <c r="W84" s="805">
        <f>SUM(W82:W83)</f>
        <v>0</v>
      </c>
      <c r="X84" s="921">
        <f>V84/I84-1</f>
        <v>0</v>
      </c>
      <c r="Y84" s="769"/>
      <c r="AA84" s="938"/>
      <c r="AC84" s="938"/>
      <c r="AE84" s="971"/>
    </row>
    <row r="85" spans="1:31">
      <c r="A85" s="4"/>
      <c r="B85" s="447"/>
      <c r="D85" s="447"/>
      <c r="E85" s="385"/>
      <c r="F85" s="447"/>
      <c r="G85" s="35"/>
      <c r="H85" s="787"/>
      <c r="I85" s="35"/>
      <c r="J85" s="762"/>
      <c r="K85" s="762"/>
      <c r="L85" s="762"/>
      <c r="M85" s="762"/>
      <c r="N85" s="762"/>
      <c r="O85" s="762"/>
      <c r="P85" s="787"/>
      <c r="Q85" s="762"/>
      <c r="R85" s="762"/>
      <c r="S85" s="762"/>
      <c r="T85" s="787"/>
      <c r="U85" s="68"/>
      <c r="V85" s="911"/>
      <c r="W85" s="762"/>
      <c r="X85" s="834"/>
      <c r="Y85" s="769"/>
      <c r="AA85" s="938"/>
      <c r="AC85" s="938"/>
      <c r="AE85" s="971"/>
    </row>
    <row r="86" spans="1:31">
      <c r="A86" s="4">
        <v>37</v>
      </c>
      <c r="B86" s="254"/>
      <c r="C86" s="7" t="s">
        <v>715</v>
      </c>
      <c r="D86" s="254"/>
      <c r="E86" s="513" t="s">
        <v>674</v>
      </c>
      <c r="F86" s="254"/>
      <c r="G86" s="35">
        <v>14756.638999999999</v>
      </c>
      <c r="H86" s="786"/>
      <c r="I86" s="35">
        <v>18.292192317594232</v>
      </c>
      <c r="J86" s="762">
        <f>G86*I86/100</f>
        <v>2699.312785493114</v>
      </c>
      <c r="K86" s="762"/>
      <c r="L86" s="762">
        <v>0</v>
      </c>
      <c r="M86" s="762">
        <v>0</v>
      </c>
      <c r="N86" s="762">
        <v>0</v>
      </c>
      <c r="O86" s="762">
        <f>J86-L86-M86-N86</f>
        <v>2699.312785493114</v>
      </c>
      <c r="P86" s="786"/>
      <c r="Q86" s="762">
        <v>0</v>
      </c>
      <c r="R86" s="762">
        <v>0</v>
      </c>
      <c r="S86" s="762">
        <v>0</v>
      </c>
      <c r="T86" s="786"/>
      <c r="U86" s="68">
        <f>SUM(O86:S86)</f>
        <v>2699.312785493114</v>
      </c>
      <c r="V86" s="911">
        <f>U86/G86*100</f>
        <v>18.292192317594232</v>
      </c>
      <c r="W86" s="762">
        <f>U86-J86</f>
        <v>0</v>
      </c>
      <c r="X86" s="834">
        <f>V86/I86-1</f>
        <v>0</v>
      </c>
      <c r="Y86" s="769"/>
      <c r="AA86" s="938"/>
      <c r="AC86" s="938"/>
      <c r="AE86" s="971"/>
    </row>
    <row r="87" spans="1:31">
      <c r="A87" s="4"/>
      <c r="B87" s="256"/>
      <c r="C87" s="7"/>
      <c r="D87" s="256"/>
      <c r="E87" s="4"/>
      <c r="F87" s="256"/>
      <c r="G87" s="742"/>
      <c r="H87" s="771"/>
      <c r="I87" s="762"/>
      <c r="J87" s="762"/>
      <c r="K87" s="762"/>
      <c r="L87" s="762"/>
      <c r="M87" s="762"/>
      <c r="N87" s="762"/>
      <c r="O87" s="762"/>
      <c r="P87" s="771"/>
      <c r="Q87" s="762"/>
      <c r="R87" s="762"/>
      <c r="S87" s="762"/>
      <c r="T87" s="771"/>
      <c r="U87" s="771"/>
      <c r="V87" s="771"/>
      <c r="W87" s="762"/>
      <c r="X87" s="827"/>
      <c r="Y87" s="782"/>
      <c r="AC87" s="938"/>
    </row>
    <row r="88" spans="1:31" ht="13.5" thickBot="1">
      <c r="A88" s="4">
        <v>38</v>
      </c>
      <c r="B88" s="256"/>
      <c r="C88" s="7" t="s">
        <v>727</v>
      </c>
      <c r="D88" s="256"/>
      <c r="E88" s="4"/>
      <c r="F88" s="256"/>
      <c r="G88" s="458">
        <f>G75</f>
        <v>27429.148000000001</v>
      </c>
      <c r="H88" s="771"/>
      <c r="I88" s="799">
        <f>J88/G88*100</f>
        <v>12.858927185166699</v>
      </c>
      <c r="J88" s="799">
        <f>J77+J79+J84+J86</f>
        <v>3527.0941688316079</v>
      </c>
      <c r="K88" s="762"/>
      <c r="L88" s="799">
        <f>L77+L79+L84+L86</f>
        <v>2.9012610510117431</v>
      </c>
      <c r="M88" s="799">
        <f>M77+M79+M84+M86</f>
        <v>58.27058444301003</v>
      </c>
      <c r="N88" s="799">
        <f>N77+N79+N84+N86</f>
        <v>0</v>
      </c>
      <c r="O88" s="799">
        <f>O77+O79+O84+O86</f>
        <v>3465.922323337586</v>
      </c>
      <c r="P88" s="771"/>
      <c r="Q88" s="781">
        <f>Q77+Q79+Q84+Q86</f>
        <v>2.4262608966294046</v>
      </c>
      <c r="R88" s="781">
        <f>R77+R79+R84+R86</f>
        <v>63.859946715414175</v>
      </c>
      <c r="S88" s="781">
        <f>S77+S79+S84+S86</f>
        <v>0</v>
      </c>
      <c r="T88" s="771"/>
      <c r="U88" s="781">
        <f>U77+U79+U84+U86</f>
        <v>3532.2085309496297</v>
      </c>
      <c r="V88" s="901">
        <f>U88/G88*100</f>
        <v>12.877572905106749</v>
      </c>
      <c r="W88" s="799">
        <f>W77+W79+W84+W86</f>
        <v>5.1143621180218091</v>
      </c>
      <c r="X88" s="917">
        <f>V88/I88-1</f>
        <v>1.4500214264809852E-3</v>
      </c>
      <c r="Y88" s="769"/>
      <c r="AA88" s="938"/>
      <c r="AC88" s="938"/>
      <c r="AE88" s="971"/>
    </row>
    <row r="89" spans="1:31" ht="13.5" thickTop="1">
      <c r="A89" s="4"/>
      <c r="B89" s="504"/>
      <c r="C89" s="504"/>
      <c r="D89" s="504"/>
      <c r="E89" s="504"/>
      <c r="F89" s="504"/>
      <c r="G89" s="504"/>
      <c r="H89" s="504"/>
      <c r="I89" s="504"/>
      <c r="J89" s="504"/>
      <c r="K89" s="504"/>
      <c r="L89" s="504"/>
      <c r="M89" s="504"/>
      <c r="N89" s="504"/>
      <c r="O89" s="504"/>
      <c r="P89" s="504"/>
      <c r="Q89" s="504"/>
      <c r="R89" s="504"/>
      <c r="S89" s="504"/>
      <c r="T89" s="504"/>
      <c r="U89" s="504"/>
      <c r="V89" s="504"/>
      <c r="W89" s="762"/>
      <c r="X89" s="666"/>
    </row>
    <row r="90" spans="1:31">
      <c r="A90" s="4"/>
      <c r="B90" s="256"/>
      <c r="C90" s="6" t="s">
        <v>165</v>
      </c>
      <c r="D90" s="256"/>
      <c r="E90" s="134"/>
      <c r="F90" s="256"/>
      <c r="G90" s="134"/>
      <c r="H90" s="256"/>
      <c r="I90" s="861"/>
      <c r="J90" s="504"/>
      <c r="K90" s="504"/>
      <c r="L90" s="504"/>
      <c r="M90" s="504"/>
      <c r="N90" s="504"/>
      <c r="O90" s="504"/>
      <c r="P90" s="256"/>
      <c r="Q90" s="504"/>
      <c r="R90" s="504"/>
      <c r="S90" s="504"/>
      <c r="T90" s="256"/>
      <c r="U90" s="256"/>
      <c r="V90" s="256"/>
      <c r="W90" s="762"/>
      <c r="X90" s="666"/>
    </row>
    <row r="91" spans="1:31">
      <c r="A91" s="4">
        <v>39</v>
      </c>
      <c r="B91" s="256"/>
      <c r="C91" s="7" t="s">
        <v>703</v>
      </c>
      <c r="D91" s="256"/>
      <c r="E91" s="36" t="s">
        <v>704</v>
      </c>
      <c r="F91" s="256"/>
      <c r="G91" s="828">
        <v>4992</v>
      </c>
      <c r="H91" s="256"/>
      <c r="I91" s="35">
        <v>0</v>
      </c>
      <c r="J91" s="762">
        <v>0</v>
      </c>
      <c r="K91" s="762"/>
      <c r="L91" s="762">
        <v>0</v>
      </c>
      <c r="M91" s="762">
        <v>0</v>
      </c>
      <c r="N91" s="762">
        <v>0</v>
      </c>
      <c r="O91" s="762">
        <v>0</v>
      </c>
      <c r="P91" s="771"/>
      <c r="Q91" s="762">
        <v>0</v>
      </c>
      <c r="R91" s="762">
        <v>0</v>
      </c>
      <c r="S91" s="762">
        <v>0</v>
      </c>
      <c r="T91" s="771"/>
      <c r="U91" s="771">
        <v>0</v>
      </c>
      <c r="V91" s="771">
        <v>0</v>
      </c>
      <c r="W91" s="762">
        <v>0</v>
      </c>
      <c r="X91" s="834"/>
      <c r="Y91" s="769"/>
      <c r="Z91" s="782"/>
      <c r="AA91" s="938"/>
      <c r="AE91" s="954"/>
    </row>
    <row r="92" spans="1:31">
      <c r="A92" s="4">
        <v>40</v>
      </c>
      <c r="B92" s="256"/>
      <c r="C92" s="512" t="s">
        <v>726</v>
      </c>
      <c r="D92" s="256"/>
      <c r="E92" s="36" t="s">
        <v>675</v>
      </c>
      <c r="F92" s="256"/>
      <c r="G92" s="828">
        <v>75653.868000000002</v>
      </c>
      <c r="H92" s="256"/>
      <c r="I92" s="35">
        <v>0</v>
      </c>
      <c r="J92" s="762">
        <v>0</v>
      </c>
      <c r="K92" s="762"/>
      <c r="L92" s="762">
        <v>0</v>
      </c>
      <c r="M92" s="762">
        <v>0</v>
      </c>
      <c r="N92" s="762">
        <v>0</v>
      </c>
      <c r="O92" s="762">
        <v>0</v>
      </c>
      <c r="P92" s="771"/>
      <c r="Q92" s="762">
        <v>0</v>
      </c>
      <c r="R92" s="762">
        <v>0</v>
      </c>
      <c r="S92" s="762">
        <v>0</v>
      </c>
      <c r="T92" s="771"/>
      <c r="U92" s="771">
        <v>0</v>
      </c>
      <c r="V92" s="771">
        <v>0</v>
      </c>
      <c r="W92" s="762">
        <v>0</v>
      </c>
      <c r="X92" s="834"/>
      <c r="Y92" s="769"/>
      <c r="Z92" s="782"/>
    </row>
    <row r="93" spans="1:31">
      <c r="A93" s="4"/>
      <c r="B93" s="256"/>
      <c r="C93" s="512" t="s">
        <v>705</v>
      </c>
      <c r="D93" s="256"/>
      <c r="E93" s="36"/>
      <c r="F93" s="256"/>
      <c r="G93" s="828"/>
      <c r="H93" s="256"/>
      <c r="I93" s="861"/>
      <c r="J93" s="762"/>
      <c r="K93" s="762"/>
      <c r="L93" s="762"/>
      <c r="M93" s="762"/>
      <c r="N93" s="762"/>
      <c r="O93" s="762"/>
      <c r="P93" s="771"/>
      <c r="Q93" s="762"/>
      <c r="R93" s="762"/>
      <c r="S93" s="762"/>
      <c r="T93" s="771"/>
      <c r="U93" s="771"/>
      <c r="V93" s="821"/>
      <c r="W93" s="762"/>
      <c r="X93" s="834"/>
      <c r="Y93" s="769"/>
      <c r="Z93" s="782"/>
    </row>
    <row r="94" spans="1:31">
      <c r="A94" s="4">
        <v>41</v>
      </c>
      <c r="B94" s="256"/>
      <c r="C94" s="9" t="s">
        <v>728</v>
      </c>
      <c r="D94" s="256"/>
      <c r="E94" s="36" t="s">
        <v>674</v>
      </c>
      <c r="F94" s="256"/>
      <c r="G94" s="828">
        <v>897522.08799999999</v>
      </c>
      <c r="H94" s="256"/>
      <c r="I94" s="861">
        <v>0.3395244769217225</v>
      </c>
      <c r="J94" s="762">
        <f>G94*I94/100</f>
        <v>3047.3071745389216</v>
      </c>
      <c r="K94" s="762"/>
      <c r="L94" s="828">
        <v>94.933531159521763</v>
      </c>
      <c r="M94" s="828">
        <v>2001.8173368158507</v>
      </c>
      <c r="N94" s="828">
        <v>120.32789710906034</v>
      </c>
      <c r="O94" s="762">
        <f>J94-L94-M94-N94</f>
        <v>830.22840945448866</v>
      </c>
      <c r="P94" s="771"/>
      <c r="Q94" s="828">
        <v>79.390827085681821</v>
      </c>
      <c r="R94" s="828">
        <v>2193.8332983098717</v>
      </c>
      <c r="S94" s="828">
        <v>107.47155341775326</v>
      </c>
      <c r="T94" s="771"/>
      <c r="U94" s="771">
        <f>SUM(O94:S94)</f>
        <v>3210.924088267795</v>
      </c>
      <c r="V94" s="821">
        <f>U94/G94*100</f>
        <v>0.35775432506879934</v>
      </c>
      <c r="W94" s="762">
        <f>U94-J94</f>
        <v>163.61691372887344</v>
      </c>
      <c r="X94" s="834"/>
      <c r="Y94" s="769"/>
      <c r="Z94" s="782"/>
      <c r="AA94" s="938"/>
      <c r="AC94" s="938"/>
      <c r="AE94" s="971"/>
    </row>
    <row r="95" spans="1:31">
      <c r="A95" s="4">
        <v>42</v>
      </c>
      <c r="B95" s="256"/>
      <c r="C95" s="9" t="s">
        <v>729</v>
      </c>
      <c r="D95" s="256"/>
      <c r="E95" s="36" t="s">
        <v>674</v>
      </c>
      <c r="F95" s="256"/>
      <c r="G95" s="828">
        <v>170759.079</v>
      </c>
      <c r="H95" s="256"/>
      <c r="I95" s="861">
        <v>0.33952575437933941</v>
      </c>
      <c r="J95" s="762">
        <f>G95*I95/100</f>
        <v>579.77105114596213</v>
      </c>
      <c r="K95" s="762"/>
      <c r="L95" s="828">
        <v>18.061686240102581</v>
      </c>
      <c r="M95" s="828">
        <v>380.85801935261952</v>
      </c>
      <c r="N95" s="828">
        <v>22.893120027982988</v>
      </c>
      <c r="O95" s="762">
        <f>J95-L95-M95-N95</f>
        <v>157.95822552525698</v>
      </c>
      <c r="P95" s="771"/>
      <c r="Q95" s="828">
        <v>15.10459151418598</v>
      </c>
      <c r="R95" s="828">
        <v>417.39023307349055</v>
      </c>
      <c r="S95" s="828">
        <v>20.44712183207557</v>
      </c>
      <c r="T95" s="771"/>
      <c r="U95" s="771">
        <f>SUM(O95:S95)</f>
        <v>610.90017194500911</v>
      </c>
      <c r="V95" s="821">
        <f>U95/G95*100</f>
        <v>0.35775560252641625</v>
      </c>
      <c r="W95" s="762">
        <f>U95-J95</f>
        <v>31.129120799046973</v>
      </c>
      <c r="X95" s="834"/>
      <c r="Y95" s="769"/>
      <c r="Z95" s="782"/>
      <c r="AA95" s="938"/>
      <c r="AC95" s="938"/>
      <c r="AE95" s="971"/>
    </row>
    <row r="96" spans="1:31">
      <c r="A96" s="4">
        <v>43</v>
      </c>
      <c r="C96" s="512" t="s">
        <v>705</v>
      </c>
      <c r="E96" s="36"/>
      <c r="G96" s="830">
        <f>SUM(G94:G95)</f>
        <v>1068281.1669999999</v>
      </c>
      <c r="I96" s="914">
        <f>J96/G96*100</f>
        <v>0.33952468111654766</v>
      </c>
      <c r="J96" s="805">
        <f>SUM(J94:J95)</f>
        <v>3627.0782256848838</v>
      </c>
      <c r="K96" s="762"/>
      <c r="L96" s="830">
        <f>SUM(L94:L95)</f>
        <v>112.99521739962435</v>
      </c>
      <c r="M96" s="830">
        <f>SUM(M94:M95)</f>
        <v>2382.67535616847</v>
      </c>
      <c r="N96" s="830">
        <f>SUM(N94:N95)</f>
        <v>143.22101713704333</v>
      </c>
      <c r="O96" s="805">
        <f>SUM(O94:O95)</f>
        <v>988.18663497974558</v>
      </c>
      <c r="P96" s="68"/>
      <c r="Q96" s="830">
        <f>SUM(Q94:Q95)</f>
        <v>94.495418599867804</v>
      </c>
      <c r="R96" s="830">
        <f>SUM(R94:R95)</f>
        <v>2611.2235313833621</v>
      </c>
      <c r="S96" s="830">
        <f>SUM(S94:S95)</f>
        <v>127.91867524982882</v>
      </c>
      <c r="T96" s="68"/>
      <c r="U96" s="416">
        <f>SUM(U94:U95)</f>
        <v>3821.8242602128039</v>
      </c>
      <c r="V96" s="912">
        <f>U96/G96*100</f>
        <v>0.3577545292636245</v>
      </c>
      <c r="W96" s="805">
        <f>SUM(W91:W95)</f>
        <v>194.74603452792041</v>
      </c>
      <c r="X96" s="921">
        <f>V96/I96-1</f>
        <v>5.3692262038585348E-2</v>
      </c>
      <c r="Y96" s="769"/>
      <c r="Z96" s="782"/>
      <c r="AA96" s="938"/>
      <c r="AC96" s="938"/>
      <c r="AE96" s="971"/>
    </row>
    <row r="97" spans="1:31">
      <c r="A97" s="4"/>
      <c r="B97" s="256"/>
      <c r="C97" s="7"/>
      <c r="D97" s="256"/>
      <c r="E97" s="742"/>
      <c r="F97" s="256"/>
      <c r="G97" s="35"/>
      <c r="H97" s="256"/>
      <c r="I97" s="504"/>
      <c r="J97" s="762"/>
      <c r="K97" s="762"/>
      <c r="L97" s="828"/>
      <c r="M97" s="828"/>
      <c r="N97" s="828"/>
      <c r="O97" s="805"/>
      <c r="P97" s="771"/>
      <c r="Q97" s="828"/>
      <c r="R97" s="828"/>
      <c r="S97" s="828"/>
      <c r="T97" s="771"/>
      <c r="U97" s="771"/>
      <c r="V97" s="821"/>
      <c r="W97" s="762"/>
      <c r="X97" s="834"/>
      <c r="Y97" s="769"/>
      <c r="Z97" s="782"/>
      <c r="AA97" s="938"/>
      <c r="AC97" s="938"/>
    </row>
    <row r="98" spans="1:31">
      <c r="A98" s="4">
        <v>44</v>
      </c>
      <c r="B98" s="256"/>
      <c r="C98" s="7" t="s">
        <v>710</v>
      </c>
      <c r="D98" s="256"/>
      <c r="E98" s="742"/>
      <c r="F98" s="256"/>
      <c r="G98" s="420">
        <f>G96</f>
        <v>1068281.1669999999</v>
      </c>
      <c r="H98" s="35"/>
      <c r="I98" s="914">
        <f>I96</f>
        <v>0.33952468111654766</v>
      </c>
      <c r="J98" s="420">
        <f>J96</f>
        <v>3627.0782256848838</v>
      </c>
      <c r="K98" s="35"/>
      <c r="L98" s="830">
        <f>L96</f>
        <v>112.99521739962435</v>
      </c>
      <c r="M98" s="830">
        <f>M96</f>
        <v>2382.67535616847</v>
      </c>
      <c r="N98" s="830">
        <f>N96</f>
        <v>143.22101713704333</v>
      </c>
      <c r="O98" s="805">
        <f>O96</f>
        <v>988.18663497974558</v>
      </c>
      <c r="P98" s="35"/>
      <c r="Q98" s="830">
        <f>Q96</f>
        <v>94.495418599867804</v>
      </c>
      <c r="R98" s="830">
        <f>R96</f>
        <v>2611.2235313833621</v>
      </c>
      <c r="S98" s="830">
        <f>S96</f>
        <v>127.91867524982882</v>
      </c>
      <c r="T98" s="35"/>
      <c r="U98" s="420">
        <f>U96</f>
        <v>3821.8242602128039</v>
      </c>
      <c r="V98" s="912">
        <f>V96</f>
        <v>0.3577545292636245</v>
      </c>
      <c r="W98" s="420">
        <f>W96</f>
        <v>194.74603452792041</v>
      </c>
      <c r="X98" s="921">
        <f>X96</f>
        <v>5.3692262038585348E-2</v>
      </c>
      <c r="Y98" s="769"/>
      <c r="Z98" s="782"/>
      <c r="AA98" s="938"/>
      <c r="AC98" s="938"/>
    </row>
    <row r="99" spans="1:31">
      <c r="A99" s="4"/>
      <c r="B99" s="256"/>
      <c r="C99" s="9"/>
      <c r="D99" s="256"/>
      <c r="E99" s="742"/>
      <c r="F99" s="256"/>
      <c r="G99" s="35"/>
      <c r="H99" s="256"/>
      <c r="I99" s="504"/>
      <c r="J99" s="762"/>
      <c r="K99" s="762"/>
      <c r="L99" s="762"/>
      <c r="M99" s="762"/>
      <c r="N99" s="762"/>
      <c r="O99" s="762"/>
      <c r="P99" s="771"/>
      <c r="Q99" s="762"/>
      <c r="R99" s="762"/>
      <c r="S99" s="762"/>
      <c r="T99" s="771"/>
      <c r="U99" s="771"/>
      <c r="V99" s="771"/>
      <c r="W99" s="762"/>
      <c r="X99" s="827"/>
      <c r="Y99" s="782"/>
      <c r="Z99" s="782"/>
      <c r="AA99" s="938"/>
      <c r="AC99" s="938"/>
    </row>
    <row r="100" spans="1:31">
      <c r="A100" s="4">
        <v>45</v>
      </c>
      <c r="B100" s="256"/>
      <c r="C100" s="9" t="s">
        <v>730</v>
      </c>
      <c r="D100" s="256"/>
      <c r="E100" s="513" t="s">
        <v>674</v>
      </c>
      <c r="F100" s="256"/>
      <c r="G100" s="828">
        <v>1068281.1669999999</v>
      </c>
      <c r="H100" s="256"/>
      <c r="I100" s="861">
        <v>0.10947276673447881</v>
      </c>
      <c r="J100" s="762">
        <f>G100*I100/100</f>
        <v>1169.4769500182779</v>
      </c>
      <c r="K100" s="762"/>
      <c r="L100" s="762">
        <v>0</v>
      </c>
      <c r="M100" s="762">
        <v>0</v>
      </c>
      <c r="N100" s="762">
        <v>0</v>
      </c>
      <c r="O100" s="762">
        <f>J100-L100-M100-N100</f>
        <v>1169.4769500182779</v>
      </c>
      <c r="P100" s="771"/>
      <c r="Q100" s="762">
        <v>0</v>
      </c>
      <c r="R100" s="762">
        <v>0</v>
      </c>
      <c r="S100" s="762">
        <v>0</v>
      </c>
      <c r="T100" s="771"/>
      <c r="U100" s="771">
        <f>SUM(O100:S100)</f>
        <v>1169.4769500182779</v>
      </c>
      <c r="V100" s="821">
        <f>U100/G100*100</f>
        <v>0.10947276673447881</v>
      </c>
      <c r="W100" s="762">
        <f>U100-J100</f>
        <v>0</v>
      </c>
      <c r="X100" s="785">
        <f>V100/I100-1</f>
        <v>0</v>
      </c>
      <c r="Y100" s="785"/>
      <c r="Z100" s="782"/>
      <c r="AA100" s="938"/>
      <c r="AC100" s="938"/>
      <c r="AE100" s="971"/>
    </row>
    <row r="101" spans="1:31">
      <c r="A101" s="4"/>
      <c r="B101" s="256"/>
      <c r="C101" s="9"/>
      <c r="D101" s="256"/>
      <c r="E101" s="513"/>
      <c r="F101" s="256"/>
      <c r="G101" s="828"/>
      <c r="H101" s="256"/>
      <c r="I101" s="861"/>
      <c r="J101" s="762"/>
      <c r="K101" s="762"/>
      <c r="L101" s="762"/>
      <c r="M101" s="762"/>
      <c r="N101" s="762"/>
      <c r="O101" s="762"/>
      <c r="P101" s="771"/>
      <c r="Q101" s="762"/>
      <c r="R101" s="762"/>
      <c r="S101" s="762"/>
      <c r="T101" s="771"/>
      <c r="U101" s="771"/>
      <c r="V101" s="821"/>
      <c r="W101" s="762"/>
      <c r="X101" s="785"/>
      <c r="Y101" s="785"/>
      <c r="Z101" s="782"/>
      <c r="AA101" s="938"/>
      <c r="AC101" s="938"/>
      <c r="AE101" s="971"/>
    </row>
    <row r="102" spans="1:31">
      <c r="A102" s="4"/>
      <c r="B102" s="256"/>
      <c r="C102" s="7" t="s">
        <v>712</v>
      </c>
      <c r="D102" s="256"/>
      <c r="E102" s="513"/>
      <c r="F102" s="256"/>
      <c r="G102" s="828"/>
      <c r="H102" s="256"/>
      <c r="I102" s="861"/>
      <c r="J102" s="762"/>
      <c r="K102" s="762"/>
      <c r="L102" s="762"/>
      <c r="M102" s="762"/>
      <c r="N102" s="762"/>
      <c r="O102" s="762"/>
      <c r="P102" s="771"/>
      <c r="Q102" s="762"/>
      <c r="R102" s="762"/>
      <c r="S102" s="762"/>
      <c r="T102" s="771"/>
      <c r="U102" s="771"/>
      <c r="V102" s="821"/>
      <c r="W102" s="762"/>
      <c r="X102" s="785"/>
      <c r="Y102" s="785"/>
      <c r="Z102" s="782"/>
      <c r="AA102" s="938"/>
      <c r="AC102" s="938"/>
      <c r="AE102" s="971"/>
    </row>
    <row r="103" spans="1:31">
      <c r="A103" s="4">
        <v>46</v>
      </c>
      <c r="B103" s="256"/>
      <c r="C103" s="9" t="s">
        <v>731</v>
      </c>
      <c r="D103" s="256"/>
      <c r="E103" s="513" t="s">
        <v>674</v>
      </c>
      <c r="F103" s="256"/>
      <c r="G103" s="828">
        <v>113376.269</v>
      </c>
      <c r="H103" s="256"/>
      <c r="I103" s="861">
        <v>3.8514964873726862</v>
      </c>
      <c r="J103" s="762">
        <f>G103*I103/100</f>
        <v>4366.6830180492079</v>
      </c>
      <c r="K103" s="762"/>
      <c r="L103" s="762">
        <v>0</v>
      </c>
      <c r="M103" s="762">
        <v>0</v>
      </c>
      <c r="N103" s="762">
        <v>0</v>
      </c>
      <c r="O103" s="762">
        <f>J103-L103-M103-N103</f>
        <v>4366.6830180492079</v>
      </c>
      <c r="P103" s="771"/>
      <c r="Q103" s="762">
        <v>0</v>
      </c>
      <c r="R103" s="762">
        <v>0</v>
      </c>
      <c r="S103" s="762">
        <v>0</v>
      </c>
      <c r="T103" s="771"/>
      <c r="U103" s="771">
        <f>SUM(O103:S103)</f>
        <v>4366.6830180492079</v>
      </c>
      <c r="V103" s="821">
        <f>U103/G103*100</f>
        <v>3.8514964873726862</v>
      </c>
      <c r="W103" s="762">
        <f>U103-J103</f>
        <v>0</v>
      </c>
      <c r="X103" s="834"/>
      <c r="Y103" s="769"/>
      <c r="Z103" s="782"/>
      <c r="AA103" s="938"/>
      <c r="AC103" s="938"/>
      <c r="AE103" s="971"/>
    </row>
    <row r="104" spans="1:31">
      <c r="A104" s="4">
        <v>47</v>
      </c>
      <c r="B104" s="256"/>
      <c r="C104" s="9" t="s">
        <v>732</v>
      </c>
      <c r="D104" s="256"/>
      <c r="E104" s="513" t="s">
        <v>674</v>
      </c>
      <c r="F104" s="256"/>
      <c r="G104" s="828">
        <v>927920.70200000005</v>
      </c>
      <c r="H104" s="256"/>
      <c r="I104" s="861">
        <v>0.37192392053251588</v>
      </c>
      <c r="J104" s="762">
        <f>G104*I104/100</f>
        <v>3451.1590543112438</v>
      </c>
      <c r="K104" s="762"/>
      <c r="L104" s="762">
        <v>0</v>
      </c>
      <c r="M104" s="762">
        <v>0</v>
      </c>
      <c r="N104" s="762">
        <v>0</v>
      </c>
      <c r="O104" s="762">
        <f>J104-L104-M104-N104</f>
        <v>3451.1590543112438</v>
      </c>
      <c r="P104" s="771"/>
      <c r="Q104" s="762">
        <v>0</v>
      </c>
      <c r="R104" s="762">
        <v>0</v>
      </c>
      <c r="S104" s="762">
        <v>0</v>
      </c>
      <c r="T104" s="771"/>
      <c r="U104" s="771">
        <f>SUM(O104:S104)</f>
        <v>3451.1590543112438</v>
      </c>
      <c r="V104" s="821">
        <f>U104/G104*100</f>
        <v>0.37192392053251588</v>
      </c>
      <c r="W104" s="762">
        <f>U104-J104</f>
        <v>0</v>
      </c>
      <c r="X104" s="834"/>
      <c r="Y104" s="769"/>
      <c r="Z104" s="782"/>
      <c r="AA104" s="938"/>
      <c r="AC104" s="938"/>
      <c r="AE104" s="971"/>
    </row>
    <row r="105" spans="1:31">
      <c r="A105" s="4">
        <v>48</v>
      </c>
      <c r="C105" s="7" t="s">
        <v>712</v>
      </c>
      <c r="E105" s="385"/>
      <c r="G105" s="830">
        <f>SUM(G103:G104)</f>
        <v>1041296.971</v>
      </c>
      <c r="I105" s="891">
        <f>J105/G105*100</f>
        <v>0.75077929640500729</v>
      </c>
      <c r="J105" s="805">
        <f>SUM(J103:J104)</f>
        <v>7817.8420723604522</v>
      </c>
      <c r="K105" s="762"/>
      <c r="L105" s="805">
        <f>SUM(L103:L104)</f>
        <v>0</v>
      </c>
      <c r="M105" s="805">
        <f>SUM(M103:M104)</f>
        <v>0</v>
      </c>
      <c r="N105" s="805">
        <f>SUM(N103:N104)</f>
        <v>0</v>
      </c>
      <c r="O105" s="805">
        <f>SUM(O103:O104)</f>
        <v>7817.8420723604522</v>
      </c>
      <c r="P105" s="762"/>
      <c r="Q105" s="805">
        <f>SUM(Q103:Q104)</f>
        <v>0</v>
      </c>
      <c r="R105" s="805">
        <f>SUM(R103:R104)</f>
        <v>0</v>
      </c>
      <c r="S105" s="805">
        <f>SUM(S103:S104)</f>
        <v>0</v>
      </c>
      <c r="T105" s="762"/>
      <c r="U105" s="805">
        <f>SUM(U103:U104)</f>
        <v>7817.8420723604522</v>
      </c>
      <c r="V105" s="902">
        <f>U105/G105*100</f>
        <v>0.75077929640500729</v>
      </c>
      <c r="W105" s="805">
        <f>SUM(W103:W104)</f>
        <v>0</v>
      </c>
      <c r="X105" s="921">
        <f>V105/I105-1</f>
        <v>0</v>
      </c>
      <c r="Y105" s="769"/>
      <c r="Z105" s="782"/>
      <c r="AA105" s="938"/>
      <c r="AC105" s="938"/>
      <c r="AE105" s="971"/>
    </row>
    <row r="106" spans="1:31">
      <c r="A106" s="4"/>
      <c r="E106" s="385"/>
      <c r="G106" s="828"/>
      <c r="I106" s="861"/>
      <c r="J106" s="762"/>
      <c r="K106" s="762"/>
      <c r="L106" s="762"/>
      <c r="M106" s="762"/>
      <c r="N106" s="762"/>
      <c r="O106" s="762"/>
      <c r="P106" s="68"/>
      <c r="Q106" s="762"/>
      <c r="R106" s="762"/>
      <c r="S106" s="762"/>
      <c r="T106" s="68"/>
      <c r="U106" s="771"/>
      <c r="V106" s="821"/>
      <c r="W106" s="762"/>
      <c r="X106" s="834"/>
      <c r="Y106" s="769"/>
      <c r="Z106" s="782"/>
      <c r="AA106" s="938"/>
      <c r="AC106" s="938"/>
      <c r="AE106" s="971"/>
    </row>
    <row r="107" spans="1:31">
      <c r="A107" s="4">
        <v>49</v>
      </c>
      <c r="B107" s="256"/>
      <c r="C107" s="7" t="s">
        <v>715</v>
      </c>
      <c r="D107" s="256"/>
      <c r="E107" s="513" t="s">
        <v>674</v>
      </c>
      <c r="F107" s="256"/>
      <c r="G107" s="828">
        <v>102196.917</v>
      </c>
      <c r="H107" s="256"/>
      <c r="I107" s="861">
        <v>18.292507159365996</v>
      </c>
      <c r="J107" s="762">
        <f>G107*I107/100</f>
        <v>18694.378358876325</v>
      </c>
      <c r="K107" s="762"/>
      <c r="L107" s="762">
        <v>0</v>
      </c>
      <c r="M107" s="762">
        <v>0</v>
      </c>
      <c r="N107" s="762">
        <v>0</v>
      </c>
      <c r="O107" s="762">
        <f>J107-L107-M107-N107</f>
        <v>18694.378358876325</v>
      </c>
      <c r="P107" s="771"/>
      <c r="Q107" s="762">
        <v>0</v>
      </c>
      <c r="R107" s="762">
        <v>0</v>
      </c>
      <c r="S107" s="762">
        <v>0</v>
      </c>
      <c r="T107" s="771"/>
      <c r="U107" s="771">
        <f>SUM(O107:S107)</f>
        <v>18694.378358876325</v>
      </c>
      <c r="V107" s="821">
        <f>U107/G107*100</f>
        <v>18.292507159365996</v>
      </c>
      <c r="W107" s="762">
        <f>U107-J107</f>
        <v>0</v>
      </c>
      <c r="X107" s="834">
        <f>V107/I107-1</f>
        <v>0</v>
      </c>
      <c r="Y107" s="769"/>
      <c r="Z107" s="782"/>
      <c r="AA107" s="938"/>
      <c r="AC107" s="938"/>
      <c r="AE107" s="971"/>
    </row>
    <row r="108" spans="1:31">
      <c r="A108" s="4"/>
      <c r="B108" s="256"/>
      <c r="C108" s="7"/>
      <c r="D108" s="256"/>
      <c r="E108" s="513"/>
      <c r="F108" s="256"/>
      <c r="G108" s="828"/>
      <c r="H108" s="256"/>
      <c r="I108" s="861"/>
      <c r="J108" s="762"/>
      <c r="K108" s="762"/>
      <c r="L108" s="762"/>
      <c r="M108" s="762"/>
      <c r="N108" s="762"/>
      <c r="O108" s="762"/>
      <c r="P108" s="771"/>
      <c r="Q108" s="762"/>
      <c r="R108" s="762"/>
      <c r="S108" s="762"/>
      <c r="T108" s="771"/>
      <c r="U108" s="771"/>
      <c r="V108" s="821"/>
      <c r="W108" s="762"/>
      <c r="X108" s="834"/>
      <c r="Y108" s="769"/>
      <c r="Z108" s="782"/>
      <c r="AA108" s="938"/>
      <c r="AC108" s="938"/>
      <c r="AE108" s="971"/>
    </row>
    <row r="109" spans="1:31" ht="13.5" thickBot="1">
      <c r="A109" s="4">
        <v>50</v>
      </c>
      <c r="B109" s="256"/>
      <c r="C109" s="7" t="s">
        <v>733</v>
      </c>
      <c r="D109" s="256"/>
      <c r="E109" s="36"/>
      <c r="F109" s="256"/>
      <c r="G109" s="926">
        <f>G96</f>
        <v>1068281.1669999999</v>
      </c>
      <c r="I109" s="908">
        <f>J109/G109*100</f>
        <v>2.9307617295980979</v>
      </c>
      <c r="J109" s="799">
        <f>J98+J100+J105+J107</f>
        <v>31308.77560693994</v>
      </c>
      <c r="K109" s="753"/>
      <c r="L109" s="839">
        <f>L98+L100+L105+L107</f>
        <v>112.99521739962435</v>
      </c>
      <c r="M109" s="839">
        <f>M98+M100+M105+M107</f>
        <v>2382.67535616847</v>
      </c>
      <c r="N109" s="839">
        <f>N98+N100+N105+N107</f>
        <v>143.22101713704333</v>
      </c>
      <c r="O109" s="799">
        <f>O98+O100+O105+O107</f>
        <v>28669.884016234799</v>
      </c>
      <c r="P109" s="753"/>
      <c r="Q109" s="839">
        <f>Q98+Q100+Q105+Q107</f>
        <v>94.495418599867804</v>
      </c>
      <c r="R109" s="839">
        <f>R98+R100+R105+R107</f>
        <v>2611.2235313833621</v>
      </c>
      <c r="S109" s="839">
        <f>S98+S100+S105+S107</f>
        <v>127.91867524982882</v>
      </c>
      <c r="T109" s="753"/>
      <c r="U109" s="781">
        <f>U98+U100+U105+U107</f>
        <v>31503.521641467858</v>
      </c>
      <c r="V109" s="901">
        <f>U109/G109*100</f>
        <v>2.9489915777451743</v>
      </c>
      <c r="W109" s="799">
        <f>W98+W100+W105+W107</f>
        <v>194.74603452792041</v>
      </c>
      <c r="X109" s="917">
        <f>V109/I109-1</f>
        <v>6.2201740806737682E-3</v>
      </c>
      <c r="Y109" s="769"/>
      <c r="Z109" s="782"/>
      <c r="AA109" s="938"/>
      <c r="AC109" s="938"/>
      <c r="AE109" s="971"/>
    </row>
    <row r="110" spans="1:31" ht="13.5" thickTop="1">
      <c r="A110" s="4"/>
      <c r="B110" s="256"/>
      <c r="C110" s="7"/>
      <c r="D110" s="256"/>
      <c r="E110" s="36"/>
      <c r="F110" s="256"/>
      <c r="G110" s="35"/>
      <c r="H110" s="256"/>
      <c r="I110" s="909"/>
      <c r="J110" s="771"/>
      <c r="K110" s="771"/>
      <c r="L110" s="771"/>
      <c r="M110" s="771"/>
      <c r="N110" s="771"/>
      <c r="O110" s="771"/>
      <c r="P110" s="771"/>
      <c r="Q110" s="771"/>
      <c r="R110" s="771"/>
      <c r="S110" s="771"/>
      <c r="T110" s="771"/>
      <c r="U110" s="771"/>
      <c r="V110" s="821"/>
      <c r="W110" s="771"/>
      <c r="X110" s="978"/>
      <c r="Y110" s="779"/>
      <c r="AA110" s="938"/>
      <c r="AC110" s="938"/>
      <c r="AE110" s="971"/>
    </row>
    <row r="111" spans="1:31">
      <c r="A111" s="4"/>
      <c r="B111" s="256"/>
      <c r="C111" s="7"/>
      <c r="D111" s="256"/>
      <c r="E111" s="36"/>
      <c r="F111" s="256"/>
      <c r="G111" s="35"/>
      <c r="H111" s="256"/>
      <c r="I111" s="909"/>
      <c r="J111" s="771"/>
      <c r="K111" s="771"/>
      <c r="L111" s="771"/>
      <c r="M111" s="771"/>
      <c r="N111" s="771"/>
      <c r="O111" s="771"/>
      <c r="P111" s="771"/>
      <c r="Q111" s="771"/>
      <c r="R111" s="771"/>
      <c r="S111" s="771"/>
      <c r="T111" s="771"/>
      <c r="U111" s="771"/>
      <c r="V111" s="821"/>
      <c r="W111" s="771"/>
      <c r="X111" s="978"/>
      <c r="Y111" s="779"/>
      <c r="AA111" s="938"/>
      <c r="AC111" s="938"/>
      <c r="AE111" s="971"/>
    </row>
    <row r="112" spans="1:31">
      <c r="J112" s="504"/>
      <c r="K112" s="504"/>
      <c r="L112" s="2"/>
      <c r="M112" s="2"/>
      <c r="N112" s="504"/>
      <c r="O112" s="504"/>
      <c r="Q112" s="504"/>
      <c r="R112" s="504"/>
      <c r="S112" s="504"/>
      <c r="W112" s="504"/>
      <c r="X112" s="513"/>
      <c r="AA112" s="938"/>
      <c r="AC112" s="938"/>
      <c r="AE112" s="971"/>
    </row>
    <row r="113" spans="1:31">
      <c r="J113" s="504"/>
      <c r="K113" s="504"/>
      <c r="L113" s="2"/>
      <c r="M113" s="2"/>
      <c r="N113" s="504"/>
      <c r="O113" s="504"/>
      <c r="Q113" s="504"/>
      <c r="R113" s="504"/>
      <c r="S113" s="504"/>
      <c r="W113" s="753"/>
      <c r="X113" s="513"/>
      <c r="AA113" s="938"/>
      <c r="AC113" s="938"/>
      <c r="AE113" s="971"/>
    </row>
    <row r="114" spans="1:31">
      <c r="J114" s="504"/>
      <c r="K114" s="504"/>
      <c r="L114" s="2"/>
      <c r="M114" s="2"/>
      <c r="N114" s="504"/>
      <c r="O114" s="504"/>
      <c r="Q114" s="504"/>
      <c r="R114" s="504"/>
      <c r="S114" s="504"/>
      <c r="V114" s="752"/>
      <c r="W114" s="504"/>
      <c r="X114" s="513"/>
      <c r="AA114" s="938"/>
      <c r="AC114" s="938"/>
      <c r="AE114" s="971"/>
    </row>
    <row r="115" spans="1:31">
      <c r="A115" s="1324" t="s">
        <v>724</v>
      </c>
      <c r="B115" s="1324"/>
      <c r="C115" s="1324"/>
      <c r="D115" s="1324"/>
      <c r="E115" s="1324"/>
      <c r="F115" s="1324"/>
      <c r="G115" s="1324"/>
      <c r="H115" s="1324"/>
      <c r="I115" s="1324"/>
      <c r="J115" s="1324"/>
      <c r="K115" s="1324"/>
      <c r="L115" s="1324"/>
      <c r="M115" s="1324"/>
      <c r="N115" s="1324"/>
      <c r="O115" s="1324"/>
      <c r="P115" s="1324"/>
      <c r="Q115" s="1324"/>
      <c r="R115" s="1324"/>
      <c r="S115" s="1324"/>
      <c r="T115" s="1324"/>
      <c r="U115" s="1324"/>
      <c r="V115" s="1324"/>
      <c r="W115" s="1324"/>
      <c r="X115" s="1324"/>
      <c r="Y115" s="644"/>
      <c r="Z115" s="644"/>
      <c r="AA115" s="938"/>
      <c r="AC115" s="938"/>
      <c r="AE115" s="971"/>
    </row>
    <row r="116" spans="1:31">
      <c r="A116" s="1324" t="s">
        <v>963</v>
      </c>
      <c r="B116" s="1324"/>
      <c r="C116" s="1324"/>
      <c r="D116" s="1324"/>
      <c r="E116" s="1324"/>
      <c r="F116" s="1324"/>
      <c r="G116" s="1324"/>
      <c r="H116" s="1324"/>
      <c r="I116" s="1324"/>
      <c r="J116" s="1324"/>
      <c r="K116" s="1324"/>
      <c r="L116" s="1324"/>
      <c r="M116" s="1324"/>
      <c r="N116" s="1324"/>
      <c r="O116" s="1324"/>
      <c r="P116" s="1324"/>
      <c r="Q116" s="1324"/>
      <c r="R116" s="1324"/>
      <c r="S116" s="1324"/>
      <c r="T116" s="1324"/>
      <c r="U116" s="1324"/>
      <c r="V116" s="1324"/>
      <c r="W116" s="1324"/>
      <c r="X116" s="1324"/>
      <c r="AA116" s="938"/>
      <c r="AC116" s="938"/>
      <c r="AE116" s="971"/>
    </row>
    <row r="117" spans="1:31">
      <c r="A117" s="385"/>
      <c r="B117" s="385"/>
      <c r="C117" s="385"/>
      <c r="D117" s="385"/>
      <c r="E117" s="447"/>
      <c r="F117" s="385"/>
      <c r="G117" s="447"/>
      <c r="H117" s="385"/>
      <c r="I117" s="385"/>
      <c r="J117" s="504"/>
      <c r="K117" s="504"/>
      <c r="L117" s="3"/>
      <c r="M117" s="3"/>
      <c r="N117" s="504"/>
      <c r="O117" s="504"/>
      <c r="P117" s="385"/>
      <c r="Q117" s="504"/>
      <c r="R117" s="504"/>
      <c r="S117" s="504"/>
      <c r="T117" s="385"/>
      <c r="U117" s="385"/>
      <c r="V117" s="385"/>
      <c r="W117" s="504"/>
      <c r="X117" s="513"/>
      <c r="Y117" s="4"/>
      <c r="AA117" s="938"/>
      <c r="AC117" s="938"/>
      <c r="AE117" s="971"/>
    </row>
    <row r="118" spans="1:31">
      <c r="A118" s="447"/>
      <c r="B118" s="447"/>
      <c r="C118" s="447"/>
      <c r="D118" s="447"/>
      <c r="E118" s="256"/>
      <c r="F118" s="256"/>
      <c r="G118" s="1313" t="s">
        <v>682</v>
      </c>
      <c r="H118" s="1313"/>
      <c r="I118" s="1313"/>
      <c r="J118" s="1313"/>
      <c r="K118" s="256"/>
      <c r="L118" s="1313" t="s">
        <v>496</v>
      </c>
      <c r="M118" s="1313"/>
      <c r="N118" s="1313"/>
      <c r="O118" s="256"/>
      <c r="P118" s="447"/>
      <c r="Q118" s="1313" t="s">
        <v>497</v>
      </c>
      <c r="R118" s="1313"/>
      <c r="S118" s="1313"/>
      <c r="T118" s="447"/>
      <c r="U118" s="1313" t="s">
        <v>683</v>
      </c>
      <c r="V118" s="1313"/>
      <c r="W118" s="1313"/>
      <c r="X118" s="1313"/>
      <c r="Y118" s="254"/>
      <c r="AA118" s="938"/>
      <c r="AC118" s="938"/>
      <c r="AE118" s="971"/>
    </row>
    <row r="119" spans="1:31" ht="38.25">
      <c r="A119" s="254" t="s">
        <v>1</v>
      </c>
      <c r="B119" s="254"/>
      <c r="C119" s="254"/>
      <c r="D119" s="254"/>
      <c r="E119" s="4" t="s">
        <v>670</v>
      </c>
      <c r="F119" s="254"/>
      <c r="G119" s="13" t="s">
        <v>684</v>
      </c>
      <c r="H119" s="254"/>
      <c r="I119" s="13" t="s">
        <v>196</v>
      </c>
      <c r="J119" s="254" t="s">
        <v>503</v>
      </c>
      <c r="K119" s="254"/>
      <c r="L119" s="254" t="s">
        <v>955</v>
      </c>
      <c r="M119" s="254" t="s">
        <v>956</v>
      </c>
      <c r="N119" s="254" t="s">
        <v>957</v>
      </c>
      <c r="O119" s="254" t="s">
        <v>958</v>
      </c>
      <c r="P119" s="254"/>
      <c r="Q119" s="254" t="s">
        <v>955</v>
      </c>
      <c r="R119" s="254" t="s">
        <v>956</v>
      </c>
      <c r="S119" s="254" t="s">
        <v>957</v>
      </c>
      <c r="T119" s="254"/>
      <c r="U119" s="13" t="s">
        <v>512</v>
      </c>
      <c r="V119" s="13" t="s">
        <v>691</v>
      </c>
      <c r="W119" s="13" t="s">
        <v>692</v>
      </c>
      <c r="X119" s="254" t="s">
        <v>693</v>
      </c>
      <c r="Y119" s="4"/>
      <c r="AA119" s="938"/>
      <c r="AC119" s="938"/>
      <c r="AE119" s="971"/>
    </row>
    <row r="120" spans="1:31" ht="14.25">
      <c r="A120" s="255" t="s">
        <v>2</v>
      </c>
      <c r="B120" s="256"/>
      <c r="C120" s="449" t="s">
        <v>3</v>
      </c>
      <c r="D120" s="256"/>
      <c r="E120" s="255" t="s">
        <v>4</v>
      </c>
      <c r="F120" s="256"/>
      <c r="G120" s="255" t="s">
        <v>694</v>
      </c>
      <c r="H120" s="256"/>
      <c r="I120" s="255" t="s">
        <v>77</v>
      </c>
      <c r="J120" s="255" t="s">
        <v>20</v>
      </c>
      <c r="K120" s="4"/>
      <c r="L120" s="255" t="s">
        <v>20</v>
      </c>
      <c r="M120" s="255" t="s">
        <v>20</v>
      </c>
      <c r="N120" s="255" t="s">
        <v>20</v>
      </c>
      <c r="O120" s="255" t="s">
        <v>20</v>
      </c>
      <c r="P120" s="256"/>
      <c r="Q120" s="255" t="s">
        <v>20</v>
      </c>
      <c r="R120" s="255" t="s">
        <v>20</v>
      </c>
      <c r="S120" s="255" t="s">
        <v>20</v>
      </c>
      <c r="T120" s="256"/>
      <c r="U120" s="255" t="s">
        <v>20</v>
      </c>
      <c r="V120" s="255" t="s">
        <v>77</v>
      </c>
      <c r="W120" s="255" t="s">
        <v>20</v>
      </c>
      <c r="X120" s="255" t="s">
        <v>76</v>
      </c>
      <c r="Y120" s="4"/>
      <c r="AA120" s="938"/>
      <c r="AC120" s="938"/>
      <c r="AE120" s="971"/>
    </row>
    <row r="121" spans="1:31">
      <c r="A121" s="4"/>
      <c r="B121" s="256"/>
      <c r="C121" s="256"/>
      <c r="D121" s="256"/>
      <c r="E121" s="4"/>
      <c r="F121" s="256"/>
      <c r="G121" s="4" t="s">
        <v>8</v>
      </c>
      <c r="H121" s="4"/>
      <c r="I121" s="4" t="s">
        <v>9</v>
      </c>
      <c r="J121" s="4" t="s">
        <v>370</v>
      </c>
      <c r="K121" s="4"/>
      <c r="L121" s="132" t="s">
        <v>79</v>
      </c>
      <c r="M121" s="132" t="s">
        <v>115</v>
      </c>
      <c r="N121" s="4" t="s">
        <v>81</v>
      </c>
      <c r="O121" s="4" t="s">
        <v>959</v>
      </c>
      <c r="P121" s="4"/>
      <c r="Q121" s="4" t="s">
        <v>118</v>
      </c>
      <c r="R121" s="4" t="s">
        <v>84</v>
      </c>
      <c r="S121" s="4" t="s">
        <v>516</v>
      </c>
      <c r="T121" s="4"/>
      <c r="U121" s="4" t="s">
        <v>960</v>
      </c>
      <c r="V121" s="4" t="s">
        <v>518</v>
      </c>
      <c r="W121" s="4" t="s">
        <v>961</v>
      </c>
      <c r="X121" s="4" t="s">
        <v>962</v>
      </c>
      <c r="Y121" s="4"/>
      <c r="AA121" s="938"/>
      <c r="AC121" s="938"/>
      <c r="AE121" s="971"/>
    </row>
    <row r="122" spans="1:31">
      <c r="A122" s="4"/>
      <c r="B122" s="256"/>
      <c r="C122" s="6" t="s">
        <v>166</v>
      </c>
      <c r="D122" s="256"/>
      <c r="E122" s="134"/>
      <c r="F122" s="256"/>
      <c r="G122" s="749"/>
      <c r="H122" s="256"/>
      <c r="I122" s="504"/>
      <c r="J122" s="504"/>
      <c r="K122" s="504"/>
      <c r="L122" s="504"/>
      <c r="M122" s="504"/>
      <c r="N122" s="504"/>
      <c r="O122" s="504"/>
      <c r="P122" s="256"/>
      <c r="Q122" s="504"/>
      <c r="R122" s="504"/>
      <c r="S122" s="504"/>
      <c r="T122" s="256"/>
      <c r="U122" s="256"/>
      <c r="V122" s="256"/>
      <c r="W122" s="504"/>
      <c r="X122" s="513"/>
    </row>
    <row r="123" spans="1:31">
      <c r="A123" s="4">
        <v>51</v>
      </c>
      <c r="B123" s="256"/>
      <c r="C123" s="7" t="s">
        <v>703</v>
      </c>
      <c r="D123" s="256"/>
      <c r="E123" s="36" t="s">
        <v>704</v>
      </c>
      <c r="F123" s="256"/>
      <c r="G123" s="828">
        <v>264</v>
      </c>
      <c r="H123" s="256"/>
      <c r="I123" s="35">
        <v>0</v>
      </c>
      <c r="J123" s="762">
        <v>0</v>
      </c>
      <c r="K123" s="762"/>
      <c r="L123" s="762">
        <v>0</v>
      </c>
      <c r="M123" s="762">
        <v>0</v>
      </c>
      <c r="N123" s="762">
        <v>0</v>
      </c>
      <c r="O123" s="762">
        <v>0</v>
      </c>
      <c r="P123" s="771"/>
      <c r="Q123" s="762">
        <v>0</v>
      </c>
      <c r="R123" s="762">
        <v>0</v>
      </c>
      <c r="S123" s="762">
        <v>0</v>
      </c>
      <c r="T123" s="771"/>
      <c r="U123" s="771">
        <v>0</v>
      </c>
      <c r="V123" s="771">
        <v>0</v>
      </c>
      <c r="W123" s="762">
        <v>0</v>
      </c>
      <c r="X123" s="834"/>
      <c r="Y123" s="769"/>
      <c r="AA123" s="938"/>
      <c r="AE123" s="954"/>
    </row>
    <row r="124" spans="1:31">
      <c r="A124" s="4">
        <f>MAX(A$122:A123)+1</f>
        <v>52</v>
      </c>
      <c r="B124" s="256"/>
      <c r="C124" s="512" t="s">
        <v>726</v>
      </c>
      <c r="D124" s="256"/>
      <c r="E124" s="36" t="s">
        <v>675</v>
      </c>
      <c r="F124" s="256"/>
      <c r="G124" s="828">
        <v>14480.82</v>
      </c>
      <c r="H124" s="256"/>
      <c r="I124" s="35">
        <v>0</v>
      </c>
      <c r="J124" s="762">
        <v>0</v>
      </c>
      <c r="K124" s="762"/>
      <c r="L124" s="762">
        <v>0</v>
      </c>
      <c r="M124" s="762">
        <v>0</v>
      </c>
      <c r="N124" s="762">
        <v>0</v>
      </c>
      <c r="O124" s="762">
        <v>0</v>
      </c>
      <c r="P124" s="771"/>
      <c r="Q124" s="762">
        <v>0</v>
      </c>
      <c r="R124" s="762">
        <v>0</v>
      </c>
      <c r="S124" s="762">
        <v>0</v>
      </c>
      <c r="T124" s="771"/>
      <c r="U124" s="771">
        <v>0</v>
      </c>
      <c r="V124" s="771">
        <v>0</v>
      </c>
      <c r="W124" s="762">
        <v>0</v>
      </c>
      <c r="X124" s="834"/>
      <c r="Y124" s="769"/>
    </row>
    <row r="125" spans="1:31">
      <c r="A125" s="4"/>
      <c r="B125" s="256"/>
      <c r="C125" s="512" t="s">
        <v>705</v>
      </c>
      <c r="D125" s="256"/>
      <c r="E125" s="36"/>
      <c r="F125" s="256"/>
      <c r="G125" s="828"/>
      <c r="H125" s="256"/>
      <c r="I125" s="861"/>
      <c r="J125" s="762"/>
      <c r="K125" s="762"/>
      <c r="L125" s="762"/>
      <c r="M125" s="762"/>
      <c r="N125" s="762"/>
      <c r="O125" s="762"/>
      <c r="P125" s="771"/>
      <c r="Q125" s="762"/>
      <c r="R125" s="762"/>
      <c r="S125" s="762"/>
      <c r="T125" s="771"/>
      <c r="U125" s="771"/>
      <c r="V125" s="821"/>
      <c r="W125" s="762"/>
      <c r="X125" s="834"/>
      <c r="Y125" s="769"/>
    </row>
    <row r="126" spans="1:31">
      <c r="A126" s="4">
        <f>MAX(A$122:A125)+1</f>
        <v>53</v>
      </c>
      <c r="B126" s="256"/>
      <c r="C126" s="9" t="s">
        <v>728</v>
      </c>
      <c r="D126" s="256"/>
      <c r="E126" s="36" t="s">
        <v>674</v>
      </c>
      <c r="F126" s="256"/>
      <c r="G126" s="828">
        <v>144905.005</v>
      </c>
      <c r="H126" s="256"/>
      <c r="I126" s="861">
        <v>0.2878105235831096</v>
      </c>
      <c r="J126" s="762">
        <f>G126*I126/100</f>
        <v>417.0518535886311</v>
      </c>
      <c r="K126" s="762"/>
      <c r="L126" s="828">
        <v>15.327025363790442</v>
      </c>
      <c r="M126" s="828">
        <v>312.19740139048338</v>
      </c>
      <c r="N126" s="828">
        <v>7.7085147255787296</v>
      </c>
      <c r="O126" s="762">
        <f>J126-L126-M126-N126</f>
        <v>81.818912108778576</v>
      </c>
      <c r="P126" s="771"/>
      <c r="Q126" s="828">
        <v>12.817654684621932</v>
      </c>
      <c r="R126" s="828">
        <v>342.14363229848487</v>
      </c>
      <c r="S126" s="828">
        <v>6.8849042658054778</v>
      </c>
      <c r="T126" s="771"/>
      <c r="U126" s="771">
        <f>SUM(O126:S126)</f>
        <v>443.66510335769084</v>
      </c>
      <c r="V126" s="821">
        <f>U126/G126*100</f>
        <v>0.30617652120276373</v>
      </c>
      <c r="W126" s="762">
        <f>U126-J126</f>
        <v>26.613249769059735</v>
      </c>
      <c r="X126" s="785"/>
      <c r="Y126" s="785"/>
      <c r="AA126" s="938"/>
      <c r="AC126" s="938"/>
      <c r="AE126" s="971"/>
    </row>
    <row r="127" spans="1:31">
      <c r="A127" s="4">
        <f>MAX(A$122:A126)+1</f>
        <v>54</v>
      </c>
      <c r="B127" s="256"/>
      <c r="C127" s="9" t="s">
        <v>729</v>
      </c>
      <c r="D127" s="256"/>
      <c r="E127" s="36" t="s">
        <v>674</v>
      </c>
      <c r="F127" s="256"/>
      <c r="G127" s="828">
        <v>236967.948</v>
      </c>
      <c r="H127" s="256"/>
      <c r="I127" s="861">
        <v>0.2878078682224765</v>
      </c>
      <c r="J127" s="762">
        <f>G127*I127/100</f>
        <v>682.01239950934678</v>
      </c>
      <c r="K127" s="762"/>
      <c r="L127" s="828">
        <v>25.064791581225055</v>
      </c>
      <c r="M127" s="828">
        <v>510.54673769505195</v>
      </c>
      <c r="N127" s="828">
        <v>12.605989121274138</v>
      </c>
      <c r="O127" s="762">
        <f>J127-L127-M127-N127</f>
        <v>133.79488111179558</v>
      </c>
      <c r="P127" s="771"/>
      <c r="Q127" s="828">
        <v>20.961134701920379</v>
      </c>
      <c r="R127" s="828">
        <v>559.51879969251911</v>
      </c>
      <c r="S127" s="828">
        <v>11.25911169213493</v>
      </c>
      <c r="T127" s="771"/>
      <c r="U127" s="771">
        <f>SUM(O127:S127)</f>
        <v>725.53392719837007</v>
      </c>
      <c r="V127" s="821">
        <f>U127/G127*100</f>
        <v>0.30617386584213069</v>
      </c>
      <c r="W127" s="762">
        <f>U127-J127</f>
        <v>43.521527689023287</v>
      </c>
      <c r="X127" s="785"/>
      <c r="Y127" s="785"/>
      <c r="AA127" s="938"/>
      <c r="AC127" s="938"/>
      <c r="AE127" s="971"/>
    </row>
    <row r="128" spans="1:31">
      <c r="A128" s="4">
        <f>MAX(A$122:A127)+1</f>
        <v>55</v>
      </c>
      <c r="B128" s="256"/>
      <c r="C128" s="512" t="s">
        <v>705</v>
      </c>
      <c r="D128" s="256"/>
      <c r="E128" s="36"/>
      <c r="G128" s="830">
        <f>SUM(G126:G127)</f>
        <v>381872.95299999998</v>
      </c>
      <c r="I128" s="914">
        <f>J128/G128*100</f>
        <v>0.28780887582210568</v>
      </c>
      <c r="J128" s="805">
        <f>SUM(J126:J127)</f>
        <v>1099.0642530979778</v>
      </c>
      <c r="K128" s="762"/>
      <c r="L128" s="830">
        <f>SUM(L126:L127)</f>
        <v>40.391816945015499</v>
      </c>
      <c r="M128" s="830">
        <f>SUM(M126:M127)</f>
        <v>822.74413908553538</v>
      </c>
      <c r="N128" s="830">
        <f>SUM(N126:N127)</f>
        <v>20.314503846852869</v>
      </c>
      <c r="O128" s="805">
        <f>J128-L128-M128-N128</f>
        <v>215.61379322057405</v>
      </c>
      <c r="P128" s="68"/>
      <c r="Q128" s="830">
        <f>SUM(Q126:Q127)</f>
        <v>33.778789386542314</v>
      </c>
      <c r="R128" s="830">
        <f>SUM(R126:R127)</f>
        <v>901.66243199100404</v>
      </c>
      <c r="S128" s="830">
        <f>SUM(S126:S127)</f>
        <v>18.144015957940407</v>
      </c>
      <c r="T128" s="68"/>
      <c r="U128" s="416">
        <f>SUM(U126:U127)</f>
        <v>1169.199030556061</v>
      </c>
      <c r="V128" s="912">
        <f>U128/G128*100</f>
        <v>0.30617487344175981</v>
      </c>
      <c r="W128" s="805">
        <f>SUM(W123:W127)</f>
        <v>70.134777458083022</v>
      </c>
      <c r="X128" s="816">
        <f>V128/I128-1</f>
        <v>6.3813173124674938E-2</v>
      </c>
      <c r="Y128" s="785"/>
      <c r="AA128" s="938"/>
      <c r="AC128" s="938"/>
      <c r="AE128" s="971"/>
    </row>
    <row r="129" spans="1:31">
      <c r="A129" s="4"/>
      <c r="B129" s="256"/>
      <c r="C129" s="7"/>
      <c r="D129" s="256"/>
      <c r="E129" s="742"/>
      <c r="F129" s="256"/>
      <c r="G129" s="35"/>
      <c r="H129" s="256"/>
      <c r="I129" s="504"/>
      <c r="J129" s="762"/>
      <c r="K129" s="762"/>
      <c r="L129" s="828"/>
      <c r="M129" s="828"/>
      <c r="N129" s="828"/>
      <c r="O129" s="762"/>
      <c r="P129" s="771"/>
      <c r="Q129" s="762"/>
      <c r="R129" s="762"/>
      <c r="S129" s="762"/>
      <c r="T129" s="771"/>
      <c r="U129" s="771"/>
      <c r="V129" s="821"/>
      <c r="W129" s="762"/>
      <c r="X129" s="834"/>
      <c r="Y129" s="769"/>
      <c r="AA129" s="938"/>
      <c r="AC129" s="938"/>
      <c r="AE129" s="971"/>
    </row>
    <row r="130" spans="1:31">
      <c r="A130" s="4">
        <f>MAX(A$122:A129)+1</f>
        <v>56</v>
      </c>
      <c r="B130" s="256"/>
      <c r="C130" s="7" t="s">
        <v>710</v>
      </c>
      <c r="D130" s="256"/>
      <c r="E130" s="742"/>
      <c r="F130" s="256"/>
      <c r="G130" s="420">
        <f>G128</f>
        <v>381872.95299999998</v>
      </c>
      <c r="H130" s="35"/>
      <c r="I130" s="914">
        <f>I128</f>
        <v>0.28780887582210568</v>
      </c>
      <c r="J130" s="420">
        <f>J128</f>
        <v>1099.0642530979778</v>
      </c>
      <c r="K130" s="35"/>
      <c r="L130" s="830">
        <f>L128</f>
        <v>40.391816945015499</v>
      </c>
      <c r="M130" s="830">
        <f>M128</f>
        <v>822.74413908553538</v>
      </c>
      <c r="N130" s="830">
        <f>N128</f>
        <v>20.314503846852869</v>
      </c>
      <c r="O130" s="805">
        <f>O128</f>
        <v>215.61379322057405</v>
      </c>
      <c r="P130" s="35"/>
      <c r="Q130" s="830">
        <f>Q128</f>
        <v>33.778789386542314</v>
      </c>
      <c r="R130" s="830">
        <f>R128</f>
        <v>901.66243199100404</v>
      </c>
      <c r="S130" s="830">
        <f>S128</f>
        <v>18.144015957940407</v>
      </c>
      <c r="T130" s="35"/>
      <c r="U130" s="420">
        <f>U128</f>
        <v>1169.199030556061</v>
      </c>
      <c r="V130" s="912">
        <f>V128</f>
        <v>0.30617487344175981</v>
      </c>
      <c r="W130" s="420">
        <f>W128</f>
        <v>70.134777458083022</v>
      </c>
      <c r="X130" s="816">
        <f>X128</f>
        <v>6.3813173124674938E-2</v>
      </c>
      <c r="Y130" s="785"/>
      <c r="AA130" s="938"/>
      <c r="AC130" s="938"/>
      <c r="AE130" s="971"/>
    </row>
    <row r="131" spans="1:31">
      <c r="A131" s="4"/>
      <c r="E131" s="742"/>
      <c r="F131" s="256"/>
      <c r="G131" s="35"/>
      <c r="H131" s="256"/>
      <c r="I131" s="504"/>
      <c r="J131" s="762"/>
      <c r="K131" s="762"/>
      <c r="L131" s="762"/>
      <c r="M131" s="762"/>
      <c r="N131" s="762"/>
      <c r="O131" s="762"/>
      <c r="P131" s="771"/>
      <c r="Q131" s="762"/>
      <c r="R131" s="762"/>
      <c r="S131" s="762"/>
      <c r="T131" s="771"/>
      <c r="U131" s="771"/>
      <c r="V131" s="771"/>
      <c r="W131" s="762"/>
      <c r="X131" s="827"/>
      <c r="Y131" s="782"/>
      <c r="AA131" s="938"/>
      <c r="AC131" s="938"/>
      <c r="AE131" s="971"/>
    </row>
    <row r="132" spans="1:31">
      <c r="A132" s="4">
        <f>MAX(A$122:A131)+1</f>
        <v>57</v>
      </c>
      <c r="B132" s="256"/>
      <c r="C132" s="9" t="s">
        <v>964</v>
      </c>
      <c r="D132" s="256"/>
      <c r="E132" s="513" t="s">
        <v>674</v>
      </c>
      <c r="F132" s="256"/>
      <c r="G132" s="828">
        <v>381872.95299999998</v>
      </c>
      <c r="H132" s="256"/>
      <c r="I132" s="861">
        <v>4.7884777599733502E-2</v>
      </c>
      <c r="J132" s="762">
        <f>G132*I132/100</f>
        <v>182.85901425758482</v>
      </c>
      <c r="K132" s="762"/>
      <c r="L132" s="762">
        <v>0</v>
      </c>
      <c r="M132" s="762">
        <v>0</v>
      </c>
      <c r="N132" s="762">
        <v>0</v>
      </c>
      <c r="O132" s="762">
        <f>J132-L132-M132-N132</f>
        <v>182.85901425758482</v>
      </c>
      <c r="P132" s="771"/>
      <c r="Q132" s="762">
        <v>0</v>
      </c>
      <c r="R132" s="762">
        <v>0</v>
      </c>
      <c r="S132" s="762">
        <v>0</v>
      </c>
      <c r="T132" s="771"/>
      <c r="U132" s="453">
        <f>SUM(O132:S132)</f>
        <v>182.85901425758482</v>
      </c>
      <c r="V132" s="821">
        <f>U132/G132*100</f>
        <v>4.7884777599733495E-2</v>
      </c>
      <c r="W132" s="827">
        <f>U132-J132</f>
        <v>0</v>
      </c>
      <c r="X132" s="785">
        <f>V132/I132-1</f>
        <v>0</v>
      </c>
      <c r="Y132" s="785"/>
      <c r="AA132" s="938"/>
      <c r="AC132" s="938"/>
      <c r="AE132" s="971"/>
    </row>
    <row r="133" spans="1:31">
      <c r="A133" s="4"/>
      <c r="B133" s="256"/>
      <c r="C133" s="9"/>
      <c r="D133" s="256"/>
      <c r="E133" s="513"/>
      <c r="F133" s="256"/>
      <c r="G133" s="828"/>
      <c r="H133" s="256"/>
      <c r="I133" s="861"/>
      <c r="J133" s="762"/>
      <c r="K133" s="762"/>
      <c r="L133" s="762"/>
      <c r="M133" s="762"/>
      <c r="N133" s="762"/>
      <c r="O133" s="762"/>
      <c r="P133" s="771"/>
      <c r="Q133" s="762"/>
      <c r="R133" s="762"/>
      <c r="S133" s="762"/>
      <c r="T133" s="771"/>
      <c r="U133" s="453"/>
      <c r="V133" s="823"/>
      <c r="W133" s="827"/>
      <c r="X133" s="785"/>
      <c r="Y133" s="785"/>
      <c r="AA133" s="938"/>
      <c r="AC133" s="938"/>
      <c r="AE133" s="971"/>
    </row>
    <row r="134" spans="1:31">
      <c r="A134" s="4"/>
      <c r="B134" s="256"/>
      <c r="C134" s="7" t="s">
        <v>712</v>
      </c>
      <c r="D134" s="256"/>
      <c r="E134" s="513"/>
      <c r="F134" s="256"/>
      <c r="G134" s="828"/>
      <c r="H134" s="256"/>
      <c r="I134" s="861"/>
      <c r="J134" s="762"/>
      <c r="K134" s="762"/>
      <c r="L134" s="762"/>
      <c r="M134" s="762"/>
      <c r="N134" s="762"/>
      <c r="O134" s="762"/>
      <c r="P134" s="771"/>
      <c r="Q134" s="762"/>
      <c r="R134" s="762"/>
      <c r="S134" s="762"/>
      <c r="T134" s="771"/>
      <c r="U134" s="453"/>
      <c r="V134" s="823"/>
      <c r="W134" s="827"/>
      <c r="X134" s="785"/>
      <c r="Y134" s="785"/>
      <c r="AA134" s="938"/>
      <c r="AC134" s="938"/>
      <c r="AE134" s="971"/>
    </row>
    <row r="135" spans="1:31">
      <c r="A135" s="4">
        <f>MAX(A$122:A134)+1</f>
        <v>58</v>
      </c>
      <c r="B135" s="256"/>
      <c r="C135" s="9" t="s">
        <v>713</v>
      </c>
      <c r="D135" s="256"/>
      <c r="E135" s="513" t="s">
        <v>674</v>
      </c>
      <c r="F135" s="256"/>
      <c r="G135" s="828">
        <v>1651.1379999999999</v>
      </c>
      <c r="H135" s="256"/>
      <c r="I135" s="861">
        <v>3.8514689412094061</v>
      </c>
      <c r="J135" s="762">
        <f>G135*I135/100</f>
        <v>63.593067246506159</v>
      </c>
      <c r="K135" s="762"/>
      <c r="L135" s="762">
        <v>0</v>
      </c>
      <c r="M135" s="762">
        <v>0</v>
      </c>
      <c r="N135" s="762">
        <v>0</v>
      </c>
      <c r="O135" s="762">
        <f>J135-L135-M135-N135</f>
        <v>63.593067246506159</v>
      </c>
      <c r="P135" s="771"/>
      <c r="Q135" s="762">
        <v>0</v>
      </c>
      <c r="R135" s="762">
        <v>0</v>
      </c>
      <c r="S135" s="762">
        <v>0</v>
      </c>
      <c r="T135" s="771"/>
      <c r="U135" s="453">
        <f>SUM(O135:S135)</f>
        <v>63.593067246506159</v>
      </c>
      <c r="V135" s="821">
        <f>U135/G135*100</f>
        <v>3.8514689412094056</v>
      </c>
      <c r="W135" s="827">
        <f>U135-J135</f>
        <v>0</v>
      </c>
      <c r="X135" s="785"/>
      <c r="Y135" s="785"/>
      <c r="AA135" s="938"/>
      <c r="AC135" s="938"/>
      <c r="AE135" s="971"/>
    </row>
    <row r="136" spans="1:31">
      <c r="A136" s="4">
        <f>MAX(A$122:A135)+1</f>
        <v>59</v>
      </c>
      <c r="B136" s="256"/>
      <c r="C136" s="9" t="s">
        <v>714</v>
      </c>
      <c r="D136" s="256"/>
      <c r="E136" s="513" t="s">
        <v>674</v>
      </c>
      <c r="F136" s="256"/>
      <c r="G136" s="828">
        <v>241077.16699999999</v>
      </c>
      <c r="H136" s="256"/>
      <c r="I136" s="861">
        <v>0.37192331383903554</v>
      </c>
      <c r="J136" s="762">
        <f>G136*I136/100</f>
        <v>896.62218841566573</v>
      </c>
      <c r="K136" s="762"/>
      <c r="L136" s="762">
        <v>0</v>
      </c>
      <c r="M136" s="762">
        <v>0</v>
      </c>
      <c r="N136" s="762">
        <v>0</v>
      </c>
      <c r="O136" s="762">
        <f>J136-L136-M136-N136</f>
        <v>896.62218841566573</v>
      </c>
      <c r="P136" s="771"/>
      <c r="Q136" s="762">
        <v>0</v>
      </c>
      <c r="R136" s="762">
        <v>0</v>
      </c>
      <c r="S136" s="762">
        <v>0</v>
      </c>
      <c r="T136" s="771"/>
      <c r="U136" s="453">
        <f>SUM(O136:S136)</f>
        <v>896.62218841566573</v>
      </c>
      <c r="V136" s="821">
        <f>U136/G136*100</f>
        <v>0.37192331383903554</v>
      </c>
      <c r="W136" s="827">
        <f>U136-J136</f>
        <v>0</v>
      </c>
      <c r="X136" s="785"/>
      <c r="Y136" s="785"/>
      <c r="AA136" s="938"/>
      <c r="AC136" s="938"/>
      <c r="AE136" s="971"/>
    </row>
    <row r="137" spans="1:31">
      <c r="A137" s="4">
        <f>MAX(A$122:A136)+1</f>
        <v>60</v>
      </c>
      <c r="B137" s="256"/>
      <c r="C137" s="7" t="s">
        <v>712</v>
      </c>
      <c r="D137" s="256"/>
      <c r="E137" s="513"/>
      <c r="F137" s="256"/>
      <c r="G137" s="830">
        <f>SUM(G135:G136)</f>
        <v>242728.30499999999</v>
      </c>
      <c r="H137" s="256"/>
      <c r="I137" s="891">
        <f>J137/G137*100</f>
        <v>0.39559261770569853</v>
      </c>
      <c r="J137" s="805">
        <f>SUM(J135:J136)</f>
        <v>960.2152556621719</v>
      </c>
      <c r="K137" s="762"/>
      <c r="L137" s="805">
        <f>SUM(L135:L136)</f>
        <v>0</v>
      </c>
      <c r="M137" s="805">
        <f>SUM(M135:M136)</f>
        <v>0</v>
      </c>
      <c r="N137" s="805">
        <f>SUM(N135:N136)</f>
        <v>0</v>
      </c>
      <c r="O137" s="805">
        <f>SUM(O135:O136)</f>
        <v>960.2152556621719</v>
      </c>
      <c r="P137" s="762"/>
      <c r="Q137" s="805">
        <f>SUM(Q135:Q136)</f>
        <v>0</v>
      </c>
      <c r="R137" s="805">
        <f>SUM(R135:R136)</f>
        <v>0</v>
      </c>
      <c r="S137" s="805">
        <f>SUM(S135:S136)</f>
        <v>0</v>
      </c>
      <c r="T137" s="762"/>
      <c r="U137" s="805">
        <f>SUM(U135:U136)</f>
        <v>960.2152556621719</v>
      </c>
      <c r="V137" s="902">
        <f>U137/G137*100</f>
        <v>0.39559261770569853</v>
      </c>
      <c r="W137" s="893">
        <f>SUM(W135:W136)</f>
        <v>0</v>
      </c>
      <c r="X137" s="816">
        <f>V137/I137-1</f>
        <v>0</v>
      </c>
      <c r="Y137" s="785"/>
      <c r="AA137" s="938"/>
      <c r="AC137" s="938"/>
      <c r="AE137" s="971"/>
    </row>
    <row r="138" spans="1:31">
      <c r="A138" s="4"/>
      <c r="B138" s="256"/>
      <c r="D138" s="256"/>
      <c r="E138" s="385"/>
      <c r="G138" s="828"/>
      <c r="I138" s="861"/>
      <c r="J138" s="762"/>
      <c r="K138" s="762"/>
      <c r="L138" s="762"/>
      <c r="M138" s="762"/>
      <c r="N138" s="762"/>
      <c r="O138" s="762"/>
      <c r="P138" s="68"/>
      <c r="Q138" s="762"/>
      <c r="R138" s="762"/>
      <c r="S138" s="762"/>
      <c r="T138" s="68"/>
      <c r="U138" s="453"/>
      <c r="V138" s="823"/>
      <c r="W138" s="827"/>
      <c r="X138" s="785"/>
      <c r="Y138" s="785"/>
      <c r="AA138" s="938"/>
      <c r="AC138" s="938"/>
      <c r="AE138" s="971"/>
    </row>
    <row r="139" spans="1:31">
      <c r="A139" s="4">
        <f>MAX(A$122:A138)+1</f>
        <v>61</v>
      </c>
      <c r="B139" s="256"/>
      <c r="C139" s="7" t="s">
        <v>715</v>
      </c>
      <c r="D139" s="256"/>
      <c r="E139" s="513" t="s">
        <v>674</v>
      </c>
      <c r="F139" s="256"/>
      <c r="G139" s="828">
        <v>1651.1379999999999</v>
      </c>
      <c r="H139" s="256"/>
      <c r="I139" s="861">
        <v>18.292507159365996</v>
      </c>
      <c r="J139" s="762">
        <f>G139*I139/100</f>
        <v>302.03453686101255</v>
      </c>
      <c r="K139" s="762"/>
      <c r="L139" s="762">
        <v>0</v>
      </c>
      <c r="M139" s="762">
        <v>0</v>
      </c>
      <c r="N139" s="762">
        <v>0</v>
      </c>
      <c r="O139" s="762">
        <f>J139-L139-M139-N139</f>
        <v>302.03453686101255</v>
      </c>
      <c r="P139" s="771"/>
      <c r="Q139" s="762">
        <v>0</v>
      </c>
      <c r="R139" s="762">
        <v>0</v>
      </c>
      <c r="S139" s="762">
        <v>0</v>
      </c>
      <c r="T139" s="771"/>
      <c r="U139" s="453">
        <f>SUM(O139:S139)</f>
        <v>302.03453686101255</v>
      </c>
      <c r="V139" s="821">
        <f>U139/G139*100</f>
        <v>18.292507159365996</v>
      </c>
      <c r="W139" s="827">
        <f>U139-J139</f>
        <v>0</v>
      </c>
      <c r="X139" s="785">
        <f>V139/I139-1</f>
        <v>0</v>
      </c>
      <c r="Y139" s="785"/>
      <c r="AA139" s="938"/>
      <c r="AC139" s="938"/>
      <c r="AE139" s="971"/>
    </row>
    <row r="140" spans="1:31">
      <c r="A140" s="4"/>
      <c r="B140" s="256"/>
      <c r="C140" s="7"/>
      <c r="D140" s="256"/>
      <c r="E140" s="36"/>
      <c r="F140" s="256"/>
      <c r="G140" s="35"/>
      <c r="H140" s="256"/>
      <c r="I140" s="861"/>
      <c r="J140" s="762"/>
      <c r="K140" s="762"/>
      <c r="L140" s="762"/>
      <c r="M140" s="762"/>
      <c r="N140" s="762"/>
      <c r="O140" s="762"/>
      <c r="P140" s="771"/>
      <c r="Q140" s="762"/>
      <c r="R140" s="762"/>
      <c r="S140" s="762"/>
      <c r="T140" s="771"/>
      <c r="U140" s="453"/>
      <c r="V140" s="821"/>
      <c r="W140" s="827"/>
      <c r="X140" s="834"/>
      <c r="Y140" s="833"/>
      <c r="AA140" s="938"/>
      <c r="AC140" s="938"/>
    </row>
    <row r="141" spans="1:31" ht="13.5" thickBot="1">
      <c r="A141" s="4">
        <f>MAX(A$122:A140)+1</f>
        <v>62</v>
      </c>
      <c r="C141" s="7" t="s">
        <v>734</v>
      </c>
      <c r="E141" s="36"/>
      <c r="F141" s="256"/>
      <c r="G141" s="926">
        <f>G128</f>
        <v>381872.95299999998</v>
      </c>
      <c r="I141" s="908">
        <f>J141/G141*100</f>
        <v>0.66623546912439935</v>
      </c>
      <c r="J141" s="799">
        <f>J130+J132+J137+J139</f>
        <v>2544.1730598787467</v>
      </c>
      <c r="K141" s="753"/>
      <c r="L141" s="839">
        <f>L130+L132+L137+L139</f>
        <v>40.391816945015499</v>
      </c>
      <c r="M141" s="839">
        <f>M130+M132+M137+M139</f>
        <v>822.74413908553538</v>
      </c>
      <c r="N141" s="839">
        <f>N130+N132+N137+N139</f>
        <v>20.314503846852869</v>
      </c>
      <c r="O141" s="799">
        <f>O130+O132+O137+O139</f>
        <v>1660.7226000013434</v>
      </c>
      <c r="P141" s="753"/>
      <c r="Q141" s="839">
        <f>Q130+Q132+Q137+Q139</f>
        <v>33.778789386542314</v>
      </c>
      <c r="R141" s="839">
        <f>R130+R132+R137+R139</f>
        <v>901.66243199100404</v>
      </c>
      <c r="S141" s="839">
        <f>S130+S132+S137+S139</f>
        <v>18.144015957940407</v>
      </c>
      <c r="T141" s="753"/>
      <c r="U141" s="799">
        <f>U130+U132+U137+U139</f>
        <v>2614.3078373368298</v>
      </c>
      <c r="V141" s="901">
        <f>U141/G141*100</f>
        <v>0.68460146674405353</v>
      </c>
      <c r="W141" s="918">
        <f>W130+W132+W137+W139</f>
        <v>70.134777458083022</v>
      </c>
      <c r="X141" s="815">
        <f>V141/I141-1</f>
        <v>2.7566826551266743E-2</v>
      </c>
      <c r="Y141" s="833"/>
      <c r="AA141" s="938"/>
      <c r="AC141" s="938"/>
      <c r="AE141" s="971"/>
    </row>
    <row r="142" spans="1:31" ht="13.5" thickTop="1">
      <c r="A142" s="4"/>
      <c r="B142" s="256"/>
      <c r="C142" s="7"/>
      <c r="D142" s="256"/>
      <c r="E142" s="36"/>
      <c r="F142" s="256"/>
      <c r="G142" s="35"/>
      <c r="H142" s="256"/>
      <c r="I142" s="504"/>
      <c r="J142" s="504"/>
      <c r="K142" s="504"/>
      <c r="L142" s="504"/>
      <c r="M142" s="504"/>
      <c r="N142" s="504"/>
      <c r="O142" s="504"/>
      <c r="P142" s="256"/>
      <c r="Q142" s="504"/>
      <c r="R142" s="504"/>
      <c r="S142" s="504"/>
      <c r="T142" s="256"/>
      <c r="U142" s="888"/>
      <c r="V142" s="888"/>
      <c r="W142" s="666"/>
      <c r="X142" s="666"/>
      <c r="Y142" s="326"/>
    </row>
    <row r="143" spans="1:31">
      <c r="A143" s="4"/>
      <c r="B143" s="256"/>
      <c r="C143" s="6" t="s">
        <v>167</v>
      </c>
      <c r="D143" s="256"/>
      <c r="E143" s="36"/>
      <c r="F143" s="256"/>
      <c r="G143" s="828"/>
      <c r="H143" s="256"/>
      <c r="I143" s="504"/>
      <c r="J143" s="504"/>
      <c r="K143" s="504"/>
      <c r="L143" s="504"/>
      <c r="M143" s="504"/>
      <c r="N143" s="504"/>
      <c r="O143" s="504"/>
      <c r="P143" s="256"/>
      <c r="Q143" s="504"/>
      <c r="R143" s="504"/>
      <c r="S143" s="504"/>
      <c r="T143" s="256"/>
      <c r="U143" s="888"/>
      <c r="V143" s="888"/>
      <c r="W143" s="666"/>
      <c r="X143" s="666"/>
      <c r="Y143" s="326"/>
    </row>
    <row r="144" spans="1:31">
      <c r="A144" s="4">
        <f>MAX(A$122:A143)+1</f>
        <v>63</v>
      </c>
      <c r="B144" s="256"/>
      <c r="C144" s="7" t="s">
        <v>703</v>
      </c>
      <c r="D144" s="256"/>
      <c r="E144" s="36" t="s">
        <v>704</v>
      </c>
      <c r="F144" s="256"/>
      <c r="G144" s="828">
        <v>48</v>
      </c>
      <c r="H144" s="256"/>
      <c r="I144" s="35">
        <v>0</v>
      </c>
      <c r="J144" s="762">
        <v>0</v>
      </c>
      <c r="K144" s="762"/>
      <c r="L144" s="762">
        <v>0</v>
      </c>
      <c r="M144" s="762">
        <v>0</v>
      </c>
      <c r="N144" s="762">
        <v>0</v>
      </c>
      <c r="O144" s="762">
        <v>0</v>
      </c>
      <c r="P144" s="771"/>
      <c r="Q144" s="762">
        <v>0</v>
      </c>
      <c r="R144" s="762">
        <v>0</v>
      </c>
      <c r="S144" s="762">
        <v>0</v>
      </c>
      <c r="T144" s="771"/>
      <c r="U144" s="453">
        <v>0</v>
      </c>
      <c r="V144" s="453">
        <v>0</v>
      </c>
      <c r="W144" s="827">
        <v>0</v>
      </c>
      <c r="X144" s="834"/>
      <c r="Y144" s="833"/>
      <c r="AA144" s="938"/>
      <c r="AE144" s="954"/>
    </row>
    <row r="145" spans="1:31">
      <c r="A145" s="4">
        <f>MAX(A$122:A144)+1</f>
        <v>64</v>
      </c>
      <c r="C145" s="512" t="s">
        <v>726</v>
      </c>
      <c r="E145" s="36" t="s">
        <v>675</v>
      </c>
      <c r="G145" s="828">
        <v>111124.284</v>
      </c>
      <c r="I145" s="35">
        <v>0</v>
      </c>
      <c r="J145" s="762">
        <f>G145*I145/100</f>
        <v>0</v>
      </c>
      <c r="K145" s="762"/>
      <c r="L145" s="762">
        <v>0</v>
      </c>
      <c r="M145" s="762">
        <v>0</v>
      </c>
      <c r="N145" s="762">
        <v>0</v>
      </c>
      <c r="O145" s="762">
        <f>I145-J145-L145-M145-N145</f>
        <v>0</v>
      </c>
      <c r="P145" s="68"/>
      <c r="Q145" s="35">
        <v>0</v>
      </c>
      <c r="R145" s="35">
        <v>0</v>
      </c>
      <c r="S145" s="35">
        <v>0</v>
      </c>
      <c r="T145" s="68"/>
      <c r="U145" s="35">
        <f>SUM(O145:S145)</f>
        <v>0</v>
      </c>
      <c r="V145" s="35">
        <v>0</v>
      </c>
      <c r="W145" s="35">
        <v>0</v>
      </c>
      <c r="X145" s="35"/>
      <c r="Y145" s="833"/>
    </row>
    <row r="146" spans="1:31">
      <c r="A146" s="4">
        <f>MAX(A$122:A145)+1</f>
        <v>65</v>
      </c>
      <c r="B146" s="256"/>
      <c r="C146" s="7" t="s">
        <v>710</v>
      </c>
      <c r="D146" s="256"/>
      <c r="E146" s="36" t="s">
        <v>674</v>
      </c>
      <c r="F146" s="256"/>
      <c r="G146" s="830">
        <v>824970.7141199999</v>
      </c>
      <c r="H146" s="828"/>
      <c r="I146" s="420">
        <f>I145</f>
        <v>0</v>
      </c>
      <c r="J146" s="420">
        <f>J145</f>
        <v>0</v>
      </c>
      <c r="K146" s="35"/>
      <c r="L146" s="420">
        <f>L145</f>
        <v>0</v>
      </c>
      <c r="M146" s="420">
        <f>M145</f>
        <v>0</v>
      </c>
      <c r="N146" s="420">
        <f>N145</f>
        <v>0</v>
      </c>
      <c r="O146" s="420">
        <f>O145</f>
        <v>0</v>
      </c>
      <c r="P146" s="35"/>
      <c r="Q146" s="420">
        <f>Q145</f>
        <v>0</v>
      </c>
      <c r="R146" s="420">
        <f>R145</f>
        <v>0</v>
      </c>
      <c r="S146" s="420">
        <f>S145</f>
        <v>0</v>
      </c>
      <c r="T146" s="35"/>
      <c r="U146" s="420">
        <f>U145</f>
        <v>0</v>
      </c>
      <c r="V146" s="420">
        <f>V145</f>
        <v>0</v>
      </c>
      <c r="W146" s="420">
        <f>W145</f>
        <v>0</v>
      </c>
      <c r="X146" s="420"/>
      <c r="Y146" s="833"/>
    </row>
    <row r="147" spans="1:31">
      <c r="A147" s="4"/>
      <c r="G147" s="752"/>
      <c r="H147" s="752"/>
      <c r="I147" s="753"/>
      <c r="J147" s="762"/>
      <c r="K147" s="762"/>
      <c r="L147" s="762"/>
      <c r="M147" s="762"/>
      <c r="N147" s="762"/>
      <c r="O147" s="762"/>
      <c r="P147" s="68"/>
      <c r="Q147" s="762"/>
      <c r="R147" s="762"/>
      <c r="S147" s="762"/>
      <c r="T147" s="68"/>
      <c r="U147" s="35"/>
      <c r="V147" s="136"/>
      <c r="W147" s="827"/>
      <c r="X147" s="827"/>
      <c r="Y147" s="866"/>
    </row>
    <row r="148" spans="1:31">
      <c r="A148" s="4">
        <f>MAX(A$122:A147)+1</f>
        <v>66</v>
      </c>
      <c r="C148" s="7" t="s">
        <v>735</v>
      </c>
      <c r="E148" s="36" t="s">
        <v>674</v>
      </c>
      <c r="G148" s="828">
        <v>2835</v>
      </c>
      <c r="H148" s="752"/>
      <c r="I148" s="861">
        <v>20.749300000000002</v>
      </c>
      <c r="J148" s="762">
        <f>G148*I148/100</f>
        <v>588.24265500000001</v>
      </c>
      <c r="K148" s="762"/>
      <c r="L148" s="762">
        <v>0</v>
      </c>
      <c r="M148" s="828">
        <v>588.24265500000001</v>
      </c>
      <c r="N148" s="762">
        <v>0</v>
      </c>
      <c r="O148" s="762">
        <f>J148-L148-M148-N148</f>
        <v>0</v>
      </c>
      <c r="P148" s="68"/>
      <c r="Q148" s="35">
        <v>0</v>
      </c>
      <c r="R148" s="828">
        <v>717.82949090787918</v>
      </c>
      <c r="S148" s="35">
        <v>0</v>
      </c>
      <c r="T148" s="68"/>
      <c r="U148" s="35">
        <f>SUM(O148:S148)</f>
        <v>717.82949090787918</v>
      </c>
      <c r="V148" s="923">
        <f>IFERROR(U148/G148*100,"-")</f>
        <v>25.320264229554823</v>
      </c>
      <c r="W148" s="827">
        <f>U148-J148</f>
        <v>129.58683590787916</v>
      </c>
      <c r="X148" s="834">
        <f>IFERROR(V148/I148-1,"-")</f>
        <v>0.22029486438360912</v>
      </c>
      <c r="Y148" s="833"/>
      <c r="AA148" s="938"/>
      <c r="AC148" s="938"/>
      <c r="AE148" s="971"/>
    </row>
    <row r="149" spans="1:31">
      <c r="A149" s="4"/>
      <c r="B149" s="734"/>
      <c r="C149" s="7"/>
      <c r="D149" s="734"/>
      <c r="E149" s="734"/>
      <c r="F149" s="734"/>
      <c r="G149" s="838"/>
      <c r="H149" s="838"/>
      <c r="I149" s="753"/>
      <c r="J149" s="762"/>
      <c r="K149" s="762"/>
      <c r="L149" s="762"/>
      <c r="M149" s="762"/>
      <c r="N149" s="762"/>
      <c r="O149" s="762"/>
      <c r="P149" s="790"/>
      <c r="Q149" s="827"/>
      <c r="R149" s="762"/>
      <c r="S149" s="762"/>
      <c r="T149" s="790"/>
      <c r="U149" s="906"/>
      <c r="V149" s="920"/>
      <c r="W149" s="827"/>
      <c r="X149" s="834"/>
      <c r="Y149" s="833"/>
    </row>
    <row r="150" spans="1:31" ht="13.5" thickBot="1">
      <c r="A150" s="4">
        <f>MAX(A$122:A149)+1</f>
        <v>67</v>
      </c>
      <c r="B150" s="385"/>
      <c r="C150" s="7" t="s">
        <v>736</v>
      </c>
      <c r="D150" s="385"/>
      <c r="E150" s="447"/>
      <c r="F150" s="385"/>
      <c r="G150" s="846">
        <v>824970.7141199999</v>
      </c>
      <c r="H150" s="822"/>
      <c r="I150" s="919">
        <f>J150/G150*100</f>
        <v>7.1304671175810297E-2</v>
      </c>
      <c r="J150" s="839">
        <f>J146+J148</f>
        <v>588.24265500000001</v>
      </c>
      <c r="K150" s="762"/>
      <c r="L150" s="799">
        <f>L146+L148</f>
        <v>0</v>
      </c>
      <c r="M150" s="839">
        <f>M146+M148</f>
        <v>588.24265500000001</v>
      </c>
      <c r="N150" s="799">
        <f>N146+N148</f>
        <v>0</v>
      </c>
      <c r="O150" s="799">
        <f>O146+O148</f>
        <v>0</v>
      </c>
      <c r="P150" s="762"/>
      <c r="Q150" s="799">
        <f>Q146+Q148</f>
        <v>0</v>
      </c>
      <c r="R150" s="839">
        <f>R146+R148</f>
        <v>717.82949090787918</v>
      </c>
      <c r="S150" s="799">
        <f>S146+S148</f>
        <v>0</v>
      </c>
      <c r="T150" s="789"/>
      <c r="U150" s="458">
        <f>U146+U148</f>
        <v>717.82949090787918</v>
      </c>
      <c r="V150" s="901">
        <f>U150/G150*100</f>
        <v>8.7012724042403289E-2</v>
      </c>
      <c r="W150" s="918">
        <f>W146+W148</f>
        <v>129.58683590787916</v>
      </c>
      <c r="X150" s="917">
        <f>V150/I150-1</f>
        <v>0.22029486438360935</v>
      </c>
      <c r="Y150" s="833"/>
      <c r="AA150" s="938"/>
      <c r="AC150" s="938"/>
      <c r="AE150" s="971"/>
    </row>
    <row r="151" spans="1:31" ht="13.5" thickTop="1">
      <c r="A151" s="4"/>
      <c r="B151" s="256"/>
      <c r="C151" s="7"/>
      <c r="D151" s="256"/>
      <c r="E151" s="36"/>
      <c r="F151" s="256"/>
      <c r="G151" s="35"/>
      <c r="H151" s="256"/>
      <c r="I151" s="256"/>
      <c r="J151" s="504"/>
      <c r="K151" s="504"/>
      <c r="L151" s="504"/>
      <c r="M151" s="504"/>
      <c r="N151" s="504"/>
      <c r="O151" s="504"/>
      <c r="P151" s="256"/>
      <c r="Q151" s="504"/>
      <c r="R151" s="504"/>
      <c r="S151" s="504"/>
      <c r="T151" s="256"/>
      <c r="U151" s="256"/>
      <c r="V151" s="256"/>
      <c r="W151" s="504"/>
      <c r="X151" s="513"/>
    </row>
    <row r="152" spans="1:31">
      <c r="A152" s="4"/>
      <c r="B152" s="256"/>
      <c r="C152" s="7"/>
      <c r="D152" s="256"/>
      <c r="E152" s="36"/>
      <c r="F152" s="256"/>
      <c r="G152" s="35"/>
      <c r="H152" s="256"/>
      <c r="I152" s="256"/>
      <c r="J152" s="504"/>
      <c r="K152" s="504"/>
      <c r="L152" s="504"/>
      <c r="M152" s="504"/>
      <c r="N152" s="504"/>
      <c r="O152" s="504"/>
      <c r="P152" s="256"/>
      <c r="Q152" s="504"/>
      <c r="R152" s="504"/>
      <c r="S152" s="504"/>
      <c r="T152" s="256"/>
      <c r="U152" s="256"/>
      <c r="V152" s="256"/>
      <c r="W152" s="504"/>
      <c r="X152" s="513"/>
    </row>
    <row r="153" spans="1:31">
      <c r="J153" s="504"/>
      <c r="K153" s="504"/>
      <c r="L153" s="2"/>
      <c r="M153" s="2"/>
      <c r="N153" s="504"/>
      <c r="O153" s="504"/>
      <c r="Q153" s="504"/>
      <c r="R153" s="504"/>
      <c r="S153" s="504"/>
      <c r="W153" s="504"/>
      <c r="X153" s="513"/>
    </row>
    <row r="154" spans="1:31">
      <c r="J154" s="504"/>
      <c r="K154" s="504"/>
      <c r="L154" s="2"/>
      <c r="M154" s="2"/>
      <c r="N154" s="504"/>
      <c r="O154" s="504"/>
      <c r="Q154" s="504"/>
      <c r="R154" s="504"/>
      <c r="S154" s="504"/>
      <c r="V154" s="68"/>
      <c r="W154" s="762"/>
      <c r="X154" s="513"/>
    </row>
    <row r="155" spans="1:31">
      <c r="J155" s="504"/>
      <c r="K155" s="504"/>
      <c r="L155" s="2"/>
      <c r="M155" s="2"/>
      <c r="N155" s="504"/>
      <c r="O155" s="504"/>
      <c r="Q155" s="504"/>
      <c r="R155" s="504"/>
      <c r="S155" s="504"/>
      <c r="W155" s="504"/>
      <c r="X155" s="513"/>
    </row>
    <row r="156" spans="1:31">
      <c r="A156" s="1324" t="s">
        <v>724</v>
      </c>
      <c r="B156" s="1324"/>
      <c r="C156" s="1324"/>
      <c r="D156" s="1324"/>
      <c r="E156" s="1324"/>
      <c r="F156" s="1324"/>
      <c r="G156" s="1324"/>
      <c r="H156" s="1324"/>
      <c r="I156" s="1324"/>
      <c r="J156" s="1324"/>
      <c r="K156" s="1324"/>
      <c r="L156" s="1324"/>
      <c r="M156" s="1324"/>
      <c r="N156" s="1324"/>
      <c r="O156" s="1324"/>
      <c r="P156" s="1324"/>
      <c r="Q156" s="1324"/>
      <c r="R156" s="1324"/>
      <c r="S156" s="1324"/>
      <c r="T156" s="1324"/>
      <c r="U156" s="1324"/>
      <c r="V156" s="1324"/>
      <c r="W156" s="1324"/>
      <c r="X156" s="1324"/>
      <c r="Y156" s="665"/>
    </row>
    <row r="157" spans="1:31">
      <c r="A157" s="1324" t="s">
        <v>963</v>
      </c>
      <c r="B157" s="1324"/>
      <c r="C157" s="1324"/>
      <c r="D157" s="1324"/>
      <c r="E157" s="1324"/>
      <c r="F157" s="1324"/>
      <c r="G157" s="1324"/>
      <c r="H157" s="1324"/>
      <c r="I157" s="1324"/>
      <c r="J157" s="1324"/>
      <c r="K157" s="1324"/>
      <c r="L157" s="1324"/>
      <c r="M157" s="1324"/>
      <c r="N157" s="1324"/>
      <c r="O157" s="1324"/>
      <c r="P157" s="1324"/>
      <c r="Q157" s="1324"/>
      <c r="R157" s="1324"/>
      <c r="S157" s="1324"/>
      <c r="T157" s="1324"/>
      <c r="U157" s="1324"/>
      <c r="V157" s="1324"/>
      <c r="W157" s="1324"/>
      <c r="X157" s="1324"/>
      <c r="Y157" s="644"/>
      <c r="Z157" s="644"/>
    </row>
    <row r="158" spans="1:31">
      <c r="A158" s="385"/>
      <c r="B158" s="385"/>
      <c r="C158" s="385"/>
      <c r="D158" s="385"/>
      <c r="E158" s="447"/>
      <c r="F158" s="385"/>
      <c r="G158" s="447"/>
      <c r="H158" s="385"/>
      <c r="I158" s="385"/>
      <c r="J158" s="504"/>
      <c r="K158" s="504"/>
      <c r="L158" s="3"/>
      <c r="M158" s="3"/>
      <c r="N158" s="504"/>
      <c r="O158" s="504"/>
      <c r="P158" s="385"/>
      <c r="Q158" s="504"/>
      <c r="R158" s="504"/>
      <c r="S158" s="504"/>
      <c r="T158" s="385"/>
      <c r="U158" s="385"/>
      <c r="V158" s="385"/>
      <c r="W158" s="504"/>
      <c r="X158" s="513"/>
    </row>
    <row r="159" spans="1:31">
      <c r="A159" s="447"/>
      <c r="B159" s="447"/>
      <c r="C159" s="447"/>
      <c r="D159" s="447"/>
      <c r="E159" s="256"/>
      <c r="F159" s="256"/>
      <c r="G159" s="1313" t="s">
        <v>682</v>
      </c>
      <c r="H159" s="1313"/>
      <c r="I159" s="1313"/>
      <c r="J159" s="1313"/>
      <c r="K159" s="256"/>
      <c r="L159" s="1313" t="s">
        <v>496</v>
      </c>
      <c r="M159" s="1313"/>
      <c r="N159" s="1313"/>
      <c r="O159" s="256"/>
      <c r="P159" s="447"/>
      <c r="Q159" s="1313" t="s">
        <v>497</v>
      </c>
      <c r="R159" s="1313"/>
      <c r="S159" s="1313"/>
      <c r="T159" s="447"/>
      <c r="U159" s="1313" t="s">
        <v>683</v>
      </c>
      <c r="V159" s="1313"/>
      <c r="W159" s="1313"/>
      <c r="X159" s="1313"/>
      <c r="Y159" s="4"/>
    </row>
    <row r="160" spans="1:31" ht="38.25">
      <c r="A160" s="254" t="s">
        <v>1</v>
      </c>
      <c r="B160" s="254"/>
      <c r="C160" s="254"/>
      <c r="D160" s="254"/>
      <c r="E160" s="4" t="s">
        <v>670</v>
      </c>
      <c r="F160" s="254"/>
      <c r="G160" s="13" t="s">
        <v>684</v>
      </c>
      <c r="H160" s="254"/>
      <c r="I160" s="13" t="s">
        <v>196</v>
      </c>
      <c r="J160" s="254" t="s">
        <v>503</v>
      </c>
      <c r="K160" s="254"/>
      <c r="L160" s="254" t="s">
        <v>955</v>
      </c>
      <c r="M160" s="254" t="s">
        <v>956</v>
      </c>
      <c r="N160" s="254" t="s">
        <v>957</v>
      </c>
      <c r="O160" s="254" t="s">
        <v>958</v>
      </c>
      <c r="P160" s="254"/>
      <c r="Q160" s="254" t="s">
        <v>955</v>
      </c>
      <c r="R160" s="254" t="s">
        <v>956</v>
      </c>
      <c r="S160" s="254" t="s">
        <v>957</v>
      </c>
      <c r="T160" s="254"/>
      <c r="U160" s="13" t="s">
        <v>512</v>
      </c>
      <c r="V160" s="13" t="s">
        <v>691</v>
      </c>
      <c r="W160" s="13" t="s">
        <v>692</v>
      </c>
      <c r="X160" s="254" t="s">
        <v>693</v>
      </c>
      <c r="Y160" s="254"/>
    </row>
    <row r="161" spans="1:31" ht="14.25">
      <c r="A161" s="255" t="s">
        <v>2</v>
      </c>
      <c r="B161" s="256"/>
      <c r="C161" s="449" t="s">
        <v>3</v>
      </c>
      <c r="D161" s="256"/>
      <c r="E161" s="255" t="s">
        <v>4</v>
      </c>
      <c r="F161" s="256"/>
      <c r="G161" s="255" t="s">
        <v>694</v>
      </c>
      <c r="H161" s="256"/>
      <c r="I161" s="255" t="s">
        <v>77</v>
      </c>
      <c r="J161" s="255" t="s">
        <v>20</v>
      </c>
      <c r="K161" s="4"/>
      <c r="L161" s="255" t="s">
        <v>20</v>
      </c>
      <c r="M161" s="255" t="s">
        <v>20</v>
      </c>
      <c r="N161" s="255" t="s">
        <v>20</v>
      </c>
      <c r="O161" s="255" t="s">
        <v>20</v>
      </c>
      <c r="P161" s="256"/>
      <c r="Q161" s="255" t="s">
        <v>20</v>
      </c>
      <c r="R161" s="255" t="s">
        <v>20</v>
      </c>
      <c r="S161" s="255" t="s">
        <v>20</v>
      </c>
      <c r="T161" s="256"/>
      <c r="U161" s="255" t="s">
        <v>20</v>
      </c>
      <c r="V161" s="255" t="s">
        <v>77</v>
      </c>
      <c r="W161" s="255" t="s">
        <v>20</v>
      </c>
      <c r="X161" s="255" t="s">
        <v>76</v>
      </c>
      <c r="Y161" s="4"/>
    </row>
    <row r="162" spans="1:31">
      <c r="A162" s="4"/>
      <c r="B162" s="256"/>
      <c r="C162" s="256"/>
      <c r="D162" s="256"/>
      <c r="E162" s="4"/>
      <c r="F162" s="256"/>
      <c r="G162" s="4" t="s">
        <v>8</v>
      </c>
      <c r="H162" s="4"/>
      <c r="I162" s="4" t="s">
        <v>9</v>
      </c>
      <c r="J162" s="4" t="s">
        <v>370</v>
      </c>
      <c r="K162" s="4"/>
      <c r="L162" s="132" t="s">
        <v>79</v>
      </c>
      <c r="M162" s="132" t="s">
        <v>115</v>
      </c>
      <c r="N162" s="4" t="s">
        <v>81</v>
      </c>
      <c r="O162" s="4" t="s">
        <v>959</v>
      </c>
      <c r="P162" s="4"/>
      <c r="Q162" s="4" t="s">
        <v>118</v>
      </c>
      <c r="R162" s="4" t="s">
        <v>84</v>
      </c>
      <c r="S162" s="4" t="s">
        <v>516</v>
      </c>
      <c r="T162" s="4"/>
      <c r="U162" s="4" t="s">
        <v>960</v>
      </c>
      <c r="V162" s="4" t="s">
        <v>518</v>
      </c>
      <c r="W162" s="4" t="s">
        <v>961</v>
      </c>
      <c r="X162" s="4" t="s">
        <v>962</v>
      </c>
    </row>
    <row r="163" spans="1:31">
      <c r="A163" s="447"/>
      <c r="B163" s="447"/>
      <c r="C163" s="447"/>
      <c r="D163" s="447"/>
      <c r="E163" s="385"/>
      <c r="F163" s="447"/>
      <c r="G163" s="822"/>
      <c r="H163" s="856"/>
      <c r="I163" s="753"/>
      <c r="J163" s="504"/>
      <c r="K163" s="504"/>
      <c r="L163" s="504"/>
      <c r="M163" s="504"/>
      <c r="N163" s="504"/>
      <c r="O163" s="504"/>
      <c r="P163" s="447"/>
      <c r="Q163" s="504"/>
      <c r="R163" s="504"/>
      <c r="S163" s="504"/>
      <c r="T163" s="447"/>
      <c r="U163" s="447"/>
      <c r="V163" s="916"/>
      <c r="W163" s="504"/>
      <c r="X163" s="513"/>
    </row>
    <row r="164" spans="1:31">
      <c r="A164" s="254"/>
      <c r="B164" s="254"/>
      <c r="C164" s="6" t="s">
        <v>168</v>
      </c>
      <c r="D164" s="254"/>
      <c r="E164" s="4"/>
      <c r="F164" s="254"/>
      <c r="G164" s="13"/>
      <c r="H164" s="254"/>
      <c r="I164" s="504"/>
      <c r="J164" s="762"/>
      <c r="K164" s="762"/>
      <c r="L164" s="762"/>
      <c r="M164" s="762"/>
      <c r="N164" s="762"/>
      <c r="O164" s="762"/>
      <c r="P164" s="254"/>
      <c r="Q164" s="504"/>
      <c r="R164" s="504"/>
      <c r="S164" s="504"/>
      <c r="T164" s="254"/>
      <c r="U164" s="254"/>
      <c r="V164" s="254"/>
      <c r="W164" s="504"/>
      <c r="X164" s="513"/>
    </row>
    <row r="165" spans="1:31">
      <c r="A165" s="4">
        <v>68</v>
      </c>
      <c r="B165" s="256"/>
      <c r="C165" s="7" t="s">
        <v>703</v>
      </c>
      <c r="D165" s="256"/>
      <c r="E165" s="36" t="s">
        <v>704</v>
      </c>
      <c r="F165" s="256"/>
      <c r="G165" s="35">
        <v>492</v>
      </c>
      <c r="H165" s="256"/>
      <c r="I165" s="35">
        <v>0</v>
      </c>
      <c r="J165" s="762">
        <v>0</v>
      </c>
      <c r="K165" s="762"/>
      <c r="L165" s="762">
        <v>0</v>
      </c>
      <c r="M165" s="762">
        <v>0</v>
      </c>
      <c r="N165" s="762">
        <v>0</v>
      </c>
      <c r="O165" s="762">
        <v>0</v>
      </c>
      <c r="P165" s="771"/>
      <c r="Q165" s="762">
        <v>0</v>
      </c>
      <c r="R165" s="762">
        <v>0</v>
      </c>
      <c r="S165" s="762">
        <v>0</v>
      </c>
      <c r="T165" s="771"/>
      <c r="U165" s="771">
        <v>0</v>
      </c>
      <c r="V165" s="771">
        <v>0</v>
      </c>
      <c r="W165" s="762">
        <v>0</v>
      </c>
      <c r="X165" s="988"/>
      <c r="Y165" s="769"/>
      <c r="AA165" s="938"/>
      <c r="AE165" s="954"/>
    </row>
    <row r="166" spans="1:31">
      <c r="A166" s="4"/>
      <c r="B166" s="256"/>
      <c r="C166" s="7" t="s">
        <v>737</v>
      </c>
      <c r="D166" s="256"/>
      <c r="E166" s="4"/>
      <c r="F166" s="256"/>
      <c r="G166" s="4"/>
      <c r="H166" s="256"/>
      <c r="I166" s="504"/>
      <c r="J166" s="762"/>
      <c r="K166" s="762"/>
      <c r="L166" s="762"/>
      <c r="M166" s="762"/>
      <c r="N166" s="762"/>
      <c r="O166" s="762"/>
      <c r="P166" s="256"/>
      <c r="Q166" s="762"/>
      <c r="R166" s="762"/>
      <c r="S166" s="762"/>
      <c r="T166" s="771"/>
      <c r="U166" s="771"/>
      <c r="V166" s="771"/>
      <c r="W166" s="762"/>
      <c r="X166" s="976"/>
      <c r="Y166" s="769"/>
    </row>
    <row r="167" spans="1:31">
      <c r="A167" s="4"/>
      <c r="B167" s="256"/>
      <c r="C167" s="512" t="s">
        <v>705</v>
      </c>
      <c r="D167" s="256"/>
      <c r="E167" s="860"/>
      <c r="F167" s="256"/>
      <c r="G167" s="870"/>
      <c r="H167" s="256"/>
      <c r="I167" s="504"/>
      <c r="J167" s="762"/>
      <c r="K167" s="762"/>
      <c r="L167" s="762"/>
      <c r="M167" s="762"/>
      <c r="N167" s="762"/>
      <c r="O167" s="762"/>
      <c r="P167" s="256"/>
      <c r="Q167" s="762"/>
      <c r="R167" s="762"/>
      <c r="S167" s="762"/>
      <c r="T167" s="771"/>
      <c r="U167" s="771"/>
      <c r="V167" s="771"/>
      <c r="W167" s="762"/>
      <c r="X167" s="834"/>
      <c r="Y167" s="769"/>
    </row>
    <row r="168" spans="1:31">
      <c r="A168" s="4">
        <v>69</v>
      </c>
      <c r="B168" s="256"/>
      <c r="C168" s="512" t="s">
        <v>738</v>
      </c>
      <c r="D168" s="256"/>
      <c r="E168" s="36" t="s">
        <v>674</v>
      </c>
      <c r="F168" s="256"/>
      <c r="G168" s="35">
        <v>402.14400000000001</v>
      </c>
      <c r="H168" s="256"/>
      <c r="I168" s="861">
        <v>0.26966326187814804</v>
      </c>
      <c r="J168" s="762">
        <f>G168*I168/100</f>
        <v>1.0844346278472596</v>
      </c>
      <c r="K168" s="762"/>
      <c r="L168" s="35">
        <v>4.2535944758403228E-2</v>
      </c>
      <c r="M168" s="35">
        <v>0.8543162153724142</v>
      </c>
      <c r="N168" s="762">
        <v>0</v>
      </c>
      <c r="O168" s="762">
        <f>J168-L168-M168-N168</f>
        <v>0.18758246771644216</v>
      </c>
      <c r="P168" s="256"/>
      <c r="Q168" s="35">
        <v>3.557187638544717E-2</v>
      </c>
      <c r="R168" s="35">
        <v>0.93626292774108477</v>
      </c>
      <c r="S168" s="762">
        <v>0</v>
      </c>
      <c r="T168" s="771"/>
      <c r="U168" s="771">
        <f>SUM(O168:S168)</f>
        <v>1.1594172718429741</v>
      </c>
      <c r="V168" s="821">
        <f>U168/G168*100</f>
        <v>0.28830898181819797</v>
      </c>
      <c r="W168" s="762">
        <f>U168-J168</f>
        <v>7.4982643995714415E-2</v>
      </c>
      <c r="X168" s="834"/>
      <c r="Y168" s="769"/>
      <c r="AA168" s="938"/>
      <c r="AC168" s="938"/>
      <c r="AE168" s="971"/>
    </row>
    <row r="169" spans="1:31">
      <c r="A169" s="4">
        <v>70</v>
      </c>
      <c r="B169" s="256"/>
      <c r="C169" s="512" t="s">
        <v>739</v>
      </c>
      <c r="D169" s="256"/>
      <c r="E169" s="36" t="s">
        <v>674</v>
      </c>
      <c r="F169" s="256"/>
      <c r="G169" s="35">
        <v>846.84799999999996</v>
      </c>
      <c r="H169" s="256"/>
      <c r="I169" s="861">
        <v>0.26989745298271917</v>
      </c>
      <c r="J169" s="762">
        <f>G169*I169/100</f>
        <v>2.2856211826350976</v>
      </c>
      <c r="K169" s="762"/>
      <c r="L169" s="35">
        <v>8.9573584951570223E-2</v>
      </c>
      <c r="M169" s="35">
        <v>1.7990470536815126</v>
      </c>
      <c r="N169" s="762">
        <v>0</v>
      </c>
      <c r="O169" s="762">
        <f>J169-L169-M169-N169</f>
        <v>0.39700054400201457</v>
      </c>
      <c r="P169" s="256"/>
      <c r="Q169" s="35">
        <v>7.490842179235091E-2</v>
      </c>
      <c r="R169" s="35">
        <v>1.971613123238646</v>
      </c>
      <c r="S169" s="762">
        <v>0</v>
      </c>
      <c r="T169" s="771"/>
      <c r="U169" s="771">
        <f>SUM(O169:S169)</f>
        <v>2.4435220890330114</v>
      </c>
      <c r="V169" s="821">
        <f>U169/G169*100</f>
        <v>0.2885431729227691</v>
      </c>
      <c r="W169" s="762">
        <f>U169-J169</f>
        <v>0.15790090639791377</v>
      </c>
      <c r="X169" s="834"/>
      <c r="Y169" s="769"/>
      <c r="AA169" s="938"/>
      <c r="AC169" s="938"/>
      <c r="AE169" s="971"/>
    </row>
    <row r="170" spans="1:31">
      <c r="A170" s="4">
        <v>71</v>
      </c>
      <c r="B170" s="256"/>
      <c r="C170" s="512" t="s">
        <v>740</v>
      </c>
      <c r="D170" s="256"/>
      <c r="E170" s="36" t="s">
        <v>674</v>
      </c>
      <c r="F170" s="256"/>
      <c r="G170" s="35">
        <v>2136.3440000000001</v>
      </c>
      <c r="H170" s="256"/>
      <c r="I170" s="861">
        <v>0.26981835274511567</v>
      </c>
      <c r="J170" s="762">
        <f>G170*I170/100</f>
        <v>5.7642481897691145</v>
      </c>
      <c r="K170" s="762"/>
      <c r="L170" s="35">
        <v>0.22596734097474086</v>
      </c>
      <c r="M170" s="35">
        <v>4.5384571715941675</v>
      </c>
      <c r="N170" s="762">
        <v>0</v>
      </c>
      <c r="O170" s="762">
        <f>J170-L170-M170-N170</f>
        <v>0.99982367720020626</v>
      </c>
      <c r="P170" s="256"/>
      <c r="Q170" s="35">
        <v>0.18897152434150891</v>
      </c>
      <c r="R170" s="35">
        <v>4.9737897074234612</v>
      </c>
      <c r="S170" s="762">
        <v>0</v>
      </c>
      <c r="T170" s="771"/>
      <c r="U170" s="771">
        <f>SUM(O170:S170)</f>
        <v>6.1625849089651759</v>
      </c>
      <c r="V170" s="821">
        <f>U170/G170*100</f>
        <v>0.28846407268516566</v>
      </c>
      <c r="W170" s="762">
        <f>U170-J170</f>
        <v>0.3983367191960614</v>
      </c>
      <c r="X170" s="834"/>
      <c r="Y170" s="769"/>
      <c r="AA170" s="938"/>
      <c r="AC170" s="938"/>
      <c r="AE170" s="971"/>
    </row>
    <row r="171" spans="1:31">
      <c r="A171" s="4">
        <v>72</v>
      </c>
      <c r="B171" s="256"/>
      <c r="C171" s="512" t="s">
        <v>705</v>
      </c>
      <c r="D171" s="256"/>
      <c r="E171" s="36"/>
      <c r="F171" s="256"/>
      <c r="G171" s="420">
        <f>SUM(G168:G170)</f>
        <v>3385.3360000000002</v>
      </c>
      <c r="H171" s="256"/>
      <c r="I171" s="914">
        <f>J171/G171*100</f>
        <v>0.26981971657322851</v>
      </c>
      <c r="J171" s="805">
        <f>SUM(J168:J170)</f>
        <v>9.1343040002514719</v>
      </c>
      <c r="K171" s="762"/>
      <c r="L171" s="805">
        <f>SUM(L168:L170)</f>
        <v>0.35807687068471428</v>
      </c>
      <c r="M171" s="805">
        <f>SUM(M168:M170)</f>
        <v>7.1918204406480939</v>
      </c>
      <c r="N171" s="805">
        <f>SUM(N168:N170)</f>
        <v>0</v>
      </c>
      <c r="O171" s="805">
        <f>SUM(O168:O170)</f>
        <v>1.584406688918663</v>
      </c>
      <c r="P171" s="256"/>
      <c r="Q171" s="807">
        <f>SUM(Q168:Q170)</f>
        <v>0.29945182251930702</v>
      </c>
      <c r="R171" s="807">
        <f>SUM(R168:R170)</f>
        <v>7.8816657584031917</v>
      </c>
      <c r="S171" s="807">
        <f>SUM(S168:S170)</f>
        <v>0</v>
      </c>
      <c r="T171" s="771"/>
      <c r="U171" s="807">
        <f>SUM(U168:U170)</f>
        <v>9.765524269841162</v>
      </c>
      <c r="V171" s="902">
        <f>U171/G171*100</f>
        <v>0.28846543651327844</v>
      </c>
      <c r="W171" s="805">
        <f>SUM(W168:W170)</f>
        <v>0.63122026958968958</v>
      </c>
      <c r="X171" s="921">
        <f>V171/I171-1</f>
        <v>6.9104364117102968E-2</v>
      </c>
      <c r="Y171" s="769"/>
      <c r="AA171" s="938"/>
      <c r="AC171" s="938"/>
      <c r="AE171" s="971"/>
    </row>
    <row r="172" spans="1:31">
      <c r="A172" s="4"/>
      <c r="B172" s="256"/>
      <c r="C172" s="7"/>
      <c r="D172" s="256"/>
      <c r="E172" s="36"/>
      <c r="F172" s="256"/>
      <c r="G172" s="35"/>
      <c r="H172" s="256"/>
      <c r="I172" s="504"/>
      <c r="J172" s="762"/>
      <c r="K172" s="762"/>
      <c r="L172" s="762"/>
      <c r="M172" s="762"/>
      <c r="N172" s="762"/>
      <c r="O172" s="762"/>
      <c r="P172" s="256"/>
      <c r="Q172" s="762"/>
      <c r="R172" s="762"/>
      <c r="S172" s="762"/>
      <c r="T172" s="771"/>
      <c r="U172" s="771"/>
      <c r="V172" s="771"/>
      <c r="W172" s="504"/>
      <c r="X172" s="834"/>
      <c r="Y172" s="769"/>
      <c r="AA172" s="938"/>
      <c r="AE172" s="971"/>
    </row>
    <row r="173" spans="1:31">
      <c r="A173" s="4"/>
      <c r="B173" s="256"/>
      <c r="C173" s="7" t="s">
        <v>741</v>
      </c>
      <c r="D173" s="256"/>
      <c r="E173" s="36"/>
      <c r="F173" s="256"/>
      <c r="G173" s="35"/>
      <c r="H173" s="256"/>
      <c r="I173" s="504"/>
      <c r="J173" s="762"/>
      <c r="K173" s="762"/>
      <c r="L173" s="762"/>
      <c r="M173" s="762"/>
      <c r="N173" s="762"/>
      <c r="O173" s="762"/>
      <c r="P173" s="256"/>
      <c r="Q173" s="762"/>
      <c r="R173" s="762"/>
      <c r="S173" s="762"/>
      <c r="T173" s="771"/>
      <c r="U173" s="771"/>
      <c r="V173" s="771"/>
      <c r="W173" s="504"/>
      <c r="X173" s="834"/>
      <c r="Y173" s="769"/>
      <c r="AA173" s="938"/>
      <c r="AE173" s="971"/>
    </row>
    <row r="174" spans="1:31">
      <c r="A174" s="4"/>
      <c r="B174" s="256"/>
      <c r="C174" s="512" t="s">
        <v>705</v>
      </c>
      <c r="D174" s="256"/>
      <c r="E174" s="36"/>
      <c r="F174" s="256"/>
      <c r="G174" s="453"/>
      <c r="H174" s="256"/>
      <c r="I174" s="504"/>
      <c r="J174" s="762"/>
      <c r="K174" s="762"/>
      <c r="L174" s="762"/>
      <c r="M174" s="762"/>
      <c r="N174" s="762"/>
      <c r="O174" s="762"/>
      <c r="P174" s="256"/>
      <c r="Q174" s="762"/>
      <c r="R174" s="762"/>
      <c r="S174" s="762"/>
      <c r="T174" s="771"/>
      <c r="U174" s="771"/>
      <c r="V174" s="771"/>
      <c r="W174" s="504"/>
      <c r="X174" s="834"/>
      <c r="Y174" s="769"/>
      <c r="AA174" s="938"/>
      <c r="AE174" s="971"/>
    </row>
    <row r="175" spans="1:31">
      <c r="A175" s="4">
        <v>73</v>
      </c>
      <c r="B175" s="256"/>
      <c r="C175" s="512" t="s">
        <v>738</v>
      </c>
      <c r="D175" s="256"/>
      <c r="E175" s="36" t="s">
        <v>674</v>
      </c>
      <c r="F175" s="256"/>
      <c r="G175" s="35">
        <v>3705.44</v>
      </c>
      <c r="H175" s="256"/>
      <c r="I175" s="861">
        <v>0.26968876675910014</v>
      </c>
      <c r="J175" s="762">
        <f>G175*I175/100</f>
        <v>9.9931554389984001</v>
      </c>
      <c r="K175" s="762"/>
      <c r="L175" s="35">
        <v>0.39193520516426367</v>
      </c>
      <c r="M175" s="35">
        <v>7.8718505736491373</v>
      </c>
      <c r="N175" s="762">
        <v>0</v>
      </c>
      <c r="O175" s="762">
        <f>J175-L175-M175-N175</f>
        <v>1.7293696601849984</v>
      </c>
      <c r="P175" s="256"/>
      <c r="Q175" s="35">
        <v>0.32776680401470953</v>
      </c>
      <c r="R175" s="35">
        <v>8.6269249397452796</v>
      </c>
      <c r="S175" s="762">
        <v>0</v>
      </c>
      <c r="T175" s="771"/>
      <c r="U175" s="771">
        <f>SUM(O175:S175)</f>
        <v>10.684061403944987</v>
      </c>
      <c r="V175" s="821">
        <f>U175/G175*100</f>
        <v>0.28833448669915013</v>
      </c>
      <c r="W175" s="762">
        <f>U175-J175</f>
        <v>0.6909059649465874</v>
      </c>
      <c r="X175" s="834"/>
      <c r="Y175" s="769"/>
      <c r="AA175" s="938"/>
      <c r="AC175" s="938"/>
      <c r="AE175" s="971"/>
    </row>
    <row r="176" spans="1:31">
      <c r="A176" s="4">
        <v>74</v>
      </c>
      <c r="B176" s="256"/>
      <c r="C176" s="512" t="s">
        <v>739</v>
      </c>
      <c r="D176" s="256"/>
      <c r="E176" s="36" t="s">
        <v>674</v>
      </c>
      <c r="F176" s="256"/>
      <c r="G176" s="35">
        <v>7201.058</v>
      </c>
      <c r="H176" s="256"/>
      <c r="I176" s="861">
        <v>0.26966964603921939</v>
      </c>
      <c r="J176" s="762">
        <f>G176*I176/100</f>
        <v>19.419067619678891</v>
      </c>
      <c r="K176" s="762"/>
      <c r="L176" s="35">
        <v>0.76167692490763905</v>
      </c>
      <c r="M176" s="35">
        <v>15.297954506935939</v>
      </c>
      <c r="N176" s="762">
        <v>0</v>
      </c>
      <c r="O176" s="762">
        <f>J176-L176-M176-N176</f>
        <v>3.3594361878353123</v>
      </c>
      <c r="P176" s="256"/>
      <c r="Q176" s="35">
        <v>0.63697368360695528</v>
      </c>
      <c r="R176" s="35">
        <v>16.765346855637187</v>
      </c>
      <c r="S176" s="762">
        <v>0</v>
      </c>
      <c r="T176" s="771"/>
      <c r="U176" s="771">
        <f>SUM(O176:S176)</f>
        <v>20.761756727079455</v>
      </c>
      <c r="V176" s="821">
        <f>U176/G176*100</f>
        <v>0.28831536597926932</v>
      </c>
      <c r="W176" s="762">
        <f>U176-J176</f>
        <v>1.3426891074005631</v>
      </c>
      <c r="X176" s="834"/>
      <c r="Y176" s="769"/>
      <c r="AA176" s="938"/>
      <c r="AC176" s="938"/>
      <c r="AE176" s="971"/>
    </row>
    <row r="177" spans="1:31">
      <c r="A177" s="4">
        <v>75</v>
      </c>
      <c r="C177" s="512" t="s">
        <v>740</v>
      </c>
      <c r="E177" s="36" t="s">
        <v>674</v>
      </c>
      <c r="G177" s="35">
        <v>38354.665000000001</v>
      </c>
      <c r="I177" s="861">
        <v>0.26966926708618133</v>
      </c>
      <c r="J177" s="762">
        <f>G177*I177/100</f>
        <v>103.43074399886011</v>
      </c>
      <c r="K177" s="762"/>
      <c r="L177" s="35">
        <v>4.0568848762310559</v>
      </c>
      <c r="M177" s="35">
        <v>81.480793558219929</v>
      </c>
      <c r="N177" s="762">
        <v>0</v>
      </c>
      <c r="O177" s="762">
        <f>J177-L177-M177-N177</f>
        <v>17.893065564409127</v>
      </c>
      <c r="Q177" s="35">
        <v>3.3926837207200333</v>
      </c>
      <c r="R177" s="35">
        <v>89.296498133575312</v>
      </c>
      <c r="S177" s="762">
        <v>0</v>
      </c>
      <c r="T177" s="68"/>
      <c r="U177" s="771">
        <f>SUM(O177:S177)</f>
        <v>110.58224741870447</v>
      </c>
      <c r="V177" s="821">
        <f>U177/G177*100</f>
        <v>0.28831498702623126</v>
      </c>
      <c r="W177" s="762">
        <f>U177-J177</f>
        <v>7.1515034198443601</v>
      </c>
      <c r="X177" s="834"/>
      <c r="Y177" s="769"/>
      <c r="AA177" s="938"/>
      <c r="AC177" s="938"/>
      <c r="AE177" s="971"/>
    </row>
    <row r="178" spans="1:31">
      <c r="A178" s="4">
        <v>76</v>
      </c>
      <c r="B178" s="256"/>
      <c r="C178" s="512" t="s">
        <v>705</v>
      </c>
      <c r="D178" s="256"/>
      <c r="E178" s="742"/>
      <c r="F178" s="256"/>
      <c r="G178" s="420">
        <f>SUM(G175:G177)</f>
        <v>49261.163</v>
      </c>
      <c r="H178" s="256"/>
      <c r="I178" s="914">
        <f>J178/G178*100</f>
        <v>0.2696707892534681</v>
      </c>
      <c r="J178" s="805">
        <f>SUM(J175:J177)</f>
        <v>132.84296705753741</v>
      </c>
      <c r="K178" s="762"/>
      <c r="L178" s="805">
        <f>SUM(L175:L177)</f>
        <v>5.2104970063029583</v>
      </c>
      <c r="M178" s="805">
        <f>SUM(M175:M177)</f>
        <v>104.65059863880501</v>
      </c>
      <c r="N178" s="805">
        <f>SUM(N175:N177)</f>
        <v>0</v>
      </c>
      <c r="O178" s="805">
        <f>SUM(O175:O177)</f>
        <v>22.981871412429438</v>
      </c>
      <c r="P178" s="256"/>
      <c r="Q178" s="807">
        <f>SUM(Q175:Q177)</f>
        <v>4.3574242083416976</v>
      </c>
      <c r="R178" s="807">
        <f>SUM(R175:R177)</f>
        <v>114.68876992895778</v>
      </c>
      <c r="S178" s="807">
        <f>SUM(S175:S177)</f>
        <v>0</v>
      </c>
      <c r="T178" s="771"/>
      <c r="U178" s="807">
        <f>SUM(U175:U177)</f>
        <v>142.02806554972892</v>
      </c>
      <c r="V178" s="902">
        <f>U178/G178*100</f>
        <v>0.28831650919351809</v>
      </c>
      <c r="W178" s="805">
        <f>SUM(W175:W177)</f>
        <v>9.1850984921915106</v>
      </c>
      <c r="X178" s="921">
        <f>V178/I178-1</f>
        <v>6.91425274189581E-2</v>
      </c>
      <c r="Y178" s="769"/>
      <c r="AA178" s="938"/>
      <c r="AC178" s="938"/>
      <c r="AE178" s="971"/>
    </row>
    <row r="179" spans="1:31">
      <c r="A179" s="4"/>
      <c r="B179" s="256"/>
      <c r="C179" s="7"/>
      <c r="D179" s="256"/>
      <c r="E179" s="742"/>
      <c r="F179" s="256"/>
      <c r="G179" s="35"/>
      <c r="H179" s="256"/>
      <c r="I179" s="504"/>
      <c r="J179" s="762"/>
      <c r="K179" s="762"/>
      <c r="L179" s="762"/>
      <c r="M179" s="762"/>
      <c r="N179" s="762"/>
      <c r="O179" s="762"/>
      <c r="P179" s="256"/>
      <c r="Q179" s="762"/>
      <c r="R179" s="762"/>
      <c r="S179" s="762"/>
      <c r="T179" s="771"/>
      <c r="U179" s="771"/>
      <c r="V179" s="771"/>
      <c r="W179" s="504"/>
      <c r="X179" s="834"/>
      <c r="Y179" s="769"/>
      <c r="AA179" s="938"/>
      <c r="AE179" s="971"/>
    </row>
    <row r="180" spans="1:31">
      <c r="A180" s="4">
        <v>77</v>
      </c>
      <c r="B180" s="256"/>
      <c r="C180" s="7" t="s">
        <v>742</v>
      </c>
      <c r="D180" s="256"/>
      <c r="E180" s="36" t="s">
        <v>674</v>
      </c>
      <c r="F180" s="256"/>
      <c r="G180" s="35">
        <v>576.94793424657541</v>
      </c>
      <c r="H180" s="256"/>
      <c r="I180" s="897">
        <v>-77</v>
      </c>
      <c r="J180" s="762">
        <f>G180*I180/100</f>
        <v>-444.24990936986308</v>
      </c>
      <c r="K180" s="762"/>
      <c r="L180" s="762">
        <v>0</v>
      </c>
      <c r="M180" s="762">
        <v>0</v>
      </c>
      <c r="N180" s="762">
        <v>0</v>
      </c>
      <c r="O180" s="762">
        <f>J180-L180-M180-N180</f>
        <v>-444.24990936986308</v>
      </c>
      <c r="P180" s="256"/>
      <c r="Q180" s="762">
        <v>0</v>
      </c>
      <c r="R180" s="762">
        <v>0</v>
      </c>
      <c r="S180" s="762">
        <v>0</v>
      </c>
      <c r="T180" s="771"/>
      <c r="U180" s="771">
        <f>SUM(O180:S180)</f>
        <v>-444.24990936986308</v>
      </c>
      <c r="V180" s="771">
        <v>0</v>
      </c>
      <c r="W180" s="771">
        <v>0</v>
      </c>
      <c r="X180" s="453"/>
      <c r="Y180" s="323"/>
      <c r="AA180" s="938"/>
      <c r="AE180" s="971"/>
    </row>
    <row r="181" spans="1:31">
      <c r="A181" s="4"/>
      <c r="B181" s="256"/>
      <c r="C181" s="7"/>
      <c r="D181" s="256"/>
      <c r="E181" s="742"/>
      <c r="F181" s="256"/>
      <c r="G181" s="35"/>
      <c r="H181" s="256"/>
      <c r="I181" s="504"/>
      <c r="J181" s="762"/>
      <c r="K181" s="762"/>
      <c r="L181" s="762"/>
      <c r="M181" s="762"/>
      <c r="N181" s="762"/>
      <c r="O181" s="762"/>
      <c r="P181" s="256"/>
      <c r="Q181" s="762"/>
      <c r="R181" s="762"/>
      <c r="S181" s="762"/>
      <c r="T181" s="771"/>
      <c r="U181" s="771"/>
      <c r="V181" s="771"/>
      <c r="W181" s="504"/>
      <c r="X181" s="834"/>
      <c r="Y181" s="769"/>
      <c r="AA181" s="938"/>
      <c r="AE181" s="971"/>
    </row>
    <row r="182" spans="1:31">
      <c r="A182" s="4">
        <v>78</v>
      </c>
      <c r="B182" s="256"/>
      <c r="C182" s="7" t="s">
        <v>710</v>
      </c>
      <c r="D182" s="256"/>
      <c r="E182" s="742"/>
      <c r="F182" s="256"/>
      <c r="G182" s="420">
        <f>G178</f>
        <v>49261.163</v>
      </c>
      <c r="H182" s="35"/>
      <c r="I182" s="914">
        <f>I178</f>
        <v>0.2696707892534681</v>
      </c>
      <c r="J182" s="420">
        <f>J171+J178+J180</f>
        <v>-302.27263831207421</v>
      </c>
      <c r="K182" s="35"/>
      <c r="L182" s="420">
        <f>L171+L178+L180</f>
        <v>5.5685738769876725</v>
      </c>
      <c r="M182" s="420">
        <f>M171+M178+M180</f>
        <v>111.84241907945309</v>
      </c>
      <c r="N182" s="420">
        <f>N171+N178+N180</f>
        <v>0</v>
      </c>
      <c r="O182" s="420">
        <f>O171+O178+O180</f>
        <v>-419.683631268515</v>
      </c>
      <c r="P182" s="35"/>
      <c r="Q182" s="420">
        <f>Q171+Q178+Q180</f>
        <v>4.6568760308610049</v>
      </c>
      <c r="R182" s="420">
        <f>R171+R178+R180</f>
        <v>122.57043568736097</v>
      </c>
      <c r="S182" s="420">
        <f>S171+S178+S180</f>
        <v>0</v>
      </c>
      <c r="T182" s="35"/>
      <c r="U182" s="420">
        <f>U171+U178+U180</f>
        <v>-292.45631955029296</v>
      </c>
      <c r="V182" s="902">
        <f>V178</f>
        <v>0.28831650919351809</v>
      </c>
      <c r="W182" s="420">
        <f>W171+W178+W180</f>
        <v>9.8163187617812007</v>
      </c>
      <c r="X182" s="921">
        <f>X178</f>
        <v>6.91425274189581E-2</v>
      </c>
      <c r="Y182" s="769"/>
      <c r="AA182" s="938"/>
      <c r="AE182" s="971"/>
    </row>
    <row r="183" spans="1:31">
      <c r="A183" s="4"/>
      <c r="B183" s="256"/>
      <c r="C183" s="7"/>
      <c r="D183" s="256"/>
      <c r="E183" s="36"/>
      <c r="F183" s="256"/>
      <c r="G183" s="453"/>
      <c r="H183" s="256"/>
      <c r="I183" s="504"/>
      <c r="J183" s="762"/>
      <c r="K183" s="762"/>
      <c r="L183" s="762"/>
      <c r="M183" s="762"/>
      <c r="N183" s="762"/>
      <c r="O183" s="762"/>
      <c r="P183" s="256"/>
      <c r="Q183" s="762"/>
      <c r="R183" s="762"/>
      <c r="S183" s="762"/>
      <c r="T183" s="771"/>
      <c r="U183" s="771"/>
      <c r="V183" s="771"/>
      <c r="W183" s="504"/>
      <c r="X183" s="834"/>
      <c r="Y183" s="769"/>
      <c r="AA183" s="938"/>
      <c r="AE183" s="971"/>
    </row>
    <row r="184" spans="1:31">
      <c r="A184" s="4">
        <v>79</v>
      </c>
      <c r="C184" s="9" t="s">
        <v>711</v>
      </c>
      <c r="E184" s="742" t="s">
        <v>674</v>
      </c>
      <c r="G184" s="35">
        <v>52646.499000000003</v>
      </c>
      <c r="H184" s="752"/>
      <c r="I184" s="35">
        <v>0</v>
      </c>
      <c r="J184" s="762">
        <f>G184*I184/100</f>
        <v>0</v>
      </c>
      <c r="K184" s="762"/>
      <c r="L184" s="762">
        <v>0</v>
      </c>
      <c r="M184" s="762">
        <v>0</v>
      </c>
      <c r="N184" s="762">
        <v>0</v>
      </c>
      <c r="O184" s="762">
        <f>J184-L184-M184-N184</f>
        <v>0</v>
      </c>
      <c r="Q184" s="762">
        <v>0</v>
      </c>
      <c r="R184" s="762">
        <v>0</v>
      </c>
      <c r="S184" s="762">
        <v>0</v>
      </c>
      <c r="T184" s="68"/>
      <c r="U184" s="771">
        <v>0</v>
      </c>
      <c r="V184" s="68">
        <f>U184/G184*100</f>
        <v>0</v>
      </c>
      <c r="W184" s="762">
        <f>U184-J184</f>
        <v>0</v>
      </c>
      <c r="X184" s="834"/>
      <c r="Y184" s="833"/>
      <c r="AA184" s="938"/>
      <c r="AC184" s="938"/>
      <c r="AE184" s="971"/>
    </row>
    <row r="185" spans="1:31">
      <c r="A185" s="4"/>
      <c r="C185" s="9"/>
      <c r="E185" s="742"/>
      <c r="G185" s="35"/>
      <c r="H185" s="752"/>
      <c r="I185" s="35"/>
      <c r="J185" s="762"/>
      <c r="K185" s="762"/>
      <c r="L185" s="762"/>
      <c r="M185" s="762"/>
      <c r="N185" s="762"/>
      <c r="O185" s="762"/>
      <c r="Q185" s="762"/>
      <c r="R185" s="762"/>
      <c r="S185" s="762"/>
      <c r="T185" s="68"/>
      <c r="U185" s="771"/>
      <c r="V185" s="68"/>
      <c r="W185" s="762"/>
      <c r="X185" s="834"/>
      <c r="Y185" s="833"/>
      <c r="AA185" s="938"/>
      <c r="AC185" s="938"/>
      <c r="AE185" s="971"/>
    </row>
    <row r="186" spans="1:31">
      <c r="A186" s="4"/>
      <c r="C186" s="7" t="s">
        <v>712</v>
      </c>
      <c r="E186" s="742"/>
      <c r="G186" s="35"/>
      <c r="H186" s="752"/>
      <c r="I186" s="35"/>
      <c r="J186" s="762"/>
      <c r="K186" s="762"/>
      <c r="L186" s="762"/>
      <c r="M186" s="762"/>
      <c r="N186" s="762"/>
      <c r="O186" s="762"/>
      <c r="Q186" s="762"/>
      <c r="R186" s="762"/>
      <c r="S186" s="762"/>
      <c r="T186" s="68"/>
      <c r="U186" s="771"/>
      <c r="V186" s="68"/>
      <c r="W186" s="762"/>
      <c r="X186" s="834"/>
      <c r="Y186" s="833"/>
      <c r="AA186" s="938"/>
      <c r="AC186" s="938"/>
      <c r="AE186" s="971"/>
    </row>
    <row r="187" spans="1:31">
      <c r="A187" s="4">
        <v>80</v>
      </c>
      <c r="B187" s="256"/>
      <c r="C187" s="9" t="s">
        <v>713</v>
      </c>
      <c r="D187" s="256"/>
      <c r="E187" s="742" t="s">
        <v>674</v>
      </c>
      <c r="F187" s="256"/>
      <c r="G187" s="35">
        <v>4391.5119999999997</v>
      </c>
      <c r="H187" s="750"/>
      <c r="I187" s="861">
        <v>3.8514875783817231</v>
      </c>
      <c r="J187" s="762">
        <f>G187*I187/100</f>
        <v>169.13853918314274</v>
      </c>
      <c r="K187" s="762"/>
      <c r="L187" s="762">
        <v>0</v>
      </c>
      <c r="M187" s="762">
        <v>0</v>
      </c>
      <c r="N187" s="762">
        <v>0</v>
      </c>
      <c r="O187" s="762">
        <f>J187-L187-M187-N187</f>
        <v>169.13853918314274</v>
      </c>
      <c r="P187" s="256"/>
      <c r="Q187" s="762">
        <v>0</v>
      </c>
      <c r="R187" s="762">
        <v>0</v>
      </c>
      <c r="S187" s="762">
        <v>0</v>
      </c>
      <c r="T187" s="771"/>
      <c r="U187" s="771">
        <f>SUM(O187:S187)</f>
        <v>169.13853918314274</v>
      </c>
      <c r="V187" s="911">
        <f>U187/G187*100</f>
        <v>3.8514875783817222</v>
      </c>
      <c r="W187" s="762">
        <f>U187-J187</f>
        <v>0</v>
      </c>
      <c r="X187" s="834"/>
      <c r="Y187" s="769"/>
      <c r="AA187" s="938"/>
      <c r="AC187" s="938"/>
      <c r="AE187" s="971"/>
    </row>
    <row r="188" spans="1:31">
      <c r="A188" s="4">
        <v>81</v>
      </c>
      <c r="B188" s="256"/>
      <c r="C188" s="9" t="s">
        <v>714</v>
      </c>
      <c r="D188" s="256"/>
      <c r="E188" s="742" t="s">
        <v>674</v>
      </c>
      <c r="F188" s="256"/>
      <c r="G188" s="35">
        <v>48254.987000000001</v>
      </c>
      <c r="H188" s="750"/>
      <c r="I188" s="861">
        <v>0.37191182322220417</v>
      </c>
      <c r="J188" s="762">
        <f>G188*I188/100</f>
        <v>179.46600194733762</v>
      </c>
      <c r="K188" s="762"/>
      <c r="L188" s="762">
        <v>0</v>
      </c>
      <c r="M188" s="762">
        <v>0</v>
      </c>
      <c r="N188" s="762">
        <v>0</v>
      </c>
      <c r="O188" s="762">
        <f>J188-L188-M188-N188</f>
        <v>179.46600194733762</v>
      </c>
      <c r="P188" s="256"/>
      <c r="Q188" s="762">
        <v>0</v>
      </c>
      <c r="R188" s="762">
        <v>0</v>
      </c>
      <c r="S188" s="762">
        <v>0</v>
      </c>
      <c r="T188" s="771"/>
      <c r="U188" s="771">
        <f>SUM(O188:S188)</f>
        <v>179.46600194733762</v>
      </c>
      <c r="V188" s="911">
        <f>U188/G188*100</f>
        <v>0.37191182322220417</v>
      </c>
      <c r="W188" s="762">
        <f>U188-J188</f>
        <v>0</v>
      </c>
      <c r="X188" s="834"/>
      <c r="Y188" s="769"/>
      <c r="AA188" s="938"/>
      <c r="AC188" s="938"/>
      <c r="AE188" s="971"/>
    </row>
    <row r="189" spans="1:31">
      <c r="A189" s="4">
        <v>82</v>
      </c>
      <c r="B189" s="256"/>
      <c r="C189" s="7" t="s">
        <v>712</v>
      </c>
      <c r="D189" s="256"/>
      <c r="E189" s="742"/>
      <c r="F189" s="256"/>
      <c r="G189" s="420">
        <f>SUM(G187:G188)</f>
        <v>52646.499000000003</v>
      </c>
      <c r="H189" s="750"/>
      <c r="I189" s="891">
        <f>J189/G189*100</f>
        <v>0.66216091810868627</v>
      </c>
      <c r="J189" s="805">
        <f>SUM(J187:J188)</f>
        <v>348.60454113048036</v>
      </c>
      <c r="K189" s="762"/>
      <c r="L189" s="805">
        <f>SUM(L187:L188)</f>
        <v>0</v>
      </c>
      <c r="M189" s="805">
        <f>SUM(M187:M188)</f>
        <v>0</v>
      </c>
      <c r="N189" s="805">
        <f>SUM(N187:N188)</f>
        <v>0</v>
      </c>
      <c r="O189" s="805">
        <f>SUM(O187:O188)</f>
        <v>348.60454113048036</v>
      </c>
      <c r="P189" s="762"/>
      <c r="Q189" s="805">
        <f>SUM(Q187:Q188)</f>
        <v>0</v>
      </c>
      <c r="R189" s="805">
        <f>SUM(R187:R188)</f>
        <v>0</v>
      </c>
      <c r="S189" s="805">
        <f>SUM(S187:S188)</f>
        <v>0</v>
      </c>
      <c r="T189" s="762"/>
      <c r="U189" s="805">
        <f>SUM(U187:U188)</f>
        <v>348.60454113048036</v>
      </c>
      <c r="V189" s="912">
        <f>U189/G189*100</f>
        <v>0.66216091810868627</v>
      </c>
      <c r="W189" s="805">
        <f>SUM(W187:W188)</f>
        <v>0</v>
      </c>
      <c r="X189" s="921">
        <f>V189/I189-1</f>
        <v>0</v>
      </c>
      <c r="Y189" s="770"/>
      <c r="AA189" s="938"/>
      <c r="AC189" s="938"/>
      <c r="AE189" s="971"/>
    </row>
    <row r="190" spans="1:31">
      <c r="A190" s="4"/>
      <c r="B190" s="256"/>
      <c r="D190" s="256"/>
      <c r="E190" s="36"/>
      <c r="F190" s="256"/>
      <c r="G190" s="818"/>
      <c r="H190" s="750"/>
      <c r="I190" s="909"/>
      <c r="J190" s="762"/>
      <c r="K190" s="762"/>
      <c r="L190" s="762"/>
      <c r="M190" s="762"/>
      <c r="N190" s="762"/>
      <c r="O190" s="762"/>
      <c r="P190" s="256"/>
      <c r="Q190" s="762"/>
      <c r="R190" s="762"/>
      <c r="S190" s="762"/>
      <c r="T190" s="771"/>
      <c r="U190" s="771"/>
      <c r="V190" s="911"/>
      <c r="W190" s="762"/>
      <c r="X190" s="834"/>
      <c r="Y190" s="770"/>
      <c r="AA190" s="938"/>
      <c r="AC190" s="938"/>
      <c r="AE190" s="971"/>
    </row>
    <row r="191" spans="1:31">
      <c r="A191" s="4">
        <v>83</v>
      </c>
      <c r="C191" s="7" t="s">
        <v>715</v>
      </c>
      <c r="E191" s="742" t="s">
        <v>674</v>
      </c>
      <c r="G191" s="35">
        <v>4391.5119999999997</v>
      </c>
      <c r="H191" s="752"/>
      <c r="I191" s="861">
        <v>18.29246136358827</v>
      </c>
      <c r="J191" s="762">
        <f>G191*I191/100</f>
        <v>803.3156358773424</v>
      </c>
      <c r="K191" s="762"/>
      <c r="L191" s="762">
        <v>0</v>
      </c>
      <c r="M191" s="762">
        <v>0</v>
      </c>
      <c r="N191" s="762">
        <v>0</v>
      </c>
      <c r="O191" s="762">
        <f>J191-L191-M191-N191</f>
        <v>803.3156358773424</v>
      </c>
      <c r="Q191" s="762">
        <v>0</v>
      </c>
      <c r="R191" s="762">
        <v>0</v>
      </c>
      <c r="S191" s="762">
        <v>0</v>
      </c>
      <c r="T191" s="68"/>
      <c r="U191" s="771">
        <f>SUM(O191:S191)</f>
        <v>803.3156358773424</v>
      </c>
      <c r="V191" s="911">
        <f>U191/G191*100</f>
        <v>18.29246136358827</v>
      </c>
      <c r="W191" s="762">
        <f>U191-J191</f>
        <v>0</v>
      </c>
      <c r="X191" s="834">
        <f>V191/I191-1</f>
        <v>0</v>
      </c>
      <c r="Y191" s="769"/>
      <c r="AA191" s="938"/>
      <c r="AC191" s="938"/>
      <c r="AE191" s="971"/>
    </row>
    <row r="192" spans="1:31">
      <c r="A192" s="4"/>
      <c r="B192" s="256"/>
      <c r="C192" s="7"/>
      <c r="D192" s="256"/>
      <c r="E192" s="134"/>
      <c r="F192" s="256"/>
      <c r="G192" s="910"/>
      <c r="H192" s="750"/>
      <c r="I192" s="909"/>
      <c r="J192" s="762"/>
      <c r="K192" s="762"/>
      <c r="L192" s="762"/>
      <c r="M192" s="762"/>
      <c r="N192" s="762"/>
      <c r="O192" s="762"/>
      <c r="P192" s="256"/>
      <c r="Q192" s="762"/>
      <c r="R192" s="762"/>
      <c r="S192" s="762"/>
      <c r="T192" s="771"/>
      <c r="U192" s="771"/>
      <c r="V192" s="821"/>
      <c r="W192" s="504"/>
      <c r="X192" s="834"/>
      <c r="Y192" s="769"/>
      <c r="AA192" s="938"/>
      <c r="AE192" s="971"/>
    </row>
    <row r="193" spans="1:31" ht="13.5" thickBot="1">
      <c r="A193" s="4">
        <v>84</v>
      </c>
      <c r="B193" s="256"/>
      <c r="C193" s="7" t="s">
        <v>743</v>
      </c>
      <c r="D193" s="256"/>
      <c r="E193" s="36"/>
      <c r="F193" s="256"/>
      <c r="G193" s="768">
        <f>G171+G178</f>
        <v>52646.499000000003</v>
      </c>
      <c r="H193" s="256"/>
      <c r="I193" s="908">
        <f>J193/G193*100</f>
        <v>1.6138728212406841</v>
      </c>
      <c r="J193" s="781">
        <f>J182+J184+J189+J191</f>
        <v>849.64753869574861</v>
      </c>
      <c r="K193" s="771"/>
      <c r="L193" s="781">
        <f>L182+L184+L189+L191</f>
        <v>5.5685738769876725</v>
      </c>
      <c r="M193" s="781">
        <f>M182+M184+M189+M191</f>
        <v>111.84241907945309</v>
      </c>
      <c r="N193" s="781">
        <f>N182+N184+N189+N191</f>
        <v>0</v>
      </c>
      <c r="O193" s="781">
        <f>O182+O184+O189+O191</f>
        <v>732.23654573930776</v>
      </c>
      <c r="P193" s="771"/>
      <c r="Q193" s="781">
        <f>Q182+Q184+Q189+Q191</f>
        <v>4.6568760308610049</v>
      </c>
      <c r="R193" s="781">
        <f>R182+R184+R189+R191</f>
        <v>122.57043568736097</v>
      </c>
      <c r="S193" s="781">
        <f>S182+S184+S189+S191</f>
        <v>0</v>
      </c>
      <c r="T193" s="771"/>
      <c r="U193" s="781">
        <f>U182+U184+U189+U191</f>
        <v>859.4638574575298</v>
      </c>
      <c r="V193" s="901">
        <f>U193/G193*100</f>
        <v>1.6325185411807341</v>
      </c>
      <c r="W193" s="781">
        <f>W182+W184+W189+W191</f>
        <v>9.8163187617812007</v>
      </c>
      <c r="X193" s="815">
        <f>V193/I193-1</f>
        <v>1.1553401045390821E-2</v>
      </c>
      <c r="Y193" s="779"/>
      <c r="AA193" s="938"/>
      <c r="AC193" s="938"/>
      <c r="AE193" s="971"/>
    </row>
    <row r="194" spans="1:31" ht="13.5" thickTop="1">
      <c r="A194" s="4"/>
      <c r="B194" s="504"/>
      <c r="C194" s="504"/>
      <c r="D194" s="504"/>
      <c r="E194" s="504"/>
      <c r="F194" s="504"/>
      <c r="G194" s="504"/>
      <c r="H194" s="504"/>
      <c r="I194" s="504"/>
      <c r="J194" s="504"/>
      <c r="K194" s="504"/>
      <c r="L194" s="504"/>
      <c r="M194" s="504"/>
      <c r="N194" s="504"/>
      <c r="O194" s="504"/>
      <c r="P194" s="504"/>
      <c r="Q194" s="504"/>
      <c r="R194" s="504"/>
      <c r="S194" s="504"/>
      <c r="T194" s="504"/>
      <c r="U194" s="504"/>
      <c r="V194" s="504"/>
      <c r="W194" s="504"/>
      <c r="X194" s="666"/>
      <c r="AA194" s="955"/>
      <c r="AE194" s="971"/>
    </row>
    <row r="195" spans="1:31">
      <c r="A195" s="4"/>
      <c r="B195" s="256"/>
      <c r="C195" s="6" t="s">
        <v>169</v>
      </c>
      <c r="D195" s="256"/>
      <c r="E195" s="36"/>
      <c r="F195" s="256"/>
      <c r="G195" s="453"/>
      <c r="H195" s="256"/>
      <c r="I195" s="256"/>
      <c r="J195" s="504"/>
      <c r="K195" s="504"/>
      <c r="L195" s="504"/>
      <c r="M195" s="504"/>
      <c r="N195" s="504"/>
      <c r="O195" s="504"/>
      <c r="P195" s="256"/>
      <c r="Q195" s="504"/>
      <c r="R195" s="504"/>
      <c r="S195" s="504"/>
      <c r="T195" s="256"/>
      <c r="U195" s="256"/>
      <c r="V195" s="256"/>
      <c r="W195" s="762"/>
      <c r="X195" s="666"/>
      <c r="AA195" s="938"/>
    </row>
    <row r="196" spans="1:31">
      <c r="A196" s="4">
        <v>85</v>
      </c>
      <c r="C196" s="7" t="s">
        <v>703</v>
      </c>
      <c r="E196" s="36" t="s">
        <v>704</v>
      </c>
      <c r="G196" s="35">
        <v>192</v>
      </c>
      <c r="I196" s="35">
        <v>0</v>
      </c>
      <c r="J196" s="68">
        <v>0</v>
      </c>
      <c r="K196" s="68"/>
      <c r="L196" s="762">
        <v>0</v>
      </c>
      <c r="M196" s="762">
        <v>0</v>
      </c>
      <c r="N196" s="762">
        <v>0</v>
      </c>
      <c r="O196" s="68">
        <v>0</v>
      </c>
      <c r="P196" s="68"/>
      <c r="Q196" s="762">
        <v>0</v>
      </c>
      <c r="R196" s="762">
        <v>0</v>
      </c>
      <c r="S196" s="762">
        <v>0</v>
      </c>
      <c r="T196" s="68"/>
      <c r="U196" s="68">
        <v>0</v>
      </c>
      <c r="V196" s="68">
        <v>0</v>
      </c>
      <c r="W196" s="762">
        <v>0</v>
      </c>
      <c r="X196" s="834"/>
      <c r="Y196" s="769"/>
      <c r="AA196" s="938"/>
      <c r="AE196" s="954"/>
    </row>
    <row r="197" spans="1:31">
      <c r="A197" s="4">
        <v>86</v>
      </c>
      <c r="B197" s="256"/>
      <c r="C197" s="512" t="s">
        <v>726</v>
      </c>
      <c r="D197" s="256"/>
      <c r="E197" s="36" t="s">
        <v>675</v>
      </c>
      <c r="F197" s="256"/>
      <c r="G197" s="35">
        <v>6138.48</v>
      </c>
      <c r="H197" s="256"/>
      <c r="I197" s="35">
        <v>0</v>
      </c>
      <c r="J197" s="68">
        <v>0</v>
      </c>
      <c r="K197" s="68"/>
      <c r="L197" s="762">
        <v>0</v>
      </c>
      <c r="M197" s="762">
        <v>0</v>
      </c>
      <c r="N197" s="762">
        <v>0</v>
      </c>
      <c r="O197" s="68">
        <v>0</v>
      </c>
      <c r="P197" s="771"/>
      <c r="Q197" s="762">
        <v>0</v>
      </c>
      <c r="R197" s="762">
        <v>0</v>
      </c>
      <c r="S197" s="762">
        <v>0</v>
      </c>
      <c r="T197" s="771"/>
      <c r="U197" s="68">
        <v>0</v>
      </c>
      <c r="V197" s="771">
        <v>0</v>
      </c>
      <c r="W197" s="762">
        <v>0</v>
      </c>
      <c r="X197" s="834"/>
      <c r="Y197" s="769"/>
      <c r="AA197" s="938"/>
    </row>
    <row r="198" spans="1:31">
      <c r="A198" s="4"/>
      <c r="B198" s="256"/>
      <c r="C198" s="512" t="s">
        <v>705</v>
      </c>
      <c r="D198" s="256"/>
      <c r="E198" s="36"/>
      <c r="F198" s="256"/>
      <c r="G198" s="35"/>
      <c r="H198" s="256"/>
      <c r="I198" s="256"/>
      <c r="J198" s="68"/>
      <c r="K198" s="68"/>
      <c r="L198" s="762"/>
      <c r="M198" s="762"/>
      <c r="N198" s="762"/>
      <c r="O198" s="68"/>
      <c r="P198" s="771"/>
      <c r="Q198" s="762"/>
      <c r="R198" s="762"/>
      <c r="S198" s="762"/>
      <c r="T198" s="771"/>
      <c r="U198" s="68"/>
      <c r="V198" s="821"/>
      <c r="W198" s="762"/>
      <c r="X198" s="834"/>
      <c r="Y198" s="769"/>
      <c r="AA198" s="938"/>
    </row>
    <row r="199" spans="1:31">
      <c r="A199" s="4">
        <v>87</v>
      </c>
      <c r="B199" s="256"/>
      <c r="C199" s="512" t="s">
        <v>738</v>
      </c>
      <c r="D199" s="256"/>
      <c r="E199" s="36" t="s">
        <v>674</v>
      </c>
      <c r="F199" s="256"/>
      <c r="G199" s="35">
        <v>2496.9</v>
      </c>
      <c r="H199" s="256"/>
      <c r="I199" s="861">
        <v>0.36459572300886056</v>
      </c>
      <c r="J199" s="68">
        <f>G199*I199/100</f>
        <v>9.1035906078082398</v>
      </c>
      <c r="K199" s="68"/>
      <c r="L199" s="35">
        <v>0.26410440157569681</v>
      </c>
      <c r="M199" s="35">
        <v>5.8685587970682915</v>
      </c>
      <c r="N199" s="35">
        <v>0.71365196917169615</v>
      </c>
      <c r="O199" s="68">
        <f>J199-L199-M199-N199</f>
        <v>2.2572754399925552</v>
      </c>
      <c r="P199" s="771"/>
      <c r="Q199" s="35">
        <v>0.22086471051867745</v>
      </c>
      <c r="R199" s="35">
        <v>6.4314757721983336</v>
      </c>
      <c r="S199" s="35">
        <v>0.63740236112499682</v>
      </c>
      <c r="T199" s="771"/>
      <c r="U199" s="68">
        <f>SUM(O199:S199)</f>
        <v>9.5470182838345625</v>
      </c>
      <c r="V199" s="821">
        <f>U199/G199*100</f>
        <v>0.38235485136908015</v>
      </c>
      <c r="W199" s="762">
        <f>U199-J199</f>
        <v>0.44342767602632271</v>
      </c>
      <c r="X199" s="785"/>
      <c r="Y199" s="785"/>
      <c r="AA199" s="938"/>
      <c r="AC199" s="938"/>
      <c r="AE199" s="949"/>
    </row>
    <row r="200" spans="1:31">
      <c r="A200" s="4">
        <v>88</v>
      </c>
      <c r="B200" s="256"/>
      <c r="C200" s="512" t="s">
        <v>739</v>
      </c>
      <c r="D200" s="256"/>
      <c r="E200" s="36" t="s">
        <v>674</v>
      </c>
      <c r="F200" s="256"/>
      <c r="G200" s="35">
        <v>4159.7690000000002</v>
      </c>
      <c r="H200" s="256"/>
      <c r="I200" s="861">
        <v>0.36454189712685547</v>
      </c>
      <c r="J200" s="68">
        <f>G200*I200/100</f>
        <v>15.164100828694824</v>
      </c>
      <c r="K200" s="68"/>
      <c r="L200" s="35">
        <v>0.43999090970328597</v>
      </c>
      <c r="M200" s="35">
        <v>9.7768628934767001</v>
      </c>
      <c r="N200" s="35">
        <v>1.1889252025108643</v>
      </c>
      <c r="O200" s="68">
        <f>J200-L200-M200-N200</f>
        <v>3.758321823003973</v>
      </c>
      <c r="P200" s="771"/>
      <c r="Q200" s="35">
        <v>0.36795473427432746</v>
      </c>
      <c r="R200" s="35">
        <v>10.71466760440614</v>
      </c>
      <c r="S200" s="35">
        <v>1.0618953832090057</v>
      </c>
      <c r="T200" s="771"/>
      <c r="U200" s="68">
        <f>SUM(O200:S200)</f>
        <v>15.902839544893446</v>
      </c>
      <c r="V200" s="821">
        <f>U200/G200*100</f>
        <v>0.38230102548707501</v>
      </c>
      <c r="W200" s="762">
        <f>U200-J200</f>
        <v>0.73873871619862186</v>
      </c>
      <c r="X200" s="785"/>
      <c r="Y200" s="785"/>
      <c r="AA200" s="938"/>
      <c r="AC200" s="938"/>
      <c r="AE200" s="949"/>
    </row>
    <row r="201" spans="1:31">
      <c r="A201" s="4">
        <v>89</v>
      </c>
      <c r="B201" s="256"/>
      <c r="C201" s="512" t="s">
        <v>740</v>
      </c>
      <c r="D201" s="256"/>
      <c r="E201" s="36" t="s">
        <v>674</v>
      </c>
      <c r="F201" s="256"/>
      <c r="G201" s="35">
        <v>9056.9930000000004</v>
      </c>
      <c r="H201" s="256"/>
      <c r="I201" s="861">
        <v>0.3645753953289157</v>
      </c>
      <c r="J201" s="68">
        <f>G201*I201/100</f>
        <v>33.019568034662228</v>
      </c>
      <c r="K201" s="68"/>
      <c r="L201" s="35">
        <v>0.95798458742451642</v>
      </c>
      <c r="M201" s="35">
        <v>21.286994250925524</v>
      </c>
      <c r="N201" s="35">
        <v>2.5886262522424874</v>
      </c>
      <c r="O201" s="68">
        <f>J201-L201-M201-N201</f>
        <v>8.185962944069697</v>
      </c>
      <c r="P201" s="771"/>
      <c r="Q201" s="35">
        <v>0.80114147026900884</v>
      </c>
      <c r="R201" s="35">
        <v>23.328860206043455</v>
      </c>
      <c r="S201" s="35">
        <v>2.3120464267261673</v>
      </c>
      <c r="T201" s="771"/>
      <c r="U201" s="68">
        <f>SUM(O201:S201)</f>
        <v>34.62801104710833</v>
      </c>
      <c r="V201" s="821">
        <f>U201/G201*100</f>
        <v>0.38233452368913534</v>
      </c>
      <c r="W201" s="762">
        <f>U201-J201</f>
        <v>1.6084430124461022</v>
      </c>
      <c r="X201" s="785"/>
      <c r="Y201" s="785"/>
      <c r="AA201" s="938"/>
      <c r="AC201" s="938"/>
      <c r="AE201" s="949"/>
    </row>
    <row r="202" spans="1:31">
      <c r="A202" s="4">
        <v>90</v>
      </c>
      <c r="B202" s="256"/>
      <c r="C202" s="512" t="s">
        <v>705</v>
      </c>
      <c r="D202" s="256"/>
      <c r="E202" s="742"/>
      <c r="F202" s="256"/>
      <c r="G202" s="137">
        <f>SUM(G199:G201)</f>
        <v>15713.662</v>
      </c>
      <c r="H202" s="256"/>
      <c r="I202" s="806">
        <f>J202/G202*100</f>
        <v>0.36456975764888727</v>
      </c>
      <c r="J202" s="805">
        <f>SUM(J199:J201)</f>
        <v>57.287259471165292</v>
      </c>
      <c r="K202" s="762"/>
      <c r="L202" s="805">
        <f>SUM(L199:L201)</f>
        <v>1.662079898703499</v>
      </c>
      <c r="M202" s="805">
        <f>SUM(M199:M201)</f>
        <v>36.932415941470516</v>
      </c>
      <c r="N202" s="805">
        <f>SUM(N199:N201)</f>
        <v>4.4912034239250485</v>
      </c>
      <c r="O202" s="805">
        <f>SUM(O199:O201)</f>
        <v>14.201560207066226</v>
      </c>
      <c r="P202" s="771"/>
      <c r="Q202" s="807">
        <f>SUM(Q199:Q201)</f>
        <v>1.3899609150620136</v>
      </c>
      <c r="R202" s="807">
        <f>SUM(R199:R201)</f>
        <v>40.475003582647929</v>
      </c>
      <c r="S202" s="807">
        <f>SUM(S199:S201)</f>
        <v>4.0113441710601698</v>
      </c>
      <c r="T202" s="771"/>
      <c r="U202" s="807">
        <f>SUM(U199:U201)</f>
        <v>60.077868875836337</v>
      </c>
      <c r="V202" s="903">
        <f>U202/G202*100</f>
        <v>0.38232888600910686</v>
      </c>
      <c r="W202" s="805">
        <f>SUM(W199:W201)</f>
        <v>2.7906094046710468</v>
      </c>
      <c r="X202" s="816">
        <f>V202/I202-1</f>
        <v>4.8712565942793384E-2</v>
      </c>
      <c r="Y202" s="785"/>
      <c r="AA202" s="938"/>
      <c r="AC202" s="938"/>
      <c r="AE202" s="949"/>
    </row>
    <row r="203" spans="1:31">
      <c r="A203" s="4"/>
      <c r="C203" s="7"/>
      <c r="J203" s="762"/>
      <c r="K203" s="762"/>
      <c r="L203" s="762"/>
      <c r="M203" s="762"/>
      <c r="N203" s="762"/>
      <c r="O203" s="762"/>
      <c r="P203" s="68"/>
      <c r="Q203" s="762"/>
      <c r="R203" s="762"/>
      <c r="S203" s="762"/>
      <c r="T203" s="68"/>
      <c r="U203" s="68"/>
      <c r="V203" s="793"/>
      <c r="W203" s="762"/>
      <c r="X203" s="834"/>
      <c r="Y203" s="769"/>
      <c r="AC203" s="938"/>
      <c r="AE203" s="949"/>
    </row>
    <row r="204" spans="1:31">
      <c r="A204" s="4">
        <v>91</v>
      </c>
      <c r="B204" s="734"/>
      <c r="C204" s="7" t="s">
        <v>744</v>
      </c>
      <c r="D204" s="734"/>
      <c r="E204" s="734"/>
      <c r="F204" s="734"/>
      <c r="G204" s="35">
        <v>172.20451506849315</v>
      </c>
      <c r="H204" s="3"/>
      <c r="I204" s="897">
        <v>-50</v>
      </c>
      <c r="J204" s="762">
        <f>G204*I204/100</f>
        <v>-86.102257534246576</v>
      </c>
      <c r="K204" s="762"/>
      <c r="L204" s="762">
        <v>0</v>
      </c>
      <c r="M204" s="762">
        <v>0</v>
      </c>
      <c r="N204" s="762">
        <v>0</v>
      </c>
      <c r="O204" s="762">
        <f>J204-L204-M204-N204</f>
        <v>-86.102257534246576</v>
      </c>
      <c r="P204" s="790"/>
      <c r="Q204" s="827">
        <v>0</v>
      </c>
      <c r="R204" s="827">
        <v>0</v>
      </c>
      <c r="S204" s="827">
        <v>0</v>
      </c>
      <c r="T204" s="906"/>
      <c r="U204" s="136">
        <f>SUM(O204:S204)</f>
        <v>-86.102257534246576</v>
      </c>
      <c r="V204" s="998">
        <v>-50</v>
      </c>
      <c r="W204" s="827">
        <f>U204-J204</f>
        <v>0</v>
      </c>
      <c r="X204" s="827"/>
      <c r="Y204" s="866"/>
      <c r="AA204" s="938"/>
      <c r="AC204" s="938"/>
      <c r="AE204" s="949"/>
    </row>
    <row r="205" spans="1:31">
      <c r="A205" s="4">
        <v>92</v>
      </c>
      <c r="B205" s="734"/>
      <c r="C205" s="7" t="s">
        <v>745</v>
      </c>
      <c r="D205" s="734"/>
      <c r="E205" s="734"/>
      <c r="F205" s="734"/>
      <c r="G205" s="762">
        <v>0</v>
      </c>
      <c r="I205" s="762">
        <v>0</v>
      </c>
      <c r="J205" s="762">
        <f>G205*I205/100</f>
        <v>0</v>
      </c>
      <c r="K205" s="762"/>
      <c r="L205" s="762">
        <v>0</v>
      </c>
      <c r="M205" s="762">
        <v>0</v>
      </c>
      <c r="N205" s="762">
        <v>0</v>
      </c>
      <c r="O205" s="762">
        <f>J205-L205-M205-N205</f>
        <v>0</v>
      </c>
      <c r="P205" s="790"/>
      <c r="Q205" s="827">
        <v>0</v>
      </c>
      <c r="R205" s="827">
        <v>0</v>
      </c>
      <c r="S205" s="827">
        <v>0</v>
      </c>
      <c r="T205" s="906"/>
      <c r="U205" s="136"/>
      <c r="V205" s="827">
        <v>0</v>
      </c>
      <c r="W205" s="827">
        <f>U205-J205</f>
        <v>0</v>
      </c>
      <c r="X205" s="827"/>
      <c r="Y205" s="866"/>
      <c r="AA205" s="938"/>
      <c r="AC205" s="938"/>
      <c r="AE205" s="949"/>
    </row>
    <row r="206" spans="1:31">
      <c r="A206" s="4"/>
      <c r="B206" s="385"/>
      <c r="C206" s="7"/>
      <c r="D206" s="385"/>
      <c r="E206" s="447"/>
      <c r="F206" s="385"/>
      <c r="G206" s="447"/>
      <c r="H206" s="385"/>
      <c r="I206" s="385"/>
      <c r="J206" s="762"/>
      <c r="K206" s="762"/>
      <c r="L206" s="762"/>
      <c r="M206" s="762"/>
      <c r="N206" s="762"/>
      <c r="O206" s="762"/>
      <c r="P206" s="789"/>
      <c r="Q206" s="762"/>
      <c r="R206" s="762"/>
      <c r="S206" s="762"/>
      <c r="T206" s="789"/>
      <c r="U206" s="136">
        <f>SUM(O206:S206)</f>
        <v>0</v>
      </c>
      <c r="V206" s="905"/>
      <c r="W206" s="762"/>
      <c r="X206" s="834"/>
      <c r="Y206" s="769"/>
      <c r="AA206" s="938"/>
      <c r="AC206" s="938"/>
      <c r="AE206" s="949"/>
    </row>
    <row r="207" spans="1:31">
      <c r="A207" s="4">
        <v>93</v>
      </c>
      <c r="B207" s="447"/>
      <c r="C207" s="7" t="s">
        <v>710</v>
      </c>
      <c r="D207" s="447"/>
      <c r="E207" s="385"/>
      <c r="F207" s="447"/>
      <c r="G207" s="137">
        <f>G202</f>
        <v>15713.662</v>
      </c>
      <c r="H207" s="453"/>
      <c r="I207" s="806">
        <f>I202</f>
        <v>0.36456975764888727</v>
      </c>
      <c r="J207" s="137">
        <f>J202+J204+J205</f>
        <v>-28.814998063081283</v>
      </c>
      <c r="K207" s="453"/>
      <c r="L207" s="137">
        <f>L202+L204+L205</f>
        <v>1.662079898703499</v>
      </c>
      <c r="M207" s="137">
        <f>M202+M204+M205</f>
        <v>36.932415941470516</v>
      </c>
      <c r="N207" s="137">
        <f>N202+N204+N205</f>
        <v>4.4912034239250485</v>
      </c>
      <c r="O207" s="137">
        <f>O202+O204+O205</f>
        <v>-71.900697327180353</v>
      </c>
      <c r="P207" s="453"/>
      <c r="Q207" s="137">
        <f>Q202+Q204+Q205</f>
        <v>1.3899609150620136</v>
      </c>
      <c r="R207" s="137">
        <f>R202+R204+R205</f>
        <v>40.475003582647929</v>
      </c>
      <c r="S207" s="137">
        <f>S202+S204+S205</f>
        <v>4.0113441710601698</v>
      </c>
      <c r="T207" s="453"/>
      <c r="U207" s="137">
        <f>U202+U204+U205</f>
        <v>-26.024388658410238</v>
      </c>
      <c r="V207" s="903">
        <f>V202</f>
        <v>0.38232888600910686</v>
      </c>
      <c r="W207" s="137">
        <f>W202+W204+W205</f>
        <v>2.7906094046710468</v>
      </c>
      <c r="X207" s="816">
        <f>X202</f>
        <v>4.8712565942793384E-2</v>
      </c>
      <c r="Y207" s="785"/>
      <c r="AA207" s="938"/>
      <c r="AC207" s="938"/>
      <c r="AE207" s="949"/>
    </row>
    <row r="208" spans="1:31">
      <c r="A208" s="4"/>
      <c r="B208" s="254"/>
      <c r="C208" s="254"/>
      <c r="D208" s="254"/>
      <c r="E208" s="4"/>
      <c r="F208" s="254"/>
      <c r="G208" s="13"/>
      <c r="H208" s="254"/>
      <c r="I208" s="254"/>
      <c r="J208" s="762"/>
      <c r="K208" s="762"/>
      <c r="L208" s="762"/>
      <c r="M208" s="762"/>
      <c r="N208" s="762"/>
      <c r="O208" s="762"/>
      <c r="P208" s="786"/>
      <c r="Q208" s="762"/>
      <c r="R208" s="762"/>
      <c r="S208" s="762"/>
      <c r="T208" s="786"/>
      <c r="U208" s="136"/>
      <c r="V208" s="855"/>
      <c r="W208" s="762"/>
      <c r="X208" s="834"/>
      <c r="Y208" s="769"/>
      <c r="AA208" s="938"/>
      <c r="AC208" s="938"/>
      <c r="AE208" s="949"/>
    </row>
    <row r="209" spans="1:31">
      <c r="A209" s="4">
        <v>94</v>
      </c>
      <c r="B209" s="256"/>
      <c r="C209" s="9" t="s">
        <v>711</v>
      </c>
      <c r="D209" s="256"/>
      <c r="E209" s="742" t="s">
        <v>674</v>
      </c>
      <c r="F209" s="256"/>
      <c r="G209" s="35">
        <v>15713.662</v>
      </c>
      <c r="H209" s="256"/>
      <c r="I209" s="861">
        <v>0.2540579565907487</v>
      </c>
      <c r="J209" s="762">
        <f>G209*I209/100</f>
        <v>39.921808582776976</v>
      </c>
      <c r="K209" s="762"/>
      <c r="L209" s="762">
        <v>0</v>
      </c>
      <c r="M209" s="762">
        <v>0</v>
      </c>
      <c r="N209" s="762">
        <v>0</v>
      </c>
      <c r="O209" s="762">
        <f>J209-L209-M209-N209</f>
        <v>39.921808582776976</v>
      </c>
      <c r="P209" s="771"/>
      <c r="Q209" s="762">
        <v>0</v>
      </c>
      <c r="R209" s="762">
        <v>0</v>
      </c>
      <c r="S209" s="762">
        <v>0</v>
      </c>
      <c r="T209" s="771"/>
      <c r="U209" s="136">
        <f>SUM(O209:S209)</f>
        <v>39.921808582776976</v>
      </c>
      <c r="V209" s="821">
        <f>U209/G209*100</f>
        <v>0.2540579565907487</v>
      </c>
      <c r="W209" s="762">
        <f>U209-J209</f>
        <v>0</v>
      </c>
      <c r="X209" s="785">
        <f>V209/I209-1</f>
        <v>0</v>
      </c>
      <c r="Y209" s="785"/>
      <c r="AA209" s="938"/>
      <c r="AC209" s="938"/>
      <c r="AE209" s="949"/>
    </row>
    <row r="210" spans="1:31">
      <c r="A210" s="4"/>
      <c r="B210" s="256"/>
      <c r="C210" s="9"/>
      <c r="D210" s="256"/>
      <c r="E210" s="742"/>
      <c r="F210" s="256"/>
      <c r="G210" s="35"/>
      <c r="H210" s="256"/>
      <c r="I210" s="861"/>
      <c r="J210" s="762"/>
      <c r="K210" s="762"/>
      <c r="L210" s="762"/>
      <c r="M210" s="762"/>
      <c r="N210" s="762"/>
      <c r="O210" s="762"/>
      <c r="P210" s="771"/>
      <c r="Q210" s="762"/>
      <c r="R210" s="762"/>
      <c r="S210" s="762"/>
      <c r="T210" s="771"/>
      <c r="U210" s="136"/>
      <c r="V210" s="792"/>
      <c r="W210" s="762"/>
      <c r="X210" s="785"/>
      <c r="Y210" s="785"/>
      <c r="AA210" s="938"/>
      <c r="AC210" s="938"/>
      <c r="AE210" s="949"/>
    </row>
    <row r="211" spans="1:31">
      <c r="A211" s="4"/>
      <c r="B211" s="256"/>
      <c r="C211" s="7" t="s">
        <v>712</v>
      </c>
      <c r="D211" s="256"/>
      <c r="E211" s="742"/>
      <c r="F211" s="256"/>
      <c r="G211" s="35"/>
      <c r="H211" s="256"/>
      <c r="I211" s="861"/>
      <c r="J211" s="762"/>
      <c r="K211" s="762"/>
      <c r="L211" s="762"/>
      <c r="M211" s="762"/>
      <c r="N211" s="762"/>
      <c r="O211" s="762"/>
      <c r="P211" s="771"/>
      <c r="Q211" s="762"/>
      <c r="R211" s="762"/>
      <c r="S211" s="762"/>
      <c r="T211" s="771"/>
      <c r="U211" s="136"/>
      <c r="V211" s="792"/>
      <c r="W211" s="762"/>
      <c r="X211" s="785"/>
      <c r="Y211" s="785"/>
      <c r="AA211" s="938"/>
      <c r="AC211" s="938"/>
      <c r="AE211" s="949"/>
    </row>
    <row r="212" spans="1:31">
      <c r="A212" s="4">
        <v>95</v>
      </c>
      <c r="B212" s="256"/>
      <c r="C212" s="9" t="s">
        <v>713</v>
      </c>
      <c r="D212" s="256"/>
      <c r="E212" s="742" t="s">
        <v>674</v>
      </c>
      <c r="F212" s="256"/>
      <c r="G212" s="35">
        <v>573.62400000000002</v>
      </c>
      <c r="H212" s="256"/>
      <c r="I212" s="861">
        <v>3.8514560342645505</v>
      </c>
      <c r="J212" s="762">
        <f>G212*I212/100</f>
        <v>22.092876161989683</v>
      </c>
      <c r="K212" s="762"/>
      <c r="L212" s="762">
        <v>0</v>
      </c>
      <c r="M212" s="762">
        <v>0</v>
      </c>
      <c r="N212" s="762">
        <v>0</v>
      </c>
      <c r="O212" s="762">
        <f>J212-L212-M212-N212</f>
        <v>22.092876161989683</v>
      </c>
      <c r="P212" s="771"/>
      <c r="Q212" s="762">
        <v>0</v>
      </c>
      <c r="R212" s="762">
        <v>0</v>
      </c>
      <c r="S212" s="762">
        <v>0</v>
      </c>
      <c r="T212" s="771"/>
      <c r="U212" s="136">
        <f>SUM(O212:S212)</f>
        <v>22.092876161989683</v>
      </c>
      <c r="V212" s="821">
        <f>U212/G212*100</f>
        <v>3.8514560342645501</v>
      </c>
      <c r="W212" s="762">
        <f>U212-J212</f>
        <v>0</v>
      </c>
      <c r="X212" s="834"/>
      <c r="Y212" s="769"/>
      <c r="AA212" s="938"/>
      <c r="AC212" s="938"/>
      <c r="AE212" s="949"/>
    </row>
    <row r="213" spans="1:31">
      <c r="A213" s="4">
        <v>96</v>
      </c>
      <c r="B213" s="256"/>
      <c r="C213" s="9" t="s">
        <v>714</v>
      </c>
      <c r="D213" s="256"/>
      <c r="E213" s="742" t="s">
        <v>674</v>
      </c>
      <c r="F213" s="256"/>
      <c r="G213" s="35">
        <v>15140.038</v>
      </c>
      <c r="H213" s="256"/>
      <c r="I213" s="861">
        <v>0.37192971390169216</v>
      </c>
      <c r="J213" s="762">
        <f>G213*I213/100</f>
        <v>56.310300018007474</v>
      </c>
      <c r="K213" s="762"/>
      <c r="L213" s="762">
        <v>0</v>
      </c>
      <c r="M213" s="762">
        <v>0</v>
      </c>
      <c r="N213" s="762">
        <v>0</v>
      </c>
      <c r="O213" s="762">
        <f>J213-L213-M213-N213</f>
        <v>56.310300018007474</v>
      </c>
      <c r="P213" s="771"/>
      <c r="Q213" s="762">
        <v>0</v>
      </c>
      <c r="R213" s="762">
        <v>0</v>
      </c>
      <c r="S213" s="762">
        <v>0</v>
      </c>
      <c r="T213" s="771"/>
      <c r="U213" s="136">
        <f>SUM(O213:S213)</f>
        <v>56.310300018007474</v>
      </c>
      <c r="V213" s="821">
        <f>U213/G213*100</f>
        <v>0.37192971390169216</v>
      </c>
      <c r="W213" s="762">
        <f>U213-J213</f>
        <v>0</v>
      </c>
      <c r="X213" s="834"/>
      <c r="Y213" s="769"/>
      <c r="AA213" s="938"/>
      <c r="AC213" s="938"/>
      <c r="AE213" s="949"/>
    </row>
    <row r="214" spans="1:31">
      <c r="A214" s="4">
        <v>97</v>
      </c>
      <c r="B214" s="256"/>
      <c r="C214" s="7" t="s">
        <v>712</v>
      </c>
      <c r="D214" s="256"/>
      <c r="E214" s="742"/>
      <c r="F214" s="256"/>
      <c r="G214" s="420">
        <f>SUM(G212:G213)</f>
        <v>15713.662</v>
      </c>
      <c r="H214" s="256"/>
      <c r="I214" s="891">
        <f>J214/G214*100</f>
        <v>0.49894910670725362</v>
      </c>
      <c r="J214" s="805">
        <f>SUM(J212:J213)</f>
        <v>78.40317617999716</v>
      </c>
      <c r="K214" s="762"/>
      <c r="L214" s="805">
        <f>SUM(L212:L213)</f>
        <v>0</v>
      </c>
      <c r="M214" s="805">
        <f>SUM(M212:M213)</f>
        <v>0</v>
      </c>
      <c r="N214" s="805">
        <f>SUM(N212:N213)</f>
        <v>0</v>
      </c>
      <c r="O214" s="805">
        <f>SUM(O212:O213)</f>
        <v>78.40317617999716</v>
      </c>
      <c r="P214" s="762"/>
      <c r="Q214" s="805">
        <f>SUM(Q212:Q213)</f>
        <v>0</v>
      </c>
      <c r="R214" s="805">
        <f>SUM(R212:R213)</f>
        <v>0</v>
      </c>
      <c r="S214" s="805">
        <f>SUM(S212:S213)</f>
        <v>0</v>
      </c>
      <c r="T214" s="762"/>
      <c r="U214" s="805">
        <f>SUM(U212:U213)</f>
        <v>78.40317617999716</v>
      </c>
      <c r="V214" s="902">
        <f>U214/G214*100</f>
        <v>0.49894910670725362</v>
      </c>
      <c r="W214" s="805">
        <f>SUM(W212:W213)</f>
        <v>0</v>
      </c>
      <c r="X214" s="921">
        <f>V214/I214-1</f>
        <v>0</v>
      </c>
      <c r="Y214" s="769"/>
      <c r="AA214" s="938"/>
      <c r="AC214" s="938"/>
      <c r="AE214" s="949"/>
    </row>
    <row r="215" spans="1:31">
      <c r="A215" s="4"/>
      <c r="B215" s="256"/>
      <c r="D215" s="256"/>
      <c r="E215" s="36"/>
      <c r="F215" s="256"/>
      <c r="G215" s="749"/>
      <c r="H215" s="256"/>
      <c r="I215" s="861"/>
      <c r="J215" s="762"/>
      <c r="K215" s="762"/>
      <c r="L215" s="762"/>
      <c r="M215" s="762"/>
      <c r="N215" s="762"/>
      <c r="O215" s="762"/>
      <c r="P215" s="771"/>
      <c r="Q215" s="762"/>
      <c r="R215" s="762"/>
      <c r="S215" s="762"/>
      <c r="T215" s="771"/>
      <c r="U215" s="136"/>
      <c r="V215" s="792"/>
      <c r="W215" s="762"/>
      <c r="X215" s="834"/>
      <c r="Y215" s="769"/>
      <c r="AA215" s="938"/>
      <c r="AC215" s="938"/>
      <c r="AE215" s="949"/>
    </row>
    <row r="216" spans="1:31">
      <c r="A216" s="4">
        <v>98</v>
      </c>
      <c r="B216" s="256"/>
      <c r="C216" s="7" t="s">
        <v>715</v>
      </c>
      <c r="D216" s="256"/>
      <c r="E216" s="742" t="s">
        <v>674</v>
      </c>
      <c r="F216" s="256"/>
      <c r="G216" s="35">
        <v>573.62400000000002</v>
      </c>
      <c r="H216" s="256"/>
      <c r="I216" s="861">
        <v>18.292478422678869</v>
      </c>
      <c r="J216" s="762">
        <f>G216*I216/100</f>
        <v>104.93004642730745</v>
      </c>
      <c r="K216" s="762"/>
      <c r="L216" s="762">
        <v>0</v>
      </c>
      <c r="M216" s="762">
        <v>0</v>
      </c>
      <c r="N216" s="762">
        <v>0</v>
      </c>
      <c r="O216" s="762">
        <f>J216-L216-M216-N216</f>
        <v>104.93004642730745</v>
      </c>
      <c r="P216" s="771"/>
      <c r="Q216" s="762">
        <v>0</v>
      </c>
      <c r="R216" s="762">
        <v>0</v>
      </c>
      <c r="S216" s="762">
        <v>0</v>
      </c>
      <c r="T216" s="771"/>
      <c r="U216" s="136">
        <f>SUM(O216:S216)</f>
        <v>104.93004642730745</v>
      </c>
      <c r="V216" s="821">
        <f>U216/G216*100</f>
        <v>18.292478422678869</v>
      </c>
      <c r="W216" s="762">
        <f>U216-J216</f>
        <v>0</v>
      </c>
      <c r="X216" s="834">
        <f>V216/I216-1</f>
        <v>0</v>
      </c>
      <c r="Y216" s="769"/>
      <c r="AA216" s="938"/>
      <c r="AC216" s="938"/>
      <c r="AE216" s="949"/>
    </row>
    <row r="217" spans="1:31">
      <c r="A217" s="4"/>
      <c r="B217" s="256"/>
      <c r="C217" s="7"/>
      <c r="D217" s="256"/>
      <c r="E217" s="36"/>
      <c r="F217" s="256"/>
      <c r="G217" s="35"/>
      <c r="H217" s="256"/>
      <c r="I217" s="792"/>
      <c r="J217" s="762"/>
      <c r="K217" s="762"/>
      <c r="L217" s="762"/>
      <c r="M217" s="762"/>
      <c r="N217" s="762"/>
      <c r="O217" s="762"/>
      <c r="P217" s="771"/>
      <c r="Q217" s="762"/>
      <c r="R217" s="762"/>
      <c r="S217" s="762"/>
      <c r="T217" s="771"/>
      <c r="U217" s="771"/>
      <c r="V217" s="792"/>
      <c r="W217" s="762"/>
      <c r="X217" s="834"/>
      <c r="Y217" s="769"/>
    </row>
    <row r="218" spans="1:31" ht="13.5" thickBot="1">
      <c r="A218" s="4">
        <v>99</v>
      </c>
      <c r="B218" s="256"/>
      <c r="C218" s="7" t="s">
        <v>746</v>
      </c>
      <c r="D218" s="256"/>
      <c r="E218" s="36"/>
      <c r="F218" s="256"/>
      <c r="G218" s="768">
        <f>G202</f>
        <v>15713.662</v>
      </c>
      <c r="H218" s="256"/>
      <c r="I218" s="803">
        <f>J218/G218*100</f>
        <v>1.2373947786773083</v>
      </c>
      <c r="J218" s="781">
        <f>J207+J209+J214+J216</f>
        <v>194.44003312700031</v>
      </c>
      <c r="K218" s="771"/>
      <c r="L218" s="781">
        <f>L207+L209+L214+L216</f>
        <v>1.662079898703499</v>
      </c>
      <c r="M218" s="781">
        <f>M207+M209+M214+M216</f>
        <v>36.932415941470516</v>
      </c>
      <c r="N218" s="781">
        <f>N207+N209+N214+N216</f>
        <v>4.4912034239250485</v>
      </c>
      <c r="O218" s="781">
        <f>O207+O209+O214+O216</f>
        <v>151.35433386290123</v>
      </c>
      <c r="P218" s="771"/>
      <c r="Q218" s="781">
        <f>Q207+Q209+Q214+Q216</f>
        <v>1.3899609150620136</v>
      </c>
      <c r="R218" s="781">
        <f>R207+R209+R214+R216</f>
        <v>40.475003582647929</v>
      </c>
      <c r="S218" s="781">
        <f>S207+S209+S214+S216</f>
        <v>4.0113441710601698</v>
      </c>
      <c r="T218" s="771"/>
      <c r="U218" s="781">
        <f>U207+U209+U214+U216</f>
        <v>197.23064253167135</v>
      </c>
      <c r="V218" s="901">
        <f>U218/G218*100</f>
        <v>1.2551539070375279</v>
      </c>
      <c r="W218" s="844">
        <f>W207+W209+W214+W216</f>
        <v>2.7906094046710468</v>
      </c>
      <c r="X218" s="815">
        <f>V218/I218-1</f>
        <v>1.4352031111043662E-2</v>
      </c>
      <c r="Y218" s="785"/>
      <c r="AA218" s="938"/>
      <c r="AC218" s="938"/>
    </row>
    <row r="219" spans="1:31" ht="13.5" thickTop="1">
      <c r="A219" s="4"/>
      <c r="B219" s="256"/>
      <c r="C219" s="7"/>
      <c r="D219" s="256"/>
      <c r="E219" s="36"/>
      <c r="F219" s="256"/>
      <c r="G219" s="35"/>
      <c r="H219" s="256"/>
      <c r="I219" s="256"/>
      <c r="J219" s="504"/>
      <c r="K219" s="504"/>
      <c r="L219" s="504"/>
      <c r="M219" s="504"/>
      <c r="N219" s="504"/>
      <c r="O219" s="504"/>
      <c r="P219" s="256"/>
      <c r="Q219" s="504"/>
      <c r="R219" s="504"/>
      <c r="S219" s="504"/>
      <c r="T219" s="256"/>
      <c r="U219" s="256"/>
      <c r="V219" s="256"/>
      <c r="W219" s="504"/>
      <c r="X219" s="513"/>
      <c r="AA219" s="938"/>
      <c r="AC219" s="938"/>
    </row>
    <row r="220" spans="1:31">
      <c r="A220" s="4"/>
      <c r="B220" s="256"/>
      <c r="C220" s="7"/>
      <c r="D220" s="256"/>
      <c r="E220" s="36"/>
      <c r="F220" s="256"/>
      <c r="G220" s="35"/>
      <c r="H220" s="256"/>
      <c r="I220" s="256"/>
      <c r="J220" s="504"/>
      <c r="K220" s="504"/>
      <c r="L220" s="504"/>
      <c r="M220" s="504"/>
      <c r="N220" s="504"/>
      <c r="O220" s="504"/>
      <c r="P220" s="256"/>
      <c r="Q220" s="504"/>
      <c r="R220" s="504"/>
      <c r="S220" s="504"/>
      <c r="T220" s="256"/>
      <c r="U220" s="256"/>
      <c r="V220" s="256"/>
      <c r="W220" s="504"/>
      <c r="X220" s="513"/>
      <c r="AA220" s="938"/>
      <c r="AC220" s="938"/>
    </row>
    <row r="221" spans="1:31">
      <c r="J221" s="504"/>
      <c r="K221" s="504"/>
      <c r="L221" s="2"/>
      <c r="M221" s="2"/>
      <c r="N221" s="504"/>
      <c r="O221" s="504"/>
      <c r="Q221" s="504"/>
      <c r="R221" s="504"/>
      <c r="S221" s="504"/>
      <c r="W221" s="504"/>
      <c r="X221" s="513"/>
      <c r="AA221" s="938"/>
      <c r="AC221" s="938"/>
    </row>
    <row r="222" spans="1:31">
      <c r="J222" s="504"/>
      <c r="K222" s="504"/>
      <c r="L222" s="2"/>
      <c r="M222" s="2"/>
      <c r="N222" s="504"/>
      <c r="O222" s="504"/>
      <c r="Q222" s="504"/>
      <c r="R222" s="504"/>
      <c r="S222" s="504"/>
      <c r="W222" s="762"/>
      <c r="X222" s="513"/>
      <c r="AA222" s="938"/>
      <c r="AC222" s="938"/>
    </row>
    <row r="223" spans="1:31">
      <c r="J223" s="504"/>
      <c r="K223" s="504"/>
      <c r="L223" s="2"/>
      <c r="M223" s="2"/>
      <c r="N223" s="504"/>
      <c r="O223" s="504"/>
      <c r="Q223" s="504"/>
      <c r="R223" s="504"/>
      <c r="S223" s="504"/>
      <c r="W223" s="504"/>
      <c r="X223" s="513"/>
      <c r="AA223" s="938"/>
      <c r="AC223" s="938"/>
    </row>
    <row r="224" spans="1:31">
      <c r="A224" s="1324" t="s">
        <v>724</v>
      </c>
      <c r="B224" s="1324"/>
      <c r="C224" s="1324"/>
      <c r="D224" s="1324"/>
      <c r="E224" s="1324"/>
      <c r="F224" s="1324"/>
      <c r="G224" s="1324"/>
      <c r="H224" s="1324"/>
      <c r="I224" s="1324"/>
      <c r="J224" s="1324"/>
      <c r="K224" s="1324"/>
      <c r="L224" s="1324"/>
      <c r="M224" s="1324"/>
      <c r="N224" s="1324"/>
      <c r="O224" s="1324"/>
      <c r="P224" s="1324"/>
      <c r="Q224" s="1324"/>
      <c r="R224" s="1324"/>
      <c r="S224" s="1324"/>
      <c r="T224" s="1324"/>
      <c r="U224" s="1324"/>
      <c r="V224" s="1324"/>
      <c r="W224" s="1324"/>
      <c r="X224" s="1324"/>
      <c r="Y224" s="644"/>
      <c r="Z224" s="644"/>
      <c r="AA224" s="938"/>
      <c r="AC224" s="938"/>
    </row>
    <row r="225" spans="1:31">
      <c r="A225" s="1324" t="s">
        <v>963</v>
      </c>
      <c r="B225" s="1324"/>
      <c r="C225" s="1324"/>
      <c r="D225" s="1324"/>
      <c r="E225" s="1324"/>
      <c r="F225" s="1324"/>
      <c r="G225" s="1324"/>
      <c r="H225" s="1324"/>
      <c r="I225" s="1324"/>
      <c r="J225" s="1324"/>
      <c r="K225" s="1324"/>
      <c r="L225" s="1324"/>
      <c r="M225" s="1324"/>
      <c r="N225" s="1324"/>
      <c r="O225" s="1324"/>
      <c r="P225" s="1324"/>
      <c r="Q225" s="1324"/>
      <c r="R225" s="1324"/>
      <c r="S225" s="1324"/>
      <c r="T225" s="1324"/>
      <c r="U225" s="1324"/>
      <c r="V225" s="1324"/>
      <c r="W225" s="1324"/>
      <c r="X225" s="1324"/>
      <c r="AA225" s="938"/>
      <c r="AC225" s="938"/>
    </row>
    <row r="226" spans="1:31">
      <c r="A226" s="385"/>
      <c r="B226" s="385"/>
      <c r="C226" s="385"/>
      <c r="D226" s="385"/>
      <c r="E226" s="447"/>
      <c r="F226" s="385"/>
      <c r="G226" s="447"/>
      <c r="H226" s="385"/>
      <c r="I226" s="385"/>
      <c r="J226" s="504"/>
      <c r="K226" s="504"/>
      <c r="L226" s="3"/>
      <c r="M226" s="3"/>
      <c r="N226" s="504"/>
      <c r="O226" s="504"/>
      <c r="P226" s="385"/>
      <c r="Q226" s="504"/>
      <c r="R226" s="504"/>
      <c r="S226" s="504"/>
      <c r="T226" s="385"/>
      <c r="U226" s="385"/>
      <c r="V226" s="385"/>
      <c r="W226" s="504"/>
      <c r="X226" s="513"/>
      <c r="Y226" s="4"/>
      <c r="AA226" s="938"/>
      <c r="AC226" s="938"/>
    </row>
    <row r="227" spans="1:31">
      <c r="A227" s="447"/>
      <c r="B227" s="447"/>
      <c r="C227" s="447"/>
      <c r="D227" s="447"/>
      <c r="E227" s="256"/>
      <c r="F227" s="256"/>
      <c r="G227" s="1313" t="s">
        <v>682</v>
      </c>
      <c r="H227" s="1313"/>
      <c r="I227" s="1313"/>
      <c r="J227" s="1313"/>
      <c r="K227" s="256"/>
      <c r="L227" s="1313" t="s">
        <v>496</v>
      </c>
      <c r="M227" s="1313"/>
      <c r="N227" s="1313"/>
      <c r="O227" s="256"/>
      <c r="P227" s="447"/>
      <c r="Q227" s="1313" t="s">
        <v>497</v>
      </c>
      <c r="R227" s="1313"/>
      <c r="S227" s="1313"/>
      <c r="T227" s="447"/>
      <c r="U227" s="1313" t="s">
        <v>683</v>
      </c>
      <c r="V227" s="1313"/>
      <c r="W227" s="1313"/>
      <c r="X227" s="1313"/>
      <c r="Y227" s="254"/>
      <c r="AA227" s="938"/>
      <c r="AC227" s="938"/>
    </row>
    <row r="228" spans="1:31" ht="38.25">
      <c r="A228" s="254" t="s">
        <v>1</v>
      </c>
      <c r="B228" s="254"/>
      <c r="C228" s="254"/>
      <c r="D228" s="254"/>
      <c r="E228" s="4" t="s">
        <v>670</v>
      </c>
      <c r="F228" s="254"/>
      <c r="G228" s="13" t="s">
        <v>684</v>
      </c>
      <c r="H228" s="254"/>
      <c r="I228" s="13" t="s">
        <v>196</v>
      </c>
      <c r="J228" s="254" t="s">
        <v>503</v>
      </c>
      <c r="K228" s="254"/>
      <c r="L228" s="254" t="s">
        <v>955</v>
      </c>
      <c r="M228" s="254" t="s">
        <v>956</v>
      </c>
      <c r="N228" s="254" t="s">
        <v>957</v>
      </c>
      <c r="O228" s="254" t="s">
        <v>688</v>
      </c>
      <c r="P228" s="254"/>
      <c r="Q228" s="254" t="s">
        <v>955</v>
      </c>
      <c r="R228" s="254" t="s">
        <v>956</v>
      </c>
      <c r="S228" s="254" t="s">
        <v>957</v>
      </c>
      <c r="T228" s="254"/>
      <c r="U228" s="13" t="s">
        <v>512</v>
      </c>
      <c r="V228" s="13" t="s">
        <v>691</v>
      </c>
      <c r="W228" s="13" t="s">
        <v>692</v>
      </c>
      <c r="X228" s="254" t="s">
        <v>693</v>
      </c>
      <c r="Y228" s="4"/>
      <c r="AA228" s="938"/>
      <c r="AC228" s="938"/>
    </row>
    <row r="229" spans="1:31" ht="14.25">
      <c r="A229" s="255" t="s">
        <v>2</v>
      </c>
      <c r="B229" s="256"/>
      <c r="C229" s="449" t="s">
        <v>3</v>
      </c>
      <c r="D229" s="256"/>
      <c r="E229" s="255" t="s">
        <v>4</v>
      </c>
      <c r="F229" s="256"/>
      <c r="G229" s="255" t="s">
        <v>694</v>
      </c>
      <c r="H229" s="256"/>
      <c r="I229" s="255" t="s">
        <v>77</v>
      </c>
      <c r="J229" s="255" t="s">
        <v>20</v>
      </c>
      <c r="K229" s="4"/>
      <c r="L229" s="255" t="s">
        <v>20</v>
      </c>
      <c r="M229" s="255" t="s">
        <v>20</v>
      </c>
      <c r="N229" s="255" t="s">
        <v>20</v>
      </c>
      <c r="O229" s="255" t="s">
        <v>20</v>
      </c>
      <c r="P229" s="256"/>
      <c r="Q229" s="255" t="s">
        <v>20</v>
      </c>
      <c r="R229" s="255" t="s">
        <v>20</v>
      </c>
      <c r="S229" s="255" t="s">
        <v>20</v>
      </c>
      <c r="T229" s="256"/>
      <c r="U229" s="255" t="s">
        <v>20</v>
      </c>
      <c r="V229" s="255" t="s">
        <v>77</v>
      </c>
      <c r="W229" s="255" t="s">
        <v>20</v>
      </c>
      <c r="X229" s="255" t="s">
        <v>76</v>
      </c>
      <c r="AE229" s="728"/>
    </row>
    <row r="230" spans="1:31">
      <c r="A230" s="4"/>
      <c r="B230" s="256"/>
      <c r="C230" s="256"/>
      <c r="D230" s="256"/>
      <c r="E230" s="4"/>
      <c r="F230" s="256"/>
      <c r="G230" s="4" t="s">
        <v>8</v>
      </c>
      <c r="H230" s="4"/>
      <c r="I230" s="4" t="s">
        <v>9</v>
      </c>
      <c r="J230" s="4" t="s">
        <v>370</v>
      </c>
      <c r="K230" s="4"/>
      <c r="L230" s="132" t="s">
        <v>79</v>
      </c>
      <c r="M230" s="132" t="s">
        <v>115</v>
      </c>
      <c r="N230" s="4" t="s">
        <v>81</v>
      </c>
      <c r="O230" s="4" t="s">
        <v>959</v>
      </c>
      <c r="P230" s="4"/>
      <c r="Q230" s="4" t="s">
        <v>118</v>
      </c>
      <c r="R230" s="4" t="s">
        <v>84</v>
      </c>
      <c r="S230" s="4" t="s">
        <v>516</v>
      </c>
      <c r="T230" s="4"/>
      <c r="U230" s="4" t="s">
        <v>960</v>
      </c>
      <c r="V230" s="4" t="s">
        <v>518</v>
      </c>
      <c r="W230" s="4" t="s">
        <v>961</v>
      </c>
      <c r="X230" s="4" t="s">
        <v>962</v>
      </c>
      <c r="AE230" s="728"/>
    </row>
    <row r="231" spans="1:31">
      <c r="A231" s="4"/>
      <c r="B231" s="256"/>
      <c r="C231" s="6" t="s">
        <v>170</v>
      </c>
      <c r="D231" s="256"/>
      <c r="E231" s="36"/>
      <c r="F231" s="256"/>
      <c r="G231" s="35"/>
      <c r="H231" s="256"/>
      <c r="I231" s="256"/>
      <c r="J231" s="504"/>
      <c r="K231" s="504"/>
      <c r="L231" s="504"/>
      <c r="M231" s="504"/>
      <c r="N231" s="504"/>
      <c r="O231" s="504"/>
      <c r="P231" s="256"/>
      <c r="Q231" s="504"/>
      <c r="R231" s="504"/>
      <c r="S231" s="504"/>
      <c r="T231" s="256"/>
      <c r="U231" s="256"/>
      <c r="V231" s="256"/>
      <c r="W231" s="504"/>
      <c r="X231" s="513"/>
    </row>
    <row r="232" spans="1:31">
      <c r="A232" s="4">
        <v>100</v>
      </c>
      <c r="B232" s="256"/>
      <c r="C232" s="7" t="s">
        <v>703</v>
      </c>
      <c r="D232" s="256"/>
      <c r="E232" s="36" t="s">
        <v>704</v>
      </c>
      <c r="F232" s="256"/>
      <c r="G232" s="35">
        <v>264</v>
      </c>
      <c r="I232" s="35">
        <v>0</v>
      </c>
      <c r="J232" s="68">
        <v>0</v>
      </c>
      <c r="K232" s="68"/>
      <c r="L232" s="762">
        <v>0</v>
      </c>
      <c r="M232" s="762">
        <v>0</v>
      </c>
      <c r="N232" s="762">
        <v>0</v>
      </c>
      <c r="O232" s="68">
        <v>0</v>
      </c>
      <c r="P232" s="68"/>
      <c r="Q232" s="762">
        <v>0</v>
      </c>
      <c r="R232" s="762">
        <v>0</v>
      </c>
      <c r="S232" s="762">
        <v>0</v>
      </c>
      <c r="T232" s="68"/>
      <c r="U232" s="68">
        <v>0</v>
      </c>
      <c r="V232" s="68">
        <v>0</v>
      </c>
      <c r="W232" s="762">
        <v>0</v>
      </c>
      <c r="X232" s="976"/>
      <c r="Y232" s="769"/>
      <c r="AA232" s="938"/>
      <c r="AE232" s="954"/>
    </row>
    <row r="233" spans="1:31">
      <c r="A233" s="4">
        <v>101</v>
      </c>
      <c r="B233" s="256"/>
      <c r="C233" s="512" t="s">
        <v>726</v>
      </c>
      <c r="D233" s="256"/>
      <c r="E233" s="36" t="s">
        <v>675</v>
      </c>
      <c r="F233" s="256"/>
      <c r="G233" s="35">
        <v>30927.768</v>
      </c>
      <c r="H233" s="256"/>
      <c r="I233" s="35">
        <v>0</v>
      </c>
      <c r="J233" s="68">
        <v>0</v>
      </c>
      <c r="K233" s="68"/>
      <c r="L233" s="762">
        <v>0</v>
      </c>
      <c r="M233" s="762">
        <v>0</v>
      </c>
      <c r="N233" s="762">
        <v>0</v>
      </c>
      <c r="O233" s="68">
        <v>0</v>
      </c>
      <c r="P233" s="771"/>
      <c r="Q233" s="762">
        <v>0</v>
      </c>
      <c r="R233" s="762">
        <v>0</v>
      </c>
      <c r="S233" s="762">
        <v>0</v>
      </c>
      <c r="T233" s="771"/>
      <c r="U233" s="68"/>
      <c r="V233" s="771">
        <v>0</v>
      </c>
      <c r="W233" s="762">
        <v>0</v>
      </c>
      <c r="X233" s="976"/>
      <c r="Y233" s="769"/>
      <c r="AA233" s="938"/>
    </row>
    <row r="234" spans="1:31">
      <c r="A234" s="4"/>
      <c r="B234" s="256"/>
      <c r="C234" s="512" t="s">
        <v>705</v>
      </c>
      <c r="D234" s="256"/>
      <c r="E234" s="36"/>
      <c r="F234" s="256"/>
      <c r="G234" s="35"/>
      <c r="H234" s="256"/>
      <c r="I234" s="256"/>
      <c r="J234" s="68"/>
      <c r="K234" s="68"/>
      <c r="L234" s="504"/>
      <c r="M234" s="504"/>
      <c r="N234" s="504"/>
      <c r="O234" s="68"/>
      <c r="P234" s="256"/>
      <c r="Q234" s="504"/>
      <c r="R234" s="504"/>
      <c r="S234" s="504"/>
      <c r="T234" s="256"/>
      <c r="U234" s="68">
        <v>0</v>
      </c>
      <c r="V234" s="821"/>
      <c r="W234" s="762"/>
      <c r="X234" s="976"/>
      <c r="Y234" s="769"/>
      <c r="AA234" s="938"/>
    </row>
    <row r="235" spans="1:31">
      <c r="A235" s="4">
        <v>102</v>
      </c>
      <c r="B235" s="256"/>
      <c r="C235" s="9" t="s">
        <v>965</v>
      </c>
      <c r="D235" s="256"/>
      <c r="E235" s="36" t="s">
        <v>674</v>
      </c>
      <c r="F235" s="256"/>
      <c r="G235" s="35">
        <v>183923.41800000001</v>
      </c>
      <c r="H235" s="256"/>
      <c r="I235" s="861">
        <v>0.30993269545225122</v>
      </c>
      <c r="J235" s="68">
        <f>G235*I235/100</f>
        <v>570.03880697531099</v>
      </c>
      <c r="K235" s="68"/>
      <c r="L235" s="35">
        <v>19.45411680349503</v>
      </c>
      <c r="M235" s="35">
        <v>409.35571905921825</v>
      </c>
      <c r="N235" s="35">
        <v>23.565270754459615</v>
      </c>
      <c r="O235" s="68">
        <f>J235-L235-M235-N235</f>
        <v>117.6637003581381</v>
      </c>
      <c r="P235" s="771"/>
      <c r="Q235" s="35">
        <v>16.269050612429695</v>
      </c>
      <c r="R235" s="35">
        <v>448.62145551909913</v>
      </c>
      <c r="S235" s="35">
        <v>21.047457119576208</v>
      </c>
      <c r="T235" s="771"/>
      <c r="U235" s="68">
        <f>SUM(O235:S235)</f>
        <v>603.60166360924313</v>
      </c>
      <c r="V235" s="821">
        <f>U235/G235*100</f>
        <v>0.32818097345779162</v>
      </c>
      <c r="W235" s="762">
        <f>U235-J235</f>
        <v>33.562856633932142</v>
      </c>
      <c r="X235" s="785"/>
      <c r="Y235" s="785"/>
      <c r="AA235" s="938"/>
      <c r="AC235" s="938"/>
      <c r="AE235" s="949"/>
    </row>
    <row r="236" spans="1:31">
      <c r="A236" s="4">
        <v>103</v>
      </c>
      <c r="B236" s="256"/>
      <c r="C236" s="9" t="s">
        <v>966</v>
      </c>
      <c r="D236" s="256"/>
      <c r="E236" s="36" t="s">
        <v>674</v>
      </c>
      <c r="F236" s="256"/>
      <c r="G236" s="35">
        <v>139330.31</v>
      </c>
      <c r="H236" s="256"/>
      <c r="I236" s="861">
        <v>0.30993307500504286</v>
      </c>
      <c r="J236" s="68">
        <f>G236*I236/100</f>
        <v>431.83071419705868</v>
      </c>
      <c r="K236" s="68"/>
      <c r="L236" s="35">
        <v>14.737373600827556</v>
      </c>
      <c r="M236" s="35">
        <v>310.10547681749682</v>
      </c>
      <c r="N236" s="35">
        <v>17.851758711078279</v>
      </c>
      <c r="O236" s="68">
        <f>J236-L236-M236-N236</f>
        <v>89.136105067656047</v>
      </c>
      <c r="P236" s="771"/>
      <c r="Q236" s="35">
        <v>12.324541865764585</v>
      </c>
      <c r="R236" s="35">
        <v>339.85104860397541</v>
      </c>
      <c r="S236" s="35">
        <v>15.944400974443937</v>
      </c>
      <c r="T236" s="771"/>
      <c r="U236" s="68">
        <f>SUM(O236:S236)</f>
        <v>457.25609651184004</v>
      </c>
      <c r="V236" s="821">
        <f>U236/G236*100</f>
        <v>0.32818135301058332</v>
      </c>
      <c r="W236" s="762">
        <f>U236-J236</f>
        <v>25.425382314781359</v>
      </c>
      <c r="X236" s="785"/>
      <c r="Y236" s="785"/>
      <c r="AA236" s="938"/>
      <c r="AC236" s="938"/>
      <c r="AE236" s="949"/>
    </row>
    <row r="237" spans="1:31">
      <c r="A237" s="4">
        <v>104</v>
      </c>
      <c r="B237" s="256"/>
      <c r="C237" s="512" t="s">
        <v>705</v>
      </c>
      <c r="D237" s="256"/>
      <c r="E237" s="36" t="s">
        <v>674</v>
      </c>
      <c r="F237" s="256"/>
      <c r="G237" s="137">
        <f>SUM(G235:G236)</f>
        <v>323253.728</v>
      </c>
      <c r="H237" s="256"/>
      <c r="I237" s="806">
        <f>J237/G237*100</f>
        <v>0.30993285904884277</v>
      </c>
      <c r="J237" s="805">
        <f>SUM(J235:J236)</f>
        <v>1001.8695211723697</v>
      </c>
      <c r="K237" s="762"/>
      <c r="L237" s="805">
        <f>SUM(L235:L236)</f>
        <v>34.191490404322586</v>
      </c>
      <c r="M237" s="805">
        <f>SUM(M235:M236)</f>
        <v>719.46119587671501</v>
      </c>
      <c r="N237" s="805">
        <f>SUM(N235:N236)</f>
        <v>41.417029465537894</v>
      </c>
      <c r="O237" s="805">
        <f>SUM(O235:O236)</f>
        <v>206.79980542579415</v>
      </c>
      <c r="P237" s="762"/>
      <c r="Q237" s="805">
        <f>SUM(Q235:Q236)</f>
        <v>28.593592478194282</v>
      </c>
      <c r="R237" s="805">
        <f>SUM(R235:R236)</f>
        <v>788.47250412307449</v>
      </c>
      <c r="S237" s="805">
        <f>SUM(S235:S236)</f>
        <v>36.991858094020145</v>
      </c>
      <c r="T237" s="771"/>
      <c r="U237" s="807">
        <f>SUM(U235:U236)</f>
        <v>1060.8577601210832</v>
      </c>
      <c r="V237" s="903">
        <f>U237/G237*100</f>
        <v>0.32818113705438323</v>
      </c>
      <c r="W237" s="805">
        <f>SUM(W235:W236)</f>
        <v>58.988238948713501</v>
      </c>
      <c r="X237" s="816">
        <f>V237/I237-1</f>
        <v>5.8878164972706815E-2</v>
      </c>
      <c r="Y237" s="785"/>
      <c r="AA237" s="938"/>
      <c r="AC237" s="938"/>
      <c r="AE237" s="949"/>
    </row>
    <row r="238" spans="1:31">
      <c r="A238" s="4"/>
      <c r="B238" s="256"/>
      <c r="C238" s="7"/>
      <c r="D238" s="256"/>
      <c r="E238" s="36"/>
      <c r="F238" s="256"/>
      <c r="G238" s="35"/>
      <c r="H238" s="256"/>
      <c r="I238" s="256"/>
      <c r="J238" s="504"/>
      <c r="K238" s="504"/>
      <c r="L238" s="504"/>
      <c r="M238" s="504"/>
      <c r="N238" s="504"/>
      <c r="O238" s="504"/>
      <c r="P238" s="256"/>
      <c r="Q238" s="504"/>
      <c r="R238" s="504"/>
      <c r="S238" s="504"/>
      <c r="T238" s="256"/>
      <c r="U238" s="256"/>
      <c r="V238" s="256"/>
      <c r="W238" s="504"/>
      <c r="X238" s="666"/>
      <c r="AA238" s="938"/>
      <c r="AC238" s="938"/>
      <c r="AE238" s="949"/>
    </row>
    <row r="239" spans="1:31">
      <c r="A239" s="4">
        <v>105</v>
      </c>
      <c r="B239" s="256"/>
      <c r="C239" s="7" t="s">
        <v>742</v>
      </c>
      <c r="D239" s="256"/>
      <c r="E239" s="36"/>
      <c r="F239" s="256"/>
      <c r="G239" s="35">
        <v>3542.5066082191779</v>
      </c>
      <c r="H239" s="256"/>
      <c r="I239" s="897">
        <v>-110</v>
      </c>
      <c r="J239" s="762">
        <f>G239*I239/100</f>
        <v>-3896.7572690410957</v>
      </c>
      <c r="K239" s="762"/>
      <c r="L239" s="762">
        <v>0</v>
      </c>
      <c r="M239" s="762">
        <v>0</v>
      </c>
      <c r="N239" s="762">
        <v>0</v>
      </c>
      <c r="O239" s="762">
        <f>J239-L239-M239-N239</f>
        <v>-3896.7572690410957</v>
      </c>
      <c r="P239" s="771"/>
      <c r="Q239" s="827">
        <v>0</v>
      </c>
      <c r="R239" s="827">
        <v>0</v>
      </c>
      <c r="S239" s="827">
        <v>0</v>
      </c>
      <c r="T239" s="771"/>
      <c r="U239" s="771">
        <f>SUM(O239:S239)</f>
        <v>-3896.7572690410957</v>
      </c>
      <c r="V239" s="821">
        <f>U239/G239*100</f>
        <v>-110.00000000000001</v>
      </c>
      <c r="W239" s="762">
        <v>0</v>
      </c>
      <c r="X239" s="827"/>
      <c r="Y239" s="782"/>
      <c r="AA239" s="938"/>
      <c r="AC239" s="938"/>
      <c r="AE239" s="949"/>
    </row>
    <row r="240" spans="1:31">
      <c r="A240" s="4"/>
      <c r="B240" s="256"/>
      <c r="C240" s="7"/>
      <c r="D240" s="256"/>
      <c r="E240" s="36"/>
      <c r="F240" s="256"/>
      <c r="G240" s="453"/>
      <c r="H240" s="256"/>
      <c r="I240" s="256"/>
      <c r="J240" s="762"/>
      <c r="K240" s="762"/>
      <c r="L240" s="755"/>
      <c r="M240" s="755"/>
      <c r="N240" s="755"/>
      <c r="O240" s="762"/>
      <c r="P240" s="256"/>
      <c r="Q240" s="755"/>
      <c r="R240" s="755"/>
      <c r="S240" s="755"/>
      <c r="T240" s="256"/>
      <c r="U240" s="771"/>
      <c r="V240" s="256"/>
      <c r="W240" s="504"/>
      <c r="X240" s="666"/>
      <c r="AA240" s="938"/>
      <c r="AC240" s="938"/>
      <c r="AE240" s="949"/>
    </row>
    <row r="241" spans="1:31">
      <c r="A241" s="4">
        <v>106</v>
      </c>
      <c r="B241" s="256"/>
      <c r="C241" s="7" t="s">
        <v>710</v>
      </c>
      <c r="D241" s="256"/>
      <c r="E241" s="36"/>
      <c r="F241" s="256"/>
      <c r="G241" s="137">
        <f>G237</f>
        <v>323253.728</v>
      </c>
      <c r="H241" s="447"/>
      <c r="I241" s="894">
        <f>J241/G241*100</f>
        <v>-0.89554659300595163</v>
      </c>
      <c r="J241" s="881">
        <f>J237+J239</f>
        <v>-2894.8877478687259</v>
      </c>
      <c r="K241" s="739"/>
      <c r="L241" s="881">
        <f>L237+L239</f>
        <v>34.191490404322586</v>
      </c>
      <c r="M241" s="881">
        <f>M237+M239</f>
        <v>719.46119587671501</v>
      </c>
      <c r="N241" s="881">
        <f>N237+N239</f>
        <v>41.417029465537894</v>
      </c>
      <c r="O241" s="881">
        <f>O237+O239</f>
        <v>-3689.9574636153015</v>
      </c>
      <c r="P241" s="739"/>
      <c r="Q241" s="881">
        <f>Q237+Q239</f>
        <v>28.593592478194282</v>
      </c>
      <c r="R241" s="881">
        <f>R237+R239</f>
        <v>788.47250412307449</v>
      </c>
      <c r="S241" s="881">
        <f>S237+S239</f>
        <v>36.991858094020145</v>
      </c>
      <c r="T241" s="881"/>
      <c r="U241" s="881">
        <f>U237+U239</f>
        <v>-2835.8995089200125</v>
      </c>
      <c r="V241" s="894">
        <f>U241/G241*100</f>
        <v>-0.87729831500041111</v>
      </c>
      <c r="W241" s="881">
        <f>W237+W239</f>
        <v>58.988238948713501</v>
      </c>
      <c r="X241" s="816">
        <f>V241/I241-1</f>
        <v>-2.0376693014139136E-2</v>
      </c>
      <c r="Y241" s="785"/>
      <c r="AA241" s="938"/>
      <c r="AC241" s="938"/>
      <c r="AE241" s="949"/>
    </row>
    <row r="242" spans="1:31">
      <c r="A242" s="4"/>
      <c r="B242" s="256"/>
      <c r="C242" s="7"/>
      <c r="D242" s="256"/>
      <c r="E242" s="36"/>
      <c r="F242" s="256"/>
      <c r="G242" s="35"/>
      <c r="H242" s="256"/>
      <c r="I242" s="256"/>
      <c r="J242" s="762"/>
      <c r="K242" s="762"/>
      <c r="L242" s="504"/>
      <c r="M242" s="504"/>
      <c r="N242" s="504"/>
      <c r="O242" s="762"/>
      <c r="P242" s="256"/>
      <c r="Q242" s="755"/>
      <c r="R242" s="755"/>
      <c r="S242" s="755"/>
      <c r="T242" s="256"/>
      <c r="U242" s="771"/>
      <c r="V242" s="256"/>
      <c r="W242" s="504"/>
      <c r="X242" s="666"/>
      <c r="AA242" s="938"/>
      <c r="AC242" s="938"/>
      <c r="AE242" s="949"/>
    </row>
    <row r="243" spans="1:31">
      <c r="A243" s="4">
        <v>107</v>
      </c>
      <c r="B243" s="256"/>
      <c r="C243" s="9" t="s">
        <v>711</v>
      </c>
      <c r="D243" s="256"/>
      <c r="E243" s="742" t="s">
        <v>674</v>
      </c>
      <c r="F243" s="256"/>
      <c r="G243" s="35">
        <v>323253.728</v>
      </c>
      <c r="H243" s="256"/>
      <c r="I243" s="861">
        <v>0.10803061275703731</v>
      </c>
      <c r="J243" s="762">
        <f>G243*I243/100</f>
        <v>349.21298311836671</v>
      </c>
      <c r="K243" s="762"/>
      <c r="L243" s="762">
        <v>0</v>
      </c>
      <c r="M243" s="762">
        <v>0</v>
      </c>
      <c r="N243" s="762">
        <v>0</v>
      </c>
      <c r="O243" s="762">
        <f>J243-L243-M243-N243</f>
        <v>349.21298311836671</v>
      </c>
      <c r="P243" s="795"/>
      <c r="Q243" s="827">
        <v>0</v>
      </c>
      <c r="R243" s="827">
        <v>0</v>
      </c>
      <c r="S243" s="827">
        <v>0</v>
      </c>
      <c r="T243" s="256"/>
      <c r="U243" s="771">
        <f>SUM(O243:S243)</f>
        <v>349.21298311836671</v>
      </c>
      <c r="V243" s="821">
        <f>U243/G243*100</f>
        <v>0.10803061275703732</v>
      </c>
      <c r="W243" s="827">
        <f>U243-J243</f>
        <v>0</v>
      </c>
      <c r="X243" s="785">
        <f>V243/I243-1</f>
        <v>0</v>
      </c>
      <c r="Y243" s="785"/>
      <c r="AA243" s="938"/>
      <c r="AC243" s="938"/>
      <c r="AE243" s="949"/>
    </row>
    <row r="244" spans="1:31">
      <c r="A244" s="4"/>
      <c r="B244" s="256"/>
      <c r="C244" s="9"/>
      <c r="D244" s="256"/>
      <c r="E244" s="742"/>
      <c r="F244" s="256"/>
      <c r="G244" s="35"/>
      <c r="H244" s="256"/>
      <c r="I244" s="861"/>
      <c r="J244" s="762"/>
      <c r="K244" s="762"/>
      <c r="L244" s="762"/>
      <c r="M244" s="762"/>
      <c r="N244" s="762"/>
      <c r="O244" s="762"/>
      <c r="P244" s="795"/>
      <c r="Q244" s="827"/>
      <c r="R244" s="827"/>
      <c r="S244" s="827"/>
      <c r="T244" s="256"/>
      <c r="U244" s="771"/>
      <c r="V244" s="792"/>
      <c r="W244" s="827"/>
      <c r="X244" s="785"/>
      <c r="Y244" s="785"/>
      <c r="AA244" s="938"/>
      <c r="AC244" s="938"/>
      <c r="AE244" s="949"/>
    </row>
    <row r="245" spans="1:31">
      <c r="A245" s="4"/>
      <c r="B245" s="256"/>
      <c r="C245" s="7" t="s">
        <v>712</v>
      </c>
      <c r="D245" s="256"/>
      <c r="E245" s="742"/>
      <c r="F245" s="256"/>
      <c r="G245" s="35"/>
      <c r="H245" s="256"/>
      <c r="I245" s="861"/>
      <c r="J245" s="762"/>
      <c r="K245" s="762"/>
      <c r="L245" s="762"/>
      <c r="M245" s="762"/>
      <c r="N245" s="762"/>
      <c r="O245" s="762"/>
      <c r="P245" s="795"/>
      <c r="Q245" s="827"/>
      <c r="R245" s="827"/>
      <c r="S245" s="827"/>
      <c r="T245" s="256"/>
      <c r="U245" s="771"/>
      <c r="V245" s="792"/>
      <c r="W245" s="827"/>
      <c r="X245" s="785"/>
      <c r="Y245" s="785"/>
      <c r="AA245" s="938"/>
      <c r="AC245" s="938"/>
      <c r="AE245" s="949"/>
    </row>
    <row r="246" spans="1:31">
      <c r="A246" s="4">
        <v>108</v>
      </c>
      <c r="B246" s="256"/>
      <c r="C246" s="9" t="s">
        <v>713</v>
      </c>
      <c r="D246" s="256"/>
      <c r="E246" s="742" t="s">
        <v>674</v>
      </c>
      <c r="F246" s="256"/>
      <c r="G246" s="35">
        <v>5360.2020000000002</v>
      </c>
      <c r="H246" s="256"/>
      <c r="I246" s="861">
        <v>3.8514906723406952</v>
      </c>
      <c r="J246" s="762">
        <f>G246*I246/100</f>
        <v>206.44768004861942</v>
      </c>
      <c r="K246" s="762"/>
      <c r="L246" s="762">
        <v>0</v>
      </c>
      <c r="M246" s="762">
        <v>0</v>
      </c>
      <c r="N246" s="762">
        <v>0</v>
      </c>
      <c r="O246" s="762">
        <f>J246-L246-M246-N246</f>
        <v>206.44768004861942</v>
      </c>
      <c r="P246" s="795"/>
      <c r="Q246" s="827">
        <v>0</v>
      </c>
      <c r="R246" s="827">
        <v>0</v>
      </c>
      <c r="S246" s="827">
        <v>0</v>
      </c>
      <c r="T246" s="256"/>
      <c r="U246" s="771">
        <f>SUM(O246:S246)</f>
        <v>206.44768004861942</v>
      </c>
      <c r="V246" s="821">
        <f>U246/G246*100</f>
        <v>3.8514906723406952</v>
      </c>
      <c r="W246" s="827">
        <f>U246-J246</f>
        <v>0</v>
      </c>
      <c r="X246" s="834"/>
      <c r="Y246" s="769"/>
      <c r="AA246" s="938"/>
      <c r="AC246" s="938"/>
      <c r="AE246" s="949"/>
    </row>
    <row r="247" spans="1:31">
      <c r="A247" s="4">
        <v>109</v>
      </c>
      <c r="C247" s="9" t="s">
        <v>714</v>
      </c>
      <c r="E247" s="742" t="s">
        <v>674</v>
      </c>
      <c r="G247" s="35">
        <v>108433.382</v>
      </c>
      <c r="I247" s="861">
        <v>0.3719235668637334</v>
      </c>
      <c r="J247" s="762">
        <f>G247*I247/100</f>
        <v>403.28930200537746</v>
      </c>
      <c r="K247" s="762"/>
      <c r="L247" s="762">
        <v>0</v>
      </c>
      <c r="M247" s="762">
        <v>0</v>
      </c>
      <c r="N247" s="762">
        <v>0</v>
      </c>
      <c r="O247" s="762">
        <f>J247-L247-M247-N247</f>
        <v>403.28930200537746</v>
      </c>
      <c r="P247" s="892"/>
      <c r="Q247" s="827">
        <v>0</v>
      </c>
      <c r="R247" s="827">
        <v>0</v>
      </c>
      <c r="S247" s="827">
        <v>0</v>
      </c>
      <c r="U247" s="771">
        <f>SUM(O247:S247)</f>
        <v>403.28930200537746</v>
      </c>
      <c r="V247" s="821">
        <f>U247/G247*100</f>
        <v>0.3719235668637334</v>
      </c>
      <c r="W247" s="827">
        <f>U247-J247</f>
        <v>0</v>
      </c>
      <c r="X247" s="834"/>
      <c r="Y247" s="769"/>
      <c r="AA247" s="938"/>
      <c r="AC247" s="938"/>
      <c r="AE247" s="949"/>
    </row>
    <row r="248" spans="1:31">
      <c r="A248" s="4">
        <v>110</v>
      </c>
      <c r="C248" s="7" t="s">
        <v>712</v>
      </c>
      <c r="E248" s="742"/>
      <c r="G248" s="420">
        <f>SUM(G246:G247)</f>
        <v>113793.584</v>
      </c>
      <c r="I248" s="891">
        <f>J248/G248*100</f>
        <v>0.53582720626322555</v>
      </c>
      <c r="J248" s="805">
        <f>SUM(J246:J247)</f>
        <v>609.73698205399683</v>
      </c>
      <c r="K248" s="762"/>
      <c r="L248" s="805">
        <f>SUM(L246:L247)</f>
        <v>0</v>
      </c>
      <c r="M248" s="805">
        <f>SUM(M246:M247)</f>
        <v>0</v>
      </c>
      <c r="N248" s="805">
        <f>SUM(N246:N247)</f>
        <v>0</v>
      </c>
      <c r="O248" s="805">
        <f>SUM(O246:O247)</f>
        <v>609.73698205399683</v>
      </c>
      <c r="P248" s="762"/>
      <c r="Q248" s="805">
        <f>SUM(Q246:Q247)</f>
        <v>0</v>
      </c>
      <c r="R248" s="805">
        <f>SUM(R246:R247)</f>
        <v>0</v>
      </c>
      <c r="S248" s="805">
        <f>SUM(S246:S247)</f>
        <v>0</v>
      </c>
      <c r="T248" s="762"/>
      <c r="U248" s="805">
        <f>SUM(U246:U247)</f>
        <v>609.73698205399683</v>
      </c>
      <c r="V248" s="902">
        <f>U248/G248*100</f>
        <v>0.53582720626322555</v>
      </c>
      <c r="W248" s="893">
        <f>SUM(W246:W247)</f>
        <v>0</v>
      </c>
      <c r="X248" s="921">
        <f>V248/I248-1</f>
        <v>0</v>
      </c>
      <c r="Y248" s="770"/>
      <c r="AA248" s="938"/>
      <c r="AC248" s="938"/>
      <c r="AE248" s="949"/>
    </row>
    <row r="249" spans="1:31">
      <c r="A249" s="4"/>
      <c r="B249" s="256"/>
      <c r="D249" s="256"/>
      <c r="E249" s="36"/>
      <c r="F249" s="256"/>
      <c r="G249" s="35"/>
      <c r="H249" s="256"/>
      <c r="I249" s="861"/>
      <c r="J249" s="762"/>
      <c r="K249" s="762"/>
      <c r="L249" s="762"/>
      <c r="M249" s="762"/>
      <c r="N249" s="762"/>
      <c r="O249" s="762"/>
      <c r="P249" s="795"/>
      <c r="Q249" s="827"/>
      <c r="R249" s="827"/>
      <c r="S249" s="827"/>
      <c r="T249" s="256"/>
      <c r="U249" s="771"/>
      <c r="V249" s="792"/>
      <c r="W249" s="827"/>
      <c r="X249" s="834"/>
      <c r="Y249" s="770"/>
      <c r="AA249" s="938"/>
      <c r="AC249" s="938"/>
      <c r="AE249" s="949"/>
    </row>
    <row r="250" spans="1:31">
      <c r="A250" s="4">
        <v>111</v>
      </c>
      <c r="B250" s="256"/>
      <c r="C250" s="7" t="s">
        <v>715</v>
      </c>
      <c r="D250" s="256"/>
      <c r="E250" s="742" t="s">
        <v>674</v>
      </c>
      <c r="F250" s="256"/>
      <c r="G250" s="35">
        <v>5360.2020000000002</v>
      </c>
      <c r="H250" s="256"/>
      <c r="I250" s="861">
        <v>18.292509821466741</v>
      </c>
      <c r="J250" s="762">
        <f>G250*I250/100</f>
        <v>980.51547730045672</v>
      </c>
      <c r="K250" s="762"/>
      <c r="L250" s="762">
        <v>0</v>
      </c>
      <c r="M250" s="762">
        <v>0</v>
      </c>
      <c r="N250" s="762">
        <v>0</v>
      </c>
      <c r="O250" s="762">
        <f>J250-L250-M250-N250</f>
        <v>980.51547730045672</v>
      </c>
      <c r="P250" s="795"/>
      <c r="Q250" s="827">
        <v>0</v>
      </c>
      <c r="R250" s="827">
        <v>0</v>
      </c>
      <c r="S250" s="827">
        <v>0</v>
      </c>
      <c r="T250" s="256"/>
      <c r="U250" s="771">
        <f>SUM(O250:S250)</f>
        <v>980.51547730045672</v>
      </c>
      <c r="V250" s="821">
        <f>U250/G250*100</f>
        <v>18.292509821466741</v>
      </c>
      <c r="W250" s="827">
        <f>U250-J250</f>
        <v>0</v>
      </c>
      <c r="X250" s="834">
        <f>V250/I250-1</f>
        <v>0</v>
      </c>
      <c r="Y250" s="769"/>
      <c r="AA250" s="938"/>
      <c r="AC250" s="938"/>
      <c r="AE250" s="949"/>
    </row>
    <row r="251" spans="1:31">
      <c r="A251" s="4"/>
      <c r="B251" s="256"/>
      <c r="C251" s="7"/>
      <c r="D251" s="256"/>
      <c r="E251" s="742"/>
      <c r="F251" s="256"/>
      <c r="G251" s="35"/>
      <c r="H251" s="256"/>
      <c r="I251" s="256"/>
      <c r="J251" s="755"/>
      <c r="K251" s="755"/>
      <c r="L251" s="755"/>
      <c r="M251" s="755"/>
      <c r="N251" s="755"/>
      <c r="O251" s="755"/>
      <c r="P251" s="795"/>
      <c r="Q251" s="755"/>
      <c r="R251" s="755"/>
      <c r="S251" s="755"/>
      <c r="T251" s="256"/>
      <c r="U251" s="771">
        <f>SUM(Q251:S251)</f>
        <v>0</v>
      </c>
      <c r="V251" s="792"/>
      <c r="W251" s="666"/>
      <c r="X251" s="834"/>
      <c r="Y251" s="769"/>
      <c r="AA251" s="938"/>
      <c r="AC251" s="938"/>
    </row>
    <row r="252" spans="1:31" ht="13.5" thickBot="1">
      <c r="A252" s="4">
        <v>112</v>
      </c>
      <c r="B252" s="256"/>
      <c r="C252" s="7" t="s">
        <v>747</v>
      </c>
      <c r="D252" s="256"/>
      <c r="E252" s="742"/>
      <c r="F252" s="256"/>
      <c r="G252" s="768">
        <f>G237</f>
        <v>323253.728</v>
      </c>
      <c r="H252" s="256"/>
      <c r="I252" s="901">
        <f>J252/G252*100</f>
        <v>-0.29556420317475995</v>
      </c>
      <c r="J252" s="997">
        <f>J241+J243+J248+J250</f>
        <v>-955.42230539590582</v>
      </c>
      <c r="K252" s="739"/>
      <c r="L252" s="997">
        <f>L241+L243+L248+L250</f>
        <v>34.191490404322586</v>
      </c>
      <c r="M252" s="997">
        <f>M241+M243+M248+M250</f>
        <v>719.46119587671501</v>
      </c>
      <c r="N252" s="997">
        <f>N241+N243+N248+N250</f>
        <v>41.417029465537894</v>
      </c>
      <c r="O252" s="997">
        <f>O241+O243+O248+O250</f>
        <v>-1750.4920211424817</v>
      </c>
      <c r="P252" s="750"/>
      <c r="Q252" s="997">
        <f>Q241+Q243+Q248+Q250</f>
        <v>28.593592478194282</v>
      </c>
      <c r="R252" s="997">
        <f>R241+R243+R248+R250</f>
        <v>788.47250412307449</v>
      </c>
      <c r="S252" s="997">
        <f>S241+S243+S248+S250</f>
        <v>36.991858094020145</v>
      </c>
      <c r="T252" s="750"/>
      <c r="U252" s="997">
        <f>U241+U243+U248+U250</f>
        <v>-896.43406644719244</v>
      </c>
      <c r="V252" s="901">
        <f>U252/G252*100</f>
        <v>-0.27731592516921949</v>
      </c>
      <c r="W252" s="997">
        <f>W241+W243+W248+W250</f>
        <v>58.988238948713501</v>
      </c>
      <c r="X252" s="815">
        <f>V252/I252-1</f>
        <v>-6.1740487547305212E-2</v>
      </c>
      <c r="Y252" s="785"/>
      <c r="AA252" s="964"/>
      <c r="AC252" s="964"/>
      <c r="AE252" s="949"/>
    </row>
    <row r="253" spans="1:31" ht="13.5" thickTop="1">
      <c r="A253" s="4"/>
      <c r="B253" s="256"/>
      <c r="C253" s="9"/>
      <c r="D253" s="256"/>
      <c r="E253" s="742"/>
      <c r="F253" s="256"/>
      <c r="G253" s="35"/>
      <c r="H253" s="256"/>
      <c r="I253" s="256"/>
      <c r="J253" s="504"/>
      <c r="K253" s="504"/>
      <c r="L253" s="504"/>
      <c r="M253" s="68"/>
      <c r="N253" s="504"/>
      <c r="O253" s="504"/>
      <c r="P253" s="256"/>
      <c r="Q253" s="504"/>
      <c r="R253" s="504"/>
      <c r="S253" s="504"/>
      <c r="T253" s="256"/>
      <c r="U253" s="256"/>
      <c r="V253" s="256"/>
      <c r="W253" s="504"/>
      <c r="X253" s="666"/>
    </row>
    <row r="254" spans="1:31">
      <c r="A254" s="4"/>
      <c r="B254" s="256"/>
      <c r="C254" s="6" t="s">
        <v>171</v>
      </c>
      <c r="D254" s="256"/>
      <c r="E254" s="36"/>
      <c r="F254" s="256"/>
      <c r="G254" s="453"/>
      <c r="H254" s="256"/>
      <c r="I254" s="256"/>
      <c r="J254" s="504"/>
      <c r="K254" s="504"/>
      <c r="L254" s="504"/>
      <c r="M254" s="504"/>
      <c r="N254" s="504"/>
      <c r="O254" s="504"/>
      <c r="P254" s="256"/>
      <c r="Q254" s="504"/>
      <c r="R254" s="504"/>
      <c r="S254" s="504"/>
      <c r="T254" s="256"/>
      <c r="U254" s="256"/>
      <c r="V254" s="256"/>
      <c r="W254" s="762"/>
      <c r="X254" s="666"/>
    </row>
    <row r="255" spans="1:31">
      <c r="A255" s="4">
        <v>113</v>
      </c>
      <c r="C255" s="7" t="s">
        <v>703</v>
      </c>
      <c r="E255" s="36" t="s">
        <v>704</v>
      </c>
      <c r="G255" s="35">
        <v>12</v>
      </c>
      <c r="I255" s="35">
        <v>0</v>
      </c>
      <c r="J255" s="136">
        <v>0</v>
      </c>
      <c r="K255" s="136"/>
      <c r="L255" s="827">
        <v>0</v>
      </c>
      <c r="M255" s="827">
        <v>0</v>
      </c>
      <c r="N255" s="827">
        <v>0</v>
      </c>
      <c r="O255" s="136">
        <v>0</v>
      </c>
      <c r="P255" s="68"/>
      <c r="Q255" s="762">
        <v>0</v>
      </c>
      <c r="R255" s="762">
        <v>0</v>
      </c>
      <c r="S255" s="762">
        <v>0</v>
      </c>
      <c r="T255" s="68"/>
      <c r="U255" s="68">
        <v>0</v>
      </c>
      <c r="V255" s="68">
        <v>0</v>
      </c>
      <c r="W255" s="762">
        <v>0</v>
      </c>
      <c r="X255" s="834"/>
      <c r="Y255" s="833"/>
      <c r="AA255" s="962"/>
      <c r="AE255" s="962"/>
    </row>
    <row r="256" spans="1:31">
      <c r="A256" s="4">
        <v>114</v>
      </c>
      <c r="B256" s="256"/>
      <c r="C256" s="512" t="s">
        <v>726</v>
      </c>
      <c r="D256" s="256"/>
      <c r="E256" s="36" t="s">
        <v>675</v>
      </c>
      <c r="F256" s="256"/>
      <c r="G256" s="35">
        <v>15025.2</v>
      </c>
      <c r="H256" s="256"/>
      <c r="I256" s="35">
        <v>0</v>
      </c>
      <c r="J256" s="136">
        <v>0</v>
      </c>
      <c r="K256" s="136"/>
      <c r="L256" s="827">
        <v>0</v>
      </c>
      <c r="M256" s="827">
        <v>0</v>
      </c>
      <c r="N256" s="827">
        <v>0</v>
      </c>
      <c r="O256" s="136">
        <v>0</v>
      </c>
      <c r="P256" s="771"/>
      <c r="Q256" s="762">
        <v>0</v>
      </c>
      <c r="R256" s="762">
        <v>0</v>
      </c>
      <c r="S256" s="762">
        <v>0</v>
      </c>
      <c r="T256" s="771"/>
      <c r="U256" s="68">
        <v>0</v>
      </c>
      <c r="V256" s="969">
        <v>0</v>
      </c>
      <c r="W256" s="762">
        <v>0</v>
      </c>
      <c r="X256" s="834"/>
      <c r="Y256" s="769"/>
      <c r="AA256" s="938"/>
    </row>
    <row r="257" spans="1:31">
      <c r="A257" s="4">
        <v>115</v>
      </c>
      <c r="B257" s="256"/>
      <c r="C257" s="512" t="s">
        <v>705</v>
      </c>
      <c r="D257" s="256"/>
      <c r="E257" s="36" t="s">
        <v>674</v>
      </c>
      <c r="F257" s="256"/>
      <c r="G257" s="35">
        <v>188852.1</v>
      </c>
      <c r="H257" s="256"/>
      <c r="I257" s="861">
        <v>0.7718747868227771</v>
      </c>
      <c r="J257" s="136">
        <f>G257*I257/100</f>
        <v>1457.701744285338</v>
      </c>
      <c r="K257" s="136"/>
      <c r="L257" s="35">
        <v>19.975437885703734</v>
      </c>
      <c r="M257" s="35">
        <v>484.16838165175238</v>
      </c>
      <c r="N257" s="35">
        <v>150.91966472771608</v>
      </c>
      <c r="O257" s="136">
        <f>J257-L257-M257-N257</f>
        <v>802.63826002016583</v>
      </c>
      <c r="P257" s="771"/>
      <c r="Q257" s="35">
        <v>16.705019983717541</v>
      </c>
      <c r="R257" s="35">
        <v>530.61021009337355</v>
      </c>
      <c r="S257" s="35">
        <v>134.79476662733822</v>
      </c>
      <c r="T257" s="771"/>
      <c r="U257" s="68">
        <f>SUM(O257:S257)</f>
        <v>1484.7482567245952</v>
      </c>
      <c r="V257" s="898">
        <f>U257/G257*100</f>
        <v>0.78619631803119749</v>
      </c>
      <c r="W257" s="762">
        <f>U257-J257</f>
        <v>27.046512439257185</v>
      </c>
      <c r="X257" s="785">
        <f>V257/I257-1</f>
        <v>1.8554215596769508E-2</v>
      </c>
      <c r="Y257" s="785"/>
      <c r="AA257" s="938"/>
      <c r="AC257" s="964"/>
      <c r="AE257" s="949"/>
    </row>
    <row r="258" spans="1:31">
      <c r="A258" s="4"/>
      <c r="B258" s="256"/>
      <c r="C258" s="7"/>
      <c r="D258" s="256"/>
      <c r="E258" s="36"/>
      <c r="F258" s="256"/>
      <c r="G258" s="35"/>
      <c r="H258" s="256"/>
      <c r="I258" s="861"/>
      <c r="J258" s="136"/>
      <c r="K258" s="136"/>
      <c r="L258" s="35"/>
      <c r="M258" s="35"/>
      <c r="N258" s="35"/>
      <c r="O258" s="136"/>
      <c r="P258" s="771"/>
      <c r="Q258" s="35"/>
      <c r="R258" s="35"/>
      <c r="S258" s="35"/>
      <c r="T258" s="771"/>
      <c r="U258" s="68"/>
      <c r="V258" s="898"/>
      <c r="W258" s="762"/>
      <c r="X258" s="785"/>
      <c r="Y258" s="785"/>
      <c r="AA258" s="938"/>
      <c r="AC258" s="964"/>
      <c r="AE258" s="949"/>
    </row>
    <row r="259" spans="1:31">
      <c r="A259" s="4">
        <v>116</v>
      </c>
      <c r="B259" s="256"/>
      <c r="C259" s="7" t="s">
        <v>742</v>
      </c>
      <c r="D259" s="256"/>
      <c r="E259" s="36"/>
      <c r="F259" s="256"/>
      <c r="G259" s="35">
        <v>236.82964000000001</v>
      </c>
      <c r="H259" s="256"/>
      <c r="I259" s="897">
        <v>-110</v>
      </c>
      <c r="J259" s="136">
        <f>G259*I259/100</f>
        <v>-260.51260400000001</v>
      </c>
      <c r="K259" s="136"/>
      <c r="L259" s="827">
        <v>0</v>
      </c>
      <c r="M259" s="827">
        <v>0</v>
      </c>
      <c r="N259" s="827">
        <v>0</v>
      </c>
      <c r="O259" s="136">
        <f>J259-L259-M259-N259</f>
        <v>-260.51260400000001</v>
      </c>
      <c r="P259" s="256"/>
      <c r="Q259" s="827">
        <v>0</v>
      </c>
      <c r="R259" s="827">
        <v>0</v>
      </c>
      <c r="S259" s="827">
        <v>0</v>
      </c>
      <c r="T259" s="256"/>
      <c r="U259" s="68">
        <f>SUM(O259:S259)</f>
        <v>-260.51260400000001</v>
      </c>
      <c r="V259" s="897">
        <f>U259/G259*100</f>
        <v>-110.00000000000001</v>
      </c>
      <c r="W259" s="762">
        <f>U259-J259</f>
        <v>0</v>
      </c>
      <c r="X259" s="785"/>
      <c r="Y259" s="785"/>
      <c r="AA259" s="938"/>
      <c r="AC259" s="964"/>
      <c r="AE259" s="949"/>
    </row>
    <row r="260" spans="1:31">
      <c r="A260" s="4"/>
      <c r="C260" s="7"/>
      <c r="G260" s="135"/>
      <c r="J260" s="136"/>
      <c r="K260" s="136"/>
      <c r="L260" s="666"/>
      <c r="M260" s="666"/>
      <c r="N260" s="666"/>
      <c r="O260" s="136"/>
      <c r="Q260" s="504"/>
      <c r="R260" s="504"/>
      <c r="S260" s="504"/>
      <c r="U260" s="68"/>
      <c r="V260" s="793"/>
      <c r="W260" s="762"/>
      <c r="X260" s="666"/>
      <c r="AA260" s="938"/>
      <c r="AC260" s="964"/>
      <c r="AE260" s="949"/>
    </row>
    <row r="261" spans="1:31">
      <c r="A261" s="4">
        <v>117</v>
      </c>
      <c r="B261" s="256"/>
      <c r="C261" s="7" t="s">
        <v>710</v>
      </c>
      <c r="D261" s="256"/>
      <c r="E261" s="134"/>
      <c r="F261" s="256"/>
      <c r="G261" s="137">
        <f>G257</f>
        <v>188852.1</v>
      </c>
      <c r="H261" s="453"/>
      <c r="I261" s="996">
        <f>I257</f>
        <v>0.7718747868227771</v>
      </c>
      <c r="J261" s="137">
        <f>SUM(J257:J259)</f>
        <v>1197.189140285338</v>
      </c>
      <c r="K261" s="453"/>
      <c r="L261" s="137">
        <f>SUM(L257:L259)</f>
        <v>19.975437885703734</v>
      </c>
      <c r="M261" s="137">
        <f>SUM(M257:M259)</f>
        <v>484.16838165175238</v>
      </c>
      <c r="N261" s="137">
        <f>SUM(N257:N259)</f>
        <v>150.91966472771608</v>
      </c>
      <c r="O261" s="137">
        <f>SUM(O257:O259)</f>
        <v>542.12565602016582</v>
      </c>
      <c r="P261" s="453"/>
      <c r="Q261" s="137">
        <f>SUM(Q257:Q259)</f>
        <v>16.705019983717541</v>
      </c>
      <c r="R261" s="137">
        <f>SUM(R257:R259)</f>
        <v>530.61021009337355</v>
      </c>
      <c r="S261" s="137">
        <f>SUM(S257:S259)</f>
        <v>134.79476662733822</v>
      </c>
      <c r="T261" s="453"/>
      <c r="U261" s="137">
        <f>SUM(U257:U260)</f>
        <v>1224.2356527245952</v>
      </c>
      <c r="V261" s="996">
        <f>V257</f>
        <v>0.78619631803119749</v>
      </c>
      <c r="W261" s="137">
        <f>SUM(W257:W259)</f>
        <v>27.046512439257185</v>
      </c>
      <c r="X261" s="816">
        <f>X257</f>
        <v>1.8554215596769508E-2</v>
      </c>
      <c r="Y261" s="785"/>
      <c r="AA261" s="938"/>
      <c r="AC261" s="964"/>
      <c r="AE261" s="949"/>
    </row>
    <row r="262" spans="1:31">
      <c r="A262" s="4"/>
      <c r="B262" s="256"/>
      <c r="C262" s="7"/>
      <c r="D262" s="256"/>
      <c r="E262" s="134"/>
      <c r="F262" s="256"/>
      <c r="G262" s="35"/>
      <c r="H262" s="256"/>
      <c r="I262" s="256"/>
      <c r="J262" s="136"/>
      <c r="K262" s="136"/>
      <c r="L262" s="504"/>
      <c r="M262" s="504"/>
      <c r="N262" s="504"/>
      <c r="O262" s="136"/>
      <c r="P262" s="256"/>
      <c r="Q262" s="755"/>
      <c r="R262" s="755"/>
      <c r="S262" s="755"/>
      <c r="T262" s="256"/>
      <c r="U262" s="68"/>
      <c r="V262" s="256"/>
      <c r="W262" s="762"/>
      <c r="X262" s="666"/>
      <c r="AA262" s="938"/>
      <c r="AC262" s="964"/>
      <c r="AE262" s="949"/>
    </row>
    <row r="263" spans="1:31">
      <c r="A263" s="4">
        <v>118</v>
      </c>
      <c r="B263" s="256"/>
      <c r="C263" s="9" t="s">
        <v>711</v>
      </c>
      <c r="D263" s="256"/>
      <c r="E263" s="742" t="s">
        <v>674</v>
      </c>
      <c r="F263" s="256"/>
      <c r="G263" s="35">
        <v>188852.1</v>
      </c>
      <c r="H263" s="256"/>
      <c r="I263" s="861">
        <v>0.51581043948293392</v>
      </c>
      <c r="J263" s="136">
        <f>G263*I263/100</f>
        <v>974.1188469827498</v>
      </c>
      <c r="K263" s="136"/>
      <c r="L263" s="762">
        <v>0</v>
      </c>
      <c r="M263" s="762">
        <v>0</v>
      </c>
      <c r="N263" s="762">
        <v>0</v>
      </c>
      <c r="O263" s="136">
        <f>J263-L263-M263-N263</f>
        <v>974.1188469827498</v>
      </c>
      <c r="P263" s="795"/>
      <c r="Q263" s="827">
        <v>0</v>
      </c>
      <c r="R263" s="827">
        <v>0</v>
      </c>
      <c r="S263" s="827">
        <v>0</v>
      </c>
      <c r="T263" s="256"/>
      <c r="U263" s="68">
        <f>SUM(O263:S263)</f>
        <v>974.1188469827498</v>
      </c>
      <c r="V263" s="792">
        <f>U263/G263*100</f>
        <v>0.51581043948293381</v>
      </c>
      <c r="W263" s="762">
        <f>U263-J263</f>
        <v>0</v>
      </c>
      <c r="X263" s="785">
        <f>V263/I263-1</f>
        <v>0</v>
      </c>
      <c r="Y263" s="785"/>
      <c r="AA263" s="938"/>
      <c r="AC263" s="964"/>
      <c r="AE263" s="949"/>
    </row>
    <row r="264" spans="1:31">
      <c r="A264" s="4"/>
      <c r="B264" s="256"/>
      <c r="C264" s="9"/>
      <c r="D264" s="256"/>
      <c r="E264" s="742"/>
      <c r="F264" s="256"/>
      <c r="G264" s="35"/>
      <c r="H264" s="256"/>
      <c r="I264" s="861"/>
      <c r="J264" s="136"/>
      <c r="K264" s="136"/>
      <c r="L264" s="762"/>
      <c r="M264" s="762"/>
      <c r="N264" s="762"/>
      <c r="O264" s="136"/>
      <c r="P264" s="795"/>
      <c r="Q264" s="827"/>
      <c r="R264" s="827"/>
      <c r="S264" s="827"/>
      <c r="T264" s="256"/>
      <c r="U264" s="68"/>
      <c r="V264" s="792"/>
      <c r="W264" s="762"/>
      <c r="X264" s="785"/>
      <c r="Y264" s="785"/>
      <c r="AA264" s="938"/>
      <c r="AC264" s="964"/>
      <c r="AE264" s="949"/>
    </row>
    <row r="265" spans="1:31">
      <c r="A265" s="4"/>
      <c r="B265" s="256"/>
      <c r="C265" s="7" t="s">
        <v>712</v>
      </c>
      <c r="D265" s="256"/>
      <c r="E265" s="742"/>
      <c r="F265" s="256"/>
      <c r="G265" s="35"/>
      <c r="H265" s="256"/>
      <c r="I265" s="861"/>
      <c r="J265" s="136"/>
      <c r="K265" s="136"/>
      <c r="L265" s="762"/>
      <c r="M265" s="762"/>
      <c r="N265" s="762"/>
      <c r="O265" s="136"/>
      <c r="P265" s="795"/>
      <c r="Q265" s="827"/>
      <c r="R265" s="827"/>
      <c r="S265" s="827"/>
      <c r="T265" s="256"/>
      <c r="U265" s="68"/>
      <c r="V265" s="792"/>
      <c r="W265" s="762"/>
      <c r="X265" s="785"/>
      <c r="Y265" s="785"/>
      <c r="AA265" s="938"/>
      <c r="AC265" s="964"/>
      <c r="AE265" s="949"/>
    </row>
    <row r="266" spans="1:31">
      <c r="A266" s="4">
        <v>119</v>
      </c>
      <c r="B266" s="256"/>
      <c r="C266" s="9" t="s">
        <v>713</v>
      </c>
      <c r="D266" s="256"/>
      <c r="E266" s="742" t="s">
        <v>674</v>
      </c>
      <c r="F266" s="256"/>
      <c r="G266" s="35">
        <v>140307.6</v>
      </c>
      <c r="H266" s="256"/>
      <c r="I266" s="861">
        <v>3.8514965222792932</v>
      </c>
      <c r="J266" s="136">
        <f>G266*I266/100</f>
        <v>5403.9423344935421</v>
      </c>
      <c r="K266" s="136"/>
      <c r="L266" s="762">
        <v>0</v>
      </c>
      <c r="M266" s="762">
        <v>0</v>
      </c>
      <c r="N266" s="762">
        <v>0</v>
      </c>
      <c r="O266" s="136">
        <f>J266-L266-M266-N266</f>
        <v>5403.9423344935421</v>
      </c>
      <c r="P266" s="795"/>
      <c r="Q266" s="827">
        <v>0</v>
      </c>
      <c r="R266" s="827">
        <v>0</v>
      </c>
      <c r="S266" s="827">
        <v>0</v>
      </c>
      <c r="T266" s="256"/>
      <c r="U266" s="68">
        <f>SUM(O266:S266)</f>
        <v>5403.9423344935421</v>
      </c>
      <c r="V266" s="792">
        <f>U266/G266*100</f>
        <v>3.8514965222792936</v>
      </c>
      <c r="W266" s="762">
        <f>U266-J266</f>
        <v>0</v>
      </c>
      <c r="X266" s="785"/>
      <c r="Y266" s="785"/>
      <c r="AA266" s="938"/>
      <c r="AC266" s="964"/>
      <c r="AE266" s="949"/>
    </row>
    <row r="267" spans="1:31">
      <c r="A267" s="4">
        <v>120</v>
      </c>
      <c r="B267" s="256"/>
      <c r="C267" s="9" t="s">
        <v>714</v>
      </c>
      <c r="D267" s="256"/>
      <c r="E267" s="742" t="s">
        <v>674</v>
      </c>
      <c r="F267" s="256"/>
      <c r="G267" s="35">
        <v>48544.5</v>
      </c>
      <c r="I267" s="861">
        <v>0.37192376924704373</v>
      </c>
      <c r="J267" s="136">
        <f>G267*I267/100</f>
        <v>180.54853416213115</v>
      </c>
      <c r="K267" s="136"/>
      <c r="L267" s="762">
        <v>0</v>
      </c>
      <c r="M267" s="762">
        <v>0</v>
      </c>
      <c r="N267" s="762">
        <v>0</v>
      </c>
      <c r="O267" s="136">
        <f>J267-L267-M267-N267</f>
        <v>180.54853416213115</v>
      </c>
      <c r="P267" s="892"/>
      <c r="Q267" s="827">
        <v>0</v>
      </c>
      <c r="R267" s="827">
        <v>0</v>
      </c>
      <c r="S267" s="827">
        <v>0</v>
      </c>
      <c r="U267" s="68">
        <f>SUM(O267:S267)</f>
        <v>180.54853416213115</v>
      </c>
      <c r="V267" s="792">
        <f>U267/G267*100</f>
        <v>0.37192376924704373</v>
      </c>
      <c r="W267" s="762">
        <f>U267-O267</f>
        <v>0</v>
      </c>
      <c r="X267" s="785"/>
      <c r="Y267" s="785"/>
      <c r="AA267" s="938"/>
      <c r="AC267" s="964"/>
      <c r="AE267" s="949"/>
    </row>
    <row r="268" spans="1:31">
      <c r="A268" s="4">
        <v>121</v>
      </c>
      <c r="B268" s="256"/>
      <c r="C268" s="7" t="s">
        <v>712</v>
      </c>
      <c r="D268" s="256"/>
      <c r="E268" s="742"/>
      <c r="F268" s="256"/>
      <c r="G268" s="420">
        <f>SUM(G266:G267)</f>
        <v>188852.1</v>
      </c>
      <c r="I268" s="891">
        <f>J268/G268*100</f>
        <v>2.957071098841725</v>
      </c>
      <c r="J268" s="805">
        <f>SUM(J266:J267)</f>
        <v>5584.4908686556737</v>
      </c>
      <c r="K268" s="762"/>
      <c r="L268" s="805">
        <f>SUM(L266:L267)</f>
        <v>0</v>
      </c>
      <c r="M268" s="805">
        <f>SUM(M266:M267)</f>
        <v>0</v>
      </c>
      <c r="N268" s="805">
        <f>SUM(N266:N267)</f>
        <v>0</v>
      </c>
      <c r="O268" s="805">
        <f>SUM(O266:O267)</f>
        <v>5584.4908686556737</v>
      </c>
      <c r="P268" s="762"/>
      <c r="Q268" s="805">
        <f>SUM(Q266:Q267)</f>
        <v>0</v>
      </c>
      <c r="R268" s="805">
        <f>SUM(R266:R267)</f>
        <v>0</v>
      </c>
      <c r="S268" s="805">
        <f>SUM(S266:S267)</f>
        <v>0</v>
      </c>
      <c r="U268" s="416">
        <f>SUM(U266:U267)</f>
        <v>5584.4908686556737</v>
      </c>
      <c r="V268" s="806">
        <f>U268/G268*100</f>
        <v>2.957071098841725</v>
      </c>
      <c r="W268" s="805">
        <f>U268-O268</f>
        <v>0</v>
      </c>
      <c r="X268" s="816">
        <f>V268/I268-1</f>
        <v>0</v>
      </c>
      <c r="Y268" s="785"/>
      <c r="AA268" s="938"/>
      <c r="AC268" s="964"/>
      <c r="AE268" s="949"/>
    </row>
    <row r="269" spans="1:31">
      <c r="A269" s="4"/>
      <c r="B269" s="256"/>
      <c r="D269" s="256"/>
      <c r="E269" s="36"/>
      <c r="F269" s="256"/>
      <c r="G269" s="35"/>
      <c r="H269" s="256"/>
      <c r="I269" s="861"/>
      <c r="J269" s="136"/>
      <c r="K269" s="136"/>
      <c r="L269" s="762"/>
      <c r="M269" s="762"/>
      <c r="N269" s="762"/>
      <c r="O269" s="136"/>
      <c r="P269" s="795"/>
      <c r="Q269" s="762"/>
      <c r="R269" s="762"/>
      <c r="S269" s="762"/>
      <c r="T269" s="256"/>
      <c r="U269" s="68"/>
      <c r="V269" s="792"/>
      <c r="W269" s="762"/>
      <c r="X269" s="785"/>
      <c r="Y269" s="785"/>
      <c r="AA269" s="938"/>
      <c r="AC269" s="964"/>
      <c r="AE269" s="949"/>
    </row>
    <row r="270" spans="1:31">
      <c r="A270" s="4">
        <v>122</v>
      </c>
      <c r="B270" s="256"/>
      <c r="C270" s="7" t="s">
        <v>715</v>
      </c>
      <c r="D270" s="256"/>
      <c r="E270" s="742" t="s">
        <v>674</v>
      </c>
      <c r="F270" s="256"/>
      <c r="G270" s="35">
        <v>140305.60000000001</v>
      </c>
      <c r="H270" s="256"/>
      <c r="I270" s="861">
        <v>18.292414635331095</v>
      </c>
      <c r="J270" s="136">
        <f>G270*I270/100</f>
        <v>25665.282108589108</v>
      </c>
      <c r="K270" s="136"/>
      <c r="L270" s="762">
        <v>0</v>
      </c>
      <c r="M270" s="762">
        <v>0</v>
      </c>
      <c r="N270" s="762">
        <v>0</v>
      </c>
      <c r="O270" s="136">
        <f>J270-L270-M270-N270</f>
        <v>25665.282108589108</v>
      </c>
      <c r="P270" s="795"/>
      <c r="Q270" s="827">
        <v>0</v>
      </c>
      <c r="R270" s="827">
        <v>0</v>
      </c>
      <c r="S270" s="827">
        <v>0</v>
      </c>
      <c r="T270" s="256"/>
      <c r="U270" s="68">
        <f>SUM(O270:S270)</f>
        <v>25665.282108589108</v>
      </c>
      <c r="V270" s="792">
        <f>U270/G270*100</f>
        <v>18.292414635331099</v>
      </c>
      <c r="W270" s="762">
        <f>U270-J270</f>
        <v>0</v>
      </c>
      <c r="X270" s="785">
        <f>V270/I270-1</f>
        <v>0</v>
      </c>
      <c r="Y270" s="785"/>
      <c r="AA270" s="938"/>
      <c r="AC270" s="964"/>
      <c r="AE270" s="949"/>
    </row>
    <row r="271" spans="1:31">
      <c r="A271" s="4"/>
      <c r="B271" s="256"/>
      <c r="C271" s="7"/>
      <c r="D271" s="256"/>
      <c r="E271" s="36"/>
      <c r="F271" s="256"/>
      <c r="G271" s="35"/>
      <c r="H271" s="256"/>
      <c r="I271" s="256"/>
      <c r="J271" s="755"/>
      <c r="K271" s="755"/>
      <c r="L271" s="755"/>
      <c r="M271" s="755"/>
      <c r="N271" s="755"/>
      <c r="O271" s="755"/>
      <c r="P271" s="795"/>
      <c r="Q271" s="755"/>
      <c r="R271" s="755"/>
      <c r="S271" s="755"/>
      <c r="T271" s="256"/>
      <c r="U271" s="256"/>
      <c r="V271" s="792"/>
      <c r="W271" s="504"/>
      <c r="X271" s="834"/>
      <c r="Y271" s="769"/>
      <c r="AA271" s="938"/>
      <c r="AE271" s="949"/>
    </row>
    <row r="272" spans="1:31" ht="13.5" thickBot="1">
      <c r="A272" s="4">
        <v>123</v>
      </c>
      <c r="B272" s="256"/>
      <c r="C272" s="7" t="s">
        <v>748</v>
      </c>
      <c r="D272" s="256"/>
      <c r="E272" s="36"/>
      <c r="F272" s="256"/>
      <c r="G272" s="768">
        <f>G257</f>
        <v>188852.1</v>
      </c>
      <c r="H272" s="256"/>
      <c r="I272" s="803">
        <f>J272/G272*100</f>
        <v>17.69696019504833</v>
      </c>
      <c r="J272" s="756">
        <f>J261+J263+J268+J270</f>
        <v>33421.080964512868</v>
      </c>
      <c r="K272" s="750"/>
      <c r="L272" s="844">
        <f>L261+L263+L268+L270</f>
        <v>19.975437885703734</v>
      </c>
      <c r="M272" s="844">
        <f>M261+M263+M268+M270</f>
        <v>484.16838165175238</v>
      </c>
      <c r="N272" s="844">
        <f>N261+N263+N268+N270</f>
        <v>150.91966472771608</v>
      </c>
      <c r="O272" s="844">
        <f>O261+O263+O268+O270</f>
        <v>32766.017480247698</v>
      </c>
      <c r="P272" s="750"/>
      <c r="Q272" s="844">
        <f>Q261+Q263+Q268+Q270</f>
        <v>16.705019983717541</v>
      </c>
      <c r="R272" s="844">
        <f>R261+R263+R268+R270</f>
        <v>530.61021009337355</v>
      </c>
      <c r="S272" s="844">
        <f>S261+S263+S268+S270</f>
        <v>134.79476662733822</v>
      </c>
      <c r="T272" s="750"/>
      <c r="U272" s="844">
        <f>U261+U263+U268+U270</f>
        <v>33448.127476952126</v>
      </c>
      <c r="V272" s="845">
        <f>U272/G272*100</f>
        <v>17.71128172625675</v>
      </c>
      <c r="W272" s="844">
        <f>W261+W263+W268+W270</f>
        <v>27.046512439257185</v>
      </c>
      <c r="X272" s="815">
        <f>V272/I272-1</f>
        <v>8.0926504046874292E-4</v>
      </c>
      <c r="Y272" s="785"/>
      <c r="AA272" s="938"/>
      <c r="AC272" s="964"/>
      <c r="AE272" s="949"/>
    </row>
    <row r="273" spans="1:31" ht="13.5" thickTop="1">
      <c r="A273" s="4"/>
      <c r="B273" s="256"/>
      <c r="C273" s="7"/>
      <c r="D273" s="256"/>
      <c r="E273" s="36"/>
      <c r="F273" s="256"/>
      <c r="G273" s="35"/>
      <c r="H273" s="256"/>
      <c r="I273" s="256"/>
      <c r="J273" s="504"/>
      <c r="K273" s="504"/>
      <c r="L273" s="504"/>
      <c r="M273" s="504"/>
      <c r="N273" s="504"/>
      <c r="O273" s="504"/>
      <c r="P273" s="256"/>
      <c r="Q273" s="504"/>
      <c r="R273" s="504"/>
      <c r="S273" s="504"/>
      <c r="T273" s="256"/>
      <c r="U273" s="256"/>
      <c r="V273" s="256"/>
      <c r="W273" s="504"/>
      <c r="X273" s="513"/>
    </row>
    <row r="274" spans="1:31">
      <c r="A274" s="4"/>
      <c r="B274" s="256"/>
      <c r="C274" s="7"/>
      <c r="D274" s="256"/>
      <c r="E274" s="36"/>
      <c r="F274" s="256"/>
      <c r="G274" s="35"/>
      <c r="H274" s="256"/>
      <c r="I274" s="256"/>
      <c r="J274" s="504"/>
      <c r="K274" s="504"/>
      <c r="L274" s="504"/>
      <c r="M274" s="504"/>
      <c r="N274" s="504"/>
      <c r="O274" s="504"/>
      <c r="P274" s="256"/>
      <c r="Q274" s="504"/>
      <c r="R274" s="504"/>
      <c r="S274" s="504"/>
      <c r="T274" s="256"/>
      <c r="U274" s="256"/>
      <c r="V274" s="256"/>
      <c r="W274" s="504"/>
      <c r="X274" s="513"/>
    </row>
    <row r="275" spans="1:31">
      <c r="J275" s="504"/>
      <c r="K275" s="504"/>
      <c r="L275" s="2"/>
      <c r="M275" s="2"/>
      <c r="N275" s="504"/>
      <c r="O275" s="504"/>
      <c r="Q275" s="504"/>
      <c r="R275" s="504"/>
      <c r="S275" s="504"/>
      <c r="W275" s="504"/>
      <c r="X275" s="513"/>
    </row>
    <row r="276" spans="1:31">
      <c r="J276" s="504"/>
      <c r="K276" s="504"/>
      <c r="L276" s="2"/>
      <c r="M276" s="2"/>
      <c r="N276" s="504"/>
      <c r="O276" s="504"/>
      <c r="Q276" s="504"/>
      <c r="R276" s="504"/>
      <c r="S276" s="504"/>
      <c r="W276" s="753"/>
      <c r="X276" s="513"/>
    </row>
    <row r="277" spans="1:31">
      <c r="J277" s="504"/>
      <c r="K277" s="504"/>
      <c r="L277" s="2"/>
      <c r="M277" s="2"/>
      <c r="N277" s="504"/>
      <c r="O277" s="504"/>
      <c r="Q277" s="504"/>
      <c r="R277" s="504"/>
      <c r="S277" s="504"/>
      <c r="W277" s="504"/>
      <c r="X277" s="513"/>
    </row>
    <row r="278" spans="1:31">
      <c r="A278" s="1324" t="s">
        <v>724</v>
      </c>
      <c r="B278" s="1324"/>
      <c r="C278" s="1324"/>
      <c r="D278" s="1324"/>
      <c r="E278" s="1324"/>
      <c r="F278" s="1324"/>
      <c r="G278" s="1324"/>
      <c r="H278" s="1324"/>
      <c r="I278" s="1324"/>
      <c r="J278" s="1324"/>
      <c r="K278" s="1324"/>
      <c r="L278" s="1324"/>
      <c r="M278" s="1324"/>
      <c r="N278" s="1324"/>
      <c r="O278" s="1324"/>
      <c r="P278" s="1324"/>
      <c r="Q278" s="1324"/>
      <c r="R278" s="1324"/>
      <c r="S278" s="1324"/>
      <c r="T278" s="1324"/>
      <c r="U278" s="1324"/>
      <c r="V278" s="1324"/>
      <c r="W278" s="1324"/>
      <c r="X278" s="1324"/>
      <c r="Y278" s="644"/>
      <c r="Z278" s="644"/>
    </row>
    <row r="279" spans="1:31">
      <c r="A279" s="1324" t="s">
        <v>963</v>
      </c>
      <c r="B279" s="1324"/>
      <c r="C279" s="1324"/>
      <c r="D279" s="1324"/>
      <c r="E279" s="1324"/>
      <c r="F279" s="1324"/>
      <c r="G279" s="1324"/>
      <c r="H279" s="1324"/>
      <c r="I279" s="1324"/>
      <c r="J279" s="1324"/>
      <c r="K279" s="1324"/>
      <c r="L279" s="1324"/>
      <c r="M279" s="1324"/>
      <c r="N279" s="1324"/>
      <c r="O279" s="1324"/>
      <c r="P279" s="1324"/>
      <c r="Q279" s="1324"/>
      <c r="R279" s="1324"/>
      <c r="S279" s="1324"/>
      <c r="T279" s="1324"/>
      <c r="U279" s="1324"/>
      <c r="V279" s="1324"/>
      <c r="W279" s="1324"/>
      <c r="X279" s="1324"/>
    </row>
    <row r="280" spans="1:31">
      <c r="A280" s="385"/>
      <c r="B280" s="385"/>
      <c r="C280" s="385"/>
      <c r="D280" s="385"/>
      <c r="E280" s="447"/>
      <c r="F280" s="385"/>
      <c r="G280" s="447"/>
      <c r="H280" s="385"/>
      <c r="I280" s="385"/>
      <c r="J280" s="504"/>
      <c r="K280" s="504"/>
      <c r="L280" s="3"/>
      <c r="M280" s="3"/>
      <c r="N280" s="504"/>
      <c r="O280" s="504"/>
      <c r="P280" s="385"/>
      <c r="Q280" s="504"/>
      <c r="R280" s="504"/>
      <c r="S280" s="504"/>
      <c r="T280" s="385"/>
      <c r="U280" s="385"/>
      <c r="V280" s="385"/>
      <c r="W280" s="504"/>
      <c r="X280" s="513"/>
      <c r="Y280" s="4"/>
    </row>
    <row r="281" spans="1:31">
      <c r="A281" s="447"/>
      <c r="B281" s="447"/>
      <c r="C281" s="447"/>
      <c r="D281" s="447"/>
      <c r="E281" s="256"/>
      <c r="F281" s="256"/>
      <c r="G281" s="1313" t="s">
        <v>682</v>
      </c>
      <c r="H281" s="1313"/>
      <c r="I281" s="1313"/>
      <c r="J281" s="1313"/>
      <c r="K281" s="256"/>
      <c r="L281" s="1313" t="s">
        <v>496</v>
      </c>
      <c r="M281" s="1313"/>
      <c r="N281" s="1313"/>
      <c r="O281" s="256"/>
      <c r="P281" s="447"/>
      <c r="Q281" s="1313" t="s">
        <v>497</v>
      </c>
      <c r="R281" s="1313"/>
      <c r="S281" s="1313"/>
      <c r="T281" s="447"/>
      <c r="U281" s="1313" t="s">
        <v>683</v>
      </c>
      <c r="V281" s="1313"/>
      <c r="W281" s="1313"/>
      <c r="X281" s="1313"/>
      <c r="Y281" s="254"/>
    </row>
    <row r="282" spans="1:31" ht="38.25">
      <c r="A282" s="254" t="s">
        <v>1</v>
      </c>
      <c r="B282" s="254"/>
      <c r="C282" s="254"/>
      <c r="D282" s="254"/>
      <c r="E282" s="4" t="s">
        <v>670</v>
      </c>
      <c r="F282" s="254"/>
      <c r="G282" s="13" t="s">
        <v>684</v>
      </c>
      <c r="H282" s="254"/>
      <c r="I282" s="13" t="s">
        <v>196</v>
      </c>
      <c r="J282" s="254" t="s">
        <v>503</v>
      </c>
      <c r="K282" s="254"/>
      <c r="L282" s="254" t="s">
        <v>955</v>
      </c>
      <c r="M282" s="254" t="s">
        <v>956</v>
      </c>
      <c r="N282" s="254" t="s">
        <v>957</v>
      </c>
      <c r="O282" s="254" t="s">
        <v>958</v>
      </c>
      <c r="P282" s="254"/>
      <c r="Q282" s="254" t="s">
        <v>955</v>
      </c>
      <c r="R282" s="254" t="s">
        <v>956</v>
      </c>
      <c r="S282" s="254" t="s">
        <v>957</v>
      </c>
      <c r="T282" s="254"/>
      <c r="U282" s="13" t="s">
        <v>512</v>
      </c>
      <c r="V282" s="13" t="s">
        <v>691</v>
      </c>
      <c r="W282" s="13" t="s">
        <v>692</v>
      </c>
      <c r="X282" s="254" t="s">
        <v>693</v>
      </c>
      <c r="Y282" s="4"/>
    </row>
    <row r="283" spans="1:31" ht="14.25">
      <c r="A283" s="255" t="s">
        <v>2</v>
      </c>
      <c r="B283" s="256"/>
      <c r="C283" s="449" t="s">
        <v>3</v>
      </c>
      <c r="D283" s="256"/>
      <c r="E283" s="255" t="s">
        <v>4</v>
      </c>
      <c r="F283" s="256"/>
      <c r="G283" s="255" t="s">
        <v>694</v>
      </c>
      <c r="H283" s="256"/>
      <c r="I283" s="255" t="s">
        <v>77</v>
      </c>
      <c r="J283" s="255" t="s">
        <v>20</v>
      </c>
      <c r="K283" s="4"/>
      <c r="L283" s="255" t="s">
        <v>20</v>
      </c>
      <c r="M283" s="255" t="s">
        <v>20</v>
      </c>
      <c r="N283" s="255" t="s">
        <v>20</v>
      </c>
      <c r="O283" s="255" t="s">
        <v>20</v>
      </c>
      <c r="P283" s="256"/>
      <c r="Q283" s="255" t="s">
        <v>20</v>
      </c>
      <c r="R283" s="255" t="s">
        <v>20</v>
      </c>
      <c r="S283" s="255" t="s">
        <v>20</v>
      </c>
      <c r="T283" s="256"/>
      <c r="U283" s="255" t="s">
        <v>20</v>
      </c>
      <c r="V283" s="255" t="s">
        <v>77</v>
      </c>
      <c r="W283" s="255" t="s">
        <v>20</v>
      </c>
      <c r="X283" s="255" t="s">
        <v>76</v>
      </c>
    </row>
    <row r="284" spans="1:31">
      <c r="A284" s="4"/>
      <c r="B284" s="256"/>
      <c r="C284" s="256"/>
      <c r="D284" s="256"/>
      <c r="E284" s="4"/>
      <c r="F284" s="256"/>
      <c r="G284" s="4" t="s">
        <v>8</v>
      </c>
      <c r="H284" s="4"/>
      <c r="I284" s="4" t="s">
        <v>9</v>
      </c>
      <c r="J284" s="4" t="s">
        <v>370</v>
      </c>
      <c r="K284" s="4"/>
      <c r="L284" s="132" t="s">
        <v>79</v>
      </c>
      <c r="M284" s="132" t="s">
        <v>115</v>
      </c>
      <c r="N284" s="4" t="s">
        <v>81</v>
      </c>
      <c r="O284" s="4" t="s">
        <v>959</v>
      </c>
      <c r="P284" s="4"/>
      <c r="Q284" s="4" t="s">
        <v>118</v>
      </c>
      <c r="R284" s="4" t="s">
        <v>84</v>
      </c>
      <c r="S284" s="4" t="s">
        <v>516</v>
      </c>
      <c r="T284" s="4"/>
      <c r="U284" s="4" t="s">
        <v>960</v>
      </c>
      <c r="V284" s="4" t="s">
        <v>518</v>
      </c>
      <c r="W284" s="4" t="s">
        <v>961</v>
      </c>
      <c r="X284" s="4" t="s">
        <v>962</v>
      </c>
    </row>
    <row r="285" spans="1:31">
      <c r="A285" s="4"/>
      <c r="B285" s="256"/>
      <c r="C285" s="802" t="s">
        <v>172</v>
      </c>
      <c r="D285" s="256"/>
      <c r="E285" s="36"/>
      <c r="F285" s="256"/>
      <c r="G285" s="35"/>
      <c r="H285" s="256"/>
      <c r="I285" s="256"/>
      <c r="J285" s="504"/>
      <c r="K285" s="504"/>
      <c r="L285" s="504"/>
      <c r="M285" s="504"/>
      <c r="N285" s="504"/>
      <c r="O285" s="504"/>
      <c r="P285" s="256"/>
      <c r="Q285" s="504"/>
      <c r="R285" s="504"/>
      <c r="S285" s="504"/>
      <c r="T285" s="256"/>
      <c r="U285" s="256"/>
      <c r="V285" s="256"/>
      <c r="W285" s="504"/>
      <c r="X285" s="513"/>
    </row>
    <row r="286" spans="1:31">
      <c r="A286" s="4"/>
      <c r="B286" s="256"/>
      <c r="C286" s="6" t="s">
        <v>173</v>
      </c>
      <c r="D286" s="256"/>
      <c r="E286" s="36"/>
      <c r="F286" s="256"/>
      <c r="G286" s="35"/>
      <c r="H286" s="256"/>
      <c r="I286" s="771"/>
      <c r="J286" s="762"/>
      <c r="K286" s="762"/>
      <c r="L286" s="762"/>
      <c r="M286" s="762"/>
      <c r="N286" s="762"/>
      <c r="O286" s="762"/>
      <c r="P286" s="771"/>
      <c r="Q286" s="762"/>
      <c r="R286" s="762"/>
      <c r="S286" s="762"/>
      <c r="T286" s="771"/>
      <c r="U286" s="771"/>
      <c r="V286" s="771"/>
      <c r="W286" s="762"/>
      <c r="X286" s="513"/>
    </row>
    <row r="287" spans="1:31">
      <c r="A287" s="4">
        <v>124</v>
      </c>
      <c r="B287" s="256"/>
      <c r="C287" s="7" t="s">
        <v>703</v>
      </c>
      <c r="D287" s="256"/>
      <c r="E287" s="36" t="s">
        <v>704</v>
      </c>
      <c r="F287" s="256"/>
      <c r="G287" s="35">
        <v>4435128.0000000037</v>
      </c>
      <c r="H287" s="256"/>
      <c r="I287" s="35">
        <v>0</v>
      </c>
      <c r="J287" s="762">
        <v>0</v>
      </c>
      <c r="K287" s="762"/>
      <c r="L287" s="35">
        <v>0</v>
      </c>
      <c r="M287" s="35">
        <v>0</v>
      </c>
      <c r="N287" s="35">
        <v>0</v>
      </c>
      <c r="O287" s="762">
        <v>0</v>
      </c>
      <c r="P287" s="771"/>
      <c r="Q287" s="35">
        <v>0</v>
      </c>
      <c r="R287" s="35">
        <v>0</v>
      </c>
      <c r="S287" s="35">
        <v>0</v>
      </c>
      <c r="T287" s="771"/>
      <c r="U287" s="771">
        <v>0</v>
      </c>
      <c r="V287" s="771">
        <v>0</v>
      </c>
      <c r="W287" s="762">
        <v>0</v>
      </c>
      <c r="X287" s="770"/>
      <c r="Y287" s="769"/>
      <c r="AA287" s="938"/>
      <c r="AE287" s="954"/>
    </row>
    <row r="288" spans="1:31">
      <c r="C288" s="512" t="s">
        <v>705</v>
      </c>
      <c r="E288" s="36"/>
      <c r="G288" s="35"/>
      <c r="J288" s="753"/>
      <c r="K288" s="753"/>
      <c r="L288" s="504"/>
      <c r="M288" s="504"/>
      <c r="N288" s="504"/>
      <c r="O288" s="753"/>
      <c r="Q288" s="504"/>
      <c r="R288" s="865"/>
      <c r="S288" s="865"/>
      <c r="U288" s="750"/>
      <c r="V288" s="793"/>
      <c r="W288" s="753"/>
      <c r="X288" s="770"/>
      <c r="Y288" s="769"/>
      <c r="AA288" s="938"/>
    </row>
    <row r="289" spans="1:31">
      <c r="A289" s="4">
        <v>125</v>
      </c>
      <c r="B289" s="256"/>
      <c r="C289" s="519" t="s">
        <v>749</v>
      </c>
      <c r="D289" s="256"/>
      <c r="E289" s="513" t="s">
        <v>674</v>
      </c>
      <c r="F289" s="256"/>
      <c r="G289" s="35">
        <v>299290.46273039118</v>
      </c>
      <c r="H289" s="256"/>
      <c r="I289" s="861">
        <v>6.4899999999999999E-2</v>
      </c>
      <c r="J289" s="753">
        <f>G289*I289/100</f>
        <v>194.2395103120239</v>
      </c>
      <c r="K289" s="753"/>
      <c r="L289" s="865">
        <v>194.2395103120239</v>
      </c>
      <c r="M289" s="35">
        <v>0</v>
      </c>
      <c r="N289" s="35">
        <v>0</v>
      </c>
      <c r="O289" s="762">
        <f>J289-L289-M289-N289</f>
        <v>0</v>
      </c>
      <c r="P289" s="256"/>
      <c r="Q289" s="35">
        <v>182.07498238504988</v>
      </c>
      <c r="R289" s="865">
        <v>0</v>
      </c>
      <c r="S289" s="865">
        <v>0</v>
      </c>
      <c r="T289" s="256"/>
      <c r="U289" s="750">
        <f>SUM(O289:S289)</f>
        <v>182.07498238504988</v>
      </c>
      <c r="V289" s="792">
        <f t="shared" ref="V289:V294" si="5">U289/G289*100</f>
        <v>6.0835544415281911E-2</v>
      </c>
      <c r="W289" s="847">
        <f>U289-J289</f>
        <v>-12.164527926974017</v>
      </c>
      <c r="X289" s="770"/>
      <c r="Y289" s="769"/>
      <c r="AA289" s="938"/>
      <c r="AC289" s="938"/>
      <c r="AE289" s="949"/>
    </row>
    <row r="290" spans="1:31">
      <c r="A290" s="4">
        <v>126</v>
      </c>
      <c r="B290" s="256"/>
      <c r="C290" s="519" t="s">
        <v>750</v>
      </c>
      <c r="D290" s="256"/>
      <c r="E290" s="513" t="s">
        <v>674</v>
      </c>
      <c r="F290" s="256"/>
      <c r="G290" s="35">
        <v>342667.32910551433</v>
      </c>
      <c r="H290" s="256"/>
      <c r="I290" s="861">
        <v>6.4899999999999999E-2</v>
      </c>
      <c r="J290" s="753">
        <f>G290*I290/100</f>
        <v>222.39109658947879</v>
      </c>
      <c r="K290" s="753"/>
      <c r="L290" s="865">
        <v>222.39109658947879</v>
      </c>
      <c r="M290" s="35">
        <v>0</v>
      </c>
      <c r="N290" s="35">
        <v>0</v>
      </c>
      <c r="O290" s="762">
        <f>J290-L290-M290-N290</f>
        <v>0</v>
      </c>
      <c r="P290" s="256"/>
      <c r="Q290" s="35">
        <v>208.46353519464537</v>
      </c>
      <c r="R290" s="865">
        <v>0</v>
      </c>
      <c r="S290" s="865">
        <v>0</v>
      </c>
      <c r="T290" s="256"/>
      <c r="U290" s="750">
        <f>SUM(O290:S290)</f>
        <v>208.46353519464537</v>
      </c>
      <c r="V290" s="792">
        <f t="shared" si="5"/>
        <v>6.0835544415281897E-2</v>
      </c>
      <c r="W290" s="847">
        <f>U290-J290</f>
        <v>-13.927561394833418</v>
      </c>
      <c r="X290" s="770"/>
      <c r="Y290" s="769"/>
      <c r="AA290" s="938"/>
      <c r="AC290" s="938"/>
      <c r="AE290" s="949"/>
    </row>
    <row r="291" spans="1:31">
      <c r="A291" s="4">
        <v>127</v>
      </c>
      <c r="B291" s="256"/>
      <c r="C291" s="519" t="s">
        <v>751</v>
      </c>
      <c r="D291" s="256"/>
      <c r="E291" s="513" t="s">
        <v>674</v>
      </c>
      <c r="F291" s="256"/>
      <c r="G291" s="35">
        <v>128559.93934024102</v>
      </c>
      <c r="H291" s="256"/>
      <c r="I291" s="861">
        <v>6.4899999999999999E-2</v>
      </c>
      <c r="J291" s="753">
        <f>G291*I291/100</f>
        <v>83.435400631816435</v>
      </c>
      <c r="K291" s="753"/>
      <c r="L291" s="865">
        <v>83.435400631816435</v>
      </c>
      <c r="M291" s="35">
        <v>0</v>
      </c>
      <c r="N291" s="35">
        <v>0</v>
      </c>
      <c r="O291" s="762">
        <f>J291-L291-M291-N291</f>
        <v>0</v>
      </c>
      <c r="P291" s="256"/>
      <c r="Q291" s="35">
        <v>78.210138997591812</v>
      </c>
      <c r="R291" s="865">
        <v>0</v>
      </c>
      <c r="S291" s="865">
        <v>0</v>
      </c>
      <c r="T291" s="256"/>
      <c r="U291" s="750">
        <f>SUM(O291:S291)</f>
        <v>78.210138997591812</v>
      </c>
      <c r="V291" s="792">
        <f t="shared" si="5"/>
        <v>6.0835544415281911E-2</v>
      </c>
      <c r="W291" s="847">
        <f>U291-J291</f>
        <v>-5.2252616342246228</v>
      </c>
      <c r="X291" s="770"/>
      <c r="Y291" s="769"/>
      <c r="AA291" s="938"/>
      <c r="AC291" s="938"/>
      <c r="AE291" s="949"/>
    </row>
    <row r="292" spans="1:31">
      <c r="A292" s="4">
        <v>128</v>
      </c>
      <c r="B292" s="256"/>
      <c r="C292" s="519" t="s">
        <v>752</v>
      </c>
      <c r="D292" s="256"/>
      <c r="E292" s="513" t="s">
        <v>674</v>
      </c>
      <c r="F292" s="256"/>
      <c r="G292" s="35">
        <v>86233.647863598511</v>
      </c>
      <c r="H292" s="256"/>
      <c r="I292" s="861">
        <v>6.4899999999999999E-2</v>
      </c>
      <c r="J292" s="753">
        <f>G292*I292/100</f>
        <v>55.965637463475431</v>
      </c>
      <c r="K292" s="753"/>
      <c r="L292" s="865">
        <v>55.965637463475431</v>
      </c>
      <c r="M292" s="35">
        <v>0</v>
      </c>
      <c r="N292" s="35">
        <v>0</v>
      </c>
      <c r="O292" s="762">
        <f>J292-L292-M292-N292</f>
        <v>0</v>
      </c>
      <c r="P292" s="256"/>
      <c r="Q292" s="35">
        <v>52.460709146977266</v>
      </c>
      <c r="R292" s="865">
        <v>0</v>
      </c>
      <c r="S292" s="865">
        <v>0</v>
      </c>
      <c r="T292" s="256"/>
      <c r="U292" s="750">
        <f>SUM(O292:S292)</f>
        <v>52.460709146977266</v>
      </c>
      <c r="V292" s="792">
        <f t="shared" si="5"/>
        <v>6.0835544415281897E-2</v>
      </c>
      <c r="W292" s="847">
        <f>U292-J292</f>
        <v>-3.5049283164981659</v>
      </c>
      <c r="X292" s="770"/>
      <c r="Y292" s="769"/>
      <c r="AA292" s="938"/>
      <c r="AC292" s="938"/>
      <c r="AE292" s="949"/>
    </row>
    <row r="293" spans="1:31">
      <c r="A293" s="4">
        <v>129</v>
      </c>
      <c r="B293" s="256"/>
      <c r="C293" s="519" t="s">
        <v>753</v>
      </c>
      <c r="D293" s="256"/>
      <c r="E293" s="742"/>
      <c r="F293" s="256"/>
      <c r="G293" s="35">
        <v>120128.48102739092</v>
      </c>
      <c r="H293" s="256"/>
      <c r="I293" s="861">
        <v>6.4899999999999999E-2</v>
      </c>
      <c r="J293" s="753">
        <f>G293*I293/100</f>
        <v>77.963384186776707</v>
      </c>
      <c r="K293" s="753"/>
      <c r="L293" s="865">
        <v>77.963384186776707</v>
      </c>
      <c r="M293" s="35">
        <v>0</v>
      </c>
      <c r="N293" s="35">
        <v>0</v>
      </c>
      <c r="O293" s="762">
        <f>J293-L293-M293-N293</f>
        <v>0</v>
      </c>
      <c r="P293" s="256"/>
      <c r="Q293" s="35">
        <v>73.0808154308219</v>
      </c>
      <c r="R293" s="865">
        <v>0</v>
      </c>
      <c r="S293" s="865">
        <v>0</v>
      </c>
      <c r="T293" s="256"/>
      <c r="U293" s="750">
        <f>SUM(O293:S293)</f>
        <v>73.0808154308219</v>
      </c>
      <c r="V293" s="792">
        <f t="shared" si="5"/>
        <v>6.0835544415281897E-2</v>
      </c>
      <c r="W293" s="847">
        <f>U293-J293</f>
        <v>-4.8825687559548072</v>
      </c>
      <c r="X293" s="770"/>
      <c r="Y293" s="769"/>
      <c r="AA293" s="938"/>
      <c r="AC293" s="938"/>
      <c r="AE293" s="949"/>
    </row>
    <row r="294" spans="1:31">
      <c r="A294" s="4">
        <v>130</v>
      </c>
      <c r="B294" s="256"/>
      <c r="C294" s="512" t="s">
        <v>705</v>
      </c>
      <c r="D294" s="256"/>
      <c r="E294" s="36"/>
      <c r="F294" s="256"/>
      <c r="G294" s="137">
        <f>SUM(G289:G293)</f>
        <v>976879.860067136</v>
      </c>
      <c r="H294" s="256"/>
      <c r="I294" s="922">
        <f>J294/G294*100</f>
        <v>6.4899999999999999E-2</v>
      </c>
      <c r="J294" s="887">
        <f>SUM(J289:J293)</f>
        <v>633.99502918357121</v>
      </c>
      <c r="K294" s="755"/>
      <c r="L294" s="887">
        <f>SUM(L289:L293)</f>
        <v>633.99502918357121</v>
      </c>
      <c r="M294" s="805">
        <f>SUM(M289:M293)</f>
        <v>0</v>
      </c>
      <c r="N294" s="805">
        <f>SUM(N289:N293)</f>
        <v>0</v>
      </c>
      <c r="O294" s="805">
        <f>SUM(O289:O293)</f>
        <v>0</v>
      </c>
      <c r="P294" s="256"/>
      <c r="Q294" s="807">
        <f>SUM(Q289:Q293)</f>
        <v>594.2901811550862</v>
      </c>
      <c r="R294" s="807">
        <f>SUM(R289:R293)</f>
        <v>0</v>
      </c>
      <c r="S294" s="807">
        <f>SUM(S289:S293)</f>
        <v>0</v>
      </c>
      <c r="T294" s="453"/>
      <c r="U294" s="137">
        <f>SUM(U289:U293)</f>
        <v>594.2901811550862</v>
      </c>
      <c r="V294" s="829">
        <f t="shared" si="5"/>
        <v>6.0835544415281897E-2</v>
      </c>
      <c r="W294" s="851">
        <f>SUM(W289:W293)</f>
        <v>-39.704848028485031</v>
      </c>
      <c r="X294" s="995">
        <f>V294/I294-1</f>
        <v>-6.2626434279169474E-2</v>
      </c>
      <c r="Y294" s="889"/>
      <c r="AA294" s="938"/>
      <c r="AC294" s="938"/>
      <c r="AE294" s="949"/>
    </row>
    <row r="295" spans="1:31">
      <c r="A295" s="4"/>
      <c r="C295" s="7"/>
      <c r="G295" s="135"/>
      <c r="J295" s="504"/>
      <c r="K295" s="504"/>
      <c r="L295" s="504"/>
      <c r="M295" s="504"/>
      <c r="N295" s="504"/>
      <c r="O295" s="504"/>
      <c r="Q295" s="504"/>
      <c r="R295" s="504"/>
      <c r="S295" s="504"/>
      <c r="V295" s="793"/>
      <c r="W295" s="504"/>
      <c r="X295" s="770"/>
      <c r="Y295" s="769"/>
      <c r="AA295" s="938"/>
    </row>
    <row r="296" spans="1:31">
      <c r="A296" s="4">
        <v>131</v>
      </c>
      <c r="B296" s="256"/>
      <c r="C296" s="7" t="s">
        <v>710</v>
      </c>
      <c r="D296" s="256"/>
      <c r="E296" s="36"/>
      <c r="F296" s="256"/>
      <c r="G296" s="420">
        <f>G294</f>
        <v>976879.860067136</v>
      </c>
      <c r="H296" s="35"/>
      <c r="I296" s="922">
        <f>I294</f>
        <v>6.4899999999999999E-2</v>
      </c>
      <c r="J296" s="420">
        <f>J294</f>
        <v>633.99502918357121</v>
      </c>
      <c r="K296" s="35"/>
      <c r="L296" s="420">
        <f>L294</f>
        <v>633.99502918357121</v>
      </c>
      <c r="M296" s="420">
        <f>M294</f>
        <v>0</v>
      </c>
      <c r="N296" s="420">
        <f>N294</f>
        <v>0</v>
      </c>
      <c r="O296" s="420">
        <f>O294</f>
        <v>0</v>
      </c>
      <c r="P296" s="35"/>
      <c r="Q296" s="420">
        <f>Q294</f>
        <v>594.2901811550862</v>
      </c>
      <c r="R296" s="420">
        <f>R294</f>
        <v>0</v>
      </c>
      <c r="S296" s="420">
        <f>S294</f>
        <v>0</v>
      </c>
      <c r="T296" s="35"/>
      <c r="U296" s="420">
        <f>U294</f>
        <v>594.2901811550862</v>
      </c>
      <c r="V296" s="829">
        <f>V294</f>
        <v>6.0835544415281897E-2</v>
      </c>
      <c r="W296" s="420">
        <f>W294</f>
        <v>-39.704848028485031</v>
      </c>
      <c r="X296" s="995">
        <f>X294</f>
        <v>-6.2626434279169474E-2</v>
      </c>
      <c r="Y296" s="779"/>
      <c r="AA296" s="938"/>
    </row>
    <row r="297" spans="1:31">
      <c r="A297" s="4"/>
      <c r="B297" s="256"/>
      <c r="C297" s="7"/>
      <c r="D297" s="256"/>
      <c r="E297" s="36"/>
      <c r="F297" s="256"/>
      <c r="G297" s="35"/>
      <c r="H297" s="256"/>
      <c r="I297" s="256"/>
      <c r="J297" s="504"/>
      <c r="K297" s="504"/>
      <c r="L297" s="504"/>
      <c r="M297" s="504"/>
      <c r="N297" s="504"/>
      <c r="O297" s="504"/>
      <c r="P297" s="256"/>
      <c r="Q297" s="504"/>
      <c r="R297" s="504"/>
      <c r="S297" s="504"/>
      <c r="T297" s="256"/>
      <c r="U297" s="256"/>
      <c r="V297" s="256"/>
      <c r="W297" s="504"/>
      <c r="X297" s="504"/>
      <c r="AA297" s="938"/>
    </row>
    <row r="298" spans="1:31">
      <c r="A298" s="4"/>
      <c r="B298" s="256"/>
      <c r="C298" s="7" t="s">
        <v>712</v>
      </c>
      <c r="D298" s="734"/>
      <c r="E298" s="734"/>
      <c r="F298" s="734"/>
      <c r="G298" s="734"/>
      <c r="H298" s="734"/>
      <c r="I298" s="734"/>
      <c r="J298" s="504"/>
      <c r="K298" s="504"/>
      <c r="L298" s="504"/>
      <c r="M298" s="504"/>
      <c r="N298" s="504"/>
      <c r="O298" s="504"/>
      <c r="P298" s="734"/>
      <c r="Q298" s="504"/>
      <c r="R298" s="504"/>
      <c r="S298" s="504"/>
      <c r="T298" s="734"/>
      <c r="U298" s="734"/>
      <c r="V298" s="885"/>
      <c r="W298" s="504"/>
      <c r="X298" s="770"/>
      <c r="AA298" s="938"/>
    </row>
    <row r="299" spans="1:31">
      <c r="A299" s="4">
        <v>132</v>
      </c>
      <c r="B299" s="256"/>
      <c r="C299" s="9" t="s">
        <v>754</v>
      </c>
      <c r="D299" s="385"/>
      <c r="E299" s="513" t="s">
        <v>674</v>
      </c>
      <c r="F299" s="385"/>
      <c r="G299" s="35">
        <v>274790.8752561867</v>
      </c>
      <c r="H299" s="822"/>
      <c r="I299" s="861">
        <v>4.9102516431090066</v>
      </c>
      <c r="J299" s="753">
        <f>G299*I299/100</f>
        <v>13492.923467380528</v>
      </c>
      <c r="K299" s="753"/>
      <c r="L299" s="865">
        <v>0</v>
      </c>
      <c r="M299" s="35">
        <v>39.985002056233732</v>
      </c>
      <c r="N299" s="865">
        <v>0</v>
      </c>
      <c r="O299" s="753">
        <f>J299-L299-M299-N299</f>
        <v>13452.938465324294</v>
      </c>
      <c r="P299" s="822"/>
      <c r="Q299" s="865">
        <v>0</v>
      </c>
      <c r="R299" s="35">
        <v>49.117732712342395</v>
      </c>
      <c r="S299" s="35">
        <v>0</v>
      </c>
      <c r="T299" s="822"/>
      <c r="U299" s="818">
        <f>SUM(O299:S299)</f>
        <v>13502.056198036636</v>
      </c>
      <c r="V299" s="823">
        <f>U299/G299*100</f>
        <v>4.9135751634579243</v>
      </c>
      <c r="W299" s="884">
        <f>U299-J299</f>
        <v>9.1327306561088335</v>
      </c>
      <c r="X299" s="770"/>
      <c r="AA299" s="938"/>
      <c r="AC299" s="938"/>
      <c r="AE299" s="949"/>
    </row>
    <row r="300" spans="1:31">
      <c r="A300" s="4">
        <v>133</v>
      </c>
      <c r="B300" s="256"/>
      <c r="C300" s="9" t="s">
        <v>755</v>
      </c>
      <c r="D300" s="447"/>
      <c r="E300" s="513" t="s">
        <v>674</v>
      </c>
      <c r="F300" s="447"/>
      <c r="G300" s="35">
        <v>702088.9848109493</v>
      </c>
      <c r="H300" s="856"/>
      <c r="I300" s="861">
        <v>2.4598725863893667</v>
      </c>
      <c r="J300" s="753">
        <f>G300*I300/100</f>
        <v>17270.494469423946</v>
      </c>
      <c r="K300" s="753"/>
      <c r="L300" s="865">
        <v>0</v>
      </c>
      <c r="M300" s="35">
        <v>145.9449038169349</v>
      </c>
      <c r="N300" s="35">
        <v>108.01479003855833</v>
      </c>
      <c r="O300" s="753">
        <f>J300-L300-M300-N300</f>
        <v>17016.534775568452</v>
      </c>
      <c r="P300" s="856"/>
      <c r="Q300" s="865">
        <v>0</v>
      </c>
      <c r="R300" s="35">
        <v>179.27928992793807</v>
      </c>
      <c r="S300" s="35">
        <v>108.1365316886159</v>
      </c>
      <c r="T300" s="856"/>
      <c r="U300" s="818">
        <f>SUM(O300:S300)</f>
        <v>17303.950597185005</v>
      </c>
      <c r="V300" s="823">
        <f>U300/G300*100</f>
        <v>2.4646378125195083</v>
      </c>
      <c r="W300" s="884">
        <f>U300-J300</f>
        <v>33.456127761059179</v>
      </c>
      <c r="X300" s="770"/>
      <c r="AA300" s="938"/>
      <c r="AC300" s="938"/>
      <c r="AE300" s="949"/>
    </row>
    <row r="301" spans="1:31">
      <c r="A301" s="4">
        <v>134</v>
      </c>
      <c r="B301" s="256"/>
      <c r="C301" s="7" t="s">
        <v>712</v>
      </c>
      <c r="D301" s="254"/>
      <c r="E301" s="4"/>
      <c r="F301" s="254"/>
      <c r="G301" s="420">
        <f>SUM(G299:G300)</f>
        <v>976879.860067136</v>
      </c>
      <c r="H301" s="854"/>
      <c r="I301" s="994">
        <f>J301/G301*100</f>
        <v>3.1491505961326971</v>
      </c>
      <c r="J301" s="875">
        <f>SUM(J299:J300)</f>
        <v>30763.417936804472</v>
      </c>
      <c r="K301" s="865"/>
      <c r="L301" s="875">
        <f>SUM(L299:L300)</f>
        <v>0</v>
      </c>
      <c r="M301" s="875">
        <f>SUM(M299:M300)</f>
        <v>185.92990587316862</v>
      </c>
      <c r="N301" s="875">
        <f>SUM(N299:N300)</f>
        <v>108.01479003855833</v>
      </c>
      <c r="O301" s="875">
        <f>SUM(O299:O300)</f>
        <v>30469.473240892745</v>
      </c>
      <c r="P301" s="854"/>
      <c r="Q301" s="879">
        <f>SUM(Q299:Q300)</f>
        <v>0</v>
      </c>
      <c r="R301" s="879">
        <f>SUM(R299:R300)</f>
        <v>228.39702264028045</v>
      </c>
      <c r="S301" s="879">
        <f>SUM(S299:S300)</f>
        <v>108.1365316886159</v>
      </c>
      <c r="T301" s="739"/>
      <c r="U301" s="881">
        <f>SUM(U299:U300)</f>
        <v>30806.006795221641</v>
      </c>
      <c r="V301" s="890">
        <f>U301/G301*100</f>
        <v>3.1535102784394078</v>
      </c>
      <c r="W301" s="881">
        <f>SUM(W299:W300)</f>
        <v>42.588858417168012</v>
      </c>
      <c r="X301" s="841">
        <f>V301/I301-1</f>
        <v>1.3843994352205069E-3</v>
      </c>
      <c r="AA301" s="964"/>
      <c r="AC301" s="938"/>
      <c r="AE301" s="949"/>
    </row>
    <row r="302" spans="1:31">
      <c r="A302" s="4"/>
      <c r="B302" s="256"/>
      <c r="C302" s="256"/>
      <c r="D302" s="256"/>
      <c r="E302" s="36"/>
      <c r="F302" s="256"/>
      <c r="G302" s="35"/>
      <c r="H302" s="256"/>
      <c r="I302" s="256"/>
      <c r="J302" s="504"/>
      <c r="K302" s="504"/>
      <c r="L302" s="504"/>
      <c r="M302" s="504"/>
      <c r="N302" s="504"/>
      <c r="O302" s="504"/>
      <c r="P302" s="256"/>
      <c r="Q302" s="504"/>
      <c r="R302" s="504"/>
      <c r="S302" s="504"/>
      <c r="T302" s="256"/>
      <c r="U302" s="256"/>
      <c r="V302" s="256"/>
      <c r="W302" s="504"/>
      <c r="X302" s="504"/>
      <c r="AA302" s="938"/>
      <c r="AE302" s="949"/>
    </row>
    <row r="303" spans="1:31">
      <c r="A303" s="4"/>
      <c r="B303" s="256"/>
      <c r="C303" s="7" t="s">
        <v>756</v>
      </c>
      <c r="D303" s="256"/>
      <c r="E303" s="36"/>
      <c r="F303" s="256"/>
      <c r="G303" s="453"/>
      <c r="H303" s="256"/>
      <c r="I303" s="256"/>
      <c r="J303" s="504"/>
      <c r="K303" s="504"/>
      <c r="L303" s="504"/>
      <c r="M303" s="504"/>
      <c r="N303" s="504"/>
      <c r="O303" s="504"/>
      <c r="P303" s="256"/>
      <c r="Q303" s="504"/>
      <c r="R303" s="504"/>
      <c r="S303" s="504"/>
      <c r="T303" s="256"/>
      <c r="U303" s="256"/>
      <c r="V303" s="256"/>
      <c r="W303" s="504"/>
      <c r="X303" s="504"/>
      <c r="AA303" s="938"/>
      <c r="AE303" s="949"/>
    </row>
    <row r="304" spans="1:31">
      <c r="A304" s="4">
        <v>135</v>
      </c>
      <c r="B304" s="256"/>
      <c r="C304" s="9" t="s">
        <v>754</v>
      </c>
      <c r="D304" s="256"/>
      <c r="E304" s="513" t="s">
        <v>674</v>
      </c>
      <c r="F304" s="256"/>
      <c r="G304" s="35">
        <v>274790.8752561867</v>
      </c>
      <c r="H304" s="256"/>
      <c r="I304" s="897">
        <v>0.57732107261404941</v>
      </c>
      <c r="J304" s="755">
        <f>G304*I304/100</f>
        <v>1586.4256284745516</v>
      </c>
      <c r="K304" s="755"/>
      <c r="L304" s="865">
        <v>0</v>
      </c>
      <c r="M304" s="35">
        <v>63.68335431669415</v>
      </c>
      <c r="N304" s="35">
        <v>423.30398225785399</v>
      </c>
      <c r="O304" s="755">
        <f>J304-L304-M304-N304</f>
        <v>1099.4382919000034</v>
      </c>
      <c r="P304" s="256"/>
      <c r="Q304" s="865">
        <v>0</v>
      </c>
      <c r="R304" s="35">
        <v>78.228881197847059</v>
      </c>
      <c r="S304" s="35">
        <v>423.78108104458141</v>
      </c>
      <c r="T304" s="750"/>
      <c r="U304" s="896">
        <f>SUM(O304:S304)</f>
        <v>1601.448254142432</v>
      </c>
      <c r="V304" s="960">
        <f>U304/G304*100</f>
        <v>0.58278800293110411</v>
      </c>
      <c r="W304" s="993">
        <f>U304-J304</f>
        <v>15.022625667880448</v>
      </c>
      <c r="X304" s="770"/>
      <c r="Y304" s="769"/>
      <c r="AA304" s="964"/>
      <c r="AC304" s="964"/>
      <c r="AE304" s="949"/>
    </row>
    <row r="305" spans="1:31">
      <c r="A305" s="4">
        <v>136</v>
      </c>
      <c r="B305" s="256"/>
      <c r="C305" s="9" t="s">
        <v>755</v>
      </c>
      <c r="D305" s="256"/>
      <c r="E305" s="513" t="s">
        <v>674</v>
      </c>
      <c r="F305" s="256"/>
      <c r="G305" s="35">
        <v>702088.9848109493</v>
      </c>
      <c r="H305" s="256"/>
      <c r="I305" s="897">
        <v>4.1064171220104688</v>
      </c>
      <c r="J305" s="755">
        <f>G305*I305/100</f>
        <v>28830.702284026305</v>
      </c>
      <c r="K305" s="755"/>
      <c r="L305" s="865">
        <v>0</v>
      </c>
      <c r="M305" s="35">
        <v>170.3272640472313</v>
      </c>
      <c r="N305" s="35">
        <v>1323.8383073799539</v>
      </c>
      <c r="O305" s="755">
        <f>J305-L305-M305-N305</f>
        <v>27336.536712599122</v>
      </c>
      <c r="P305" s="256"/>
      <c r="Q305" s="865">
        <v>0</v>
      </c>
      <c r="R305" s="35">
        <v>209.23067647541072</v>
      </c>
      <c r="S305" s="35">
        <v>1325.3303832326435</v>
      </c>
      <c r="T305" s="750"/>
      <c r="U305" s="896">
        <f>SUM(O305:S305)</f>
        <v>28871.097772307174</v>
      </c>
      <c r="V305" s="960">
        <f>U305/G305*100</f>
        <v>4.1121707357481556</v>
      </c>
      <c r="W305" s="993">
        <f>U305-J305</f>
        <v>40.395488280868449</v>
      </c>
      <c r="X305" s="770"/>
      <c r="Y305" s="769"/>
      <c r="AA305" s="964"/>
      <c r="AC305" s="964"/>
      <c r="AE305" s="949"/>
    </row>
    <row r="306" spans="1:31">
      <c r="A306" s="4">
        <v>137</v>
      </c>
      <c r="B306" s="256"/>
      <c r="C306" s="7" t="s">
        <v>757</v>
      </c>
      <c r="D306" s="256"/>
      <c r="E306" s="860"/>
      <c r="F306" s="256"/>
      <c r="G306" s="879">
        <f>SUM(G304:G305)</f>
        <v>976879.860067136</v>
      </c>
      <c r="H306" s="256"/>
      <c r="I306" s="878">
        <f>J306/G306*100</f>
        <v>3.1137020176063865</v>
      </c>
      <c r="J306" s="873">
        <f>SUM(J304:J305)</f>
        <v>30417.127912500859</v>
      </c>
      <c r="K306" s="795"/>
      <c r="L306" s="873">
        <f>SUM(L304:L305)</f>
        <v>0</v>
      </c>
      <c r="M306" s="873">
        <f>SUM(M304:M305)</f>
        <v>234.01061836392546</v>
      </c>
      <c r="N306" s="873">
        <f>SUM(N304:N305)</f>
        <v>1747.1422896378078</v>
      </c>
      <c r="O306" s="873">
        <f>SUM(O304:O305)</f>
        <v>28435.975004499123</v>
      </c>
      <c r="P306" s="795"/>
      <c r="Q306" s="873">
        <f>SUM(Q304:Q305)</f>
        <v>0</v>
      </c>
      <c r="R306" s="873">
        <f>SUM(R304:R305)</f>
        <v>287.45955767325779</v>
      </c>
      <c r="S306" s="873">
        <f>SUM(S304:S305)</f>
        <v>1749.111464277225</v>
      </c>
      <c r="T306" s="750"/>
      <c r="U306" s="849">
        <f>SUM(U304:U305)</f>
        <v>30472.546026449607</v>
      </c>
      <c r="V306" s="903">
        <f>U306/G306*100</f>
        <v>3.1193749888912015</v>
      </c>
      <c r="W306" s="851">
        <f>SUM(W304:W305)</f>
        <v>55.418113948748896</v>
      </c>
      <c r="X306" s="804">
        <f>V306/I306-1</f>
        <v>1.8219377617822996E-3</v>
      </c>
      <c r="Y306" s="769"/>
      <c r="AA306" s="938"/>
      <c r="AC306" s="964"/>
      <c r="AE306" s="949"/>
    </row>
    <row r="307" spans="1:31">
      <c r="A307" s="4"/>
      <c r="J307" s="504"/>
      <c r="K307" s="504"/>
      <c r="L307" s="504"/>
      <c r="M307" s="504"/>
      <c r="N307" s="504"/>
      <c r="O307" s="504"/>
      <c r="Q307" s="504"/>
      <c r="R307" s="504"/>
      <c r="S307" s="504"/>
      <c r="V307" s="793"/>
      <c r="W307" s="504"/>
      <c r="X307" s="770"/>
      <c r="Y307" s="769"/>
    </row>
    <row r="308" spans="1:31">
      <c r="A308" s="4"/>
      <c r="B308" s="256"/>
      <c r="C308" s="7" t="s">
        <v>715</v>
      </c>
      <c r="D308" s="256"/>
      <c r="E308" s="4"/>
      <c r="F308" s="256"/>
      <c r="G308" s="877"/>
      <c r="H308" s="750"/>
      <c r="I308" s="750"/>
      <c r="J308" s="753"/>
      <c r="K308" s="753"/>
      <c r="L308" s="753"/>
      <c r="M308" s="753"/>
      <c r="N308" s="753"/>
      <c r="O308" s="753"/>
      <c r="P308" s="750"/>
      <c r="Q308" s="753"/>
      <c r="R308" s="753"/>
      <c r="S308" s="753"/>
      <c r="T308" s="256"/>
      <c r="U308" s="256"/>
      <c r="V308" s="792"/>
      <c r="W308" s="504"/>
      <c r="X308" s="770"/>
      <c r="Y308" s="769"/>
      <c r="AA308" s="938"/>
      <c r="AE308" s="949"/>
    </row>
    <row r="309" spans="1:31">
      <c r="A309" s="4">
        <v>138</v>
      </c>
      <c r="B309" s="256"/>
      <c r="C309" s="9" t="s">
        <v>754</v>
      </c>
      <c r="D309" s="256"/>
      <c r="E309" s="513" t="s">
        <v>674</v>
      </c>
      <c r="F309" s="256"/>
      <c r="G309" s="35">
        <v>261993.35937156968</v>
      </c>
      <c r="H309" s="818"/>
      <c r="I309" s="861">
        <v>18.0656</v>
      </c>
      <c r="J309" s="753">
        <f>G309*I309/100</f>
        <v>47330.672330630288</v>
      </c>
      <c r="K309" s="753"/>
      <c r="L309" s="865">
        <v>0</v>
      </c>
      <c r="M309" s="865">
        <v>0</v>
      </c>
      <c r="N309" s="865">
        <v>0</v>
      </c>
      <c r="O309" s="753">
        <f>J309-L309-M309-N309</f>
        <v>47330.672330630288</v>
      </c>
      <c r="P309" s="750"/>
      <c r="Q309" s="865">
        <v>0</v>
      </c>
      <c r="R309" s="865">
        <v>0</v>
      </c>
      <c r="S309" s="865">
        <v>0</v>
      </c>
      <c r="T309" s="256"/>
      <c r="U309" s="750">
        <f>SUM(O309:S309)</f>
        <v>47330.672330630288</v>
      </c>
      <c r="V309" s="792">
        <f>U309/G309*100</f>
        <v>18.0656</v>
      </c>
      <c r="W309" s="762">
        <f>U309-J309</f>
        <v>0</v>
      </c>
      <c r="X309" s="770"/>
      <c r="Y309" s="769"/>
      <c r="AA309" s="938"/>
      <c r="AC309" s="938"/>
      <c r="AE309" s="949"/>
    </row>
    <row r="310" spans="1:31">
      <c r="A310" s="4">
        <v>139</v>
      </c>
      <c r="B310" s="256"/>
      <c r="C310" s="9" t="s">
        <v>755</v>
      </c>
      <c r="D310" s="256"/>
      <c r="E310" s="513" t="s">
        <v>674</v>
      </c>
      <c r="F310" s="256"/>
      <c r="G310" s="35">
        <v>657094.96247954725</v>
      </c>
      <c r="H310" s="818"/>
      <c r="I310" s="861">
        <v>20.612300000000001</v>
      </c>
      <c r="J310" s="753">
        <f>G310*I310/100</f>
        <v>135442.38495117173</v>
      </c>
      <c r="K310" s="753"/>
      <c r="L310" s="865">
        <v>0</v>
      </c>
      <c r="M310" s="865">
        <v>0</v>
      </c>
      <c r="N310" s="865">
        <v>0</v>
      </c>
      <c r="O310" s="753">
        <f>J310-L310-M310-N310</f>
        <v>135442.38495117173</v>
      </c>
      <c r="P310" s="750"/>
      <c r="Q310" s="865">
        <v>0</v>
      </c>
      <c r="R310" s="865">
        <v>0</v>
      </c>
      <c r="S310" s="865">
        <v>0</v>
      </c>
      <c r="T310" s="256"/>
      <c r="U310" s="750">
        <f>SUM(O310:S310)</f>
        <v>135442.38495117173</v>
      </c>
      <c r="V310" s="792">
        <f>U310/G310*100</f>
        <v>20.612300000000001</v>
      </c>
      <c r="W310" s="762">
        <f>U310-J310</f>
        <v>0</v>
      </c>
      <c r="X310" s="770"/>
      <c r="Y310" s="769"/>
      <c r="AA310" s="938"/>
      <c r="AC310" s="938"/>
      <c r="AE310" s="949"/>
    </row>
    <row r="311" spans="1:31">
      <c r="A311" s="4">
        <v>140</v>
      </c>
      <c r="B311" s="256"/>
      <c r="C311" s="7" t="s">
        <v>715</v>
      </c>
      <c r="D311" s="256"/>
      <c r="E311" s="36"/>
      <c r="F311" s="256"/>
      <c r="G311" s="420">
        <f>SUM(G309:G310)</f>
        <v>919088.32185111695</v>
      </c>
      <c r="H311" s="420"/>
      <c r="I311" s="992">
        <f>J311/G311*100</f>
        <v>19.886343122463195</v>
      </c>
      <c r="J311" s="875">
        <f>SUM(J309:J310)</f>
        <v>182773.057281802</v>
      </c>
      <c r="K311" s="865"/>
      <c r="L311" s="875">
        <f>SUM(L309:L310)</f>
        <v>0</v>
      </c>
      <c r="M311" s="875">
        <f>SUM(M309:M310)</f>
        <v>0</v>
      </c>
      <c r="N311" s="875">
        <f>SUM(N309:N310)</f>
        <v>0</v>
      </c>
      <c r="O311" s="875">
        <f>SUM(O309:O310)</f>
        <v>182773.057281802</v>
      </c>
      <c r="P311" s="865"/>
      <c r="Q311" s="875">
        <f>SUM(Q309:Q310)</f>
        <v>0</v>
      </c>
      <c r="R311" s="875">
        <f>SUM(R309:R310)</f>
        <v>0</v>
      </c>
      <c r="S311" s="875">
        <f>SUM(S309:S310)</f>
        <v>0</v>
      </c>
      <c r="T311" s="256"/>
      <c r="U311" s="808">
        <f>SUM(U309:U310)</f>
        <v>182773.057281802</v>
      </c>
      <c r="V311" s="806">
        <f>U311/G311*100</f>
        <v>19.886343122463195</v>
      </c>
      <c r="W311" s="805">
        <f>SUM(W309:W310)</f>
        <v>0</v>
      </c>
      <c r="X311" s="804">
        <f>V311/I311-1</f>
        <v>0</v>
      </c>
      <c r="Y311" s="769"/>
      <c r="AA311" s="938"/>
      <c r="AC311" s="938"/>
      <c r="AE311" s="949"/>
    </row>
    <row r="312" spans="1:31">
      <c r="A312" s="4"/>
      <c r="B312" s="256"/>
      <c r="C312" s="7"/>
      <c r="D312" s="256"/>
      <c r="E312" s="36"/>
      <c r="F312" s="256"/>
      <c r="G312" s="828"/>
      <c r="H312" s="818"/>
      <c r="I312" s="818"/>
      <c r="J312" s="753"/>
      <c r="K312" s="753"/>
      <c r="L312" s="753"/>
      <c r="M312" s="753"/>
      <c r="N312" s="753"/>
      <c r="O312" s="753"/>
      <c r="P312" s="750"/>
      <c r="Q312" s="753"/>
      <c r="R312" s="753"/>
      <c r="S312" s="753"/>
      <c r="T312" s="256"/>
      <c r="U312" s="256"/>
      <c r="V312" s="792"/>
      <c r="W312" s="504"/>
      <c r="X312" s="770"/>
      <c r="Y312" s="769"/>
      <c r="AA312" s="938"/>
      <c r="AC312" s="938"/>
      <c r="AE312" s="938"/>
    </row>
    <row r="313" spans="1:31">
      <c r="A313" s="4">
        <v>141</v>
      </c>
      <c r="B313" s="256"/>
      <c r="C313" s="7" t="s">
        <v>758</v>
      </c>
      <c r="D313" s="256"/>
      <c r="E313" s="36"/>
      <c r="F313" s="256"/>
      <c r="G313" s="35"/>
      <c r="H313" s="888"/>
      <c r="I313" s="888"/>
      <c r="J313" s="504"/>
      <c r="K313" s="504"/>
      <c r="L313" s="504"/>
      <c r="M313" s="504"/>
      <c r="N313" s="504"/>
      <c r="O313" s="504"/>
      <c r="P313" s="256"/>
      <c r="Q313" s="504"/>
      <c r="R313" s="504"/>
      <c r="S313" s="504"/>
      <c r="T313" s="256"/>
      <c r="U313" s="256"/>
      <c r="V313" s="792"/>
      <c r="W313" s="504"/>
      <c r="X313" s="770"/>
      <c r="Y313" s="769"/>
      <c r="AA313" s="938"/>
      <c r="AC313" s="938"/>
      <c r="AE313" s="938"/>
    </row>
    <row r="314" spans="1:31" ht="13.5" thickBot="1">
      <c r="A314" s="4"/>
      <c r="B314" s="256"/>
      <c r="C314" s="9"/>
      <c r="D314" s="256"/>
      <c r="E314" s="36"/>
      <c r="F314" s="256"/>
      <c r="G314" s="768">
        <f>G294</f>
        <v>976879.860067136</v>
      </c>
      <c r="H314" s="256"/>
      <c r="I314" s="845">
        <f>J314/G314*100</f>
        <v>25.037633403915365</v>
      </c>
      <c r="J314" s="756">
        <f>SUM(J294+J306+J301+J311)</f>
        <v>244587.59816029092</v>
      </c>
      <c r="K314" s="750"/>
      <c r="L314" s="756">
        <f>SUM(L294+L306+L301+L311)</f>
        <v>633.99502918357121</v>
      </c>
      <c r="M314" s="756">
        <f>SUM(M294+M306+M301+M311)</f>
        <v>419.94052423709411</v>
      </c>
      <c r="N314" s="756">
        <f>SUM(N294+N306+N301+N311)</f>
        <v>1855.1570796763663</v>
      </c>
      <c r="O314" s="756">
        <f>SUM(O294+O306+O301+O311)</f>
        <v>241678.50552719386</v>
      </c>
      <c r="P314" s="750"/>
      <c r="Q314" s="756">
        <f>SUM(Q294+Q306+Q301+Q311)</f>
        <v>594.2901811550862</v>
      </c>
      <c r="R314" s="756">
        <f>SUM(R294+R306+R301+R311)</f>
        <v>515.85658031353819</v>
      </c>
      <c r="S314" s="756">
        <f>SUM(S294+S306+S301+S311)</f>
        <v>1857.2479959658408</v>
      </c>
      <c r="T314" s="750"/>
      <c r="U314" s="756">
        <f>SUM(U294+U306+U301+U311)</f>
        <v>244645.90028462833</v>
      </c>
      <c r="V314" s="845">
        <f>U314/G314*100</f>
        <v>25.043601601922173</v>
      </c>
      <c r="W314" s="756">
        <f>W296+W301+W306+W311</f>
        <v>58.302124337431877</v>
      </c>
      <c r="X314" s="780">
        <f>V314/I314-1</f>
        <v>2.3836909465546618E-4</v>
      </c>
      <c r="Y314" s="779"/>
      <c r="AA314" s="938"/>
      <c r="AC314" s="938"/>
      <c r="AE314" s="949"/>
    </row>
    <row r="315" spans="1:31" ht="13.5" thickTop="1">
      <c r="A315" s="4"/>
      <c r="B315" s="256"/>
      <c r="C315" s="9"/>
      <c r="D315" s="256"/>
      <c r="E315" s="36"/>
      <c r="F315" s="256"/>
      <c r="G315" s="35"/>
      <c r="H315" s="256"/>
      <c r="I315" s="256"/>
      <c r="J315" s="504"/>
      <c r="K315" s="504"/>
      <c r="L315" s="504"/>
      <c r="M315" s="504"/>
      <c r="N315" s="504"/>
      <c r="O315" s="504"/>
      <c r="P315" s="256"/>
      <c r="Q315" s="504"/>
      <c r="R315" s="504"/>
      <c r="S315" s="504"/>
      <c r="T315" s="256"/>
      <c r="U315" s="256"/>
      <c r="V315" s="256"/>
      <c r="W315" s="504"/>
      <c r="X315" s="504"/>
      <c r="AA315" s="938"/>
      <c r="AC315" s="938"/>
      <c r="AE315" s="938"/>
    </row>
    <row r="316" spans="1:31">
      <c r="A316" s="4"/>
      <c r="B316" s="256"/>
      <c r="C316" s="6" t="s">
        <v>174</v>
      </c>
      <c r="D316" s="256"/>
      <c r="E316" s="36"/>
      <c r="F316" s="256"/>
      <c r="G316" s="35"/>
      <c r="H316" s="256"/>
      <c r="I316" s="256"/>
      <c r="J316" s="504"/>
      <c r="K316" s="504"/>
      <c r="L316" s="762"/>
      <c r="M316" s="762"/>
      <c r="N316" s="762"/>
      <c r="O316" s="762"/>
      <c r="P316" s="771"/>
      <c r="Q316" s="762"/>
      <c r="R316" s="762"/>
      <c r="S316" s="762"/>
      <c r="T316" s="256"/>
      <c r="U316" s="256"/>
      <c r="V316" s="256"/>
      <c r="W316" s="504"/>
      <c r="X316" s="504"/>
    </row>
    <row r="317" spans="1:31">
      <c r="A317" s="4">
        <v>142</v>
      </c>
      <c r="B317" s="256"/>
      <c r="C317" s="7" t="s">
        <v>703</v>
      </c>
      <c r="D317" s="256"/>
      <c r="E317" s="36" t="s">
        <v>704</v>
      </c>
      <c r="F317" s="256"/>
      <c r="G317" s="35">
        <v>26448.999999999989</v>
      </c>
      <c r="H317" s="256"/>
      <c r="I317" s="35">
        <v>0</v>
      </c>
      <c r="J317" s="762">
        <v>0</v>
      </c>
      <c r="K317" s="762"/>
      <c r="L317" s="35">
        <v>0</v>
      </c>
      <c r="M317" s="35">
        <v>0</v>
      </c>
      <c r="N317" s="35">
        <v>0</v>
      </c>
      <c r="O317" s="762">
        <v>0</v>
      </c>
      <c r="P317" s="771"/>
      <c r="Q317" s="35">
        <v>0</v>
      </c>
      <c r="R317" s="35">
        <v>0</v>
      </c>
      <c r="S317" s="35">
        <v>0</v>
      </c>
      <c r="T317" s="771"/>
      <c r="U317" s="771">
        <v>0</v>
      </c>
      <c r="V317" s="771">
        <v>0</v>
      </c>
      <c r="W317" s="762">
        <v>0</v>
      </c>
      <c r="X317" s="770"/>
      <c r="Y317" s="769"/>
      <c r="AA317" s="938"/>
      <c r="AE317" s="954"/>
    </row>
    <row r="318" spans="1:31">
      <c r="A318" s="4"/>
      <c r="B318" s="256"/>
      <c r="C318" s="512" t="s">
        <v>705</v>
      </c>
      <c r="E318" s="36"/>
      <c r="G318" s="35"/>
      <c r="I318" s="778"/>
      <c r="J318" s="753"/>
      <c r="K318" s="753"/>
      <c r="L318" s="762"/>
      <c r="M318" s="762"/>
      <c r="N318" s="762"/>
      <c r="O318" s="762"/>
      <c r="P318" s="68"/>
      <c r="Q318" s="762"/>
      <c r="R318" s="35"/>
      <c r="S318" s="35"/>
      <c r="U318" s="750"/>
      <c r="V318" s="793"/>
      <c r="W318" s="753"/>
      <c r="X318" s="770"/>
      <c r="Y318" s="769"/>
      <c r="AA318" s="938"/>
      <c r="AE318" s="949"/>
    </row>
    <row r="319" spans="1:31">
      <c r="A319" s="4">
        <v>143</v>
      </c>
      <c r="B319" s="256"/>
      <c r="C319" s="519" t="s">
        <v>759</v>
      </c>
      <c r="D319" s="256"/>
      <c r="E319" s="513" t="s">
        <v>674</v>
      </c>
      <c r="F319" s="256"/>
      <c r="G319" s="35">
        <v>21878.718395321583</v>
      </c>
      <c r="H319" s="256"/>
      <c r="I319" s="861">
        <v>1.6E-2</v>
      </c>
      <c r="J319" s="753">
        <f>G319*I319/100</f>
        <v>3.5005949432514534</v>
      </c>
      <c r="K319" s="753"/>
      <c r="L319" s="35">
        <v>3.5005949432514534</v>
      </c>
      <c r="M319" s="35">
        <v>0</v>
      </c>
      <c r="N319" s="35">
        <v>0</v>
      </c>
      <c r="O319" s="762">
        <f>J319-L319-M319-N319</f>
        <v>0</v>
      </c>
      <c r="P319" s="771"/>
      <c r="Q319" s="35">
        <v>3.2813651640999226</v>
      </c>
      <c r="R319" s="35">
        <v>0</v>
      </c>
      <c r="S319" s="35">
        <v>0</v>
      </c>
      <c r="T319" s="256"/>
      <c r="U319" s="750">
        <f>SUM(O319:S319)</f>
        <v>3.2813651640999226</v>
      </c>
      <c r="V319" s="792">
        <f t="shared" ref="V319:V324" si="6">U319/G319*100</f>
        <v>1.4997977051533285E-2</v>
      </c>
      <c r="W319" s="762">
        <f>U319-J319</f>
        <v>-0.21922977915153075</v>
      </c>
      <c r="X319" s="770"/>
      <c r="Y319" s="769"/>
      <c r="AA319" s="938"/>
      <c r="AC319" s="938"/>
      <c r="AE319" s="949"/>
    </row>
    <row r="320" spans="1:31">
      <c r="A320" s="4">
        <v>144</v>
      </c>
      <c r="B320" s="256"/>
      <c r="C320" s="519" t="s">
        <v>760</v>
      </c>
      <c r="D320" s="256"/>
      <c r="E320" s="513" t="s">
        <v>674</v>
      </c>
      <c r="F320" s="256"/>
      <c r="G320" s="35">
        <v>127369.83644505285</v>
      </c>
      <c r="H320" s="256"/>
      <c r="I320" s="861">
        <v>1.6E-2</v>
      </c>
      <c r="J320" s="753">
        <f>G320*I320/100</f>
        <v>20.379173831208458</v>
      </c>
      <c r="K320" s="753"/>
      <c r="L320" s="35">
        <v>20.379173831208458</v>
      </c>
      <c r="M320" s="35">
        <v>0</v>
      </c>
      <c r="N320" s="35">
        <v>0</v>
      </c>
      <c r="O320" s="762">
        <f>J320-L320-M320-N320</f>
        <v>0</v>
      </c>
      <c r="P320" s="771"/>
      <c r="Q320" s="35">
        <v>19.102898840604507</v>
      </c>
      <c r="R320" s="35">
        <v>0</v>
      </c>
      <c r="S320" s="35">
        <v>0</v>
      </c>
      <c r="T320" s="256"/>
      <c r="U320" s="750">
        <f>SUM(O320:S320)</f>
        <v>19.102898840604507</v>
      </c>
      <c r="V320" s="792">
        <f t="shared" si="6"/>
        <v>1.4997977051533285E-2</v>
      </c>
      <c r="W320" s="762">
        <f>U320-J320</f>
        <v>-1.2762749906039517</v>
      </c>
      <c r="X320" s="770"/>
      <c r="Y320" s="769"/>
      <c r="AA320" s="938"/>
      <c r="AC320" s="938"/>
      <c r="AE320" s="949"/>
    </row>
    <row r="321" spans="1:31">
      <c r="A321" s="4">
        <v>145</v>
      </c>
      <c r="C321" s="519" t="s">
        <v>761</v>
      </c>
      <c r="D321" s="256"/>
      <c r="E321" s="513" t="s">
        <v>674</v>
      </c>
      <c r="F321" s="256"/>
      <c r="G321" s="35">
        <v>86147.272263560444</v>
      </c>
      <c r="H321" s="256"/>
      <c r="I321" s="861">
        <v>1.6E-2</v>
      </c>
      <c r="J321" s="753">
        <f>G321*I321/100</f>
        <v>13.783563562169672</v>
      </c>
      <c r="K321" s="753"/>
      <c r="L321" s="35">
        <v>13.783563562169672</v>
      </c>
      <c r="M321" s="35">
        <v>0</v>
      </c>
      <c r="N321" s="35">
        <v>0</v>
      </c>
      <c r="O321" s="762">
        <f>J321-L321-M321-N321</f>
        <v>0</v>
      </c>
      <c r="P321" s="771"/>
      <c r="Q321" s="35">
        <v>12.920348124610694</v>
      </c>
      <c r="R321" s="35">
        <v>0</v>
      </c>
      <c r="S321" s="35">
        <v>0</v>
      </c>
      <c r="T321" s="256"/>
      <c r="U321" s="750">
        <f>SUM(O321:S321)</f>
        <v>12.920348124610694</v>
      </c>
      <c r="V321" s="792">
        <f t="shared" si="6"/>
        <v>1.4997977051533285E-2</v>
      </c>
      <c r="W321" s="762">
        <f>U321-J321</f>
        <v>-0.86321543755897778</v>
      </c>
      <c r="X321" s="770"/>
      <c r="Y321" s="769"/>
      <c r="AA321" s="938"/>
      <c r="AC321" s="938"/>
      <c r="AE321" s="949"/>
    </row>
    <row r="322" spans="1:31">
      <c r="A322" s="4">
        <v>146</v>
      </c>
      <c r="B322" s="256"/>
      <c r="C322" s="519" t="s">
        <v>762</v>
      </c>
      <c r="D322" s="256"/>
      <c r="E322" s="513" t="s">
        <v>674</v>
      </c>
      <c r="F322" s="256"/>
      <c r="G322" s="35">
        <v>61526.068987249084</v>
      </c>
      <c r="H322" s="256"/>
      <c r="I322" s="861">
        <v>1.6E-2</v>
      </c>
      <c r="J322" s="753">
        <f>G322*I322/100</f>
        <v>9.8441710379598533</v>
      </c>
      <c r="K322" s="753"/>
      <c r="L322" s="35">
        <v>9.8441710379598533</v>
      </c>
      <c r="M322" s="35">
        <v>0</v>
      </c>
      <c r="N322" s="35">
        <v>0</v>
      </c>
      <c r="O322" s="762">
        <f>J322-L322-M322-N322</f>
        <v>0</v>
      </c>
      <c r="P322" s="771"/>
      <c r="Q322" s="35">
        <v>9.2276657074181561</v>
      </c>
      <c r="R322" s="35">
        <v>0</v>
      </c>
      <c r="S322" s="35">
        <v>0</v>
      </c>
      <c r="T322" s="256"/>
      <c r="U322" s="750">
        <f>SUM(O322:S322)</f>
        <v>9.2276657074181561</v>
      </c>
      <c r="V322" s="792">
        <f t="shared" si="6"/>
        <v>1.4997977051533285E-2</v>
      </c>
      <c r="W322" s="762">
        <f>U322-J322</f>
        <v>-0.61650533054169721</v>
      </c>
      <c r="X322" s="770"/>
      <c r="Y322" s="769"/>
      <c r="AA322" s="938"/>
      <c r="AC322" s="938"/>
      <c r="AE322" s="949"/>
    </row>
    <row r="323" spans="1:31">
      <c r="A323" s="4">
        <v>147</v>
      </c>
      <c r="B323" s="256"/>
      <c r="C323" s="519" t="s">
        <v>941</v>
      </c>
      <c r="D323" s="256"/>
      <c r="E323" s="742"/>
      <c r="F323" s="256"/>
      <c r="G323" s="35">
        <v>44741.947796564804</v>
      </c>
      <c r="H323" s="256"/>
      <c r="I323" s="861">
        <v>1.6E-2</v>
      </c>
      <c r="J323" s="753">
        <f>G323*I323/100</f>
        <v>7.1587116474503683</v>
      </c>
      <c r="K323" s="753"/>
      <c r="L323" s="35">
        <v>7.1587116474503683</v>
      </c>
      <c r="M323" s="35">
        <v>0</v>
      </c>
      <c r="N323" s="35">
        <v>0</v>
      </c>
      <c r="O323" s="762">
        <f>J323-L323-M323-N323</f>
        <v>0</v>
      </c>
      <c r="P323" s="771"/>
      <c r="Q323" s="35">
        <v>6.7103870629377917</v>
      </c>
      <c r="R323" s="35">
        <v>0</v>
      </c>
      <c r="S323" s="35">
        <v>0</v>
      </c>
      <c r="T323" s="256"/>
      <c r="U323" s="750">
        <f>SUM(O323:S323)</f>
        <v>6.7103870629377917</v>
      </c>
      <c r="V323" s="792">
        <f t="shared" si="6"/>
        <v>1.4997977051533285E-2</v>
      </c>
      <c r="W323" s="762">
        <f>U323-J323</f>
        <v>-0.44832458451257651</v>
      </c>
      <c r="X323" s="770"/>
      <c r="Y323" s="769"/>
      <c r="AA323" s="938"/>
      <c r="AC323" s="938"/>
      <c r="AE323" s="949"/>
    </row>
    <row r="324" spans="1:31">
      <c r="A324" s="4">
        <v>148</v>
      </c>
      <c r="B324" s="256"/>
      <c r="C324" s="512" t="s">
        <v>705</v>
      </c>
      <c r="D324" s="256"/>
      <c r="E324" s="36"/>
      <c r="F324" s="256"/>
      <c r="G324" s="137">
        <f>SUM(G319:G323)</f>
        <v>341663.84388774872</v>
      </c>
      <c r="H324" s="256"/>
      <c r="I324" s="806">
        <f>J324/G324*100</f>
        <v>1.6E-2</v>
      </c>
      <c r="J324" s="842">
        <f>SUM(J319:J323)</f>
        <v>54.6662150220398</v>
      </c>
      <c r="K324" s="755"/>
      <c r="L324" s="805">
        <f>SUM(L319:L323)</f>
        <v>54.6662150220398</v>
      </c>
      <c r="M324" s="805">
        <f>SUM(M319:M323)</f>
        <v>0</v>
      </c>
      <c r="N324" s="805">
        <f>SUM(N319:N323)</f>
        <v>0</v>
      </c>
      <c r="O324" s="805">
        <f>SUM(O319:O323)</f>
        <v>0</v>
      </c>
      <c r="P324" s="771"/>
      <c r="Q324" s="807">
        <f>SUM(Q319:Q323)</f>
        <v>51.24266489967107</v>
      </c>
      <c r="R324" s="807">
        <f>SUM(R319:R323)</f>
        <v>0</v>
      </c>
      <c r="S324" s="807">
        <f>SUM(S319:S323)</f>
        <v>0</v>
      </c>
      <c r="T324" s="771"/>
      <c r="U324" s="842">
        <f>SUM(U319:U323)</f>
        <v>51.24266489967107</v>
      </c>
      <c r="V324" s="829">
        <f t="shared" si="6"/>
        <v>1.4997977051533285E-2</v>
      </c>
      <c r="W324" s="137">
        <f>SUM(W319:W323)</f>
        <v>-3.4235501223687339</v>
      </c>
      <c r="X324" s="989">
        <f>V324/I324-1</f>
        <v>-6.2626434279169696E-2</v>
      </c>
      <c r="Y324" s="785"/>
      <c r="AA324" s="938"/>
      <c r="AC324" s="938"/>
      <c r="AE324" s="949"/>
    </row>
    <row r="325" spans="1:31">
      <c r="A325" s="4"/>
      <c r="B325" s="256"/>
      <c r="C325" s="7"/>
      <c r="G325" s="135"/>
      <c r="J325" s="753"/>
      <c r="K325" s="504"/>
      <c r="L325" s="762"/>
      <c r="M325" s="762"/>
      <c r="N325" s="762"/>
      <c r="O325" s="762"/>
      <c r="P325" s="68"/>
      <c r="Q325" s="762"/>
      <c r="R325" s="762"/>
      <c r="S325" s="762"/>
      <c r="V325" s="793"/>
      <c r="W325" s="504"/>
      <c r="X325" s="770"/>
      <c r="Y325" s="769"/>
      <c r="AA325" s="938"/>
      <c r="AC325" s="938"/>
      <c r="AE325" s="949"/>
    </row>
    <row r="326" spans="1:31">
      <c r="A326" s="4">
        <v>149</v>
      </c>
      <c r="B326" s="256"/>
      <c r="C326" s="7" t="s">
        <v>710</v>
      </c>
      <c r="D326" s="256"/>
      <c r="E326" s="36"/>
      <c r="F326" s="256"/>
      <c r="G326" s="420">
        <f>G324</f>
        <v>341663.84388774872</v>
      </c>
      <c r="H326" s="35"/>
      <c r="I326" s="806">
        <f>I324</f>
        <v>1.6E-2</v>
      </c>
      <c r="J326" s="842">
        <f>J324</f>
        <v>54.6662150220398</v>
      </c>
      <c r="K326" s="35"/>
      <c r="L326" s="420">
        <f>L324</f>
        <v>54.6662150220398</v>
      </c>
      <c r="M326" s="991">
        <f>M324</f>
        <v>0</v>
      </c>
      <c r="N326" s="991">
        <f>N324</f>
        <v>0</v>
      </c>
      <c r="O326" s="991">
        <f>O324</f>
        <v>0</v>
      </c>
      <c r="P326" s="35"/>
      <c r="Q326" s="420">
        <f>Q324</f>
        <v>51.24266489967107</v>
      </c>
      <c r="R326" s="420">
        <f>R324</f>
        <v>0</v>
      </c>
      <c r="S326" s="420">
        <f>S324</f>
        <v>0</v>
      </c>
      <c r="T326" s="35"/>
      <c r="U326" s="842">
        <f>U324</f>
        <v>51.24266489967107</v>
      </c>
      <c r="V326" s="829">
        <f>V324</f>
        <v>1.4997977051533285E-2</v>
      </c>
      <c r="W326" s="420">
        <f>W324</f>
        <v>-3.4235501223687339</v>
      </c>
      <c r="X326" s="989">
        <f>V326/I326-1</f>
        <v>-6.2626434279169696E-2</v>
      </c>
      <c r="Y326" s="779"/>
      <c r="AA326" s="938"/>
      <c r="AC326" s="938"/>
      <c r="AE326" s="949"/>
    </row>
    <row r="327" spans="1:31">
      <c r="A327" s="4"/>
      <c r="B327" s="256"/>
      <c r="C327" s="7"/>
      <c r="D327" s="256"/>
      <c r="E327" s="36"/>
      <c r="F327" s="256"/>
      <c r="G327" s="35"/>
      <c r="H327" s="256"/>
      <c r="I327" s="256"/>
      <c r="J327" s="504"/>
      <c r="K327" s="504"/>
      <c r="L327" s="762"/>
      <c r="M327" s="762"/>
      <c r="N327" s="762"/>
      <c r="O327" s="762"/>
      <c r="P327" s="771"/>
      <c r="Q327" s="762"/>
      <c r="R327" s="762"/>
      <c r="S327" s="762"/>
      <c r="T327" s="256"/>
      <c r="U327" s="256"/>
      <c r="V327" s="256"/>
      <c r="W327" s="504"/>
      <c r="X327" s="504"/>
      <c r="AA327" s="938"/>
      <c r="AC327" s="938"/>
      <c r="AE327" s="949"/>
    </row>
    <row r="328" spans="1:31">
      <c r="A328" s="4"/>
      <c r="B328" s="256"/>
      <c r="C328" s="7" t="s">
        <v>712</v>
      </c>
      <c r="D328" s="734"/>
      <c r="E328" s="734"/>
      <c r="F328" s="734"/>
      <c r="G328" s="734"/>
      <c r="H328" s="734"/>
      <c r="I328" s="734"/>
      <c r="J328" s="504"/>
      <c r="K328" s="504"/>
      <c r="L328" s="762"/>
      <c r="M328" s="762"/>
      <c r="N328" s="762"/>
      <c r="O328" s="762"/>
      <c r="P328" s="790"/>
      <c r="Q328" s="762"/>
      <c r="R328" s="762"/>
      <c r="S328" s="762"/>
      <c r="T328" s="734"/>
      <c r="U328" s="734"/>
      <c r="V328" s="885"/>
      <c r="W328" s="504"/>
      <c r="X328" s="770"/>
      <c r="AA328" s="938"/>
      <c r="AC328" s="938"/>
      <c r="AE328" s="949"/>
    </row>
    <row r="329" spans="1:31">
      <c r="A329" s="4">
        <v>150</v>
      </c>
      <c r="B329" s="256"/>
      <c r="C329" s="9" t="s">
        <v>754</v>
      </c>
      <c r="D329" s="385"/>
      <c r="E329" s="513" t="s">
        <v>674</v>
      </c>
      <c r="F329" s="385"/>
      <c r="G329" s="35">
        <v>76356.43767764869</v>
      </c>
      <c r="H329" s="822"/>
      <c r="I329" s="861">
        <v>4.3295225455665829</v>
      </c>
      <c r="J329" s="753">
        <f>G329*I329/100</f>
        <v>3305.8691842452972</v>
      </c>
      <c r="K329" s="753"/>
      <c r="L329" s="35">
        <v>0</v>
      </c>
      <c r="M329" s="35">
        <v>1.7103842039793304</v>
      </c>
      <c r="N329" s="35">
        <v>0</v>
      </c>
      <c r="O329" s="762">
        <f>J329-L329-M329-N329</f>
        <v>3304.158800041318</v>
      </c>
      <c r="P329" s="789"/>
      <c r="Q329" s="35">
        <v>0</v>
      </c>
      <c r="R329" s="35">
        <v>2.1010426371447921</v>
      </c>
      <c r="S329" s="35">
        <v>0</v>
      </c>
      <c r="T329" s="822"/>
      <c r="U329" s="818">
        <f>SUM(O329:S329)</f>
        <v>3306.259842678463</v>
      </c>
      <c r="V329" s="823">
        <f>U329/G329*100</f>
        <v>4.3300341703163063</v>
      </c>
      <c r="W329" s="827">
        <f>U329-J329</f>
        <v>0.3906584331657541</v>
      </c>
      <c r="X329" s="990"/>
      <c r="AA329" s="938"/>
      <c r="AC329" s="938"/>
      <c r="AE329" s="949"/>
    </row>
    <row r="330" spans="1:31">
      <c r="A330" s="4">
        <v>151</v>
      </c>
      <c r="B330" s="256"/>
      <c r="C330" s="9" t="s">
        <v>755</v>
      </c>
      <c r="D330" s="447"/>
      <c r="E330" s="513" t="s">
        <v>674</v>
      </c>
      <c r="F330" s="447"/>
      <c r="G330" s="35">
        <v>261426.39684107454</v>
      </c>
      <c r="H330" s="856"/>
      <c r="I330" s="861">
        <v>2.2715918936953408</v>
      </c>
      <c r="J330" s="753">
        <f>G330*I330/100</f>
        <v>5938.5408386216614</v>
      </c>
      <c r="K330" s="753"/>
      <c r="L330" s="35">
        <v>0</v>
      </c>
      <c r="M330" s="35">
        <v>53.413384148142541</v>
      </c>
      <c r="N330" s="35">
        <v>33.666044476119048</v>
      </c>
      <c r="O330" s="762">
        <f>J330-L330-M330-N330</f>
        <v>5851.4614099973996</v>
      </c>
      <c r="P330" s="787"/>
      <c r="Q330" s="35">
        <v>0</v>
      </c>
      <c r="R330" s="35">
        <v>65.613209726998534</v>
      </c>
      <c r="S330" s="35">
        <v>33.703988907654505</v>
      </c>
      <c r="T330" s="856"/>
      <c r="U330" s="818">
        <f>SUM(O330:S330)</f>
        <v>5950.7786086320521</v>
      </c>
      <c r="V330" s="823">
        <f>U330/G330*100</f>
        <v>2.2762730468452386</v>
      </c>
      <c r="W330" s="884">
        <f>U330-J330</f>
        <v>12.237770010390705</v>
      </c>
      <c r="X330" s="770"/>
      <c r="AA330" s="938"/>
      <c r="AC330" s="938"/>
      <c r="AE330" s="949"/>
    </row>
    <row r="331" spans="1:31">
      <c r="A331" s="4">
        <v>152</v>
      </c>
      <c r="B331" s="256"/>
      <c r="C331" s="7" t="s">
        <v>712</v>
      </c>
      <c r="D331" s="254"/>
      <c r="E331" s="4"/>
      <c r="F331" s="254"/>
      <c r="G331" s="420">
        <f>SUM(G329:G330)</f>
        <v>337782.83451872325</v>
      </c>
      <c r="H331" s="854"/>
      <c r="I331" s="883">
        <f>J331/G331*100</f>
        <v>2.7367909432219961</v>
      </c>
      <c r="J331" s="842">
        <f>SUM(J329:J330)</f>
        <v>9244.4100228669595</v>
      </c>
      <c r="K331" s="865"/>
      <c r="L331" s="420">
        <f>SUM(L329:L330)</f>
        <v>0</v>
      </c>
      <c r="M331" s="420">
        <f>SUM(M329:M330)</f>
        <v>55.123768352121871</v>
      </c>
      <c r="N331" s="420">
        <f>SUM(N329:N330)</f>
        <v>33.666044476119048</v>
      </c>
      <c r="O331" s="420">
        <f>SUM(O329:O330)</f>
        <v>9155.6202100387181</v>
      </c>
      <c r="P331" s="35"/>
      <c r="Q331" s="137">
        <f>SUM(Q329:Q330)</f>
        <v>0</v>
      </c>
      <c r="R331" s="137">
        <f>SUM(R329:R330)</f>
        <v>67.71425236414332</v>
      </c>
      <c r="S331" s="137">
        <f>SUM(S329:S330)</f>
        <v>33.703988907654505</v>
      </c>
      <c r="T331" s="739"/>
      <c r="U331" s="842">
        <f>SUM(U329:U330)</f>
        <v>9257.0384513105146</v>
      </c>
      <c r="V331" s="829">
        <f>U331/G331*100</f>
        <v>2.7405295667259253</v>
      </c>
      <c r="W331" s="881">
        <f>SUM(W329:W330)</f>
        <v>12.628428443556459</v>
      </c>
      <c r="X331" s="841">
        <f>V331/I331-1</f>
        <v>1.3660610479542257E-3</v>
      </c>
      <c r="AA331" s="938"/>
      <c r="AC331" s="938"/>
      <c r="AE331" s="949"/>
    </row>
    <row r="332" spans="1:31">
      <c r="A332" s="4"/>
      <c r="B332" s="256"/>
      <c r="C332" s="7"/>
      <c r="D332" s="256"/>
      <c r="E332" s="36"/>
      <c r="F332" s="256"/>
      <c r="G332" s="35"/>
      <c r="H332" s="256"/>
      <c r="I332" s="256"/>
      <c r="J332" s="504"/>
      <c r="K332" s="504"/>
      <c r="L332" s="762"/>
      <c r="M332" s="762"/>
      <c r="N332" s="762"/>
      <c r="O332" s="762"/>
      <c r="P332" s="771"/>
      <c r="Q332" s="762"/>
      <c r="R332" s="762"/>
      <c r="S332" s="762"/>
      <c r="T332" s="256"/>
      <c r="U332" s="256"/>
      <c r="V332" s="256"/>
      <c r="W332" s="504"/>
      <c r="X332" s="504"/>
      <c r="AA332" s="938"/>
      <c r="AC332" s="938"/>
      <c r="AE332" s="949"/>
    </row>
    <row r="333" spans="1:31">
      <c r="A333" s="4"/>
      <c r="C333" s="7" t="s">
        <v>756</v>
      </c>
      <c r="D333" s="256"/>
      <c r="E333" s="36"/>
      <c r="F333" s="256"/>
      <c r="G333" s="453"/>
      <c r="H333" s="256"/>
      <c r="I333" s="256"/>
      <c r="J333" s="504"/>
      <c r="K333" s="504"/>
      <c r="L333" s="762"/>
      <c r="M333" s="762"/>
      <c r="N333" s="762"/>
      <c r="O333" s="762"/>
      <c r="P333" s="771"/>
      <c r="Q333" s="762"/>
      <c r="R333" s="762"/>
      <c r="S333" s="762"/>
      <c r="T333" s="256"/>
      <c r="U333" s="256"/>
      <c r="V333" s="256"/>
      <c r="W333" s="504"/>
      <c r="X333" s="504"/>
      <c r="AA333" s="938"/>
      <c r="AC333" s="938"/>
      <c r="AE333" s="949"/>
    </row>
    <row r="334" spans="1:31">
      <c r="A334" s="4">
        <v>153</v>
      </c>
      <c r="B334" s="256"/>
      <c r="C334" s="9" t="s">
        <v>754</v>
      </c>
      <c r="D334" s="256"/>
      <c r="E334" s="513" t="s">
        <v>674</v>
      </c>
      <c r="F334" s="256"/>
      <c r="G334" s="35">
        <v>76356.43767764869</v>
      </c>
      <c r="H334" s="256"/>
      <c r="I334" s="897">
        <v>0.39551103808673793</v>
      </c>
      <c r="J334" s="753">
        <f>G334*I334/100</f>
        <v>301.99813930492144</v>
      </c>
      <c r="K334" s="755"/>
      <c r="L334" s="35">
        <v>0</v>
      </c>
      <c r="M334" s="35">
        <v>5.1595748636691825</v>
      </c>
      <c r="N334" s="35">
        <v>38.372022902411423</v>
      </c>
      <c r="O334" s="762">
        <f>J334-L334-M334-N334</f>
        <v>258.46654153884083</v>
      </c>
      <c r="P334" s="771"/>
      <c r="Q334" s="35">
        <v>0</v>
      </c>
      <c r="R334" s="35">
        <v>6.338041916481874</v>
      </c>
      <c r="S334" s="35">
        <v>38.415271362946505</v>
      </c>
      <c r="T334" s="750"/>
      <c r="U334" s="753">
        <f>O334+Q334+R334+S334</f>
        <v>303.2198548182692</v>
      </c>
      <c r="V334" s="823">
        <f>U334/G334*100</f>
        <v>0.39711105447108719</v>
      </c>
      <c r="W334" s="847">
        <f>U334-J334</f>
        <v>1.2217155133477604</v>
      </c>
      <c r="X334" s="990"/>
      <c r="Y334" s="769"/>
      <c r="AA334" s="938"/>
      <c r="AC334" s="938"/>
      <c r="AE334" s="949"/>
    </row>
    <row r="335" spans="1:31">
      <c r="A335" s="4">
        <v>154</v>
      </c>
      <c r="B335" s="256"/>
      <c r="C335" s="9" t="s">
        <v>755</v>
      </c>
      <c r="D335" s="256"/>
      <c r="E335" s="513" t="s">
        <v>674</v>
      </c>
      <c r="F335" s="256"/>
      <c r="G335" s="35">
        <v>261426.39684107454</v>
      </c>
      <c r="H335" s="256"/>
      <c r="I335" s="897">
        <v>3.0920087378558514</v>
      </c>
      <c r="J335" s="753">
        <f>G335*I335/100</f>
        <v>8083.3270333877381</v>
      </c>
      <c r="K335" s="755"/>
      <c r="L335" s="35">
        <v>0</v>
      </c>
      <c r="M335" s="35">
        <v>68.108873998540517</v>
      </c>
      <c r="N335" s="35">
        <v>506.52918931985471</v>
      </c>
      <c r="O335" s="762">
        <f>J335-L335-M335-N335</f>
        <v>7508.6889700693428</v>
      </c>
      <c r="P335" s="771"/>
      <c r="Q335" s="35">
        <v>0</v>
      </c>
      <c r="R335" s="35">
        <v>83.665206861665595</v>
      </c>
      <c r="S335" s="35">
        <v>507.10008983531299</v>
      </c>
      <c r="T335" s="750"/>
      <c r="U335" s="753">
        <f>O335+Q335+R335+S335</f>
        <v>8099.4542667663218</v>
      </c>
      <c r="V335" s="823">
        <f>U335/G335*100</f>
        <v>3.0981776762543665</v>
      </c>
      <c r="W335" s="847">
        <f>U335-J335</f>
        <v>16.127233378583696</v>
      </c>
      <c r="X335" s="990"/>
      <c r="Y335" s="769"/>
      <c r="AA335" s="938"/>
      <c r="AC335" s="938"/>
      <c r="AE335" s="949"/>
    </row>
    <row r="336" spans="1:31">
      <c r="A336" s="4">
        <v>155</v>
      </c>
      <c r="B336" s="256"/>
      <c r="C336" s="7" t="s">
        <v>757</v>
      </c>
      <c r="D336" s="256"/>
      <c r="E336" s="860"/>
      <c r="F336" s="256"/>
      <c r="G336" s="879">
        <f>SUM(G334:G335)</f>
        <v>337782.83451872325</v>
      </c>
      <c r="H336" s="256"/>
      <c r="I336" s="878">
        <f>J336/G336*100</f>
        <v>2.4824604200625422</v>
      </c>
      <c r="J336" s="842">
        <f>SUM(J334:J335)</f>
        <v>8385.3251726926592</v>
      </c>
      <c r="K336" s="795"/>
      <c r="L336" s="807">
        <f>SUM(L334:L335)</f>
        <v>0</v>
      </c>
      <c r="M336" s="807">
        <f>SUM(M334:M335)</f>
        <v>73.268448862209695</v>
      </c>
      <c r="N336" s="807">
        <f>SUM(N334:N335)</f>
        <v>544.90121222226617</v>
      </c>
      <c r="O336" s="807">
        <f>SUM(O334:O335)</f>
        <v>7767.1555116081836</v>
      </c>
      <c r="P336" s="771"/>
      <c r="Q336" s="807">
        <f>SUM(Q334:Q335)</f>
        <v>0</v>
      </c>
      <c r="R336" s="807">
        <f>SUM(R334:R335)</f>
        <v>90.003248778147466</v>
      </c>
      <c r="S336" s="807">
        <f>SUM(S334:S335)</f>
        <v>545.51536119825948</v>
      </c>
      <c r="T336" s="750"/>
      <c r="U336" s="842">
        <f>SUM(U334:U335)</f>
        <v>8402.6741215845905</v>
      </c>
      <c r="V336" s="829">
        <f>U336/G336*100</f>
        <v>2.4875965451461779</v>
      </c>
      <c r="W336" s="851">
        <f>SUM(W334:W335)</f>
        <v>17.348948891931457</v>
      </c>
      <c r="X336" s="989">
        <f>V336/I336-1</f>
        <v>2.0689655481018754E-3</v>
      </c>
      <c r="Y336" s="769"/>
      <c r="AA336" s="964"/>
      <c r="AC336" s="938"/>
      <c r="AE336" s="949"/>
    </row>
    <row r="337" spans="1:31">
      <c r="A337" s="4"/>
      <c r="B337" s="256"/>
      <c r="C337" s="256"/>
      <c r="J337" s="504"/>
      <c r="K337" s="504"/>
      <c r="L337" s="762"/>
      <c r="M337" s="762"/>
      <c r="N337" s="762"/>
      <c r="O337" s="762"/>
      <c r="P337" s="68"/>
      <c r="Q337" s="762"/>
      <c r="R337" s="762"/>
      <c r="S337" s="762"/>
      <c r="V337" s="793"/>
      <c r="W337" s="504"/>
      <c r="X337" s="770"/>
      <c r="Y337" s="769"/>
      <c r="AC337" s="938"/>
    </row>
    <row r="338" spans="1:31">
      <c r="A338" s="4"/>
      <c r="B338" s="256"/>
      <c r="C338" s="7" t="s">
        <v>715</v>
      </c>
      <c r="D338" s="256"/>
      <c r="E338" s="4"/>
      <c r="F338" s="256"/>
      <c r="G338" s="877"/>
      <c r="H338" s="750"/>
      <c r="I338" s="750"/>
      <c r="J338" s="753"/>
      <c r="K338" s="753"/>
      <c r="L338" s="762"/>
      <c r="M338" s="762"/>
      <c r="N338" s="762"/>
      <c r="O338" s="762"/>
      <c r="P338" s="771"/>
      <c r="Q338" s="762"/>
      <c r="R338" s="762"/>
      <c r="S338" s="762"/>
      <c r="T338" s="256"/>
      <c r="U338" s="256"/>
      <c r="V338" s="792"/>
      <c r="W338" s="504"/>
      <c r="X338" s="770"/>
      <c r="Y338" s="769"/>
      <c r="AA338" s="938"/>
      <c r="AC338" s="938"/>
      <c r="AE338" s="949"/>
    </row>
    <row r="339" spans="1:31">
      <c r="A339" s="4">
        <v>156</v>
      </c>
      <c r="B339" s="256"/>
      <c r="C339" s="9" t="s">
        <v>754</v>
      </c>
      <c r="D339" s="256"/>
      <c r="E339" s="513" t="s">
        <v>674</v>
      </c>
      <c r="F339" s="256"/>
      <c r="G339" s="35">
        <v>41057.419387362017</v>
      </c>
      <c r="H339" s="818"/>
      <c r="I339" s="861">
        <v>18.0656</v>
      </c>
      <c r="J339" s="753">
        <f>G339*I339/100</f>
        <v>7417.2691568432729</v>
      </c>
      <c r="K339" s="753"/>
      <c r="L339" s="35">
        <v>0</v>
      </c>
      <c r="M339" s="35">
        <v>0</v>
      </c>
      <c r="N339" s="35">
        <v>0</v>
      </c>
      <c r="O339" s="762">
        <f>J339-L339-M339-N339</f>
        <v>7417.2691568432729</v>
      </c>
      <c r="P339" s="771"/>
      <c r="Q339" s="35">
        <v>0</v>
      </c>
      <c r="R339" s="35">
        <v>0</v>
      </c>
      <c r="S339" s="35">
        <v>0</v>
      </c>
      <c r="T339" s="256"/>
      <c r="U339" s="750">
        <f>SUM(O339:S339)</f>
        <v>7417.2691568432729</v>
      </c>
      <c r="V339" s="792">
        <f>U339/G339*100</f>
        <v>18.0656</v>
      </c>
      <c r="W339" s="762">
        <f>U339-J339</f>
        <v>0</v>
      </c>
      <c r="X339" s="770"/>
      <c r="Y339" s="769"/>
      <c r="AA339" s="938"/>
      <c r="AC339" s="938"/>
      <c r="AE339" s="949"/>
    </row>
    <row r="340" spans="1:31">
      <c r="A340" s="4">
        <v>157</v>
      </c>
      <c r="C340" s="9" t="s">
        <v>755</v>
      </c>
      <c r="D340" s="256"/>
      <c r="E340" s="513" t="s">
        <v>674</v>
      </c>
      <c r="F340" s="256"/>
      <c r="G340" s="35">
        <v>137222.46215211437</v>
      </c>
      <c r="H340" s="818"/>
      <c r="I340" s="861">
        <v>20.612300000000001</v>
      </c>
      <c r="J340" s="753">
        <f>G340*I340/100</f>
        <v>28284.705566180273</v>
      </c>
      <c r="K340" s="753"/>
      <c r="L340" s="35">
        <v>0</v>
      </c>
      <c r="M340" s="35">
        <v>0</v>
      </c>
      <c r="N340" s="35">
        <v>0</v>
      </c>
      <c r="O340" s="762">
        <f>J340-L340-M340-N340</f>
        <v>28284.705566180273</v>
      </c>
      <c r="P340" s="771"/>
      <c r="Q340" s="35">
        <v>0</v>
      </c>
      <c r="R340" s="35">
        <v>0</v>
      </c>
      <c r="S340" s="35">
        <v>0</v>
      </c>
      <c r="T340" s="256"/>
      <c r="U340" s="750">
        <f>SUM(O340:S340)</f>
        <v>28284.705566180273</v>
      </c>
      <c r="V340" s="792">
        <f>U340/G340*100</f>
        <v>20.612300000000001</v>
      </c>
      <c r="W340" s="762">
        <f>U340-J340</f>
        <v>0</v>
      </c>
      <c r="X340" s="770"/>
      <c r="Y340" s="769"/>
      <c r="AA340" s="938"/>
      <c r="AC340" s="938"/>
      <c r="AE340" s="949"/>
    </row>
    <row r="341" spans="1:31">
      <c r="A341" s="4">
        <v>158</v>
      </c>
      <c r="B341" s="256"/>
      <c r="C341" s="7" t="s">
        <v>715</v>
      </c>
      <c r="D341" s="256"/>
      <c r="E341" s="36"/>
      <c r="F341" s="256"/>
      <c r="G341" s="420">
        <f>SUM(G339:G340)</f>
        <v>178279.8815394764</v>
      </c>
      <c r="H341" s="420"/>
      <c r="I341" s="883">
        <f>J341/G341*100</f>
        <v>20.025801237206949</v>
      </c>
      <c r="J341" s="842">
        <f>SUM(J339:J340)</f>
        <v>35701.974723023544</v>
      </c>
      <c r="K341" s="865"/>
      <c r="L341" s="420">
        <f>SUM(L339:L340)</f>
        <v>0</v>
      </c>
      <c r="M341" s="420">
        <f>SUM(M339:M340)</f>
        <v>0</v>
      </c>
      <c r="N341" s="420">
        <f>SUM(N339:N340)</f>
        <v>0</v>
      </c>
      <c r="O341" s="420">
        <f>SUM(O339:O340)</f>
        <v>35701.974723023544</v>
      </c>
      <c r="P341" s="771"/>
      <c r="Q341" s="420">
        <f>SUM(Q339:Q340)</f>
        <v>0</v>
      </c>
      <c r="R341" s="420">
        <f>SUM(R339:R340)</f>
        <v>0</v>
      </c>
      <c r="S341" s="420">
        <f>SUM(S339:S340)</f>
        <v>0</v>
      </c>
      <c r="T341" s="256"/>
      <c r="U341" s="808">
        <f>SUM(U339:U340)</f>
        <v>35701.974723023544</v>
      </c>
      <c r="V341" s="806">
        <f>U341/G341*100</f>
        <v>20.025801237206949</v>
      </c>
      <c r="W341" s="805">
        <f>SUM(W339:W340)</f>
        <v>0</v>
      </c>
      <c r="X341" s="804">
        <f>V341/I341-1</f>
        <v>0</v>
      </c>
      <c r="Y341" s="769"/>
      <c r="AA341" s="938"/>
      <c r="AC341" s="938"/>
      <c r="AE341" s="949"/>
    </row>
    <row r="342" spans="1:31">
      <c r="A342" s="4"/>
      <c r="B342" s="256"/>
      <c r="C342" s="7"/>
      <c r="D342" s="256"/>
      <c r="E342" s="36"/>
      <c r="F342" s="256"/>
      <c r="G342" s="828"/>
      <c r="H342" s="818"/>
      <c r="I342" s="818"/>
      <c r="J342" s="753"/>
      <c r="K342" s="753"/>
      <c r="L342" s="762"/>
      <c r="M342" s="762"/>
      <c r="N342" s="762"/>
      <c r="O342" s="762"/>
      <c r="P342" s="771"/>
      <c r="Q342" s="762"/>
      <c r="R342" s="762"/>
      <c r="S342" s="762"/>
      <c r="T342" s="256"/>
      <c r="U342" s="256"/>
      <c r="V342" s="792"/>
      <c r="W342" s="504"/>
      <c r="X342" s="770"/>
      <c r="Y342" s="769"/>
      <c r="AA342" s="938"/>
      <c r="AC342" s="938"/>
      <c r="AE342" s="949"/>
    </row>
    <row r="343" spans="1:31" ht="13.5" thickBot="1">
      <c r="A343" s="4">
        <v>159</v>
      </c>
      <c r="B343" s="256"/>
      <c r="C343" s="7" t="s">
        <v>764</v>
      </c>
      <c r="D343" s="256"/>
      <c r="E343" s="36"/>
      <c r="F343" s="256"/>
      <c r="G343" s="768">
        <f>G324</f>
        <v>341663.84388774872</v>
      </c>
      <c r="H343" s="256"/>
      <c r="I343" s="845">
        <f>J343/G343*100</f>
        <v>15.625409913477684</v>
      </c>
      <c r="J343" s="756">
        <f>J324+J336+J331+J341</f>
        <v>53386.376133605205</v>
      </c>
      <c r="K343" s="750"/>
      <c r="L343" s="768">
        <f>L326+L331+L336+L341</f>
        <v>54.6662150220398</v>
      </c>
      <c r="M343" s="768">
        <f>M326+M331+M336+M341</f>
        <v>128.39221721433157</v>
      </c>
      <c r="N343" s="768">
        <f>N326+N331+N336+N341</f>
        <v>578.56725669838522</v>
      </c>
      <c r="O343" s="768">
        <f>O326+O331+O336+O341</f>
        <v>52624.750444670448</v>
      </c>
      <c r="P343" s="771"/>
      <c r="Q343" s="781">
        <f>Q324+Q336+Q331+Q341</f>
        <v>51.24266489967107</v>
      </c>
      <c r="R343" s="781">
        <f>R324+R336+R331+R341</f>
        <v>157.71750114229079</v>
      </c>
      <c r="S343" s="781">
        <f>S324+S336+S331+S341</f>
        <v>579.21935010591403</v>
      </c>
      <c r="T343" s="750"/>
      <c r="U343" s="756">
        <f>U324+U336+U331+U341</f>
        <v>53412.929960818321</v>
      </c>
      <c r="V343" s="845">
        <f>U343/G343*100</f>
        <v>15.633181829554891</v>
      </c>
      <c r="W343" s="768">
        <f>W326+W331+W336+W341</f>
        <v>26.553827213119181</v>
      </c>
      <c r="X343" s="780">
        <f>V343/I343-1</f>
        <v>4.9738958019296398E-4</v>
      </c>
      <c r="Y343" s="779"/>
      <c r="AA343" s="938"/>
      <c r="AC343" s="938"/>
      <c r="AE343" s="949"/>
    </row>
    <row r="344" spans="1:31" ht="13.5" thickTop="1">
      <c r="A344" s="4"/>
      <c r="B344" s="256"/>
      <c r="C344" s="7"/>
      <c r="D344" s="256"/>
      <c r="E344" s="36"/>
      <c r="F344" s="256"/>
      <c r="G344" s="35"/>
      <c r="H344" s="256"/>
      <c r="I344" s="848"/>
      <c r="J344" s="750"/>
      <c r="K344" s="750"/>
      <c r="L344" s="750"/>
      <c r="M344" s="750"/>
      <c r="N344" s="750"/>
      <c r="O344" s="750"/>
      <c r="P344" s="750"/>
      <c r="Q344" s="750"/>
      <c r="R344" s="750"/>
      <c r="S344" s="750"/>
      <c r="T344" s="750"/>
      <c r="U344" s="750"/>
      <c r="V344" s="848"/>
      <c r="W344" s="750"/>
      <c r="X344" s="978"/>
      <c r="Y344" s="779"/>
      <c r="AA344" s="938"/>
      <c r="AE344" s="949"/>
    </row>
    <row r="345" spans="1:31">
      <c r="J345" s="504"/>
      <c r="K345" s="504"/>
      <c r="L345" s="2"/>
      <c r="M345" s="2"/>
      <c r="N345" s="504"/>
      <c r="O345" s="504"/>
      <c r="Q345" s="504"/>
      <c r="R345" s="504"/>
      <c r="S345" s="504"/>
      <c r="W345" s="504"/>
      <c r="X345" s="513"/>
      <c r="AA345" s="938"/>
      <c r="AE345" s="949"/>
    </row>
    <row r="346" spans="1:31">
      <c r="J346" s="504"/>
      <c r="K346" s="504"/>
      <c r="L346" s="2"/>
      <c r="M346" s="2"/>
      <c r="N346" s="504"/>
      <c r="O346" s="504"/>
      <c r="Q346" s="504"/>
      <c r="R346" s="504"/>
      <c r="S346" s="504"/>
      <c r="V346" s="752"/>
      <c r="W346" s="504"/>
      <c r="X346" s="513"/>
      <c r="AA346" s="938"/>
      <c r="AE346" s="949"/>
    </row>
    <row r="347" spans="1:31">
      <c r="J347" s="504"/>
      <c r="K347" s="504"/>
      <c r="L347" s="2"/>
      <c r="M347" s="2"/>
      <c r="N347" s="504"/>
      <c r="O347" s="504"/>
      <c r="Q347" s="504"/>
      <c r="R347" s="504"/>
      <c r="S347" s="504"/>
      <c r="W347" s="504"/>
      <c r="X347" s="513"/>
      <c r="AA347" s="938"/>
      <c r="AE347" s="949"/>
    </row>
    <row r="348" spans="1:31">
      <c r="J348" s="504"/>
      <c r="K348" s="504"/>
      <c r="L348" s="2"/>
      <c r="M348" s="2"/>
      <c r="N348" s="504"/>
      <c r="O348" s="504"/>
      <c r="Q348" s="504"/>
      <c r="R348" s="504"/>
      <c r="S348" s="504"/>
      <c r="V348" s="752"/>
      <c r="W348" s="504"/>
      <c r="X348" s="513"/>
      <c r="AA348" s="938"/>
      <c r="AE348" s="949"/>
    </row>
    <row r="349" spans="1:31">
      <c r="A349" s="1324" t="s">
        <v>724</v>
      </c>
      <c r="B349" s="1324"/>
      <c r="C349" s="1324"/>
      <c r="D349" s="1324"/>
      <c r="E349" s="1324"/>
      <c r="F349" s="1324"/>
      <c r="G349" s="1324"/>
      <c r="H349" s="1324"/>
      <c r="I349" s="1324"/>
      <c r="J349" s="1324"/>
      <c r="K349" s="1324"/>
      <c r="L349" s="1324"/>
      <c r="M349" s="1324"/>
      <c r="N349" s="1324"/>
      <c r="O349" s="1324"/>
      <c r="P349" s="1324"/>
      <c r="Q349" s="1324"/>
      <c r="R349" s="1324"/>
      <c r="S349" s="1324"/>
      <c r="T349" s="1324"/>
      <c r="U349" s="1324"/>
      <c r="V349" s="1324"/>
      <c r="W349" s="1324"/>
      <c r="X349" s="1324"/>
      <c r="Y349" s="665"/>
      <c r="AA349" s="938"/>
      <c r="AE349" s="949"/>
    </row>
    <row r="350" spans="1:31">
      <c r="A350" s="1324" t="s">
        <v>963</v>
      </c>
      <c r="B350" s="1324"/>
      <c r="C350" s="1324"/>
      <c r="D350" s="1324"/>
      <c r="E350" s="1324"/>
      <c r="F350" s="1324"/>
      <c r="G350" s="1324"/>
      <c r="H350" s="1324"/>
      <c r="I350" s="1324"/>
      <c r="J350" s="1324"/>
      <c r="K350" s="1324"/>
      <c r="L350" s="1324"/>
      <c r="M350" s="1324"/>
      <c r="N350" s="1324"/>
      <c r="O350" s="1324"/>
      <c r="P350" s="1324"/>
      <c r="Q350" s="1324"/>
      <c r="R350" s="1324"/>
      <c r="S350" s="1324"/>
      <c r="T350" s="1324"/>
      <c r="U350" s="1324"/>
      <c r="V350" s="1324"/>
      <c r="W350" s="1324"/>
      <c r="X350" s="1324"/>
      <c r="Y350" s="644"/>
      <c r="Z350" s="644"/>
      <c r="AA350" s="938"/>
      <c r="AE350" s="949"/>
    </row>
    <row r="351" spans="1:31">
      <c r="A351" s="385"/>
      <c r="B351" s="385"/>
      <c r="C351" s="385"/>
      <c r="D351" s="385"/>
      <c r="E351" s="447"/>
      <c r="F351" s="385"/>
      <c r="G351" s="447"/>
      <c r="H351" s="385"/>
      <c r="I351" s="385"/>
      <c r="J351" s="504"/>
      <c r="K351" s="504"/>
      <c r="L351" s="3"/>
      <c r="M351" s="3"/>
      <c r="N351" s="504"/>
      <c r="O351" s="504"/>
      <c r="P351" s="385"/>
      <c r="Q351" s="504"/>
      <c r="R351" s="504"/>
      <c r="S351" s="504"/>
      <c r="T351" s="385"/>
      <c r="U351" s="385"/>
      <c r="V351" s="385"/>
      <c r="W351" s="504"/>
      <c r="X351" s="513"/>
      <c r="AA351" s="938"/>
      <c r="AE351" s="949"/>
    </row>
    <row r="352" spans="1:31">
      <c r="A352" s="447"/>
      <c r="B352" s="447"/>
      <c r="C352" s="447"/>
      <c r="D352" s="447"/>
      <c r="E352" s="256"/>
      <c r="F352" s="256"/>
      <c r="G352" s="1313" t="s">
        <v>682</v>
      </c>
      <c r="H352" s="1313"/>
      <c r="I352" s="1313"/>
      <c r="J352" s="1313"/>
      <c r="K352" s="256"/>
      <c r="L352" s="1313" t="s">
        <v>496</v>
      </c>
      <c r="M352" s="1313"/>
      <c r="N352" s="1313"/>
      <c r="O352" s="256"/>
      <c r="P352" s="447"/>
      <c r="Q352" s="1313" t="s">
        <v>497</v>
      </c>
      <c r="R352" s="1313"/>
      <c r="S352" s="1313"/>
      <c r="T352" s="447"/>
      <c r="U352" s="1313" t="s">
        <v>683</v>
      </c>
      <c r="V352" s="1313"/>
      <c r="W352" s="1313"/>
      <c r="X352" s="1313"/>
      <c r="Y352" s="4"/>
      <c r="AA352" s="938"/>
      <c r="AE352" s="949"/>
    </row>
    <row r="353" spans="1:31" ht="38.25">
      <c r="A353" s="254" t="s">
        <v>1</v>
      </c>
      <c r="B353" s="254"/>
      <c r="C353" s="254"/>
      <c r="D353" s="254"/>
      <c r="E353" s="4" t="s">
        <v>670</v>
      </c>
      <c r="F353" s="254"/>
      <c r="G353" s="13" t="s">
        <v>684</v>
      </c>
      <c r="H353" s="254"/>
      <c r="I353" s="13" t="s">
        <v>196</v>
      </c>
      <c r="J353" s="254" t="s">
        <v>503</v>
      </c>
      <c r="K353" s="254"/>
      <c r="L353" s="254" t="s">
        <v>955</v>
      </c>
      <c r="M353" s="254" t="s">
        <v>956</v>
      </c>
      <c r="N353" s="254" t="s">
        <v>957</v>
      </c>
      <c r="O353" s="254" t="s">
        <v>958</v>
      </c>
      <c r="P353" s="254"/>
      <c r="Q353" s="254" t="s">
        <v>955</v>
      </c>
      <c r="R353" s="254" t="s">
        <v>956</v>
      </c>
      <c r="S353" s="254" t="s">
        <v>957</v>
      </c>
      <c r="T353" s="254"/>
      <c r="U353" s="13" t="s">
        <v>512</v>
      </c>
      <c r="V353" s="13" t="s">
        <v>691</v>
      </c>
      <c r="W353" s="13" t="s">
        <v>692</v>
      </c>
      <c r="X353" s="254" t="s">
        <v>693</v>
      </c>
      <c r="Y353" s="254"/>
      <c r="AA353" s="938"/>
      <c r="AE353" s="949"/>
    </row>
    <row r="354" spans="1:31" ht="14.25">
      <c r="A354" s="255" t="s">
        <v>2</v>
      </c>
      <c r="B354" s="256"/>
      <c r="C354" s="449" t="s">
        <v>3</v>
      </c>
      <c r="D354" s="256"/>
      <c r="E354" s="255" t="s">
        <v>4</v>
      </c>
      <c r="F354" s="256"/>
      <c r="G354" s="255" t="s">
        <v>694</v>
      </c>
      <c r="H354" s="256"/>
      <c r="I354" s="255" t="s">
        <v>77</v>
      </c>
      <c r="J354" s="255" t="s">
        <v>20</v>
      </c>
      <c r="K354" s="4"/>
      <c r="L354" s="255" t="s">
        <v>20</v>
      </c>
      <c r="M354" s="255" t="s">
        <v>20</v>
      </c>
      <c r="N354" s="255" t="s">
        <v>20</v>
      </c>
      <c r="O354" s="255" t="s">
        <v>20</v>
      </c>
      <c r="P354" s="256"/>
      <c r="Q354" s="255" t="s">
        <v>20</v>
      </c>
      <c r="R354" s="255" t="s">
        <v>20</v>
      </c>
      <c r="S354" s="255" t="s">
        <v>20</v>
      </c>
      <c r="T354" s="256"/>
      <c r="U354" s="255" t="s">
        <v>20</v>
      </c>
      <c r="V354" s="255" t="s">
        <v>77</v>
      </c>
      <c r="W354" s="255" t="s">
        <v>20</v>
      </c>
      <c r="X354" s="255" t="s">
        <v>76</v>
      </c>
      <c r="Y354" s="4"/>
      <c r="AA354" s="938"/>
      <c r="AE354" s="949"/>
    </row>
    <row r="355" spans="1:31">
      <c r="A355" s="4"/>
      <c r="B355" s="256"/>
      <c r="C355" s="256"/>
      <c r="D355" s="256"/>
      <c r="E355" s="4"/>
      <c r="F355" s="256"/>
      <c r="G355" s="4" t="s">
        <v>8</v>
      </c>
      <c r="H355" s="4"/>
      <c r="I355" s="4" t="s">
        <v>9</v>
      </c>
      <c r="J355" s="4" t="s">
        <v>370</v>
      </c>
      <c r="K355" s="4"/>
      <c r="L355" s="132" t="s">
        <v>79</v>
      </c>
      <c r="M355" s="132" t="s">
        <v>115</v>
      </c>
      <c r="N355" s="4" t="s">
        <v>81</v>
      </c>
      <c r="O355" s="4" t="s">
        <v>959</v>
      </c>
      <c r="P355" s="4"/>
      <c r="Q355" s="4" t="s">
        <v>118</v>
      </c>
      <c r="R355" s="4" t="s">
        <v>84</v>
      </c>
      <c r="S355" s="4" t="s">
        <v>516</v>
      </c>
      <c r="T355" s="4"/>
      <c r="U355" s="4" t="s">
        <v>960</v>
      </c>
      <c r="V355" s="4" t="s">
        <v>518</v>
      </c>
      <c r="W355" s="4" t="s">
        <v>961</v>
      </c>
      <c r="X355" s="4" t="s">
        <v>962</v>
      </c>
      <c r="AA355" s="938"/>
      <c r="AE355" s="949"/>
    </row>
    <row r="356" spans="1:31">
      <c r="A356" s="4"/>
      <c r="B356" s="256"/>
      <c r="C356" s="256"/>
      <c r="D356" s="256"/>
      <c r="E356" s="4"/>
      <c r="F356" s="256"/>
      <c r="G356" s="4"/>
      <c r="H356" s="4"/>
      <c r="I356" s="4"/>
      <c r="J356" s="4"/>
      <c r="K356" s="4"/>
      <c r="L356" s="132"/>
      <c r="M356" s="132"/>
      <c r="N356" s="4"/>
      <c r="O356" s="4"/>
      <c r="P356" s="4"/>
      <c r="Q356" s="4"/>
      <c r="R356" s="4"/>
      <c r="S356" s="4"/>
      <c r="T356" s="4"/>
      <c r="U356" s="4"/>
      <c r="V356" s="4"/>
      <c r="W356" s="4"/>
      <c r="X356" s="4"/>
      <c r="AA356" s="938"/>
      <c r="AE356" s="949"/>
    </row>
    <row r="357" spans="1:31">
      <c r="A357" s="4"/>
      <c r="B357" s="256"/>
      <c r="C357" s="6" t="s">
        <v>175</v>
      </c>
      <c r="D357" s="256"/>
      <c r="E357" s="742"/>
      <c r="F357" s="256"/>
      <c r="G357" s="35"/>
      <c r="H357" s="256"/>
      <c r="I357" s="256"/>
      <c r="J357" s="504"/>
      <c r="K357" s="504"/>
      <c r="L357" s="504"/>
      <c r="M357" s="504"/>
      <c r="N357" s="504"/>
      <c r="O357" s="504"/>
      <c r="P357" s="256"/>
      <c r="Q357" s="504"/>
      <c r="R357" s="504"/>
      <c r="S357" s="504"/>
      <c r="T357" s="256"/>
      <c r="U357" s="256"/>
      <c r="V357" s="256"/>
      <c r="W357" s="504"/>
      <c r="X357" s="513"/>
      <c r="AA357" s="938"/>
      <c r="AE357" s="949"/>
    </row>
    <row r="358" spans="1:31">
      <c r="A358" s="4">
        <v>160</v>
      </c>
      <c r="B358" s="256"/>
      <c r="C358" s="9" t="s">
        <v>200</v>
      </c>
      <c r="D358" s="256"/>
      <c r="E358" s="36" t="s">
        <v>704</v>
      </c>
      <c r="F358" s="256"/>
      <c r="G358" s="35">
        <v>756.00000000000398</v>
      </c>
      <c r="H358" s="256"/>
      <c r="I358" s="35">
        <v>0</v>
      </c>
      <c r="J358" s="35">
        <v>0</v>
      </c>
      <c r="K358" s="865"/>
      <c r="L358" s="35">
        <v>0</v>
      </c>
      <c r="M358" s="35">
        <v>0</v>
      </c>
      <c r="N358" s="35">
        <v>0</v>
      </c>
      <c r="O358" s="35">
        <v>0</v>
      </c>
      <c r="P358" s="771"/>
      <c r="Q358" s="35">
        <v>0</v>
      </c>
      <c r="R358" s="35">
        <v>0</v>
      </c>
      <c r="S358" s="35">
        <v>0</v>
      </c>
      <c r="T358" s="750"/>
      <c r="U358" s="35">
        <v>0</v>
      </c>
      <c r="V358" s="35">
        <v>0</v>
      </c>
      <c r="W358" s="35">
        <v>0</v>
      </c>
      <c r="X358" s="36">
        <v>0</v>
      </c>
      <c r="Y358" s="769"/>
      <c r="AA358" s="938"/>
      <c r="AE358" s="954"/>
    </row>
    <row r="359" spans="1:31">
      <c r="C359" s="9" t="s">
        <v>221</v>
      </c>
      <c r="E359" s="36"/>
      <c r="G359" s="35"/>
      <c r="I359" s="68"/>
      <c r="J359" s="762"/>
      <c r="K359" s="504"/>
      <c r="L359" s="762"/>
      <c r="M359" s="762"/>
      <c r="N359" s="762"/>
      <c r="O359" s="762"/>
      <c r="P359" s="68"/>
      <c r="Q359" s="762"/>
      <c r="R359" s="762"/>
      <c r="S359" s="762"/>
      <c r="T359" s="752"/>
      <c r="U359" s="762"/>
      <c r="V359" s="762"/>
      <c r="W359" s="762"/>
      <c r="X359" s="988"/>
      <c r="Y359" s="769"/>
      <c r="AA359" s="938"/>
      <c r="AE359" s="949"/>
    </row>
    <row r="360" spans="1:31">
      <c r="A360" s="4">
        <v>161</v>
      </c>
      <c r="B360" s="256"/>
      <c r="C360" s="519" t="s">
        <v>765</v>
      </c>
      <c r="D360" s="256"/>
      <c r="E360" s="513" t="s">
        <v>675</v>
      </c>
      <c r="F360" s="256"/>
      <c r="G360" s="35">
        <v>25506.168000000001</v>
      </c>
      <c r="H360" s="256"/>
      <c r="I360" s="35">
        <v>0</v>
      </c>
      <c r="J360" s="35">
        <v>0</v>
      </c>
      <c r="K360" s="865"/>
      <c r="L360" s="35">
        <v>0</v>
      </c>
      <c r="M360" s="35">
        <v>0</v>
      </c>
      <c r="N360" s="35">
        <v>0</v>
      </c>
      <c r="O360" s="35">
        <v>0</v>
      </c>
      <c r="P360" s="771"/>
      <c r="Q360" s="35">
        <v>0</v>
      </c>
      <c r="R360" s="35">
        <v>0</v>
      </c>
      <c r="S360" s="35">
        <v>0</v>
      </c>
      <c r="T360" s="750"/>
      <c r="U360" s="35">
        <v>0</v>
      </c>
      <c r="V360" s="35">
        <v>0</v>
      </c>
      <c r="W360" s="35">
        <v>0</v>
      </c>
      <c r="X360" s="36">
        <v>0</v>
      </c>
      <c r="Y360" s="769"/>
      <c r="AA360" s="938"/>
      <c r="AE360" s="949"/>
    </row>
    <row r="361" spans="1:31">
      <c r="A361" s="4">
        <v>162</v>
      </c>
      <c r="B361" s="256"/>
      <c r="C361" s="519" t="s">
        <v>766</v>
      </c>
      <c r="D361" s="256"/>
      <c r="E361" s="513" t="s">
        <v>675</v>
      </c>
      <c r="F361" s="256"/>
      <c r="G361" s="35">
        <v>66225.600000000006</v>
      </c>
      <c r="H361" s="256"/>
      <c r="I361" s="35">
        <v>0</v>
      </c>
      <c r="J361" s="35">
        <v>0</v>
      </c>
      <c r="K361" s="865"/>
      <c r="L361" s="35">
        <v>0</v>
      </c>
      <c r="M361" s="35">
        <v>0</v>
      </c>
      <c r="N361" s="35">
        <v>0</v>
      </c>
      <c r="O361" s="35">
        <v>0</v>
      </c>
      <c r="P361" s="771"/>
      <c r="Q361" s="35">
        <v>0</v>
      </c>
      <c r="R361" s="35">
        <v>0</v>
      </c>
      <c r="S361" s="35">
        <v>0</v>
      </c>
      <c r="T361" s="750"/>
      <c r="U361" s="35">
        <v>0</v>
      </c>
      <c r="V361" s="35">
        <v>0</v>
      </c>
      <c r="W361" s="35">
        <v>0</v>
      </c>
      <c r="X361" s="36">
        <v>0</v>
      </c>
      <c r="Y361" s="769"/>
      <c r="AA361" s="938"/>
      <c r="AE361" s="949"/>
    </row>
    <row r="362" spans="1:31">
      <c r="A362" s="4">
        <v>163</v>
      </c>
      <c r="B362" s="256"/>
      <c r="C362" s="512" t="s">
        <v>726</v>
      </c>
      <c r="D362" s="256"/>
      <c r="E362" s="36"/>
      <c r="F362" s="256"/>
      <c r="G362" s="137">
        <f>SUM(G360:G361)</f>
        <v>91731.768000000011</v>
      </c>
      <c r="H362" s="256"/>
      <c r="I362" s="807">
        <v>0</v>
      </c>
      <c r="J362" s="807">
        <v>0</v>
      </c>
      <c r="K362" s="795"/>
      <c r="L362" s="807">
        <v>0</v>
      </c>
      <c r="M362" s="807">
        <v>0</v>
      </c>
      <c r="N362" s="807">
        <v>0</v>
      </c>
      <c r="O362" s="807">
        <v>0</v>
      </c>
      <c r="P362" s="771"/>
      <c r="Q362" s="807">
        <v>0</v>
      </c>
      <c r="R362" s="807">
        <v>0</v>
      </c>
      <c r="S362" s="807">
        <v>0</v>
      </c>
      <c r="T362" s="750"/>
      <c r="U362" s="807">
        <v>0</v>
      </c>
      <c r="V362" s="807">
        <v>0</v>
      </c>
      <c r="W362" s="807">
        <v>0</v>
      </c>
      <c r="X362" s="812">
        <v>0</v>
      </c>
      <c r="Y362" s="769"/>
      <c r="AA362" s="938"/>
      <c r="AE362" s="949"/>
    </row>
    <row r="363" spans="1:31">
      <c r="A363" s="4"/>
      <c r="C363" s="7"/>
      <c r="G363" s="135"/>
      <c r="J363" s="762"/>
      <c r="K363" s="504"/>
      <c r="L363" s="762"/>
      <c r="M363" s="762"/>
      <c r="N363" s="762"/>
      <c r="O363" s="762"/>
      <c r="P363" s="68"/>
      <c r="Q363" s="762"/>
      <c r="R363" s="762"/>
      <c r="S363" s="762"/>
      <c r="V363" s="793"/>
      <c r="W363" s="504"/>
      <c r="X363" s="513"/>
      <c r="AE363" s="949"/>
    </row>
    <row r="364" spans="1:31">
      <c r="A364" s="4"/>
      <c r="B364" s="256"/>
      <c r="C364" s="512" t="s">
        <v>705</v>
      </c>
      <c r="D364" s="256"/>
      <c r="E364" s="134"/>
      <c r="F364" s="256"/>
      <c r="G364" s="749"/>
      <c r="H364" s="256"/>
      <c r="I364" s="256"/>
      <c r="J364" s="762"/>
      <c r="K364" s="504"/>
      <c r="L364" s="762"/>
      <c r="M364" s="762"/>
      <c r="N364" s="762"/>
      <c r="O364" s="762"/>
      <c r="P364" s="771"/>
      <c r="Q364" s="762"/>
      <c r="R364" s="762"/>
      <c r="S364" s="762"/>
      <c r="T364" s="256"/>
      <c r="U364" s="256"/>
      <c r="V364" s="792"/>
      <c r="W364" s="504"/>
      <c r="X364" s="513"/>
      <c r="AE364" s="949"/>
    </row>
    <row r="365" spans="1:31">
      <c r="A365" s="4">
        <v>164</v>
      </c>
      <c r="B365" s="256"/>
      <c r="C365" s="519" t="s">
        <v>767</v>
      </c>
      <c r="D365" s="256"/>
      <c r="E365" s="36" t="s">
        <v>674</v>
      </c>
      <c r="F365" s="256"/>
      <c r="G365" s="35">
        <v>338478.94474000001</v>
      </c>
      <c r="H365" s="256"/>
      <c r="I365" s="861">
        <v>7.1000000000000004E-3</v>
      </c>
      <c r="J365" s="762">
        <f>G365*I365/100</f>
        <v>24.032005076540003</v>
      </c>
      <c r="K365" s="753"/>
      <c r="L365" s="35">
        <v>24.032005076540003</v>
      </c>
      <c r="M365" s="35">
        <v>0</v>
      </c>
      <c r="N365" s="35">
        <v>0</v>
      </c>
      <c r="O365" s="762">
        <f>J365-L365-M365-N365</f>
        <v>0</v>
      </c>
      <c r="P365" s="771"/>
      <c r="Q365" s="35">
        <v>22.526966290017398</v>
      </c>
      <c r="R365" s="35">
        <v>0</v>
      </c>
      <c r="S365" s="35">
        <v>0</v>
      </c>
      <c r="T365" s="750"/>
      <c r="U365" s="750">
        <f>SUM(O365:S365)</f>
        <v>22.526966290017398</v>
      </c>
      <c r="V365" s="792">
        <f>U365/G365*100</f>
        <v>6.6553523166178958E-3</v>
      </c>
      <c r="W365" s="847">
        <f>U365-J365</f>
        <v>-1.5050387865226043</v>
      </c>
      <c r="X365" s="834"/>
      <c r="Y365" s="769"/>
      <c r="AA365" s="938"/>
      <c r="AC365" s="938"/>
      <c r="AE365" s="949"/>
    </row>
    <row r="366" spans="1:31">
      <c r="A366" s="4">
        <v>165</v>
      </c>
      <c r="B366" s="256"/>
      <c r="C366" s="519" t="s">
        <v>768</v>
      </c>
      <c r="D366" s="256"/>
      <c r="E366" s="36" t="s">
        <v>674</v>
      </c>
      <c r="F366" s="256"/>
      <c r="G366" s="35">
        <v>590622.16051000007</v>
      </c>
      <c r="H366" s="256"/>
      <c r="I366" s="861">
        <v>7.1000000000000004E-3</v>
      </c>
      <c r="J366" s="762">
        <f>G366*I366/100</f>
        <v>41.934173396210007</v>
      </c>
      <c r="K366" s="753"/>
      <c r="L366" s="35">
        <v>41.934173396210007</v>
      </c>
      <c r="M366" s="35">
        <v>0</v>
      </c>
      <c r="N366" s="35">
        <v>0</v>
      </c>
      <c r="O366" s="762">
        <f>J366-L366-M366-N366</f>
        <v>0</v>
      </c>
      <c r="P366" s="771"/>
      <c r="Q366" s="35">
        <v>39.307985641960954</v>
      </c>
      <c r="R366" s="35">
        <v>0</v>
      </c>
      <c r="S366" s="35">
        <v>0</v>
      </c>
      <c r="T366" s="750"/>
      <c r="U366" s="750">
        <f>SUM(O366:S366)</f>
        <v>39.307985641960954</v>
      </c>
      <c r="V366" s="792">
        <f>U366/G366*100</f>
        <v>6.6553523166178958E-3</v>
      </c>
      <c r="W366" s="847">
        <f>U366-J366</f>
        <v>-2.6261877542490524</v>
      </c>
      <c r="X366" s="834"/>
      <c r="Y366" s="769"/>
      <c r="AA366" s="938"/>
      <c r="AC366" s="938"/>
      <c r="AE366" s="949"/>
    </row>
    <row r="367" spans="1:31">
      <c r="A367" s="4">
        <v>166</v>
      </c>
      <c r="B367" s="256"/>
      <c r="C367" s="512" t="s">
        <v>705</v>
      </c>
      <c r="D367" s="256"/>
      <c r="E367" s="36"/>
      <c r="F367" s="256"/>
      <c r="G367" s="137">
        <f>SUM(G365:G366)</f>
        <v>929101.10525000002</v>
      </c>
      <c r="H367" s="256"/>
      <c r="I367" s="922">
        <f>J367/G367*100</f>
        <v>7.1000000000000021E-3</v>
      </c>
      <c r="J367" s="807">
        <f>SUM(J365:J366)</f>
        <v>65.966178472750016</v>
      </c>
      <c r="K367" s="795"/>
      <c r="L367" s="807">
        <f>SUM(L365:L366)</f>
        <v>65.966178472750016</v>
      </c>
      <c r="M367" s="807">
        <f>SUM(M365:M366)</f>
        <v>0</v>
      </c>
      <c r="N367" s="807">
        <f>SUM(N365:N366)</f>
        <v>0</v>
      </c>
      <c r="O367" s="807">
        <f>SUM(O365:O366)</f>
        <v>0</v>
      </c>
      <c r="P367" s="771"/>
      <c r="Q367" s="807">
        <f>SUM(Q365:Q366)</f>
        <v>61.834951931978352</v>
      </c>
      <c r="R367" s="807">
        <f>SUM(R365:R366)</f>
        <v>0</v>
      </c>
      <c r="S367" s="807">
        <f>SUM(S365:S366)</f>
        <v>0</v>
      </c>
      <c r="T367" s="750"/>
      <c r="U367" s="808">
        <f>SUM(U365:U366)</f>
        <v>61.834951931978352</v>
      </c>
      <c r="V367" s="806">
        <f>U367/G367*100</f>
        <v>6.6553523166178958E-3</v>
      </c>
      <c r="W367" s="851">
        <f>SUM(W365:W366)</f>
        <v>-4.1312265407716566</v>
      </c>
      <c r="X367" s="985">
        <f>V367/I367-1</f>
        <v>-6.2626434279169918E-2</v>
      </c>
      <c r="Y367" s="769"/>
      <c r="AA367" s="938"/>
      <c r="AC367" s="938"/>
      <c r="AE367" s="949"/>
    </row>
    <row r="368" spans="1:31">
      <c r="A368" s="4"/>
      <c r="C368" s="7"/>
      <c r="E368" s="36"/>
      <c r="G368" s="35"/>
      <c r="J368" s="762"/>
      <c r="K368" s="504"/>
      <c r="L368" s="762"/>
      <c r="M368" s="762"/>
      <c r="N368" s="762"/>
      <c r="O368" s="762"/>
      <c r="P368" s="68"/>
      <c r="Q368" s="762"/>
      <c r="R368" s="762"/>
      <c r="S368" s="762"/>
      <c r="V368" s="793"/>
      <c r="W368" s="504"/>
      <c r="X368" s="666"/>
      <c r="AA368" s="938"/>
      <c r="AC368" s="938"/>
      <c r="AE368" s="949"/>
    </row>
    <row r="369" spans="1:31">
      <c r="A369" s="4">
        <v>167</v>
      </c>
      <c r="B369" s="256"/>
      <c r="C369" s="512" t="s">
        <v>769</v>
      </c>
      <c r="D369" s="256"/>
      <c r="E369" s="36" t="s">
        <v>674</v>
      </c>
      <c r="F369" s="256"/>
      <c r="G369" s="35">
        <v>18115.468199999999</v>
      </c>
      <c r="H369" s="256"/>
      <c r="I369" s="861">
        <v>7.1000000000000004E-3</v>
      </c>
      <c r="J369" s="762">
        <f>G369*I369/100</f>
        <v>1.2861982422</v>
      </c>
      <c r="K369" s="762"/>
      <c r="L369" s="35">
        <v>1.2861982422</v>
      </c>
      <c r="M369" s="35">
        <v>0</v>
      </c>
      <c r="N369" s="35">
        <v>0</v>
      </c>
      <c r="O369" s="762">
        <f>J369-L369-M369-N369</f>
        <v>0</v>
      </c>
      <c r="P369" s="771"/>
      <c r="Q369" s="35">
        <v>1.2056482325148781</v>
      </c>
      <c r="R369" s="35">
        <v>0</v>
      </c>
      <c r="S369" s="35">
        <v>0</v>
      </c>
      <c r="T369" s="771"/>
      <c r="U369" s="771">
        <f>SUM(O369:S369)</f>
        <v>1.2056482325148781</v>
      </c>
      <c r="V369" s="792">
        <f>U369/G369*100</f>
        <v>6.6553523166178958E-3</v>
      </c>
      <c r="W369" s="762">
        <f>U369-J369</f>
        <v>-8.0550009685121937E-2</v>
      </c>
      <c r="X369" s="980">
        <f>V369/I369-1</f>
        <v>-6.2626434279169696E-2</v>
      </c>
      <c r="Y369" s="769"/>
      <c r="AA369" s="938"/>
      <c r="AC369" s="938"/>
      <c r="AE369" s="949"/>
    </row>
    <row r="370" spans="1:31">
      <c r="A370" s="4">
        <v>168</v>
      </c>
      <c r="B370" s="256"/>
      <c r="C370" s="519" t="s">
        <v>770</v>
      </c>
      <c r="D370" s="256"/>
      <c r="E370" s="36" t="s">
        <v>704</v>
      </c>
      <c r="F370" s="256"/>
      <c r="G370" s="35">
        <v>456.00000000000375</v>
      </c>
      <c r="H370" s="256"/>
      <c r="I370" s="35">
        <v>0</v>
      </c>
      <c r="J370" s="35">
        <v>0</v>
      </c>
      <c r="K370" s="35"/>
      <c r="L370" s="35">
        <v>0</v>
      </c>
      <c r="M370" s="35">
        <v>0</v>
      </c>
      <c r="N370" s="35">
        <v>0</v>
      </c>
      <c r="O370" s="762">
        <f>J370-L370-M370-N370</f>
        <v>0</v>
      </c>
      <c r="P370" s="771"/>
      <c r="Q370" s="35">
        <v>0</v>
      </c>
      <c r="R370" s="35">
        <v>0</v>
      </c>
      <c r="S370" s="35">
        <v>0</v>
      </c>
      <c r="T370" s="771"/>
      <c r="U370" s="771">
        <f>SUM(O370:S370)</f>
        <v>0</v>
      </c>
      <c r="V370" s="35">
        <v>0</v>
      </c>
      <c r="W370" s="762">
        <f>U370-J370</f>
        <v>0</v>
      </c>
      <c r="X370" s="35">
        <v>0</v>
      </c>
      <c r="Y370" s="769"/>
      <c r="AA370" s="938"/>
      <c r="AC370" s="938"/>
    </row>
    <row r="371" spans="1:31">
      <c r="A371" s="4"/>
      <c r="B371" s="256"/>
      <c r="C371" s="7"/>
      <c r="D371" s="256"/>
      <c r="E371" s="36"/>
      <c r="F371" s="256"/>
      <c r="G371" s="453"/>
      <c r="H371" s="256"/>
      <c r="I371" s="256"/>
      <c r="J371" s="762"/>
      <c r="K371" s="762"/>
      <c r="L371" s="762"/>
      <c r="M371" s="762"/>
      <c r="N371" s="762"/>
      <c r="O371" s="762"/>
      <c r="P371" s="771"/>
      <c r="Q371" s="762"/>
      <c r="R371" s="762"/>
      <c r="S371" s="762"/>
      <c r="T371" s="771"/>
      <c r="U371" s="771"/>
      <c r="V371" s="792"/>
      <c r="W371" s="762"/>
      <c r="X371" s="980"/>
      <c r="Y371" s="769"/>
      <c r="AA371" s="938"/>
      <c r="AC371" s="938"/>
    </row>
    <row r="372" spans="1:31">
      <c r="A372" s="4">
        <v>169</v>
      </c>
      <c r="B372" s="256"/>
      <c r="C372" s="7" t="s">
        <v>710</v>
      </c>
      <c r="D372" s="256"/>
      <c r="E372" s="36"/>
      <c r="F372" s="256"/>
      <c r="G372" s="137">
        <f>G367</f>
        <v>929101.10525000002</v>
      </c>
      <c r="H372" s="256"/>
      <c r="I372" s="806">
        <f>J372/G372*100</f>
        <v>7.2384346907922283E-3</v>
      </c>
      <c r="J372" s="807">
        <f>J367+J369</f>
        <v>67.252376714950017</v>
      </c>
      <c r="K372" s="771"/>
      <c r="L372" s="807">
        <f>L367+L369</f>
        <v>67.252376714950017</v>
      </c>
      <c r="M372" s="807">
        <f>M367+M369</f>
        <v>0</v>
      </c>
      <c r="N372" s="807">
        <f>N367+N369</f>
        <v>0</v>
      </c>
      <c r="O372" s="807">
        <f>O367+O369</f>
        <v>0</v>
      </c>
      <c r="P372" s="771"/>
      <c r="Q372" s="807">
        <f>Q367+Q369</f>
        <v>63.040600164493227</v>
      </c>
      <c r="R372" s="807">
        <f>R367+R369</f>
        <v>0</v>
      </c>
      <c r="S372" s="807">
        <f>S367+S369</f>
        <v>0</v>
      </c>
      <c r="T372" s="771"/>
      <c r="U372" s="807">
        <f>U367+U369</f>
        <v>63.040600164493227</v>
      </c>
      <c r="V372" s="806">
        <f>U372/G372*100</f>
        <v>6.7851173363452661E-3</v>
      </c>
      <c r="W372" s="807">
        <f>W367+W369+W370</f>
        <v>-4.2117765504567783</v>
      </c>
      <c r="X372" s="985">
        <f>V372/I372-1</f>
        <v>-6.2626434279169807E-2</v>
      </c>
      <c r="Y372" s="769"/>
      <c r="AA372" s="938"/>
      <c r="AC372" s="938"/>
    </row>
    <row r="373" spans="1:31">
      <c r="A373" s="4"/>
      <c r="B373" s="256"/>
      <c r="C373" s="7"/>
      <c r="D373" s="256"/>
      <c r="E373" s="36"/>
      <c r="F373" s="256"/>
      <c r="G373" s="453"/>
      <c r="H373" s="256"/>
      <c r="I373" s="256"/>
      <c r="J373" s="762"/>
      <c r="K373" s="753"/>
      <c r="L373" s="762"/>
      <c r="M373" s="762"/>
      <c r="N373" s="762"/>
      <c r="O373" s="762"/>
      <c r="P373" s="771"/>
      <c r="Q373" s="762"/>
      <c r="R373" s="762"/>
      <c r="S373" s="762"/>
      <c r="T373" s="750"/>
      <c r="U373" s="750"/>
      <c r="V373" s="792"/>
      <c r="W373" s="753"/>
      <c r="X373" s="925"/>
      <c r="Y373" s="728"/>
      <c r="AA373" s="938"/>
      <c r="AC373" s="938"/>
    </row>
    <row r="374" spans="1:31">
      <c r="A374" s="4"/>
      <c r="B374" s="256"/>
      <c r="C374" s="9" t="s">
        <v>275</v>
      </c>
      <c r="D374" s="256"/>
      <c r="E374" s="860"/>
      <c r="F374" s="256"/>
      <c r="G374" s="870"/>
      <c r="H374" s="256"/>
      <c r="I374" s="256"/>
      <c r="J374" s="762"/>
      <c r="K374" s="762"/>
      <c r="L374" s="762"/>
      <c r="M374" s="762"/>
      <c r="N374" s="762"/>
      <c r="O374" s="762"/>
      <c r="P374" s="771"/>
      <c r="Q374" s="762"/>
      <c r="R374" s="762"/>
      <c r="S374" s="762"/>
      <c r="T374" s="771"/>
      <c r="U374" s="771"/>
      <c r="V374" s="792"/>
      <c r="W374" s="762"/>
      <c r="X374" s="827"/>
      <c r="Y374" s="782"/>
      <c r="AA374" s="938"/>
      <c r="AC374" s="938"/>
    </row>
    <row r="375" spans="1:31">
      <c r="A375" s="4">
        <v>170</v>
      </c>
      <c r="C375" s="519" t="s">
        <v>754</v>
      </c>
      <c r="E375" s="513" t="s">
        <v>675</v>
      </c>
      <c r="G375" s="35">
        <v>1764.0360000000001</v>
      </c>
      <c r="H375" s="744"/>
      <c r="I375" s="861">
        <v>36.018137999410541</v>
      </c>
      <c r="J375" s="762">
        <f>G375*I375/100</f>
        <v>635.37292083928173</v>
      </c>
      <c r="K375" s="762"/>
      <c r="L375" s="35">
        <v>0</v>
      </c>
      <c r="M375" s="35">
        <v>0</v>
      </c>
      <c r="N375" s="35">
        <v>0</v>
      </c>
      <c r="O375" s="762">
        <f>J375-L375-M375-N375</f>
        <v>635.37292083928173</v>
      </c>
      <c r="P375" s="68"/>
      <c r="Q375" s="453">
        <v>0</v>
      </c>
      <c r="R375" s="453">
        <v>0</v>
      </c>
      <c r="S375" s="453">
        <v>0</v>
      </c>
      <c r="T375" s="136"/>
      <c r="U375" s="750">
        <f>SUM(O375:S375)</f>
        <v>635.37292083928173</v>
      </c>
      <c r="V375" s="987">
        <f>U375/G375*100</f>
        <v>36.018137999410541</v>
      </c>
      <c r="W375" s="827">
        <f>U375-J375</f>
        <v>0</v>
      </c>
      <c r="X375" s="827"/>
      <c r="Y375" s="866"/>
      <c r="AA375" s="938"/>
      <c r="AC375" s="938"/>
      <c r="AE375" s="949"/>
    </row>
    <row r="376" spans="1:31">
      <c r="A376" s="4">
        <v>171</v>
      </c>
      <c r="B376" s="734"/>
      <c r="C376" s="519" t="s">
        <v>755</v>
      </c>
      <c r="D376" s="734"/>
      <c r="E376" s="513" t="s">
        <v>675</v>
      </c>
      <c r="F376" s="734"/>
      <c r="G376" s="35">
        <v>6791.652</v>
      </c>
      <c r="H376" s="744"/>
      <c r="I376" s="861">
        <v>39.018337999410541</v>
      </c>
      <c r="J376" s="762">
        <f>G376*I376/100</f>
        <v>2649.9897331037264</v>
      </c>
      <c r="K376" s="762"/>
      <c r="L376" s="35">
        <v>0</v>
      </c>
      <c r="M376" s="35">
        <v>0</v>
      </c>
      <c r="N376" s="35">
        <v>0</v>
      </c>
      <c r="O376" s="762">
        <f>J376-L376-M376-N376</f>
        <v>2649.9897331037264</v>
      </c>
      <c r="P376" s="790"/>
      <c r="Q376" s="453">
        <v>0</v>
      </c>
      <c r="R376" s="453">
        <v>0</v>
      </c>
      <c r="S376" s="453">
        <v>0</v>
      </c>
      <c r="T376" s="136"/>
      <c r="U376" s="750">
        <f>SUM(O376:S376)</f>
        <v>2649.9897331037264</v>
      </c>
      <c r="V376" s="987">
        <f>U376/G376*100</f>
        <v>39.018337999410548</v>
      </c>
      <c r="W376" s="827">
        <f>U376-J376</f>
        <v>0</v>
      </c>
      <c r="X376" s="827"/>
      <c r="Y376" s="866"/>
      <c r="AA376" s="938"/>
      <c r="AC376" s="938"/>
      <c r="AE376" s="949"/>
    </row>
    <row r="377" spans="1:31">
      <c r="A377" s="4"/>
      <c r="B377" s="447"/>
      <c r="C377" s="9" t="s">
        <v>771</v>
      </c>
      <c r="D377" s="447"/>
      <c r="E377" s="385"/>
      <c r="F377" s="447"/>
      <c r="G377" s="818"/>
      <c r="H377" s="818"/>
      <c r="I377" s="818"/>
      <c r="J377" s="762"/>
      <c r="K377" s="762"/>
      <c r="L377" s="762"/>
      <c r="M377" s="762"/>
      <c r="N377" s="762"/>
      <c r="O377" s="762"/>
      <c r="P377" s="787"/>
      <c r="Q377" s="827"/>
      <c r="R377" s="827"/>
      <c r="S377" s="827"/>
      <c r="T377" s="453"/>
      <c r="U377" s="750"/>
      <c r="V377" s="987"/>
      <c r="W377" s="827"/>
      <c r="X377" s="827"/>
      <c r="Y377" s="866"/>
      <c r="AA377" s="938"/>
      <c r="AC377" s="938"/>
      <c r="AE377" s="949"/>
    </row>
    <row r="378" spans="1:31">
      <c r="A378" s="4">
        <v>172</v>
      </c>
      <c r="B378" s="254"/>
      <c r="C378" s="519" t="s">
        <v>754</v>
      </c>
      <c r="D378" s="254"/>
      <c r="E378" s="513" t="s">
        <v>674</v>
      </c>
      <c r="F378" s="254"/>
      <c r="G378" s="35">
        <v>19327.7673</v>
      </c>
      <c r="H378" s="869"/>
      <c r="I378" s="897">
        <v>2.6368459667703328</v>
      </c>
      <c r="J378" s="762">
        <f>G378*I378/100</f>
        <v>509.64345251680527</v>
      </c>
      <c r="K378" s="762"/>
      <c r="L378" s="35">
        <v>0</v>
      </c>
      <c r="M378" s="35">
        <v>8.1064112855002968</v>
      </c>
      <c r="N378" s="35">
        <v>29.988618062799702</v>
      </c>
      <c r="O378" s="762">
        <f>J378-L378-M378-N378</f>
        <v>471.54842316850522</v>
      </c>
      <c r="P378" s="786"/>
      <c r="Q378" s="453">
        <v>0</v>
      </c>
      <c r="R378" s="35">
        <v>9.9579472877742248</v>
      </c>
      <c r="S378" s="35">
        <v>30.022417728980681</v>
      </c>
      <c r="T378" s="813"/>
      <c r="U378" s="750">
        <f>SUM(O378:S378)</f>
        <v>511.52878818526011</v>
      </c>
      <c r="V378" s="987">
        <f>U378/G378*100</f>
        <v>2.6466005113030313</v>
      </c>
      <c r="W378" s="827">
        <f>U378-J378</f>
        <v>1.885335668454843</v>
      </c>
      <c r="X378" s="827"/>
      <c r="Y378" s="866"/>
      <c r="AA378" s="938"/>
      <c r="AC378" s="938"/>
      <c r="AE378" s="949"/>
    </row>
    <row r="379" spans="1:31">
      <c r="A379" s="4">
        <v>173</v>
      </c>
      <c r="B379" s="256"/>
      <c r="C379" s="519" t="s">
        <v>755</v>
      </c>
      <c r="D379" s="256"/>
      <c r="E379" s="513" t="s">
        <v>674</v>
      </c>
      <c r="F379" s="256"/>
      <c r="G379" s="35">
        <v>62792.705639999993</v>
      </c>
      <c r="H379" s="818"/>
      <c r="I379" s="897">
        <v>1.979475966770333</v>
      </c>
      <c r="J379" s="762">
        <f>G379*I379/100</f>
        <v>1242.9665170286391</v>
      </c>
      <c r="K379" s="762"/>
      <c r="L379" s="35">
        <v>0</v>
      </c>
      <c r="M379" s="35">
        <v>28.705455769500965</v>
      </c>
      <c r="N379" s="35">
        <v>106.192113756911</v>
      </c>
      <c r="O379" s="762">
        <f>J379-L379-M379-N379</f>
        <v>1108.0689475022273</v>
      </c>
      <c r="P379" s="771"/>
      <c r="Q379" s="453">
        <v>0</v>
      </c>
      <c r="R379" s="35">
        <v>35.26189399438838</v>
      </c>
      <c r="S379" s="35">
        <v>106.31180109923933</v>
      </c>
      <c r="T379" s="453"/>
      <c r="U379" s="750">
        <f>SUM(O379:S379)</f>
        <v>1249.642642595855</v>
      </c>
      <c r="V379" s="987">
        <f>U379/G379*100</f>
        <v>1.9901079748979824</v>
      </c>
      <c r="W379" s="827">
        <f>U379-J379</f>
        <v>6.6761255672158768</v>
      </c>
      <c r="X379" s="827"/>
      <c r="Y379" s="866"/>
      <c r="AA379" s="938"/>
      <c r="AC379" s="938"/>
      <c r="AE379" s="949"/>
    </row>
    <row r="380" spans="1:31">
      <c r="A380" s="4"/>
      <c r="C380" s="9" t="s">
        <v>772</v>
      </c>
      <c r="G380" s="744"/>
      <c r="H380" s="744"/>
      <c r="I380" s="744"/>
      <c r="J380" s="762"/>
      <c r="K380" s="762"/>
      <c r="L380" s="762"/>
      <c r="M380" s="762"/>
      <c r="N380" s="762"/>
      <c r="O380" s="762"/>
      <c r="P380" s="68"/>
      <c r="Q380" s="827"/>
      <c r="R380" s="827"/>
      <c r="S380" s="827"/>
      <c r="T380" s="136"/>
      <c r="U380" s="136"/>
      <c r="V380" s="987"/>
      <c r="W380" s="827"/>
      <c r="X380" s="827"/>
      <c r="Y380" s="866"/>
      <c r="AA380" s="938"/>
      <c r="AC380" s="938"/>
      <c r="AE380" s="949"/>
    </row>
    <row r="381" spans="1:31">
      <c r="A381" s="4">
        <v>174</v>
      </c>
      <c r="B381" s="256"/>
      <c r="C381" s="519" t="s">
        <v>754</v>
      </c>
      <c r="D381" s="256"/>
      <c r="E381" s="513" t="s">
        <v>674</v>
      </c>
      <c r="F381" s="256"/>
      <c r="G381" s="35">
        <v>15676.229820000002</v>
      </c>
      <c r="H381" s="818"/>
      <c r="I381" s="867">
        <v>0</v>
      </c>
      <c r="J381" s="762">
        <f>G381*I381/100</f>
        <v>0</v>
      </c>
      <c r="K381" s="762"/>
      <c r="L381" s="35">
        <v>0</v>
      </c>
      <c r="M381" s="35">
        <v>0</v>
      </c>
      <c r="N381" s="35">
        <v>0</v>
      </c>
      <c r="O381" s="762">
        <f>J381-L381-M381-N381</f>
        <v>0</v>
      </c>
      <c r="P381" s="771"/>
      <c r="Q381" s="453">
        <v>0</v>
      </c>
      <c r="R381" s="453">
        <v>0</v>
      </c>
      <c r="S381" s="453">
        <v>0</v>
      </c>
      <c r="T381" s="453"/>
      <c r="U381" s="136">
        <f>SUM(O381:S381)</f>
        <v>0</v>
      </c>
      <c r="V381" s="136">
        <f>U381/G381*100</f>
        <v>0</v>
      </c>
      <c r="W381" s="827">
        <f>U381-J381</f>
        <v>0</v>
      </c>
      <c r="X381" s="827"/>
      <c r="Y381" s="866"/>
      <c r="AA381" s="962"/>
      <c r="AC381" s="962"/>
      <c r="AE381" s="962"/>
    </row>
    <row r="382" spans="1:31">
      <c r="A382" s="4">
        <v>175</v>
      </c>
      <c r="B382" s="256"/>
      <c r="C382" s="519" t="s">
        <v>755</v>
      </c>
      <c r="D382" s="256"/>
      <c r="E382" s="513" t="s">
        <v>674</v>
      </c>
      <c r="F382" s="256"/>
      <c r="G382" s="828">
        <v>37528.185069999978</v>
      </c>
      <c r="H382" s="818"/>
      <c r="I382" s="867">
        <v>0</v>
      </c>
      <c r="J382" s="762">
        <f>G382*I382/100</f>
        <v>0</v>
      </c>
      <c r="K382" s="762"/>
      <c r="L382" s="453">
        <v>0</v>
      </c>
      <c r="M382" s="453">
        <v>0</v>
      </c>
      <c r="N382" s="453">
        <v>0</v>
      </c>
      <c r="O382" s="762">
        <f>J382-L382-M382-N382</f>
        <v>0</v>
      </c>
      <c r="P382" s="771"/>
      <c r="Q382" s="453">
        <v>0</v>
      </c>
      <c r="R382" s="453">
        <v>0</v>
      </c>
      <c r="S382" s="453">
        <v>0</v>
      </c>
      <c r="T382" s="453"/>
      <c r="U382" s="136">
        <f>SUM(O382:S382)</f>
        <v>0</v>
      </c>
      <c r="V382" s="136">
        <f>U382/G382*100</f>
        <v>0</v>
      </c>
      <c r="W382" s="827">
        <f>U382-J382</f>
        <v>0</v>
      </c>
      <c r="X382" s="827"/>
      <c r="Y382" s="866"/>
      <c r="AA382" s="962"/>
      <c r="AC382" s="962"/>
      <c r="AE382" s="962"/>
    </row>
    <row r="383" spans="1:31">
      <c r="A383" s="4">
        <v>176</v>
      </c>
      <c r="B383" s="256"/>
      <c r="C383" s="9" t="s">
        <v>773</v>
      </c>
      <c r="D383" s="256"/>
      <c r="E383" s="36"/>
      <c r="F383" s="256"/>
      <c r="G383" s="830">
        <f>SUM(G378:G382)</f>
        <v>135324.88782999996</v>
      </c>
      <c r="H383" s="818"/>
      <c r="I383" s="890">
        <f>J383/G383*100</f>
        <v>3.7228721961457198</v>
      </c>
      <c r="J383" s="137">
        <f>SUM(J375:J382)</f>
        <v>5037.972623488452</v>
      </c>
      <c r="K383" s="818"/>
      <c r="L383" s="137">
        <f>SUM(L375:L382)</f>
        <v>0</v>
      </c>
      <c r="M383" s="137">
        <f>SUM(M375:M382)</f>
        <v>36.811867055001258</v>
      </c>
      <c r="N383" s="137">
        <f>SUM(N375:N382)</f>
        <v>136.1807318197107</v>
      </c>
      <c r="O383" s="137">
        <f>SUM(O375:O382)</f>
        <v>4864.9800246137402</v>
      </c>
      <c r="P383" s="771"/>
      <c r="Q383" s="807">
        <f>SUM(Q375:Q382)</f>
        <v>0</v>
      </c>
      <c r="R383" s="807">
        <f>SUM(R375:R382)</f>
        <v>45.219841282162605</v>
      </c>
      <c r="S383" s="807">
        <f>SUM(S375:S382)</f>
        <v>136.33421882822</v>
      </c>
      <c r="T383" s="750"/>
      <c r="U383" s="808">
        <f>SUM(U375:U382)</f>
        <v>5046.5340847241232</v>
      </c>
      <c r="V383" s="806">
        <f>U383/G383*100</f>
        <v>3.7291987938417965</v>
      </c>
      <c r="W383" s="851">
        <f>SUM(W375:W382)</f>
        <v>8.5614612356707198</v>
      </c>
      <c r="X383" s="921">
        <f>V383/I383-1</f>
        <v>1.6993862165417539E-3</v>
      </c>
      <c r="Y383" s="769"/>
      <c r="AA383" s="938"/>
      <c r="AC383" s="938"/>
      <c r="AE383" s="949"/>
    </row>
    <row r="384" spans="1:31">
      <c r="A384" s="4"/>
      <c r="B384" s="256"/>
      <c r="C384" s="519"/>
      <c r="D384" s="256"/>
      <c r="E384" s="36"/>
      <c r="F384" s="256"/>
      <c r="G384" s="828"/>
      <c r="H384" s="818"/>
      <c r="I384" s="818"/>
      <c r="J384" s="762"/>
      <c r="K384" s="753"/>
      <c r="L384" s="762"/>
      <c r="M384" s="762"/>
      <c r="N384" s="762"/>
      <c r="O384" s="762"/>
      <c r="P384" s="771"/>
      <c r="Q384" s="762"/>
      <c r="R384" s="762"/>
      <c r="S384" s="762"/>
      <c r="T384" s="750"/>
      <c r="U384" s="750"/>
      <c r="V384" s="792"/>
      <c r="W384" s="753"/>
      <c r="X384" s="925"/>
      <c r="Y384" s="728"/>
      <c r="AC384" s="938"/>
    </row>
    <row r="385" spans="1:31">
      <c r="A385" s="4"/>
      <c r="B385" s="256"/>
      <c r="C385" s="9" t="s">
        <v>282</v>
      </c>
      <c r="D385" s="256"/>
      <c r="E385" s="36"/>
      <c r="F385" s="256"/>
      <c r="G385" s="828"/>
      <c r="H385" s="818"/>
      <c r="I385" s="818"/>
      <c r="J385" s="762"/>
      <c r="K385" s="753"/>
      <c r="L385" s="762"/>
      <c r="M385" s="762"/>
      <c r="N385" s="762"/>
      <c r="O385" s="762"/>
      <c r="P385" s="771"/>
      <c r="Q385" s="762"/>
      <c r="R385" s="762"/>
      <c r="S385" s="762"/>
      <c r="T385" s="750"/>
      <c r="V385" s="792"/>
      <c r="W385" s="753"/>
      <c r="X385" s="925"/>
      <c r="Y385" s="728"/>
      <c r="AC385" s="938"/>
    </row>
    <row r="386" spans="1:31">
      <c r="A386" s="4">
        <v>177</v>
      </c>
      <c r="B386" s="256"/>
      <c r="C386" s="519" t="s">
        <v>774</v>
      </c>
      <c r="D386" s="256"/>
      <c r="E386" s="513" t="s">
        <v>775</v>
      </c>
      <c r="F386" s="256"/>
      <c r="G386" s="828">
        <v>141504</v>
      </c>
      <c r="H386" s="818"/>
      <c r="I386" s="773">
        <v>10.949000000000002</v>
      </c>
      <c r="J386" s="762">
        <f>G386*I386/1000</f>
        <v>1549.3272960000004</v>
      </c>
      <c r="K386" s="753"/>
      <c r="L386" s="35">
        <v>0</v>
      </c>
      <c r="M386" s="35">
        <v>0</v>
      </c>
      <c r="N386" s="35">
        <v>0</v>
      </c>
      <c r="O386" s="762">
        <f>J386-L386-M386-N386</f>
        <v>1549.3272960000004</v>
      </c>
      <c r="P386" s="771"/>
      <c r="Q386" s="35">
        <v>0</v>
      </c>
      <c r="R386" s="35">
        <v>0</v>
      </c>
      <c r="S386" s="35">
        <v>0</v>
      </c>
      <c r="T386" s="865">
        <v>0</v>
      </c>
      <c r="U386" s="750">
        <f>SUM(O386:S386)</f>
        <v>1549.3272960000004</v>
      </c>
      <c r="V386" s="797">
        <f>U386/G386*1000</f>
        <v>10.949000000000002</v>
      </c>
      <c r="W386" s="762">
        <f>U386-J386</f>
        <v>0</v>
      </c>
      <c r="X386" s="925"/>
      <c r="Y386" s="728"/>
      <c r="AA386" s="938"/>
      <c r="AC386" s="938"/>
      <c r="AE386" s="949"/>
    </row>
    <row r="387" spans="1:31">
      <c r="A387" s="4">
        <v>178</v>
      </c>
      <c r="B387" s="256"/>
      <c r="C387" s="519" t="s">
        <v>776</v>
      </c>
      <c r="D387" s="256"/>
      <c r="E387" s="513" t="s">
        <v>777</v>
      </c>
      <c r="F387" s="256"/>
      <c r="G387" s="828">
        <v>522359</v>
      </c>
      <c r="H387" s="818"/>
      <c r="I387" s="773">
        <v>9.7000000000000003E-2</v>
      </c>
      <c r="J387" s="762">
        <f>G387*I387/1000</f>
        <v>50.668823000000003</v>
      </c>
      <c r="K387" s="753"/>
      <c r="L387" s="35">
        <v>0</v>
      </c>
      <c r="M387" s="35">
        <v>3.8777291313530764</v>
      </c>
      <c r="N387" s="35">
        <v>30.597964868646926</v>
      </c>
      <c r="O387" s="762">
        <f>J387-L387-M387-N387</f>
        <v>16.193128999999999</v>
      </c>
      <c r="P387" s="771"/>
      <c r="Q387" s="35">
        <v>0</v>
      </c>
      <c r="R387" s="35">
        <v>4.763417611853547</v>
      </c>
      <c r="S387" s="35">
        <v>30.632451319346718</v>
      </c>
      <c r="T387" s="750"/>
      <c r="U387" s="750">
        <f>SUM(O387:S387)</f>
        <v>51.588997931200268</v>
      </c>
      <c r="V387" s="797">
        <f>U387/G387*1000</f>
        <v>9.8761575719381253E-2</v>
      </c>
      <c r="W387" s="827">
        <f>U387-J387</f>
        <v>0.92017493120026472</v>
      </c>
      <c r="X387" s="925"/>
      <c r="Y387" s="728"/>
      <c r="AA387" s="938"/>
      <c r="AC387" s="938"/>
      <c r="AE387" s="949"/>
    </row>
    <row r="388" spans="1:31">
      <c r="A388" s="4">
        <v>179</v>
      </c>
      <c r="B388" s="256"/>
      <c r="C388" s="9" t="s">
        <v>282</v>
      </c>
      <c r="D388" s="256"/>
      <c r="E388" s="36"/>
      <c r="F388" s="256"/>
      <c r="G388" s="137">
        <f>SUM(G386:G387)</f>
        <v>663863</v>
      </c>
      <c r="H388" s="256"/>
      <c r="I388" s="965">
        <f>J388/G388*1000</f>
        <v>2.4101299801314435</v>
      </c>
      <c r="J388" s="805">
        <f>SUM(J386:J387)</f>
        <v>1599.9961190000004</v>
      </c>
      <c r="K388" s="762"/>
      <c r="L388" s="805">
        <f>SUM(L386:L387)</f>
        <v>0</v>
      </c>
      <c r="M388" s="805">
        <f>SUM(M386:M387)</f>
        <v>3.8777291313530764</v>
      </c>
      <c r="N388" s="805">
        <f>SUM(N386:N387)</f>
        <v>30.597964868646926</v>
      </c>
      <c r="O388" s="805">
        <f>SUM(O386:O387)</f>
        <v>1565.5204250000004</v>
      </c>
      <c r="P388" s="771"/>
      <c r="Q388" s="807">
        <f>SUM(Q386:Q387)</f>
        <v>0</v>
      </c>
      <c r="R388" s="807">
        <f>SUM(R386:R387)</f>
        <v>4.763417611853547</v>
      </c>
      <c r="S388" s="807">
        <f>SUM(S386:S387)</f>
        <v>30.632451319346718</v>
      </c>
      <c r="T388" s="750"/>
      <c r="U388" s="808">
        <f>SUM(U386:U387)</f>
        <v>1600.9162939312007</v>
      </c>
      <c r="V388" s="965">
        <f>U388/G388*1000</f>
        <v>2.411516071736489</v>
      </c>
      <c r="W388" s="851">
        <f>SUM(W386:W387)</f>
        <v>0.92017493120026472</v>
      </c>
      <c r="X388" s="921">
        <f>V388/I388-1</f>
        <v>5.7511072700311416E-4</v>
      </c>
      <c r="Y388" s="769"/>
      <c r="AA388" s="938"/>
      <c r="AC388" s="938"/>
      <c r="AE388" s="949"/>
    </row>
    <row r="389" spans="1:31">
      <c r="A389" s="4"/>
      <c r="B389" s="256"/>
      <c r="C389" s="7"/>
      <c r="D389" s="256"/>
      <c r="E389" s="36"/>
      <c r="F389" s="256"/>
      <c r="G389" s="35"/>
      <c r="H389" s="256"/>
      <c r="I389" s="792"/>
      <c r="J389" s="762"/>
      <c r="K389" s="753"/>
      <c r="L389" s="762"/>
      <c r="M389" s="762"/>
      <c r="N389" s="762"/>
      <c r="O389" s="762"/>
      <c r="P389" s="771"/>
      <c r="Q389" s="762"/>
      <c r="R389" s="762"/>
      <c r="S389" s="762"/>
      <c r="T389" s="750"/>
      <c r="U389" s="750"/>
      <c r="V389" s="792"/>
      <c r="W389" s="753"/>
      <c r="X389" s="925"/>
      <c r="Y389" s="728"/>
      <c r="AA389" s="938"/>
      <c r="AC389" s="938"/>
      <c r="AE389" s="949"/>
    </row>
    <row r="390" spans="1:31">
      <c r="A390" s="4"/>
      <c r="B390" s="256"/>
      <c r="C390" s="9" t="s">
        <v>211</v>
      </c>
      <c r="D390" s="256"/>
      <c r="E390" s="36"/>
      <c r="F390" s="256"/>
      <c r="G390" s="453"/>
      <c r="H390" s="256"/>
      <c r="I390" s="792"/>
      <c r="J390" s="762"/>
      <c r="K390" s="753"/>
      <c r="L390" s="762"/>
      <c r="M390" s="762"/>
      <c r="N390" s="762"/>
      <c r="O390" s="762"/>
      <c r="P390" s="771"/>
      <c r="Q390" s="762"/>
      <c r="R390" s="762"/>
      <c r="S390" s="762"/>
      <c r="T390" s="750"/>
      <c r="U390" s="750"/>
      <c r="V390" s="792"/>
      <c r="W390" s="753"/>
      <c r="X390" s="925"/>
      <c r="Y390" s="728"/>
      <c r="AA390" s="938"/>
      <c r="AC390" s="938"/>
      <c r="AE390" s="949"/>
    </row>
    <row r="391" spans="1:31">
      <c r="A391" s="4">
        <v>180</v>
      </c>
      <c r="C391" s="9" t="s">
        <v>754</v>
      </c>
      <c r="E391" s="513" t="s">
        <v>674</v>
      </c>
      <c r="G391" s="828">
        <v>5777.0110000000004</v>
      </c>
      <c r="I391" s="861">
        <v>17.497599999999998</v>
      </c>
      <c r="J391" s="762">
        <f>G391*I391/100</f>
        <v>1010.838276736</v>
      </c>
      <c r="K391" s="762"/>
      <c r="L391" s="35">
        <v>0</v>
      </c>
      <c r="M391" s="35">
        <v>0</v>
      </c>
      <c r="N391" s="35">
        <v>0</v>
      </c>
      <c r="O391" s="762">
        <f>J391-L391-M391-N391</f>
        <v>1010.838276736</v>
      </c>
      <c r="P391" s="68"/>
      <c r="Q391" s="35">
        <v>0</v>
      </c>
      <c r="R391" s="35">
        <v>0</v>
      </c>
      <c r="S391" s="35">
        <v>0</v>
      </c>
      <c r="T391" s="752"/>
      <c r="U391" s="752">
        <f>SUM(O391:S391)</f>
        <v>1010.838276736</v>
      </c>
      <c r="V391" s="793">
        <f>U391/G391*100</f>
        <v>17.497599999999998</v>
      </c>
      <c r="W391" s="762">
        <f>U391-J391</f>
        <v>0</v>
      </c>
      <c r="X391" s="925"/>
      <c r="Y391" s="728"/>
      <c r="AA391" s="938"/>
      <c r="AC391" s="938"/>
      <c r="AE391" s="949"/>
    </row>
    <row r="392" spans="1:31">
      <c r="A392" s="4">
        <v>181</v>
      </c>
      <c r="B392" s="256"/>
      <c r="C392" s="9" t="s">
        <v>755</v>
      </c>
      <c r="D392" s="256"/>
      <c r="E392" s="513" t="s">
        <v>674</v>
      </c>
      <c r="F392" s="256"/>
      <c r="G392" s="828">
        <v>9854.0479600000017</v>
      </c>
      <c r="H392" s="256"/>
      <c r="I392" s="861">
        <v>19.964200000000002</v>
      </c>
      <c r="J392" s="762">
        <f>G392*I392/100</f>
        <v>1967.2818428303206</v>
      </c>
      <c r="K392" s="762"/>
      <c r="L392" s="35">
        <v>0</v>
      </c>
      <c r="M392" s="35">
        <v>0</v>
      </c>
      <c r="N392" s="35">
        <v>0</v>
      </c>
      <c r="O392" s="762">
        <f>J392-L392-M392-N392</f>
        <v>1967.2818428303206</v>
      </c>
      <c r="P392" s="771"/>
      <c r="Q392" s="35">
        <v>0</v>
      </c>
      <c r="R392" s="35">
        <v>0</v>
      </c>
      <c r="S392" s="35">
        <v>0</v>
      </c>
      <c r="T392" s="750"/>
      <c r="U392" s="752">
        <f>SUM(O392:S392)</f>
        <v>1967.2818428303206</v>
      </c>
      <c r="V392" s="793">
        <f>U392/G392*100</f>
        <v>19.964200000000002</v>
      </c>
      <c r="W392" s="762">
        <f>U392-J392</f>
        <v>0</v>
      </c>
      <c r="X392" s="925"/>
      <c r="Y392" s="728"/>
      <c r="AA392" s="938"/>
      <c r="AC392" s="938"/>
      <c r="AE392" s="949"/>
    </row>
    <row r="393" spans="1:31">
      <c r="A393" s="4">
        <v>182</v>
      </c>
      <c r="B393" s="256"/>
      <c r="C393" s="9" t="s">
        <v>211</v>
      </c>
      <c r="D393" s="256"/>
      <c r="E393" s="513"/>
      <c r="F393" s="256"/>
      <c r="G393" s="420">
        <f>SUM(G391:G392)</f>
        <v>15631.058960000002</v>
      </c>
      <c r="H393" s="256"/>
      <c r="I393" s="806">
        <f>J393/G393*100</f>
        <v>19.052580680473106</v>
      </c>
      <c r="J393" s="805">
        <f>SUM(J391:J392)</f>
        <v>2978.1201195663207</v>
      </c>
      <c r="K393" s="762"/>
      <c r="L393" s="805">
        <f>SUM(L391:L392)</f>
        <v>0</v>
      </c>
      <c r="M393" s="805">
        <f>SUM(M391:M392)</f>
        <v>0</v>
      </c>
      <c r="N393" s="805">
        <f>SUM(N391:N392)</f>
        <v>0</v>
      </c>
      <c r="O393" s="805">
        <f>SUM(O391:O392)</f>
        <v>2978.1201195663207</v>
      </c>
      <c r="P393" s="771"/>
      <c r="Q393" s="807">
        <f>SUM(Q391:Q392)</f>
        <v>0</v>
      </c>
      <c r="R393" s="807">
        <f>SUM(R391:R392)</f>
        <v>0</v>
      </c>
      <c r="S393" s="807">
        <f>SUM(S391:S392)</f>
        <v>0</v>
      </c>
      <c r="T393" s="771"/>
      <c r="U393" s="808">
        <f>SUM(U391:U392)</f>
        <v>2978.1201195663207</v>
      </c>
      <c r="V393" s="806">
        <f>U393/G393*100</f>
        <v>19.052580680473106</v>
      </c>
      <c r="W393" s="805">
        <f>SUM(W391:W392)</f>
        <v>0</v>
      </c>
      <c r="X393" s="921">
        <f>V393/I393-1</f>
        <v>0</v>
      </c>
      <c r="Y393" s="769"/>
      <c r="AA393" s="938"/>
      <c r="AC393" s="938"/>
      <c r="AE393" s="949"/>
    </row>
    <row r="394" spans="1:31">
      <c r="A394" s="4"/>
      <c r="B394" s="256"/>
      <c r="C394" s="7"/>
      <c r="D394" s="256"/>
      <c r="E394" s="36"/>
      <c r="F394" s="256"/>
      <c r="G394" s="35"/>
      <c r="H394" s="256"/>
      <c r="I394" s="792"/>
      <c r="J394" s="762"/>
      <c r="K394" s="753"/>
      <c r="L394" s="762"/>
      <c r="M394" s="762"/>
      <c r="N394" s="762"/>
      <c r="O394" s="762"/>
      <c r="P394" s="771"/>
      <c r="Q394" s="762"/>
      <c r="R394" s="762"/>
      <c r="S394" s="762"/>
      <c r="T394" s="750"/>
      <c r="U394" s="750"/>
      <c r="V394" s="792"/>
      <c r="W394" s="753"/>
      <c r="X394" s="925"/>
      <c r="Y394" s="728"/>
      <c r="AA394" s="938"/>
      <c r="AC394" s="938"/>
      <c r="AE394" s="949"/>
    </row>
    <row r="395" spans="1:31" ht="13.5" thickBot="1">
      <c r="A395" s="4">
        <v>183</v>
      </c>
      <c r="B395" s="256"/>
      <c r="C395" s="9" t="s">
        <v>474</v>
      </c>
      <c r="D395" s="256"/>
      <c r="E395" s="36"/>
      <c r="F395" s="256"/>
      <c r="G395" s="458">
        <f>G367</f>
        <v>929101.10525000002</v>
      </c>
      <c r="H395" s="256"/>
      <c r="I395" s="803">
        <f>J395/G395*100</f>
        <v>1.0422268560496606</v>
      </c>
      <c r="J395" s="781">
        <f>J367+J369+J383+J388+J393</f>
        <v>9683.3412387697226</v>
      </c>
      <c r="K395" s="750"/>
      <c r="L395" s="781">
        <f>L367+L369+L383+L388+L393</f>
        <v>67.252376714950017</v>
      </c>
      <c r="M395" s="781">
        <f>M367+M369+M383+M388+M393</f>
        <v>40.689596186354336</v>
      </c>
      <c r="N395" s="781">
        <f>N367+N369+N383+N388+N393</f>
        <v>166.77869668835763</v>
      </c>
      <c r="O395" s="781">
        <f>O367+O369+O383+O388+O393</f>
        <v>9408.6205691800606</v>
      </c>
      <c r="P395" s="771"/>
      <c r="Q395" s="781">
        <f>Q367+Q369+Q383+Q388+Q393</f>
        <v>63.040600164493227</v>
      </c>
      <c r="R395" s="781">
        <f>R367+R369+R383+R388+R393</f>
        <v>49.983258894016153</v>
      </c>
      <c r="S395" s="781">
        <f>S367+S369+S383+S388+S393</f>
        <v>166.96667014756673</v>
      </c>
      <c r="T395" s="750"/>
      <c r="U395" s="756">
        <f>U367+U369+U383+U388+U393</f>
        <v>9688.6110983861381</v>
      </c>
      <c r="V395" s="803">
        <f>U395/G395*100</f>
        <v>1.0427940558502675</v>
      </c>
      <c r="W395" s="986">
        <f>W372+W383+W388+W393</f>
        <v>5.2698596164142062</v>
      </c>
      <c r="X395" s="917">
        <f>V395/I395-1</f>
        <v>5.4421913743118999E-4</v>
      </c>
      <c r="Y395" s="769"/>
      <c r="AA395" s="938"/>
      <c r="AC395" s="938"/>
      <c r="AE395" s="949"/>
    </row>
    <row r="396" spans="1:31" ht="13.5" thickTop="1">
      <c r="A396" s="4"/>
      <c r="E396" s="36"/>
      <c r="G396" s="35"/>
      <c r="J396" s="504"/>
      <c r="K396" s="504"/>
      <c r="L396" s="504"/>
      <c r="M396" s="504"/>
      <c r="N396" s="504"/>
      <c r="O396" s="504"/>
      <c r="Q396" s="504"/>
      <c r="R396" s="504"/>
      <c r="S396" s="504"/>
      <c r="W396" s="504"/>
      <c r="X396" s="666"/>
      <c r="AC396" s="938"/>
    </row>
    <row r="397" spans="1:31">
      <c r="A397" s="4"/>
      <c r="B397" s="256"/>
      <c r="C397" s="6" t="s">
        <v>176</v>
      </c>
      <c r="D397" s="256"/>
      <c r="E397" s="742"/>
      <c r="F397" s="256"/>
      <c r="G397" s="35"/>
      <c r="H397" s="256"/>
      <c r="I397" s="256"/>
      <c r="J397" s="504"/>
      <c r="K397" s="504"/>
      <c r="L397" s="504"/>
      <c r="M397" s="504"/>
      <c r="N397" s="504"/>
      <c r="O397" s="504"/>
      <c r="P397" s="256"/>
      <c r="Q397" s="504"/>
      <c r="R397" s="504"/>
      <c r="S397" s="504"/>
      <c r="T397" s="256"/>
      <c r="U397" s="256"/>
      <c r="V397" s="256"/>
      <c r="W397" s="504"/>
      <c r="X397" s="666"/>
      <c r="AC397" s="938"/>
    </row>
    <row r="398" spans="1:31">
      <c r="A398" s="4">
        <v>184</v>
      </c>
      <c r="B398" s="256"/>
      <c r="C398" s="9" t="s">
        <v>200</v>
      </c>
      <c r="D398" s="256"/>
      <c r="E398" s="742" t="s">
        <v>704</v>
      </c>
      <c r="F398" s="256"/>
      <c r="G398" s="35">
        <v>863.99999999999602</v>
      </c>
      <c r="H398" s="256"/>
      <c r="I398" s="35">
        <v>0</v>
      </c>
      <c r="J398" s="762">
        <v>0</v>
      </c>
      <c r="K398" s="762"/>
      <c r="L398" s="35">
        <v>0</v>
      </c>
      <c r="M398" s="35">
        <v>0</v>
      </c>
      <c r="N398" s="35">
        <v>0</v>
      </c>
      <c r="O398" s="762">
        <v>0</v>
      </c>
      <c r="P398" s="771"/>
      <c r="Q398" s="35">
        <v>0</v>
      </c>
      <c r="R398" s="35">
        <v>0</v>
      </c>
      <c r="S398" s="35">
        <v>0</v>
      </c>
      <c r="T398" s="771"/>
      <c r="U398" s="771">
        <v>0</v>
      </c>
      <c r="V398" s="771">
        <v>0</v>
      </c>
      <c r="W398" s="762">
        <v>0</v>
      </c>
      <c r="X398" s="834"/>
      <c r="Y398" s="769"/>
      <c r="AA398" s="938"/>
      <c r="AC398" s="938"/>
      <c r="AE398" s="954"/>
    </row>
    <row r="399" spans="1:31">
      <c r="A399" s="4">
        <v>185</v>
      </c>
      <c r="B399" s="256"/>
      <c r="C399" s="9" t="s">
        <v>289</v>
      </c>
      <c r="D399" s="256"/>
      <c r="E399" s="513" t="s">
        <v>674</v>
      </c>
      <c r="F399" s="256"/>
      <c r="G399" s="35">
        <v>126830.75640999997</v>
      </c>
      <c r="H399" s="256"/>
      <c r="I399" s="861">
        <v>1.06E-2</v>
      </c>
      <c r="J399" s="762">
        <f>G399*I399/100</f>
        <v>13.444060179459997</v>
      </c>
      <c r="K399" s="762"/>
      <c r="L399" s="35">
        <v>13.444060179459997</v>
      </c>
      <c r="M399" s="762">
        <v>0</v>
      </c>
      <c r="N399" s="762">
        <v>0</v>
      </c>
      <c r="O399" s="762">
        <f>J399-L399-M399-N399</f>
        <v>0</v>
      </c>
      <c r="P399" s="771"/>
      <c r="Q399" s="35">
        <v>12.602106628185849</v>
      </c>
      <c r="R399" s="35">
        <v>0</v>
      </c>
      <c r="S399" s="35">
        <v>0</v>
      </c>
      <c r="T399" s="750"/>
      <c r="U399" s="762">
        <f>SUM(O399:S399)</f>
        <v>12.602106628185849</v>
      </c>
      <c r="V399" s="848">
        <f>U399/G399*100</f>
        <v>9.9361597966408071E-3</v>
      </c>
      <c r="W399" s="847">
        <f>U399-J399</f>
        <v>-0.84195355127414828</v>
      </c>
      <c r="X399" s="980">
        <f>V399/I399-1</f>
        <v>-6.2626434279169141E-2</v>
      </c>
      <c r="Y399" s="769"/>
      <c r="AA399" s="938"/>
      <c r="AC399" s="938"/>
      <c r="AE399" s="949"/>
    </row>
    <row r="400" spans="1:31">
      <c r="A400" s="4">
        <v>186</v>
      </c>
      <c r="B400" s="256"/>
      <c r="C400" s="9" t="s">
        <v>778</v>
      </c>
      <c r="D400" s="256"/>
      <c r="E400" s="513" t="s">
        <v>674</v>
      </c>
      <c r="F400" s="256"/>
      <c r="G400" s="35">
        <v>12203.927079999999</v>
      </c>
      <c r="H400" s="256"/>
      <c r="I400" s="861">
        <v>1.06E-2</v>
      </c>
      <c r="J400" s="762">
        <f>G400*I400/100</f>
        <v>1.2936162704800001</v>
      </c>
      <c r="K400" s="762"/>
      <c r="L400" s="35">
        <v>1.2936162704800001</v>
      </c>
      <c r="M400" s="762">
        <v>0</v>
      </c>
      <c r="N400" s="762">
        <v>0</v>
      </c>
      <c r="O400" s="762">
        <f>J400-L400-M400-N400</f>
        <v>0</v>
      </c>
      <c r="P400" s="771"/>
      <c r="Q400" s="35">
        <v>1.2126016961343202</v>
      </c>
      <c r="R400" s="35">
        <v>0</v>
      </c>
      <c r="S400" s="35">
        <v>0</v>
      </c>
      <c r="T400" s="750"/>
      <c r="U400" s="762">
        <f>SUM(O400:S400)</f>
        <v>1.2126016961343202</v>
      </c>
      <c r="V400" s="848">
        <f>U400/G400*100</f>
        <v>9.9361597966408071E-3</v>
      </c>
      <c r="W400" s="847">
        <f>U400-J400</f>
        <v>-8.1014574345679824E-2</v>
      </c>
      <c r="X400" s="980">
        <f>V400/I400-1</f>
        <v>-6.2626434279169141E-2</v>
      </c>
      <c r="Y400" s="769"/>
      <c r="AA400" s="938"/>
      <c r="AC400" s="938"/>
      <c r="AE400" s="949"/>
    </row>
    <row r="401" spans="1:31">
      <c r="A401" s="4">
        <v>187</v>
      </c>
      <c r="B401" s="256"/>
      <c r="C401" s="9" t="s">
        <v>770</v>
      </c>
      <c r="D401" s="256"/>
      <c r="E401" s="742" t="s">
        <v>704</v>
      </c>
      <c r="F401" s="256"/>
      <c r="G401" s="35">
        <v>167.99999999999986</v>
      </c>
      <c r="H401" s="256"/>
      <c r="I401" s="35">
        <v>0</v>
      </c>
      <c r="J401" s="762">
        <f>G401*I401/100</f>
        <v>0</v>
      </c>
      <c r="K401" s="762"/>
      <c r="L401" s="35">
        <v>0</v>
      </c>
      <c r="M401" s="35">
        <v>0</v>
      </c>
      <c r="N401" s="35">
        <v>0</v>
      </c>
      <c r="O401" s="762">
        <f>J401-L401-M401-N401</f>
        <v>0</v>
      </c>
      <c r="P401" s="771"/>
      <c r="Q401" s="762">
        <v>0</v>
      </c>
      <c r="R401" s="35">
        <v>0</v>
      </c>
      <c r="S401" s="35">
        <v>0</v>
      </c>
      <c r="T401" s="750"/>
      <c r="U401" s="771">
        <f>SUM(Q401:S401)</f>
        <v>0</v>
      </c>
      <c r="V401" s="771">
        <v>0</v>
      </c>
      <c r="W401" s="762">
        <f>U401-J401</f>
        <v>0</v>
      </c>
      <c r="X401" s="827">
        <v>0</v>
      </c>
      <c r="Y401" s="769"/>
      <c r="AA401" s="938"/>
      <c r="AC401" s="938"/>
      <c r="AE401" s="949"/>
    </row>
    <row r="402" spans="1:31">
      <c r="A402" s="4">
        <v>188</v>
      </c>
      <c r="B402" s="256"/>
      <c r="C402" s="9" t="s">
        <v>779</v>
      </c>
      <c r="D402" s="256"/>
      <c r="E402" s="742"/>
      <c r="F402" s="256"/>
      <c r="G402" s="420">
        <f>SUM(G398:G401)</f>
        <v>140066.68348999997</v>
      </c>
      <c r="H402" s="256"/>
      <c r="I402" s="891">
        <f>J402/G402*100</f>
        <v>1.0521900056976926E-2</v>
      </c>
      <c r="J402" s="420">
        <f>SUM(J399:J401)</f>
        <v>14.737676449939997</v>
      </c>
      <c r="K402" s="35"/>
      <c r="L402" s="420">
        <f>SUM(L399:L401)</f>
        <v>14.737676449939997</v>
      </c>
      <c r="M402" s="420">
        <f>SUM(M399:M401)</f>
        <v>0</v>
      </c>
      <c r="N402" s="420">
        <f>SUM(N399:N401)</f>
        <v>0</v>
      </c>
      <c r="O402" s="420">
        <f>SUM(O399:O401)</f>
        <v>0</v>
      </c>
      <c r="P402" s="35"/>
      <c r="Q402" s="420">
        <f>SUM(Q399:Q401)</f>
        <v>13.814708324320168</v>
      </c>
      <c r="R402" s="420">
        <f>SUM(R399:R401)</f>
        <v>0</v>
      </c>
      <c r="S402" s="420">
        <f>SUM(S399:S401)</f>
        <v>0</v>
      </c>
      <c r="T402" s="35"/>
      <c r="U402" s="420">
        <f>SUM(U399:U401)</f>
        <v>13.814708324320168</v>
      </c>
      <c r="V402" s="902">
        <f>U402/G402*100</f>
        <v>9.8629509745666727E-3</v>
      </c>
      <c r="W402" s="851">
        <f>SUM(W399:W401)</f>
        <v>-0.92296812561982811</v>
      </c>
      <c r="X402" s="985">
        <f>V402/I402-1</f>
        <v>-6.2626434279169252E-2</v>
      </c>
      <c r="Y402" s="769"/>
      <c r="AA402" s="938"/>
      <c r="AC402" s="938"/>
      <c r="AE402" s="949"/>
    </row>
    <row r="403" spans="1:31">
      <c r="A403" s="4"/>
      <c r="G403" s="135"/>
      <c r="I403" s="793"/>
      <c r="J403" s="762"/>
      <c r="K403" s="762"/>
      <c r="L403" s="762"/>
      <c r="M403" s="762"/>
      <c r="N403" s="762"/>
      <c r="O403" s="762"/>
      <c r="P403" s="68"/>
      <c r="Q403" s="762"/>
      <c r="R403" s="762"/>
      <c r="S403" s="762"/>
      <c r="T403" s="752"/>
      <c r="U403" s="752"/>
      <c r="V403" s="771"/>
      <c r="W403" s="847"/>
      <c r="X403" s="827"/>
      <c r="Y403" s="728"/>
      <c r="AA403" s="938"/>
      <c r="AC403" s="938"/>
      <c r="AE403" s="949"/>
    </row>
    <row r="404" spans="1:31">
      <c r="A404" s="4">
        <v>189</v>
      </c>
      <c r="B404" s="256"/>
      <c r="C404" s="9" t="s">
        <v>266</v>
      </c>
      <c r="D404" s="256"/>
      <c r="E404" s="513" t="s">
        <v>674</v>
      </c>
      <c r="F404" s="256"/>
      <c r="G404" s="35">
        <v>5702.7569299999996</v>
      </c>
      <c r="H404" s="256"/>
      <c r="I404" s="861">
        <v>1.3650829496412635</v>
      </c>
      <c r="J404" s="762">
        <f>G404*I404/100</f>
        <v>77.847362510915559</v>
      </c>
      <c r="K404" s="762"/>
      <c r="L404" s="35">
        <v>0</v>
      </c>
      <c r="M404" s="35">
        <v>0</v>
      </c>
      <c r="N404" s="35">
        <v>0</v>
      </c>
      <c r="O404" s="762">
        <f>J404-L404-M404-N404</f>
        <v>77.847362510915559</v>
      </c>
      <c r="P404" s="771"/>
      <c r="Q404" s="35">
        <v>0</v>
      </c>
      <c r="R404" s="35">
        <v>0</v>
      </c>
      <c r="S404" s="35">
        <v>0</v>
      </c>
      <c r="T404" s="750">
        <v>77.847362510915559</v>
      </c>
      <c r="U404" s="896">
        <f>SUM(O404:S404)</f>
        <v>77.847362510915559</v>
      </c>
      <c r="V404" s="848">
        <f>U404/G404*100</f>
        <v>1.3650829496412635</v>
      </c>
      <c r="W404" s="762">
        <f>U404-J404</f>
        <v>0</v>
      </c>
      <c r="X404" s="785">
        <f>V404/I404-1</f>
        <v>0</v>
      </c>
      <c r="Y404" s="785"/>
      <c r="AA404" s="938"/>
      <c r="AC404" s="938"/>
      <c r="AE404" s="949"/>
    </row>
    <row r="405" spans="1:31">
      <c r="A405" s="4"/>
      <c r="B405" s="256"/>
      <c r="D405" s="256"/>
      <c r="E405" s="36"/>
      <c r="F405" s="256"/>
      <c r="G405" s="35"/>
      <c r="H405" s="256"/>
      <c r="I405" s="792"/>
      <c r="J405" s="762"/>
      <c r="K405" s="762"/>
      <c r="L405" s="762"/>
      <c r="M405" s="762"/>
      <c r="N405" s="762"/>
      <c r="O405" s="762"/>
      <c r="P405" s="771"/>
      <c r="Q405" s="762"/>
      <c r="R405" s="762"/>
      <c r="S405" s="762"/>
      <c r="T405" s="750"/>
      <c r="U405" s="896"/>
      <c r="V405" s="750"/>
      <c r="W405" s="847"/>
      <c r="X405" s="925"/>
      <c r="Y405" s="728"/>
      <c r="AA405" s="938"/>
      <c r="AC405" s="938"/>
    </row>
    <row r="406" spans="1:31">
      <c r="A406" s="4"/>
      <c r="B406" s="256"/>
      <c r="C406" s="9" t="s">
        <v>211</v>
      </c>
      <c r="D406" s="256"/>
      <c r="E406" s="36"/>
      <c r="F406" s="256"/>
      <c r="G406" s="35"/>
      <c r="H406" s="256"/>
      <c r="I406" s="792"/>
      <c r="J406" s="762"/>
      <c r="K406" s="762"/>
      <c r="L406" s="762"/>
      <c r="M406" s="762"/>
      <c r="N406" s="762"/>
      <c r="O406" s="762"/>
      <c r="P406" s="771"/>
      <c r="Q406" s="762"/>
      <c r="R406" s="762"/>
      <c r="S406" s="762"/>
      <c r="T406" s="750"/>
      <c r="U406" s="896"/>
      <c r="V406" s="750"/>
      <c r="W406" s="847"/>
      <c r="X406" s="925"/>
      <c r="Y406" s="728"/>
      <c r="AA406" s="938"/>
      <c r="AC406" s="938"/>
    </row>
    <row r="407" spans="1:31">
      <c r="A407" s="4">
        <v>190</v>
      </c>
      <c r="B407" s="256"/>
      <c r="C407" s="9" t="s">
        <v>780</v>
      </c>
      <c r="D407" s="256"/>
      <c r="E407" s="513" t="s">
        <v>674</v>
      </c>
      <c r="F407" s="256"/>
      <c r="G407" s="35">
        <v>5109.6999900000001</v>
      </c>
      <c r="H407" s="256"/>
      <c r="I407" s="861">
        <v>21.204478924585242</v>
      </c>
      <c r="J407" s="762">
        <f>G407*I407/100</f>
        <v>1083.4852574890842</v>
      </c>
      <c r="K407" s="35"/>
      <c r="L407" s="35">
        <v>0</v>
      </c>
      <c r="M407" s="35">
        <v>0</v>
      </c>
      <c r="N407" s="35">
        <v>0</v>
      </c>
      <c r="O407" s="35">
        <v>1083.4852574890842</v>
      </c>
      <c r="P407" s="771"/>
      <c r="Q407" s="35">
        <v>0</v>
      </c>
      <c r="R407" s="35">
        <v>0</v>
      </c>
      <c r="S407" s="35">
        <v>0</v>
      </c>
      <c r="T407" s="750"/>
      <c r="U407" s="896">
        <f>SUM(O407:S407)</f>
        <v>1083.4852574890842</v>
      </c>
      <c r="V407" s="848">
        <f>U407/G407*100</f>
        <v>21.204478924585242</v>
      </c>
      <c r="W407" s="762">
        <f>U407-J407</f>
        <v>0</v>
      </c>
      <c r="X407" s="925"/>
      <c r="Y407" s="728"/>
      <c r="AA407" s="938"/>
      <c r="AC407" s="938"/>
      <c r="AE407" s="949"/>
    </row>
    <row r="408" spans="1:31">
      <c r="A408" s="4">
        <v>191</v>
      </c>
      <c r="B408" s="256"/>
      <c r="C408" s="9" t="s">
        <v>781</v>
      </c>
      <c r="D408" s="256"/>
      <c r="E408" s="513" t="s">
        <v>674</v>
      </c>
      <c r="F408" s="256"/>
      <c r="G408" s="35">
        <v>593.05693999999994</v>
      </c>
      <c r="H408" s="256"/>
      <c r="I408" s="861">
        <v>24.052880223452743</v>
      </c>
      <c r="J408" s="762">
        <f>G408*I408/100</f>
        <v>142.64727543507399</v>
      </c>
      <c r="K408" s="35"/>
      <c r="L408" s="35">
        <v>0</v>
      </c>
      <c r="M408" s="35">
        <v>0</v>
      </c>
      <c r="N408" s="35">
        <v>0</v>
      </c>
      <c r="O408" s="35">
        <v>142.64727543507399</v>
      </c>
      <c r="P408" s="771"/>
      <c r="Q408" s="35">
        <v>0</v>
      </c>
      <c r="R408" s="35">
        <v>0</v>
      </c>
      <c r="S408" s="35">
        <v>0</v>
      </c>
      <c r="T408" s="750"/>
      <c r="U408" s="896">
        <f>SUM(O408:S408)</f>
        <v>142.64727543507399</v>
      </c>
      <c r="V408" s="848">
        <f>U408/G408*100</f>
        <v>24.052880223452743</v>
      </c>
      <c r="W408" s="762">
        <f>U408-J408</f>
        <v>0</v>
      </c>
      <c r="X408" s="925"/>
      <c r="Y408" s="728"/>
      <c r="AA408" s="938"/>
      <c r="AC408" s="938"/>
      <c r="AE408" s="949"/>
    </row>
    <row r="409" spans="1:31">
      <c r="A409" s="4">
        <v>192</v>
      </c>
      <c r="B409" s="256"/>
      <c r="C409" s="9" t="s">
        <v>211</v>
      </c>
      <c r="D409" s="256"/>
      <c r="E409" s="36"/>
      <c r="F409" s="256"/>
      <c r="G409" s="137">
        <f>SUM(G407:G408)</f>
        <v>5702.7569299999996</v>
      </c>
      <c r="H409" s="256"/>
      <c r="I409" s="806">
        <f>J409/G409*100</f>
        <v>21.500697784854705</v>
      </c>
      <c r="J409" s="805">
        <f>SUM(J407:J408)</f>
        <v>1226.1325329241581</v>
      </c>
      <c r="K409" s="762"/>
      <c r="L409" s="805">
        <f>SUM(L407:L408)</f>
        <v>0</v>
      </c>
      <c r="M409" s="805">
        <f>SUM(M407:M408)</f>
        <v>0</v>
      </c>
      <c r="N409" s="805">
        <f>SUM(N407:N408)</f>
        <v>0</v>
      </c>
      <c r="O409" s="805">
        <f>SUM(O407:O408)</f>
        <v>1226.1325329241581</v>
      </c>
      <c r="P409" s="771"/>
      <c r="Q409" s="807">
        <f>SUM(Q407:Q408)</f>
        <v>0</v>
      </c>
      <c r="R409" s="807">
        <f>SUM(R407:R408)</f>
        <v>0</v>
      </c>
      <c r="S409" s="807">
        <f>SUM(S407:S408)</f>
        <v>0</v>
      </c>
      <c r="T409" s="750"/>
      <c r="U409" s="805">
        <f>SUM(U407:U408)</f>
        <v>1226.1325329241581</v>
      </c>
      <c r="V409" s="850">
        <f>U409/G409*100</f>
        <v>21.500697784854705</v>
      </c>
      <c r="W409" s="805">
        <f>SUM(W407:W408)</f>
        <v>0</v>
      </c>
      <c r="X409" s="921">
        <f>V409/I409-1</f>
        <v>0</v>
      </c>
      <c r="Y409" s="769"/>
      <c r="AA409" s="938"/>
      <c r="AC409" s="938"/>
      <c r="AE409" s="949"/>
    </row>
    <row r="410" spans="1:31">
      <c r="A410" s="4"/>
      <c r="B410" s="256"/>
      <c r="D410" s="256"/>
      <c r="E410" s="742"/>
      <c r="F410" s="256"/>
      <c r="G410" s="453"/>
      <c r="H410" s="256"/>
      <c r="I410" s="792"/>
      <c r="J410" s="762"/>
      <c r="K410" s="762"/>
      <c r="L410" s="762"/>
      <c r="M410" s="762"/>
      <c r="N410" s="762"/>
      <c r="O410" s="762"/>
      <c r="P410" s="771"/>
      <c r="Q410" s="762"/>
      <c r="R410" s="762"/>
      <c r="S410" s="762"/>
      <c r="T410" s="750"/>
      <c r="U410" s="750"/>
      <c r="V410" s="750"/>
      <c r="W410" s="753"/>
      <c r="X410" s="925"/>
      <c r="Y410" s="728"/>
      <c r="AA410" s="938"/>
      <c r="AC410" s="938"/>
    </row>
    <row r="411" spans="1:31" ht="13.5" thickBot="1">
      <c r="A411" s="4">
        <v>193</v>
      </c>
      <c r="B411" s="256"/>
      <c r="C411" s="9" t="s">
        <v>290</v>
      </c>
      <c r="D411" s="256"/>
      <c r="E411" s="134"/>
      <c r="F411" s="256"/>
      <c r="G411" s="458">
        <f>G399</f>
        <v>126830.75640999997</v>
      </c>
      <c r="H411" s="256"/>
      <c r="I411" s="803">
        <f>J411/G411*100</f>
        <v>1.0397458859443021</v>
      </c>
      <c r="J411" s="781">
        <f>J399+J400+J401+J404+J409</f>
        <v>1318.7175718850137</v>
      </c>
      <c r="K411" s="771"/>
      <c r="L411" s="781">
        <f>L399+L400+L401+L404+L409</f>
        <v>14.737676449939997</v>
      </c>
      <c r="M411" s="781">
        <f>M399+M400+M401+M404+M409</f>
        <v>0</v>
      </c>
      <c r="N411" s="781">
        <f>N399+N400+N401+N404+N409</f>
        <v>0</v>
      </c>
      <c r="O411" s="781">
        <f>O399+O400+O401+O404+O409</f>
        <v>1303.9798954350736</v>
      </c>
      <c r="P411" s="771"/>
      <c r="Q411" s="781">
        <f>Q399+Q400+Q401+Q404+Q409</f>
        <v>13.814708324320168</v>
      </c>
      <c r="R411" s="781">
        <f>R399+R400+R401+R404+R409</f>
        <v>0</v>
      </c>
      <c r="S411" s="781">
        <f>S399+S400+S401+S404+S409</f>
        <v>0</v>
      </c>
      <c r="T411" s="771"/>
      <c r="U411" s="781">
        <f>U399+U400+U401+U404+U409</f>
        <v>1317.7946037593938</v>
      </c>
      <c r="V411" s="845">
        <f>U411/G411*100</f>
        <v>1.0390181696144898</v>
      </c>
      <c r="W411" s="844">
        <f>W402+W404+W409</f>
        <v>-0.92296812561982811</v>
      </c>
      <c r="X411" s="977">
        <f>V411/I411-1</f>
        <v>-6.9989825365013303E-4</v>
      </c>
      <c r="Y411" s="779"/>
      <c r="AA411" s="938"/>
      <c r="AC411" s="938"/>
      <c r="AE411" s="949"/>
    </row>
    <row r="412" spans="1:31" ht="13.5" thickTop="1">
      <c r="A412" s="4"/>
      <c r="B412" s="256"/>
      <c r="C412" s="7"/>
      <c r="D412" s="256"/>
      <c r="E412" s="134"/>
      <c r="F412" s="256"/>
      <c r="G412" s="453"/>
      <c r="H412" s="256"/>
      <c r="I412" s="792"/>
      <c r="J412" s="771"/>
      <c r="K412" s="771"/>
      <c r="L412" s="771"/>
      <c r="M412" s="771"/>
      <c r="N412" s="771"/>
      <c r="O412" s="771"/>
      <c r="P412" s="771"/>
      <c r="Q412" s="771"/>
      <c r="R412" s="771"/>
      <c r="S412" s="771"/>
      <c r="T412" s="750"/>
      <c r="U412" s="750"/>
      <c r="V412" s="848"/>
      <c r="W412" s="750"/>
      <c r="X412" s="978"/>
      <c r="Y412" s="779"/>
      <c r="AA412" s="938"/>
      <c r="AC412" s="938"/>
      <c r="AE412" s="949"/>
    </row>
    <row r="413" spans="1:31">
      <c r="A413" s="4"/>
      <c r="B413" s="256"/>
      <c r="C413" s="7"/>
      <c r="D413" s="256"/>
      <c r="E413" s="134"/>
      <c r="F413" s="256"/>
      <c r="G413" s="453"/>
      <c r="H413" s="256"/>
      <c r="I413" s="792"/>
      <c r="J413" s="771"/>
      <c r="K413" s="771"/>
      <c r="L413" s="771"/>
      <c r="M413" s="771"/>
      <c r="N413" s="771"/>
      <c r="O413" s="771"/>
      <c r="P413" s="771"/>
      <c r="Q413" s="771"/>
      <c r="R413" s="771"/>
      <c r="S413" s="771"/>
      <c r="T413" s="750"/>
      <c r="U413" s="750"/>
      <c r="V413" s="848"/>
      <c r="W413" s="750"/>
      <c r="X413" s="978"/>
      <c r="Y413" s="779"/>
      <c r="AA413" s="938"/>
      <c r="AC413" s="938"/>
      <c r="AE413" s="949"/>
    </row>
    <row r="414" spans="1:31">
      <c r="A414" s="4"/>
      <c r="B414" s="256"/>
      <c r="C414" s="7"/>
      <c r="D414" s="256"/>
      <c r="E414" s="134"/>
      <c r="F414" s="256"/>
      <c r="G414" s="453"/>
      <c r="H414" s="256"/>
      <c r="I414" s="792"/>
      <c r="J414" s="771"/>
      <c r="K414" s="771"/>
      <c r="L414" s="771"/>
      <c r="M414" s="771"/>
      <c r="N414" s="771"/>
      <c r="O414" s="771"/>
      <c r="P414" s="771"/>
      <c r="Q414" s="771"/>
      <c r="R414" s="771"/>
      <c r="S414" s="771"/>
      <c r="T414" s="750"/>
      <c r="U414" s="750"/>
      <c r="V414" s="848"/>
      <c r="W414" s="750"/>
      <c r="X414" s="978"/>
      <c r="Y414" s="779"/>
      <c r="AA414" s="938"/>
      <c r="AC414" s="938"/>
      <c r="AE414" s="949"/>
    </row>
    <row r="415" spans="1:31">
      <c r="J415" s="504"/>
      <c r="K415" s="504"/>
      <c r="L415" s="2"/>
      <c r="M415" s="2"/>
      <c r="N415" s="504"/>
      <c r="O415" s="504"/>
      <c r="Q415" s="504"/>
      <c r="R415" s="504"/>
      <c r="S415" s="504"/>
      <c r="W415" s="762"/>
      <c r="X415" s="513"/>
      <c r="AA415" s="938"/>
      <c r="AC415" s="938"/>
      <c r="AE415" s="949"/>
    </row>
    <row r="416" spans="1:31">
      <c r="J416" s="504"/>
      <c r="K416" s="504"/>
      <c r="L416" s="2"/>
      <c r="M416" s="2"/>
      <c r="N416" s="504"/>
      <c r="O416" s="504"/>
      <c r="Q416" s="504"/>
      <c r="R416" s="504"/>
      <c r="S416" s="504"/>
      <c r="W416" s="504"/>
      <c r="X416" s="513"/>
      <c r="AA416" s="938"/>
      <c r="AC416" s="938"/>
      <c r="AE416" s="949"/>
    </row>
    <row r="417" spans="1:35" ht="15" customHeight="1">
      <c r="A417" s="1324" t="s">
        <v>724</v>
      </c>
      <c r="B417" s="1324"/>
      <c r="C417" s="1324"/>
      <c r="D417" s="1324"/>
      <c r="E417" s="1324"/>
      <c r="F417" s="1324"/>
      <c r="G417" s="1324"/>
      <c r="H417" s="1324"/>
      <c r="I417" s="1324"/>
      <c r="J417" s="1324"/>
      <c r="K417" s="1324"/>
      <c r="L417" s="1324"/>
      <c r="M417" s="1324"/>
      <c r="N417" s="1324"/>
      <c r="O417" s="1324"/>
      <c r="P417" s="1324"/>
      <c r="Q417" s="1324"/>
      <c r="R417" s="1324"/>
      <c r="S417" s="1324"/>
      <c r="T417" s="1324"/>
      <c r="U417" s="1324"/>
      <c r="V417" s="1324"/>
      <c r="W417" s="1324"/>
      <c r="X417" s="1324"/>
      <c r="Y417" s="665"/>
      <c r="Z417" s="665"/>
      <c r="AA417" s="665"/>
      <c r="AB417" s="665"/>
      <c r="AC417" s="665"/>
      <c r="AD417" s="665"/>
      <c r="AE417" s="665"/>
      <c r="AF417" s="665"/>
      <c r="AG417" s="665"/>
      <c r="AH417" s="665"/>
      <c r="AI417" s="665"/>
    </row>
    <row r="418" spans="1:35" ht="15" customHeight="1">
      <c r="A418" s="1324" t="s">
        <v>963</v>
      </c>
      <c r="B418" s="1324"/>
      <c r="C418" s="1324"/>
      <c r="D418" s="1324"/>
      <c r="E418" s="1324"/>
      <c r="F418" s="1324"/>
      <c r="G418" s="1324"/>
      <c r="H418" s="1324"/>
      <c r="I418" s="1324"/>
      <c r="J418" s="1324"/>
      <c r="K418" s="1324"/>
      <c r="L418" s="1324"/>
      <c r="M418" s="1324"/>
      <c r="N418" s="1324"/>
      <c r="O418" s="1324"/>
      <c r="P418" s="1324"/>
      <c r="Q418" s="1324"/>
      <c r="R418" s="1324"/>
      <c r="S418" s="1324"/>
      <c r="T418" s="1324"/>
      <c r="U418" s="1324"/>
      <c r="V418" s="1324"/>
      <c r="W418" s="1324"/>
      <c r="X418" s="1324"/>
      <c r="Y418" s="665"/>
      <c r="Z418" s="665"/>
      <c r="AA418" s="665"/>
      <c r="AB418" s="665"/>
      <c r="AC418" s="665"/>
      <c r="AD418" s="665"/>
      <c r="AE418" s="665"/>
      <c r="AF418" s="665"/>
      <c r="AG418" s="665"/>
      <c r="AH418" s="665"/>
    </row>
    <row r="419" spans="1:35">
      <c r="J419" s="504"/>
      <c r="K419" s="504"/>
      <c r="L419" s="504"/>
      <c r="M419" s="504"/>
      <c r="N419" s="504"/>
      <c r="O419" s="504"/>
      <c r="Q419" s="504"/>
      <c r="R419" s="504"/>
      <c r="S419" s="504"/>
      <c r="W419" s="504"/>
      <c r="X419" s="513"/>
      <c r="Y419" s="644"/>
      <c r="Z419" s="644"/>
      <c r="AA419" s="938"/>
      <c r="AC419" s="938"/>
      <c r="AE419" s="949"/>
    </row>
    <row r="420" spans="1:35" ht="14.45" customHeight="1">
      <c r="A420" s="385"/>
      <c r="B420" s="385"/>
      <c r="C420" s="385"/>
      <c r="D420" s="385"/>
      <c r="F420" s="385"/>
      <c r="G420" s="1313" t="s">
        <v>682</v>
      </c>
      <c r="H420" s="1313"/>
      <c r="I420" s="1313"/>
      <c r="J420" s="1313"/>
      <c r="K420" s="256"/>
      <c r="L420" s="1313" t="s">
        <v>496</v>
      </c>
      <c r="M420" s="1313"/>
      <c r="N420" s="1313"/>
      <c r="O420" s="256"/>
      <c r="P420" s="447"/>
      <c r="Q420" s="1313" t="s">
        <v>497</v>
      </c>
      <c r="R420" s="1313"/>
      <c r="S420" s="1313"/>
      <c r="T420" s="447"/>
      <c r="U420" s="1313" t="s">
        <v>683</v>
      </c>
      <c r="V420" s="1313"/>
      <c r="W420" s="1313"/>
      <c r="X420" s="1313"/>
      <c r="AA420" s="938"/>
      <c r="AC420" s="938"/>
      <c r="AE420" s="949"/>
    </row>
    <row r="421" spans="1:35" ht="38.25">
      <c r="A421" s="254" t="s">
        <v>1</v>
      </c>
      <c r="B421" s="254"/>
      <c r="C421" s="254"/>
      <c r="D421" s="254"/>
      <c r="E421" s="4" t="s">
        <v>670</v>
      </c>
      <c r="F421" s="254"/>
      <c r="G421" s="13" t="s">
        <v>684</v>
      </c>
      <c r="H421" s="254"/>
      <c r="I421" s="13" t="s">
        <v>196</v>
      </c>
      <c r="J421" s="254" t="s">
        <v>503</v>
      </c>
      <c r="K421" s="254"/>
      <c r="L421" s="254" t="s">
        <v>955</v>
      </c>
      <c r="M421" s="254" t="s">
        <v>956</v>
      </c>
      <c r="N421" s="254" t="s">
        <v>957</v>
      </c>
      <c r="O421" s="254" t="s">
        <v>958</v>
      </c>
      <c r="P421" s="254"/>
      <c r="Q421" s="254" t="s">
        <v>955</v>
      </c>
      <c r="R421" s="254" t="s">
        <v>956</v>
      </c>
      <c r="S421" s="254" t="s">
        <v>957</v>
      </c>
      <c r="T421" s="254"/>
      <c r="U421" s="13" t="s">
        <v>512</v>
      </c>
      <c r="V421" s="13" t="s">
        <v>691</v>
      </c>
      <c r="W421" s="13" t="s">
        <v>692</v>
      </c>
      <c r="X421" s="254" t="s">
        <v>693</v>
      </c>
      <c r="Y421" s="4"/>
      <c r="AA421" s="938"/>
      <c r="AC421" s="938"/>
      <c r="AE421" s="949"/>
    </row>
    <row r="422" spans="1:35" ht="14.25">
      <c r="A422" s="255" t="s">
        <v>2</v>
      </c>
      <c r="B422" s="256"/>
      <c r="C422" s="449" t="s">
        <v>3</v>
      </c>
      <c r="D422" s="256"/>
      <c r="E422" s="255" t="s">
        <v>4</v>
      </c>
      <c r="F422" s="256"/>
      <c r="G422" s="255" t="s">
        <v>694</v>
      </c>
      <c r="H422" s="256"/>
      <c r="I422" s="255" t="s">
        <v>77</v>
      </c>
      <c r="J422" s="255" t="s">
        <v>20</v>
      </c>
      <c r="K422" s="4"/>
      <c r="L422" s="255" t="s">
        <v>20</v>
      </c>
      <c r="M422" s="255" t="s">
        <v>20</v>
      </c>
      <c r="N422" s="255" t="s">
        <v>20</v>
      </c>
      <c r="O422" s="255" t="s">
        <v>20</v>
      </c>
      <c r="P422" s="256"/>
      <c r="Q422" s="255" t="s">
        <v>20</v>
      </c>
      <c r="R422" s="255" t="s">
        <v>20</v>
      </c>
      <c r="S422" s="255" t="s">
        <v>20</v>
      </c>
      <c r="T422" s="256"/>
      <c r="U422" s="255" t="s">
        <v>20</v>
      </c>
      <c r="V422" s="255" t="s">
        <v>77</v>
      </c>
      <c r="W422" s="255" t="s">
        <v>20</v>
      </c>
      <c r="X422" s="255" t="s">
        <v>76</v>
      </c>
      <c r="Y422" s="254"/>
      <c r="AA422" s="938"/>
      <c r="AC422" s="938"/>
      <c r="AE422" s="949"/>
    </row>
    <row r="423" spans="1:35">
      <c r="A423" s="4"/>
      <c r="B423" s="256"/>
      <c r="C423" s="256"/>
      <c r="D423" s="256"/>
      <c r="E423" s="4"/>
      <c r="F423" s="256"/>
      <c r="G423" s="4" t="s">
        <v>8</v>
      </c>
      <c r="H423" s="4"/>
      <c r="I423" s="4" t="s">
        <v>9</v>
      </c>
      <c r="J423" s="4" t="s">
        <v>370</v>
      </c>
      <c r="K423" s="4"/>
      <c r="L423" s="132" t="s">
        <v>79</v>
      </c>
      <c r="M423" s="132" t="s">
        <v>115</v>
      </c>
      <c r="N423" s="4" t="s">
        <v>81</v>
      </c>
      <c r="O423" s="4" t="s">
        <v>959</v>
      </c>
      <c r="P423" s="4"/>
      <c r="Q423" s="4" t="s">
        <v>118</v>
      </c>
      <c r="R423" s="4" t="s">
        <v>84</v>
      </c>
      <c r="S423" s="4" t="s">
        <v>516</v>
      </c>
      <c r="T423" s="4"/>
      <c r="U423" s="4" t="s">
        <v>960</v>
      </c>
      <c r="V423" s="4" t="s">
        <v>518</v>
      </c>
      <c r="W423" s="4" t="s">
        <v>961</v>
      </c>
      <c r="X423" s="4" t="s">
        <v>962</v>
      </c>
      <c r="Y423" s="4"/>
      <c r="AA423" s="938"/>
      <c r="AC423" s="938"/>
      <c r="AE423" s="949"/>
    </row>
    <row r="424" spans="1:35">
      <c r="A424" s="4"/>
      <c r="B424" s="256"/>
      <c r="C424" s="6" t="s">
        <v>164</v>
      </c>
      <c r="D424" s="256"/>
      <c r="E424" s="36"/>
      <c r="F424" s="256"/>
      <c r="G424" s="35"/>
      <c r="H424" s="256"/>
      <c r="I424" s="256"/>
      <c r="J424" s="504"/>
      <c r="K424" s="504"/>
      <c r="L424" s="504"/>
      <c r="M424" s="504"/>
      <c r="N424" s="504"/>
      <c r="O424" s="504"/>
      <c r="P424" s="256"/>
      <c r="Q424" s="504"/>
      <c r="R424" s="504"/>
      <c r="S424" s="504"/>
      <c r="T424" s="256"/>
      <c r="U424" s="256"/>
      <c r="V424" s="256"/>
      <c r="W424" s="504"/>
      <c r="X424" s="513"/>
      <c r="AC424" s="938"/>
    </row>
    <row r="425" spans="1:35">
      <c r="A425" s="4">
        <v>194</v>
      </c>
      <c r="B425" s="256"/>
      <c r="C425" s="9" t="s">
        <v>200</v>
      </c>
      <c r="D425" s="256"/>
      <c r="E425" s="36" t="s">
        <v>704</v>
      </c>
      <c r="F425" s="256"/>
      <c r="G425" s="35">
        <v>144.00000000000003</v>
      </c>
      <c r="H425" s="256"/>
      <c r="I425" s="35">
        <v>0</v>
      </c>
      <c r="J425" s="762">
        <v>0</v>
      </c>
      <c r="K425" s="762"/>
      <c r="L425" s="35">
        <v>0</v>
      </c>
      <c r="M425" s="35">
        <v>0</v>
      </c>
      <c r="N425" s="35">
        <v>0</v>
      </c>
      <c r="O425" s="762">
        <v>0</v>
      </c>
      <c r="P425" s="771"/>
      <c r="Q425" s="35">
        <v>0</v>
      </c>
      <c r="R425" s="35">
        <v>0</v>
      </c>
      <c r="S425" s="35">
        <v>0</v>
      </c>
      <c r="T425" s="771"/>
      <c r="U425" s="771">
        <v>0</v>
      </c>
      <c r="V425" s="771">
        <v>0</v>
      </c>
      <c r="W425" s="762">
        <v>0</v>
      </c>
      <c r="X425" s="976"/>
      <c r="Y425" s="769"/>
      <c r="AA425" s="938"/>
      <c r="AC425" s="938"/>
      <c r="AE425" s="954"/>
    </row>
    <row r="426" spans="1:35">
      <c r="A426" s="4">
        <v>195</v>
      </c>
      <c r="B426" s="256"/>
      <c r="C426" s="9" t="s">
        <v>221</v>
      </c>
      <c r="D426" s="256"/>
      <c r="E426" s="513" t="s">
        <v>675</v>
      </c>
      <c r="F426" s="256"/>
      <c r="G426" s="35">
        <v>42050.04</v>
      </c>
      <c r="H426" s="256"/>
      <c r="I426" s="35">
        <v>0</v>
      </c>
      <c r="J426" s="762">
        <v>0</v>
      </c>
      <c r="K426" s="762"/>
      <c r="L426" s="35">
        <v>0</v>
      </c>
      <c r="M426" s="35">
        <v>0</v>
      </c>
      <c r="N426" s="35">
        <v>0</v>
      </c>
      <c r="O426" s="762">
        <v>0</v>
      </c>
      <c r="P426" s="771"/>
      <c r="Q426" s="35">
        <v>0</v>
      </c>
      <c r="R426" s="35">
        <v>0</v>
      </c>
      <c r="S426" s="35">
        <v>0</v>
      </c>
      <c r="T426" s="771"/>
      <c r="U426" s="771">
        <v>0</v>
      </c>
      <c r="V426" s="771">
        <v>0</v>
      </c>
      <c r="W426" s="762">
        <v>0</v>
      </c>
      <c r="X426" s="976"/>
      <c r="Y426" s="769"/>
      <c r="AA426" s="938"/>
      <c r="AC426" s="938"/>
    </row>
    <row r="427" spans="1:35">
      <c r="A427" s="4">
        <v>196</v>
      </c>
      <c r="B427" s="256"/>
      <c r="C427" s="9" t="s">
        <v>202</v>
      </c>
      <c r="D427" s="256"/>
      <c r="E427" s="513" t="s">
        <v>674</v>
      </c>
      <c r="F427" s="256"/>
      <c r="G427" s="35">
        <v>1076377.9679700001</v>
      </c>
      <c r="H427" s="256"/>
      <c r="I427" s="861">
        <v>2.0999999999999999E-3</v>
      </c>
      <c r="J427" s="762">
        <f>G427*I427/100</f>
        <v>22.603937327369998</v>
      </c>
      <c r="K427" s="762"/>
      <c r="L427" s="35">
        <v>22.603937327369998</v>
      </c>
      <c r="M427" s="35">
        <v>0</v>
      </c>
      <c r="N427" s="35">
        <v>0</v>
      </c>
      <c r="O427" s="762">
        <f>J427-L427-M427-N427</f>
        <v>0</v>
      </c>
      <c r="P427" s="771"/>
      <c r="Q427" s="35">
        <v>21.188333331886991</v>
      </c>
      <c r="R427" s="35">
        <v>0</v>
      </c>
      <c r="S427" s="35">
        <v>0</v>
      </c>
      <c r="T427" s="750"/>
      <c r="U427" s="762">
        <f>SUM(O427:S427)</f>
        <v>21.188333331886991</v>
      </c>
      <c r="V427" s="848">
        <f>U427/G427*100</f>
        <v>1.9684844880137435E-3</v>
      </c>
      <c r="W427" s="847">
        <f>U427-J427</f>
        <v>-1.4156039954830071</v>
      </c>
      <c r="X427" s="980">
        <f>V427/I427-1</f>
        <v>-6.2626434279169696E-2</v>
      </c>
      <c r="Y427" s="769"/>
      <c r="AA427" s="938"/>
      <c r="AC427" s="938"/>
      <c r="AE427" s="949"/>
    </row>
    <row r="428" spans="1:35">
      <c r="A428" s="4">
        <v>197</v>
      </c>
      <c r="B428" s="256"/>
      <c r="C428" s="9" t="s">
        <v>782</v>
      </c>
      <c r="D428" s="256"/>
      <c r="E428" s="513" t="s">
        <v>674</v>
      </c>
      <c r="F428" s="256"/>
      <c r="G428" s="35">
        <v>28099.753000000001</v>
      </c>
      <c r="H428" s="256"/>
      <c r="I428" s="861">
        <v>2.0999999999999999E-3</v>
      </c>
      <c r="J428" s="762">
        <f>G428*I428/100</f>
        <v>0.590094813</v>
      </c>
      <c r="K428" s="762"/>
      <c r="L428" s="35">
        <v>0.590094813</v>
      </c>
      <c r="M428" s="35">
        <v>0</v>
      </c>
      <c r="N428" s="35">
        <v>0</v>
      </c>
      <c r="O428" s="762">
        <f>J428-L428-M428-N428</f>
        <v>0</v>
      </c>
      <c r="P428" s="771"/>
      <c r="Q428" s="35">
        <v>0.55313927897517656</v>
      </c>
      <c r="R428" s="35">
        <v>0</v>
      </c>
      <c r="S428" s="35">
        <v>0</v>
      </c>
      <c r="T428" s="750"/>
      <c r="U428" s="762">
        <f>SUM(O428:S428)</f>
        <v>0.55313927897517656</v>
      </c>
      <c r="V428" s="848">
        <f>U428/G428*100</f>
        <v>1.9684844880137435E-3</v>
      </c>
      <c r="W428" s="753">
        <f>U428-J428</f>
        <v>-3.6955534024823433E-2</v>
      </c>
      <c r="X428" s="980">
        <f>V428/I428-1</f>
        <v>-6.2626434279169696E-2</v>
      </c>
      <c r="Y428" s="769"/>
      <c r="AA428" s="938"/>
      <c r="AC428" s="938"/>
      <c r="AE428" s="949"/>
    </row>
    <row r="429" spans="1:35">
      <c r="A429" s="4">
        <v>198</v>
      </c>
      <c r="B429" s="256"/>
      <c r="C429" s="9" t="s">
        <v>770</v>
      </c>
      <c r="D429" s="256"/>
      <c r="E429" s="36" t="s">
        <v>704</v>
      </c>
      <c r="F429" s="256"/>
      <c r="G429" s="35">
        <v>143.99999999999989</v>
      </c>
      <c r="H429" s="256"/>
      <c r="I429" s="35">
        <v>0</v>
      </c>
      <c r="J429" s="762">
        <f>G429*I440/100</f>
        <v>0</v>
      </c>
      <c r="K429" s="762"/>
      <c r="L429" s="35">
        <v>0</v>
      </c>
      <c r="M429" s="35">
        <v>0</v>
      </c>
      <c r="N429" s="35">
        <v>0</v>
      </c>
      <c r="O429" s="762">
        <f>J429-L429-M429-N429</f>
        <v>0</v>
      </c>
      <c r="P429" s="771"/>
      <c r="Q429" s="35">
        <v>0</v>
      </c>
      <c r="R429" s="35">
        <v>0</v>
      </c>
      <c r="S429" s="35">
        <v>0</v>
      </c>
      <c r="T429" s="750"/>
      <c r="U429" s="762">
        <f>SUM(O429:S429)</f>
        <v>0</v>
      </c>
      <c r="V429" s="811"/>
      <c r="W429" s="753"/>
      <c r="X429" s="834"/>
      <c r="Y429" s="769"/>
      <c r="AA429" s="938"/>
      <c r="AC429" s="938"/>
    </row>
    <row r="430" spans="1:35">
      <c r="A430" s="4"/>
      <c r="B430" s="256"/>
      <c r="C430" s="7"/>
      <c r="D430" s="256"/>
      <c r="E430" s="36"/>
      <c r="F430" s="256"/>
      <c r="G430" s="453"/>
      <c r="H430" s="256"/>
      <c r="I430" s="256"/>
      <c r="J430" s="762"/>
      <c r="K430" s="762"/>
      <c r="L430" s="762"/>
      <c r="M430" s="762"/>
      <c r="N430" s="762"/>
      <c r="O430" s="762"/>
      <c r="P430" s="771"/>
      <c r="Q430" s="762"/>
      <c r="R430" s="762"/>
      <c r="S430" s="762"/>
      <c r="T430" s="750"/>
      <c r="U430" s="750"/>
      <c r="V430" s="848"/>
      <c r="W430" s="753"/>
      <c r="X430" s="834"/>
      <c r="Y430" s="769"/>
      <c r="AA430" s="938"/>
      <c r="AC430" s="938"/>
    </row>
    <row r="431" spans="1:35">
      <c r="A431" s="4">
        <v>199</v>
      </c>
      <c r="B431" s="256"/>
      <c r="C431" s="9" t="s">
        <v>779</v>
      </c>
      <c r="D431" s="256"/>
      <c r="E431" s="36"/>
      <c r="F431" s="256"/>
      <c r="G431" s="420">
        <f>SUM(G425:G430)</f>
        <v>1146815.7609700002</v>
      </c>
      <c r="H431" s="256"/>
      <c r="I431" s="806">
        <f>J431/G431*100</f>
        <v>2.0224723909228466E-3</v>
      </c>
      <c r="J431" s="805">
        <f>SUM(J427:J430)</f>
        <v>23.194032140369998</v>
      </c>
      <c r="K431" s="762"/>
      <c r="L431" s="805">
        <f>SUM(L427:L430)</f>
        <v>23.194032140369998</v>
      </c>
      <c r="M431" s="805">
        <f>SUM(M427:M430)</f>
        <v>0</v>
      </c>
      <c r="N431" s="805">
        <f>SUM(N427:N430)</f>
        <v>0</v>
      </c>
      <c r="O431" s="805">
        <f>SUM(O427:O430)</f>
        <v>0</v>
      </c>
      <c r="P431" s="762"/>
      <c r="Q431" s="805">
        <f>SUM(Q427:Q430)</f>
        <v>21.741472610862168</v>
      </c>
      <c r="R431" s="805">
        <f>SUM(R427:R430)</f>
        <v>0</v>
      </c>
      <c r="S431" s="805">
        <f>SUM(S427:S430)</f>
        <v>0</v>
      </c>
      <c r="T431" s="762"/>
      <c r="U431" s="805">
        <f>SUM(U427:U430)</f>
        <v>21.741472610862168</v>
      </c>
      <c r="V431" s="850">
        <f>U431/G431*100</f>
        <v>1.8958121566512818E-3</v>
      </c>
      <c r="W431" s="851">
        <f>SUM(W427:W430)</f>
        <v>-1.4525595295078304</v>
      </c>
      <c r="X431" s="985">
        <f>V431/I431-1</f>
        <v>-6.2626434279169696E-2</v>
      </c>
      <c r="Y431" s="769"/>
      <c r="AA431" s="938"/>
      <c r="AC431" s="938"/>
    </row>
    <row r="432" spans="1:35">
      <c r="A432" s="4"/>
      <c r="B432" s="256"/>
      <c r="C432" s="7"/>
      <c r="D432" s="256"/>
      <c r="E432" s="36"/>
      <c r="F432" s="256"/>
      <c r="G432" s="453"/>
      <c r="H432" s="256"/>
      <c r="I432" s="256"/>
      <c r="J432" s="762">
        <f>C432*E432/100</f>
        <v>0</v>
      </c>
      <c r="K432" s="762"/>
      <c r="L432" s="753"/>
      <c r="M432" s="753"/>
      <c r="N432" s="753"/>
      <c r="O432" s="762">
        <f>G432*I432/100</f>
        <v>0</v>
      </c>
      <c r="P432" s="750"/>
      <c r="Q432" s="753"/>
      <c r="R432" s="753"/>
      <c r="S432" s="753"/>
      <c r="T432" s="750"/>
      <c r="U432" s="750"/>
      <c r="V432" s="750"/>
      <c r="W432" s="753"/>
      <c r="X432" s="925"/>
      <c r="Y432" s="728"/>
      <c r="AC432" s="938"/>
    </row>
    <row r="433" spans="1:31">
      <c r="A433" s="4"/>
      <c r="C433" s="9" t="s">
        <v>275</v>
      </c>
      <c r="G433" s="135"/>
      <c r="J433" s="762"/>
      <c r="K433" s="762"/>
      <c r="L433" s="753"/>
      <c r="M433" s="753"/>
      <c r="N433" s="753"/>
      <c r="O433" s="762"/>
      <c r="P433" s="752"/>
      <c r="Q433" s="753"/>
      <c r="R433" s="753"/>
      <c r="S433" s="753"/>
      <c r="T433" s="752"/>
      <c r="U433" s="752"/>
      <c r="V433" s="752"/>
      <c r="W433" s="753"/>
      <c r="X433" s="925"/>
      <c r="Y433" s="728"/>
      <c r="AC433" s="938"/>
    </row>
    <row r="434" spans="1:31">
      <c r="A434" s="4">
        <v>200</v>
      </c>
      <c r="B434" s="256"/>
      <c r="C434" s="519" t="s">
        <v>783</v>
      </c>
      <c r="D434" s="256"/>
      <c r="E434" s="513" t="s">
        <v>675</v>
      </c>
      <c r="F434" s="256"/>
      <c r="G434" s="136">
        <v>0</v>
      </c>
      <c r="H434" s="771"/>
      <c r="I434" s="861">
        <v>65.260999999999996</v>
      </c>
      <c r="J434" s="35">
        <v>0</v>
      </c>
      <c r="K434" s="762"/>
      <c r="L434" s="35">
        <v>0</v>
      </c>
      <c r="M434" s="35">
        <v>0</v>
      </c>
      <c r="N434" s="35">
        <v>0</v>
      </c>
      <c r="O434" s="762">
        <f>G434*I434/100</f>
        <v>0</v>
      </c>
      <c r="P434" s="771"/>
      <c r="Q434" s="35">
        <v>0</v>
      </c>
      <c r="R434" s="35">
        <v>0</v>
      </c>
      <c r="S434" s="35">
        <v>0</v>
      </c>
      <c r="T434" s="771"/>
      <c r="U434" s="771">
        <f>SUM(Q434:S434)</f>
        <v>0</v>
      </c>
      <c r="V434" s="861">
        <v>65.260999999999996</v>
      </c>
      <c r="W434" s="762">
        <f>U434-O434</f>
        <v>0</v>
      </c>
      <c r="X434" s="827"/>
      <c r="Y434" s="782"/>
      <c r="AC434" s="938"/>
    </row>
    <row r="435" spans="1:31">
      <c r="A435" s="4">
        <v>201</v>
      </c>
      <c r="B435" s="256"/>
      <c r="C435" s="519" t="s">
        <v>784</v>
      </c>
      <c r="D435" s="256"/>
      <c r="E435" s="513" t="s">
        <v>675</v>
      </c>
      <c r="F435" s="256"/>
      <c r="G435" s="35">
        <v>0</v>
      </c>
      <c r="H435" s="771"/>
      <c r="I435" s="861">
        <v>105.5497</v>
      </c>
      <c r="J435" s="35">
        <v>0</v>
      </c>
      <c r="K435" s="762"/>
      <c r="L435" s="35">
        <v>0</v>
      </c>
      <c r="M435" s="35">
        <v>0</v>
      </c>
      <c r="N435" s="35">
        <v>0</v>
      </c>
      <c r="O435" s="762">
        <f>G435*I435/100</f>
        <v>0</v>
      </c>
      <c r="P435" s="771"/>
      <c r="Q435" s="35">
        <v>0</v>
      </c>
      <c r="R435" s="35">
        <v>0</v>
      </c>
      <c r="S435" s="35">
        <v>0</v>
      </c>
      <c r="T435" s="771"/>
      <c r="U435" s="771">
        <f>SUM(Q435:S435)</f>
        <v>0</v>
      </c>
      <c r="V435" s="861">
        <v>105.5497</v>
      </c>
      <c r="W435" s="762">
        <f>U435-O435</f>
        <v>0</v>
      </c>
      <c r="X435" s="827"/>
      <c r="Y435" s="782"/>
      <c r="AC435" s="938"/>
    </row>
    <row r="436" spans="1:31">
      <c r="A436" s="4"/>
      <c r="B436" s="256"/>
      <c r="C436" s="9" t="s">
        <v>771</v>
      </c>
      <c r="D436" s="256"/>
      <c r="E436" s="36"/>
      <c r="F436" s="256"/>
      <c r="G436" s="35"/>
      <c r="H436" s="771"/>
      <c r="I436" s="861"/>
      <c r="J436" s="762"/>
      <c r="K436" s="762"/>
      <c r="L436" s="762"/>
      <c r="M436" s="762"/>
      <c r="N436" s="762"/>
      <c r="O436" s="762"/>
      <c r="P436" s="771"/>
      <c r="Q436" s="762"/>
      <c r="R436" s="762"/>
      <c r="S436" s="762"/>
      <c r="T436" s="771"/>
      <c r="U436" s="771"/>
      <c r="V436" s="861"/>
      <c r="W436" s="762"/>
      <c r="X436" s="827"/>
      <c r="Y436" s="782"/>
      <c r="AC436" s="938"/>
    </row>
    <row r="437" spans="1:31">
      <c r="A437" s="4">
        <v>202</v>
      </c>
      <c r="B437" s="256"/>
      <c r="C437" s="519" t="s">
        <v>783</v>
      </c>
      <c r="D437" s="256"/>
      <c r="E437" s="513" t="s">
        <v>674</v>
      </c>
      <c r="F437" s="256"/>
      <c r="G437" s="453">
        <v>0</v>
      </c>
      <c r="H437" s="771"/>
      <c r="I437" s="861">
        <v>3.9009000000000005</v>
      </c>
      <c r="J437" s="35">
        <v>0</v>
      </c>
      <c r="K437" s="762"/>
      <c r="L437" s="35">
        <v>0</v>
      </c>
      <c r="M437" s="35">
        <v>0</v>
      </c>
      <c r="N437" s="35">
        <v>0</v>
      </c>
      <c r="O437" s="762">
        <f>G437*I437/100</f>
        <v>0</v>
      </c>
      <c r="P437" s="771"/>
      <c r="Q437" s="35">
        <v>0</v>
      </c>
      <c r="R437" s="35">
        <v>0</v>
      </c>
      <c r="S437" s="35">
        <v>0</v>
      </c>
      <c r="T437" s="771"/>
      <c r="U437" s="771">
        <f>SUM(Q437:S437)</f>
        <v>0</v>
      </c>
      <c r="V437" s="861">
        <v>3.9009000000000005</v>
      </c>
      <c r="W437" s="762">
        <f>U437-O437</f>
        <v>0</v>
      </c>
      <c r="X437" s="827"/>
      <c r="Y437" s="782"/>
      <c r="AC437" s="938"/>
    </row>
    <row r="438" spans="1:31">
      <c r="A438" s="4">
        <v>203</v>
      </c>
      <c r="C438" s="519" t="s">
        <v>784</v>
      </c>
      <c r="E438" s="513" t="s">
        <v>674</v>
      </c>
      <c r="G438" s="35">
        <v>0</v>
      </c>
      <c r="H438" s="68"/>
      <c r="I438" s="861">
        <v>6.2685000000000004</v>
      </c>
      <c r="J438" s="35">
        <v>0</v>
      </c>
      <c r="K438" s="762"/>
      <c r="L438" s="35">
        <v>0</v>
      </c>
      <c r="M438" s="35">
        <v>0</v>
      </c>
      <c r="N438" s="35">
        <v>0</v>
      </c>
      <c r="O438" s="762">
        <f>G438*I438/100</f>
        <v>0</v>
      </c>
      <c r="P438" s="68"/>
      <c r="Q438" s="35">
        <v>0</v>
      </c>
      <c r="R438" s="35">
        <v>0</v>
      </c>
      <c r="S438" s="35">
        <v>0</v>
      </c>
      <c r="T438" s="771"/>
      <c r="U438" s="771">
        <f>SUM(Q438:S438)</f>
        <v>0</v>
      </c>
      <c r="V438" s="861">
        <v>6.2685000000000004</v>
      </c>
      <c r="W438" s="762">
        <f>U438-O438</f>
        <v>0</v>
      </c>
      <c r="X438" s="827"/>
      <c r="Y438" s="782"/>
      <c r="AC438" s="938"/>
    </row>
    <row r="439" spans="1:31">
      <c r="A439" s="4"/>
      <c r="B439" s="256"/>
      <c r="C439" s="9" t="s">
        <v>772</v>
      </c>
      <c r="D439" s="256"/>
      <c r="E439" s="742"/>
      <c r="F439" s="256"/>
      <c r="G439" s="35"/>
      <c r="H439" s="771"/>
      <c r="I439" s="771"/>
      <c r="J439" s="762"/>
      <c r="K439" s="762"/>
      <c r="L439" s="762"/>
      <c r="M439" s="762"/>
      <c r="N439" s="762"/>
      <c r="O439" s="762"/>
      <c r="P439" s="771"/>
      <c r="Q439" s="762"/>
      <c r="R439" s="762"/>
      <c r="S439" s="762"/>
      <c r="T439" s="771"/>
      <c r="U439" s="771">
        <f>SUM(Q439:S439)</f>
        <v>0</v>
      </c>
      <c r="V439" s="453"/>
      <c r="W439" s="762"/>
      <c r="X439" s="827"/>
      <c r="Y439" s="782"/>
      <c r="AC439" s="938"/>
    </row>
    <row r="440" spans="1:31">
      <c r="A440" s="4">
        <v>204</v>
      </c>
      <c r="B440" s="256"/>
      <c r="C440" s="519" t="s">
        <v>783</v>
      </c>
      <c r="D440" s="256"/>
      <c r="E440" s="513" t="s">
        <v>674</v>
      </c>
      <c r="F440" s="256"/>
      <c r="G440" s="35">
        <v>0</v>
      </c>
      <c r="H440" s="771"/>
      <c r="I440" s="771">
        <v>0</v>
      </c>
      <c r="J440" s="35">
        <v>0</v>
      </c>
      <c r="K440" s="762"/>
      <c r="L440" s="35">
        <v>0</v>
      </c>
      <c r="M440" s="35">
        <v>0</v>
      </c>
      <c r="N440" s="35">
        <v>0</v>
      </c>
      <c r="O440" s="762">
        <f>G440*I440/100</f>
        <v>0</v>
      </c>
      <c r="P440" s="771"/>
      <c r="Q440" s="35">
        <v>0</v>
      </c>
      <c r="R440" s="35">
        <v>0</v>
      </c>
      <c r="S440" s="35">
        <v>0</v>
      </c>
      <c r="T440" s="771"/>
      <c r="U440" s="771">
        <f>SUM(Q440:S440)</f>
        <v>0</v>
      </c>
      <c r="V440" s="453" t="str">
        <f>IFERROR(U440/G440*1000,"-")</f>
        <v>-</v>
      </c>
      <c r="W440" s="762">
        <f>U440-O440</f>
        <v>0</v>
      </c>
      <c r="X440" s="827"/>
      <c r="Y440" s="782"/>
      <c r="AC440" s="938"/>
    </row>
    <row r="441" spans="1:31">
      <c r="A441" s="4">
        <v>205</v>
      </c>
      <c r="B441" s="256"/>
      <c r="C441" s="519" t="s">
        <v>784</v>
      </c>
      <c r="D441" s="256"/>
      <c r="E441" s="513" t="s">
        <v>674</v>
      </c>
      <c r="F441" s="256"/>
      <c r="G441" s="35">
        <v>0</v>
      </c>
      <c r="H441" s="771"/>
      <c r="I441" s="771">
        <v>0</v>
      </c>
      <c r="J441" s="35">
        <v>0</v>
      </c>
      <c r="K441" s="762"/>
      <c r="L441" s="35">
        <v>0</v>
      </c>
      <c r="M441" s="35">
        <v>0</v>
      </c>
      <c r="N441" s="35">
        <v>0</v>
      </c>
      <c r="O441" s="762">
        <f>G441*I441/100</f>
        <v>0</v>
      </c>
      <c r="P441" s="771"/>
      <c r="Q441" s="35">
        <v>0</v>
      </c>
      <c r="R441" s="35">
        <v>0</v>
      </c>
      <c r="S441" s="35">
        <v>0</v>
      </c>
      <c r="T441" s="771"/>
      <c r="U441" s="771">
        <f>SUM(Q441:S441)</f>
        <v>0</v>
      </c>
      <c r="V441" s="453" t="str">
        <f>IFERROR(U441/G441*1000,"-")</f>
        <v>-</v>
      </c>
      <c r="W441" s="762">
        <f>U441-O441</f>
        <v>0</v>
      </c>
      <c r="X441" s="827"/>
      <c r="Y441" s="782"/>
    </row>
    <row r="442" spans="1:31">
      <c r="A442" s="4">
        <v>206</v>
      </c>
      <c r="B442" s="256"/>
      <c r="C442" s="9" t="s">
        <v>773</v>
      </c>
      <c r="D442" s="256"/>
      <c r="E442" s="742"/>
      <c r="F442" s="256"/>
      <c r="G442" s="420">
        <f>SUM(G434:G441)</f>
        <v>0</v>
      </c>
      <c r="H442" s="420"/>
      <c r="I442" s="420">
        <v>0</v>
      </c>
      <c r="J442" s="805">
        <f>SUM(J434:J441)</f>
        <v>0</v>
      </c>
      <c r="K442" s="762"/>
      <c r="L442" s="805">
        <f>SUM(L434:L441)</f>
        <v>0</v>
      </c>
      <c r="M442" s="805">
        <f>SUM(M434:M441)</f>
        <v>0</v>
      </c>
      <c r="N442" s="805">
        <f>SUM(N434:N441)</f>
        <v>0</v>
      </c>
      <c r="O442" s="805">
        <f>SUM(O434:O441)</f>
        <v>0</v>
      </c>
      <c r="P442" s="762"/>
      <c r="Q442" s="805">
        <f>SUM(Q434:Q441)</f>
        <v>0</v>
      </c>
      <c r="R442" s="805">
        <f>SUM(R434:R441)</f>
        <v>0</v>
      </c>
      <c r="S442" s="805">
        <f>SUM(S434:S441)</f>
        <v>0</v>
      </c>
      <c r="T442" s="762"/>
      <c r="U442" s="805">
        <f>SUM(U434:U441)</f>
        <v>0</v>
      </c>
      <c r="V442" s="805">
        <f>SUM(V434:V441)</f>
        <v>180.98009999999999</v>
      </c>
      <c r="W442" s="805">
        <f>SUM(W434:W441)</f>
        <v>0</v>
      </c>
      <c r="X442" s="893"/>
      <c r="Y442" s="782"/>
      <c r="AA442" s="938"/>
      <c r="AC442" s="938"/>
      <c r="AE442" s="938"/>
    </row>
    <row r="443" spans="1:31">
      <c r="A443" s="4"/>
      <c r="B443" s="256"/>
      <c r="C443" s="519"/>
      <c r="D443" s="256"/>
      <c r="E443" s="742"/>
      <c r="F443" s="256"/>
      <c r="G443" s="35"/>
      <c r="H443" s="256"/>
      <c r="I443" s="256"/>
      <c r="J443" s="504"/>
      <c r="K443" s="504"/>
      <c r="L443" s="504"/>
      <c r="M443" s="504"/>
      <c r="N443" s="504"/>
      <c r="O443" s="504"/>
      <c r="P443" s="256"/>
      <c r="Q443" s="504"/>
      <c r="R443" s="504"/>
      <c r="S443" s="504"/>
      <c r="T443" s="256"/>
      <c r="U443" s="256"/>
      <c r="V443" s="256"/>
      <c r="W443" s="504"/>
      <c r="X443" s="666"/>
      <c r="AA443" s="938"/>
      <c r="AC443" s="938"/>
    </row>
    <row r="444" spans="1:31">
      <c r="A444" s="4"/>
      <c r="B444" s="256"/>
      <c r="C444" s="9" t="s">
        <v>282</v>
      </c>
      <c r="D444" s="256"/>
      <c r="E444" s="36"/>
      <c r="F444" s="256"/>
      <c r="G444" s="453"/>
      <c r="H444" s="256"/>
      <c r="I444" s="256"/>
      <c r="J444" s="504"/>
      <c r="K444" s="504"/>
      <c r="L444" s="504"/>
      <c r="M444" s="504"/>
      <c r="N444" s="504"/>
      <c r="O444" s="504"/>
      <c r="P444" s="256"/>
      <c r="Q444" s="504"/>
      <c r="R444" s="504"/>
      <c r="S444" s="504"/>
      <c r="T444" s="256"/>
      <c r="U444" s="256"/>
      <c r="V444" s="256"/>
      <c r="W444" s="504"/>
      <c r="X444" s="666"/>
      <c r="AA444" s="938"/>
      <c r="AC444" s="938"/>
    </row>
    <row r="445" spans="1:31">
      <c r="A445" s="4">
        <v>207</v>
      </c>
      <c r="C445" s="519" t="s">
        <v>785</v>
      </c>
      <c r="E445" s="513" t="s">
        <v>775</v>
      </c>
      <c r="G445" s="136">
        <v>0</v>
      </c>
      <c r="H445" s="68"/>
      <c r="I445" s="784">
        <v>10.949000000000002</v>
      </c>
      <c r="J445" s="762">
        <f>G445*I445/100</f>
        <v>0</v>
      </c>
      <c r="K445" s="762"/>
      <c r="L445" s="35">
        <v>0</v>
      </c>
      <c r="M445" s="35">
        <v>0</v>
      </c>
      <c r="N445" s="35">
        <v>0</v>
      </c>
      <c r="O445" s="762">
        <f>G445*I445/100</f>
        <v>0</v>
      </c>
      <c r="P445" s="68"/>
      <c r="Q445" s="35">
        <v>0</v>
      </c>
      <c r="R445" s="35">
        <v>0</v>
      </c>
      <c r="S445" s="35">
        <v>0</v>
      </c>
      <c r="T445" s="35"/>
      <c r="U445" s="68">
        <f>SUM(Q445:S445)</f>
        <v>0</v>
      </c>
      <c r="V445" s="784">
        <v>10.949000000000002</v>
      </c>
      <c r="W445" s="762">
        <f>U445-O445</f>
        <v>0</v>
      </c>
      <c r="X445" s="827"/>
      <c r="Y445" s="782"/>
      <c r="AA445" s="938"/>
      <c r="AC445" s="938"/>
    </row>
    <row r="446" spans="1:31">
      <c r="A446" s="4">
        <v>208</v>
      </c>
      <c r="B446" s="256"/>
      <c r="C446" s="519" t="s">
        <v>786</v>
      </c>
      <c r="D446" s="256"/>
      <c r="E446" s="513" t="s">
        <v>777</v>
      </c>
      <c r="F446" s="256"/>
      <c r="G446" s="136">
        <v>0</v>
      </c>
      <c r="H446" s="771"/>
      <c r="I446" s="784">
        <v>9.7000000000000003E-2</v>
      </c>
      <c r="J446" s="762">
        <f>G446*I446/100</f>
        <v>0</v>
      </c>
      <c r="K446" s="762"/>
      <c r="L446" s="35">
        <v>0</v>
      </c>
      <c r="M446" s="35">
        <v>0</v>
      </c>
      <c r="N446" s="35">
        <v>0</v>
      </c>
      <c r="O446" s="762">
        <f>G446*I446/100</f>
        <v>0</v>
      </c>
      <c r="P446" s="771"/>
      <c r="Q446" s="35">
        <v>0</v>
      </c>
      <c r="R446" s="35">
        <v>0</v>
      </c>
      <c r="S446" s="35">
        <v>0</v>
      </c>
      <c r="T446" s="771"/>
      <c r="U446" s="68">
        <f>SUM(Q446:S446)</f>
        <v>0</v>
      </c>
      <c r="V446" s="784">
        <v>9.8761575719381239E-2</v>
      </c>
      <c r="W446" s="762">
        <f>U446-O446</f>
        <v>0</v>
      </c>
      <c r="X446" s="827"/>
      <c r="Y446" s="782"/>
      <c r="AA446" s="938"/>
      <c r="AC446" s="938"/>
    </row>
    <row r="447" spans="1:31">
      <c r="A447" s="4">
        <v>209</v>
      </c>
      <c r="B447" s="256"/>
      <c r="C447" s="9" t="s">
        <v>282</v>
      </c>
      <c r="D447" s="256"/>
      <c r="E447" s="36"/>
      <c r="F447" s="256"/>
      <c r="G447" s="420">
        <f>SUM(G445:G446)</f>
        <v>0</v>
      </c>
      <c r="H447" s="807"/>
      <c r="I447" s="807">
        <v>0</v>
      </c>
      <c r="J447" s="805">
        <f>SUM(J445:J446)</f>
        <v>0</v>
      </c>
      <c r="K447" s="762"/>
      <c r="L447" s="805">
        <f>SUM(L445:L446)</f>
        <v>0</v>
      </c>
      <c r="M447" s="805">
        <f>SUM(M445:M446)</f>
        <v>0</v>
      </c>
      <c r="N447" s="805">
        <f>SUM(N445:N446)</f>
        <v>0</v>
      </c>
      <c r="O447" s="805">
        <f>SUM(O445:O446)</f>
        <v>0</v>
      </c>
      <c r="P447" s="762"/>
      <c r="Q447" s="805">
        <f>SUM(Q445:Q446)</f>
        <v>0</v>
      </c>
      <c r="R447" s="805">
        <f>SUM(R445:R446)</f>
        <v>0</v>
      </c>
      <c r="S447" s="805">
        <f>SUM(S445:S446)</f>
        <v>0</v>
      </c>
      <c r="T447" s="762"/>
      <c r="U447" s="805">
        <f>SUM(U445:U446)</f>
        <v>0</v>
      </c>
      <c r="V447" s="805">
        <f>SUM(V445:V446)</f>
        <v>11.047761575719383</v>
      </c>
      <c r="W447" s="805">
        <f>SUM(W445:W446)</f>
        <v>0</v>
      </c>
      <c r="X447" s="893"/>
      <c r="Y447" s="782"/>
      <c r="AA447" s="938"/>
      <c r="AC447" s="938"/>
    </row>
    <row r="448" spans="1:31">
      <c r="A448" s="4"/>
      <c r="B448" s="256"/>
      <c r="C448" s="7"/>
      <c r="D448" s="256"/>
      <c r="E448" s="36"/>
      <c r="F448" s="256"/>
      <c r="G448" s="453"/>
      <c r="H448" s="771"/>
      <c r="I448" s="771"/>
      <c r="J448" s="762"/>
      <c r="K448" s="762"/>
      <c r="L448" s="762"/>
      <c r="M448" s="762"/>
      <c r="N448" s="762"/>
      <c r="O448" s="762"/>
      <c r="P448" s="771"/>
      <c r="Q448" s="762"/>
      <c r="R448" s="762"/>
      <c r="S448" s="762"/>
      <c r="T448" s="771"/>
      <c r="U448" s="771"/>
      <c r="V448" s="771"/>
      <c r="W448" s="762"/>
      <c r="X448" s="827"/>
      <c r="Y448" s="782"/>
      <c r="AC448" s="938"/>
    </row>
    <row r="449" spans="1:31" ht="13.5" thickBot="1">
      <c r="A449" s="4">
        <v>210</v>
      </c>
      <c r="B449" s="256"/>
      <c r="C449" s="9" t="s">
        <v>223</v>
      </c>
      <c r="D449" s="256"/>
      <c r="E449" s="860"/>
      <c r="F449" s="256"/>
      <c r="G449" s="458">
        <f>G427</f>
        <v>1076377.9679700001</v>
      </c>
      <c r="H449" s="771"/>
      <c r="I449" s="901">
        <f>J449/G449*100</f>
        <v>2.154822267879831E-3</v>
      </c>
      <c r="J449" s="781">
        <f>J427+J428+J429+J442+J447</f>
        <v>23.194032140369998</v>
      </c>
      <c r="K449" s="771"/>
      <c r="L449" s="781">
        <f>L427+L428+L429+L442+L447</f>
        <v>23.194032140369998</v>
      </c>
      <c r="M449" s="781">
        <f>M427+M428+M429+M442+M447</f>
        <v>0</v>
      </c>
      <c r="N449" s="781">
        <f>N427+N428+N429+N442+N447</f>
        <v>0</v>
      </c>
      <c r="O449" s="781">
        <f>O427+O428+O429+O442+O447</f>
        <v>0</v>
      </c>
      <c r="P449" s="771"/>
      <c r="Q449" s="781">
        <f>Q427+Q428+Q429+Q442+Q447</f>
        <v>21.741472610862168</v>
      </c>
      <c r="R449" s="781">
        <f>R427+R428+R429+R442+R447</f>
        <v>0</v>
      </c>
      <c r="S449" s="781">
        <f>S427+S428+S429+S442+S447</f>
        <v>0</v>
      </c>
      <c r="T449" s="771"/>
      <c r="U449" s="781">
        <f>U427+U428+U429+U442+U447</f>
        <v>21.741472610862168</v>
      </c>
      <c r="V449" s="845">
        <f>U449/G449*100</f>
        <v>2.0198734327371635E-3</v>
      </c>
      <c r="W449" s="844">
        <f>W427+W428+W442+W447</f>
        <v>-1.4525595295078304</v>
      </c>
      <c r="X449" s="979">
        <f>V449/I449-1</f>
        <v>-6.2626434279169585E-2</v>
      </c>
      <c r="Y449" s="779"/>
      <c r="AA449" s="938"/>
      <c r="AC449" s="938"/>
      <c r="AE449" s="949"/>
    </row>
    <row r="450" spans="1:31" ht="13.5" thickTop="1">
      <c r="A450" s="4"/>
      <c r="J450" s="504"/>
      <c r="K450" s="504"/>
      <c r="L450" s="504"/>
      <c r="M450" s="504"/>
      <c r="N450" s="504"/>
      <c r="O450" s="504"/>
      <c r="Q450" s="504"/>
      <c r="R450" s="504"/>
      <c r="S450" s="504"/>
      <c r="W450" s="504"/>
      <c r="X450" s="666"/>
    </row>
    <row r="451" spans="1:31">
      <c r="A451" s="4"/>
      <c r="B451" s="734"/>
      <c r="C451" s="802" t="s">
        <v>177</v>
      </c>
      <c r="D451" s="734"/>
      <c r="E451" s="734"/>
      <c r="F451" s="734"/>
      <c r="G451" s="734"/>
      <c r="H451" s="734"/>
      <c r="I451" s="734"/>
      <c r="J451" s="504"/>
      <c r="K451" s="504"/>
      <c r="L451" s="504"/>
      <c r="M451" s="504"/>
      <c r="N451" s="504"/>
      <c r="O451" s="504"/>
      <c r="P451" s="734"/>
      <c r="Q451" s="504"/>
      <c r="R451" s="504"/>
      <c r="S451" s="504"/>
      <c r="T451" s="734"/>
      <c r="U451" s="734"/>
      <c r="V451" s="734"/>
      <c r="W451" s="504"/>
      <c r="X451" s="666"/>
    </row>
    <row r="452" spans="1:31">
      <c r="A452" s="4"/>
      <c r="B452" s="385"/>
      <c r="C452" s="6" t="s">
        <v>178</v>
      </c>
      <c r="D452" s="385"/>
      <c r="E452" s="447"/>
      <c r="F452" s="385"/>
      <c r="G452" s="447"/>
      <c r="H452" s="385"/>
      <c r="I452" s="385"/>
      <c r="J452" s="504"/>
      <c r="K452" s="504"/>
      <c r="L452" s="504"/>
      <c r="M452" s="504"/>
      <c r="N452" s="504"/>
      <c r="O452" s="504"/>
      <c r="P452" s="385"/>
      <c r="Q452" s="504"/>
      <c r="R452" s="504"/>
      <c r="S452" s="504"/>
      <c r="T452" s="385"/>
      <c r="U452" s="385"/>
      <c r="V452" s="385"/>
      <c r="W452" s="504"/>
      <c r="X452" s="666"/>
    </row>
    <row r="453" spans="1:31">
      <c r="A453" s="4">
        <v>211</v>
      </c>
      <c r="B453" s="447"/>
      <c r="C453" s="7" t="s">
        <v>703</v>
      </c>
      <c r="D453" s="447"/>
      <c r="E453" s="385" t="s">
        <v>704</v>
      </c>
      <c r="F453" s="447"/>
      <c r="G453" s="828">
        <v>14450119.000000004</v>
      </c>
      <c r="H453" s="856"/>
      <c r="I453" s="35">
        <v>0</v>
      </c>
      <c r="J453" s="762">
        <v>0</v>
      </c>
      <c r="K453" s="762"/>
      <c r="L453" s="35">
        <v>0</v>
      </c>
      <c r="M453" s="35">
        <v>0</v>
      </c>
      <c r="N453" s="35">
        <v>0</v>
      </c>
      <c r="O453" s="762">
        <v>0</v>
      </c>
      <c r="P453" s="787"/>
      <c r="Q453" s="35">
        <v>0</v>
      </c>
      <c r="R453" s="35">
        <v>0</v>
      </c>
      <c r="S453" s="35">
        <v>0</v>
      </c>
      <c r="T453" s="787"/>
      <c r="U453" s="453">
        <v>0</v>
      </c>
      <c r="V453" s="453">
        <v>0</v>
      </c>
      <c r="W453" s="762">
        <v>0</v>
      </c>
      <c r="X453" s="834"/>
      <c r="Y453" s="769"/>
      <c r="AA453" s="938"/>
      <c r="AE453" s="954"/>
    </row>
    <row r="454" spans="1:31">
      <c r="A454" s="4"/>
      <c r="B454" s="254"/>
      <c r="C454" s="512" t="s">
        <v>705</v>
      </c>
      <c r="D454" s="254"/>
      <c r="E454" s="4"/>
      <c r="F454" s="254"/>
      <c r="G454" s="828"/>
      <c r="H454" s="854"/>
      <c r="I454" s="855"/>
      <c r="J454" s="762"/>
      <c r="K454" s="762"/>
      <c r="L454" s="762"/>
      <c r="M454" s="762"/>
      <c r="N454" s="762"/>
      <c r="O454" s="762"/>
      <c r="P454" s="786"/>
      <c r="Q454" s="762"/>
      <c r="R454" s="762"/>
      <c r="S454" s="762"/>
      <c r="T454" s="854"/>
      <c r="U454" s="818"/>
      <c r="V454" s="853"/>
      <c r="W454" s="753"/>
      <c r="X454" s="834"/>
      <c r="Y454" s="769"/>
      <c r="AA454" s="938"/>
    </row>
    <row r="455" spans="1:31">
      <c r="A455" s="4">
        <v>212</v>
      </c>
      <c r="B455" s="256"/>
      <c r="C455" s="519" t="s">
        <v>942</v>
      </c>
      <c r="D455" s="256"/>
      <c r="E455" s="513" t="s">
        <v>674</v>
      </c>
      <c r="F455" s="256"/>
      <c r="G455" s="828">
        <v>1046589.5733471487</v>
      </c>
      <c r="H455" s="750"/>
      <c r="I455" s="772">
        <v>0.13950000000000001</v>
      </c>
      <c r="J455" s="762">
        <f>G455*I455/100</f>
        <v>1459.9924548192728</v>
      </c>
      <c r="K455" s="762"/>
      <c r="L455" s="35">
        <v>537.13752971477163</v>
      </c>
      <c r="M455" s="35">
        <v>451.94876588582991</v>
      </c>
      <c r="N455" s="35">
        <v>380.18471025926925</v>
      </c>
      <c r="O455" s="762">
        <f>J455-L455-M455-N455</f>
        <v>90.721448959401982</v>
      </c>
      <c r="P455" s="771"/>
      <c r="Q455" s="35">
        <v>503.49852151121399</v>
      </c>
      <c r="R455" s="35">
        <v>555.17562938307719</v>
      </c>
      <c r="S455" s="35">
        <v>380.61321004098534</v>
      </c>
      <c r="T455" s="750"/>
      <c r="U455" s="818">
        <f>SUM(O455:S455)</f>
        <v>1530.0088098946785</v>
      </c>
      <c r="V455" s="848">
        <f>U455/G455*100</f>
        <v>0.14618995343145674</v>
      </c>
      <c r="W455" s="847">
        <f>U455-J455</f>
        <v>70.016355075405727</v>
      </c>
      <c r="X455" s="834"/>
      <c r="Y455" s="769"/>
      <c r="AA455" s="938"/>
      <c r="AC455" s="938"/>
      <c r="AE455" s="949"/>
    </row>
    <row r="456" spans="1:31">
      <c r="A456" s="4">
        <v>213</v>
      </c>
      <c r="B456" s="256"/>
      <c r="C456" s="519" t="s">
        <v>943</v>
      </c>
      <c r="D456" s="256"/>
      <c r="E456" s="513" t="s">
        <v>674</v>
      </c>
      <c r="F456" s="256"/>
      <c r="G456" s="828">
        <v>935574.92126953974</v>
      </c>
      <c r="H456" s="750"/>
      <c r="I456" s="772">
        <v>0.13950000000000001</v>
      </c>
      <c r="J456" s="762">
        <f>G456*I456/100</f>
        <v>1305.127015171008</v>
      </c>
      <c r="K456" s="762"/>
      <c r="L456" s="35">
        <v>480.16186561713903</v>
      </c>
      <c r="M456" s="35">
        <v>404.00930969455555</v>
      </c>
      <c r="N456" s="35">
        <v>339.85746602762833</v>
      </c>
      <c r="O456" s="762">
        <f>J456-L456-M456-N456</f>
        <v>81.09837383168508</v>
      </c>
      <c r="P456" s="771"/>
      <c r="Q456" s="35">
        <v>450.09104009670381</v>
      </c>
      <c r="R456" s="35">
        <v>496.28661414014903</v>
      </c>
      <c r="S456" s="35">
        <v>340.24051365179002</v>
      </c>
      <c r="T456" s="750"/>
      <c r="U456" s="818">
        <f>SUM(O456:S456)</f>
        <v>1367.7165417203278</v>
      </c>
      <c r="V456" s="848">
        <f>U456/G456*100</f>
        <v>0.14618995343145669</v>
      </c>
      <c r="W456" s="847">
        <f>U456-J456</f>
        <v>62.589526549319771</v>
      </c>
      <c r="X456" s="834"/>
      <c r="Y456" s="769"/>
      <c r="AA456" s="938"/>
      <c r="AC456" s="938"/>
      <c r="AE456" s="949"/>
    </row>
    <row r="457" spans="1:31">
      <c r="A457" s="4">
        <v>214</v>
      </c>
      <c r="B457" s="256"/>
      <c r="C457" s="519" t="s">
        <v>944</v>
      </c>
      <c r="D457" s="256"/>
      <c r="E457" s="513" t="s">
        <v>674</v>
      </c>
      <c r="F457" s="256"/>
      <c r="G457" s="828">
        <v>1256700.005050699</v>
      </c>
      <c r="H457" s="750"/>
      <c r="I457" s="772">
        <v>0.13950000000000001</v>
      </c>
      <c r="J457" s="762">
        <f>G457*I457/100</f>
        <v>1753.0965070457253</v>
      </c>
      <c r="K457" s="762"/>
      <c r="L457" s="35">
        <v>644.97177642106351</v>
      </c>
      <c r="M457" s="35">
        <v>542.68075168659141</v>
      </c>
      <c r="N457" s="35">
        <v>456.50954248953281</v>
      </c>
      <c r="O457" s="762">
        <f>J457-L457-M457-N457</f>
        <v>108.93443644853767</v>
      </c>
      <c r="P457" s="771"/>
      <c r="Q457" s="35">
        <v>604.57949385311053</v>
      </c>
      <c r="R457" s="35">
        <v>666.63115515132131</v>
      </c>
      <c r="S457" s="35">
        <v>457.02406670376195</v>
      </c>
      <c r="T457" s="750"/>
      <c r="U457" s="818">
        <f>SUM(O457:S457)</f>
        <v>1837.1691521567313</v>
      </c>
      <c r="V457" s="848">
        <f>U457/G457*100</f>
        <v>0.14618995343145674</v>
      </c>
      <c r="W457" s="847">
        <f>U457-J457</f>
        <v>84.072645111006068</v>
      </c>
      <c r="X457" s="834"/>
      <c r="Y457" s="769"/>
      <c r="AA457" s="938"/>
      <c r="AC457" s="938"/>
      <c r="AE457" s="949"/>
    </row>
    <row r="458" spans="1:31">
      <c r="A458" s="4">
        <v>215</v>
      </c>
      <c r="B458" s="256"/>
      <c r="C458" s="512" t="s">
        <v>705</v>
      </c>
      <c r="D458" s="256"/>
      <c r="E458" s="134"/>
      <c r="F458" s="256"/>
      <c r="G458" s="852">
        <f>SUM(G455:G457)</f>
        <v>3238864.4996673875</v>
      </c>
      <c r="H458" s="750"/>
      <c r="I458" s="806">
        <f>J458/G458*100</f>
        <v>0.13950000000000001</v>
      </c>
      <c r="J458" s="805">
        <f>SUM(J455:J457)</f>
        <v>4518.2159770360058</v>
      </c>
      <c r="K458" s="762"/>
      <c r="L458" s="805">
        <f>SUM(L455:L457)</f>
        <v>1662.2711717529742</v>
      </c>
      <c r="M458" s="805">
        <f>SUM(M455:M457)</f>
        <v>1398.6388272669769</v>
      </c>
      <c r="N458" s="805">
        <f>SUM(N455:N457)</f>
        <v>1176.5517187764303</v>
      </c>
      <c r="O458" s="805">
        <f>SUM(O455:O457)</f>
        <v>280.75425923962473</v>
      </c>
      <c r="P458" s="762"/>
      <c r="Q458" s="807">
        <f>SUM(Q455:Q457)</f>
        <v>1558.1690554610284</v>
      </c>
      <c r="R458" s="807">
        <f>SUM(R455:R457)</f>
        <v>1718.0933986745476</v>
      </c>
      <c r="S458" s="807">
        <f>SUM(S455:S457)</f>
        <v>1177.8777903965374</v>
      </c>
      <c r="T458" s="750"/>
      <c r="U458" s="808">
        <f>SUM(U455:U457)</f>
        <v>4734.8945037717376</v>
      </c>
      <c r="V458" s="850">
        <f>U458/G458*100</f>
        <v>0.14618995343145672</v>
      </c>
      <c r="W458" s="842">
        <f>SUM(W453:W457)</f>
        <v>216.67852673573157</v>
      </c>
      <c r="X458" s="816">
        <f>V458/I458-1</f>
        <v>4.7956655422628724E-2</v>
      </c>
      <c r="Y458" s="785"/>
      <c r="AA458" s="938"/>
      <c r="AC458" s="938"/>
      <c r="AE458" s="949"/>
    </row>
    <row r="459" spans="1:31">
      <c r="A459" s="4"/>
      <c r="B459" s="256"/>
      <c r="C459" s="7"/>
      <c r="D459" s="256"/>
      <c r="E459" s="134"/>
      <c r="F459" s="256"/>
      <c r="G459" s="818"/>
      <c r="H459" s="750"/>
      <c r="I459" s="792"/>
      <c r="J459" s="762"/>
      <c r="K459" s="762"/>
      <c r="L459" s="762"/>
      <c r="M459" s="762"/>
      <c r="N459" s="762"/>
      <c r="O459" s="762"/>
      <c r="P459" s="762"/>
      <c r="Q459" s="771"/>
      <c r="R459" s="771"/>
      <c r="S459" s="771"/>
      <c r="T459" s="750"/>
      <c r="U459" s="750"/>
      <c r="V459" s="848"/>
      <c r="W459" s="753"/>
      <c r="X459" s="785"/>
      <c r="Y459" s="785"/>
      <c r="AA459" s="938"/>
      <c r="AC459" s="938"/>
      <c r="AE459" s="949"/>
    </row>
    <row r="460" spans="1:31">
      <c r="A460" s="4">
        <v>216</v>
      </c>
      <c r="B460" s="256"/>
      <c r="C460" s="7" t="s">
        <v>710</v>
      </c>
      <c r="D460" s="256"/>
      <c r="E460" s="134"/>
      <c r="F460" s="256"/>
      <c r="G460" s="852">
        <f>G458</f>
        <v>3238864.4996673875</v>
      </c>
      <c r="H460" s="818">
        <f>H458</f>
        <v>0</v>
      </c>
      <c r="I460" s="806">
        <f>I458</f>
        <v>0.13950000000000001</v>
      </c>
      <c r="J460" s="805">
        <f>J458</f>
        <v>4518.2159770360058</v>
      </c>
      <c r="K460" s="818"/>
      <c r="L460" s="805">
        <f>L458</f>
        <v>1662.2711717529742</v>
      </c>
      <c r="M460" s="805">
        <f>M458</f>
        <v>1398.6388272669769</v>
      </c>
      <c r="N460" s="805">
        <f>N458</f>
        <v>1176.5517187764303</v>
      </c>
      <c r="O460" s="805">
        <f>O458</f>
        <v>280.75425923962473</v>
      </c>
      <c r="P460" s="818"/>
      <c r="Q460" s="805">
        <f>Q458</f>
        <v>1558.1690554610284</v>
      </c>
      <c r="R460" s="805">
        <f>R458</f>
        <v>1718.0933986745476</v>
      </c>
      <c r="S460" s="805">
        <f>S458</f>
        <v>1177.8777903965374</v>
      </c>
      <c r="T460" s="818"/>
      <c r="U460" s="852">
        <f>U458</f>
        <v>4734.8945037717376</v>
      </c>
      <c r="V460" s="806">
        <f>V458</f>
        <v>0.14618995343145672</v>
      </c>
      <c r="W460" s="852">
        <f>W458</f>
        <v>216.67852673573157</v>
      </c>
      <c r="X460" s="816">
        <f>X458</f>
        <v>4.7956655422628724E-2</v>
      </c>
      <c r="Y460" s="785"/>
      <c r="AA460" s="938"/>
      <c r="AC460" s="938"/>
      <c r="AE460" s="949"/>
    </row>
    <row r="461" spans="1:31">
      <c r="A461" s="4"/>
      <c r="B461" s="256"/>
      <c r="C461" s="519"/>
      <c r="D461" s="256"/>
      <c r="E461" s="513"/>
      <c r="F461" s="256"/>
      <c r="G461" s="828"/>
      <c r="H461" s="750"/>
      <c r="I461" s="792"/>
      <c r="J461" s="762"/>
      <c r="K461" s="762"/>
      <c r="L461" s="762"/>
      <c r="M461" s="762"/>
      <c r="N461" s="762"/>
      <c r="O461" s="762"/>
      <c r="P461" s="771"/>
      <c r="Q461" s="762"/>
      <c r="R461" s="762"/>
      <c r="S461" s="762"/>
      <c r="T461" s="750"/>
      <c r="U461" s="750"/>
      <c r="V461" s="750"/>
      <c r="W461" s="753"/>
      <c r="X461" s="925"/>
      <c r="Y461" s="728"/>
      <c r="AA461" s="938"/>
      <c r="AC461" s="938"/>
      <c r="AE461" s="949"/>
    </row>
    <row r="462" spans="1:31">
      <c r="A462" s="4">
        <v>217</v>
      </c>
      <c r="B462" s="256"/>
      <c r="C462" s="512" t="s">
        <v>790</v>
      </c>
      <c r="D462" s="256"/>
      <c r="E462" s="513" t="s">
        <v>674</v>
      </c>
      <c r="F462" s="256"/>
      <c r="G462" s="828">
        <v>3238864.4996673875</v>
      </c>
      <c r="H462" s="750"/>
      <c r="I462" s="772">
        <v>5.0700000000000002E-2</v>
      </c>
      <c r="J462" s="762">
        <f>G462*I462/100</f>
        <v>1642.1043013313654</v>
      </c>
      <c r="K462" s="762"/>
      <c r="L462" s="35">
        <v>0</v>
      </c>
      <c r="M462" s="35">
        <v>634.41530160156981</v>
      </c>
      <c r="N462" s="35">
        <v>1006.5128752333441</v>
      </c>
      <c r="O462" s="762">
        <f>J462-L462-M462-N462</f>
        <v>1.1761244964515072</v>
      </c>
      <c r="P462" s="771"/>
      <c r="Q462" s="35">
        <v>0</v>
      </c>
      <c r="R462" s="35">
        <v>779.31823459361112</v>
      </c>
      <c r="S462" s="35">
        <v>1007.6472989376477</v>
      </c>
      <c r="T462" s="750"/>
      <c r="U462" s="750">
        <f>SUM(O462:S462)</f>
        <v>1788.1416580277105</v>
      </c>
      <c r="V462" s="848">
        <f>U462/G462*100</f>
        <v>5.5208906028990777E-2</v>
      </c>
      <c r="W462" s="753">
        <f>U462-J462</f>
        <v>146.03735669634511</v>
      </c>
      <c r="X462" s="834">
        <f>V462/I462-1</f>
        <v>8.8933057771021229E-2</v>
      </c>
      <c r="Y462" s="769"/>
      <c r="AA462" s="938"/>
      <c r="AC462" s="938"/>
      <c r="AE462" s="949"/>
    </row>
    <row r="463" spans="1:31">
      <c r="A463" s="4"/>
      <c r="B463" s="256"/>
      <c r="C463" s="7"/>
      <c r="D463" s="256"/>
      <c r="E463" s="36"/>
      <c r="F463" s="256"/>
      <c r="G463" s="818"/>
      <c r="H463" s="750"/>
      <c r="I463" s="792"/>
      <c r="J463" s="762"/>
      <c r="K463" s="762"/>
      <c r="L463" s="762"/>
      <c r="M463" s="762"/>
      <c r="N463" s="762"/>
      <c r="O463" s="762"/>
      <c r="P463" s="771"/>
      <c r="Q463" s="762"/>
      <c r="R463" s="762"/>
      <c r="S463" s="762"/>
      <c r="T463" s="750"/>
      <c r="U463" s="750"/>
      <c r="V463" s="848"/>
      <c r="W463" s="753"/>
      <c r="X463" s="834"/>
      <c r="Y463" s="769"/>
      <c r="AA463" s="938"/>
      <c r="AC463" s="938"/>
      <c r="AE463" s="949"/>
    </row>
    <row r="464" spans="1:31">
      <c r="A464" s="4">
        <v>218</v>
      </c>
      <c r="B464" s="256"/>
      <c r="C464" s="7" t="s">
        <v>715</v>
      </c>
      <c r="D464" s="256"/>
      <c r="E464" s="513" t="s">
        <v>674</v>
      </c>
      <c r="F464" s="256"/>
      <c r="G464" s="828">
        <v>3057016.7994900364</v>
      </c>
      <c r="H464" s="750"/>
      <c r="I464" s="772">
        <v>20.612300000000001</v>
      </c>
      <c r="J464" s="762">
        <f>G464*I464/100</f>
        <v>630121.47376128484</v>
      </c>
      <c r="K464" s="762"/>
      <c r="L464" s="35">
        <v>0</v>
      </c>
      <c r="M464" s="35">
        <v>0</v>
      </c>
      <c r="N464" s="35">
        <v>0</v>
      </c>
      <c r="O464" s="762">
        <f>J464-L464-M464-N464</f>
        <v>630121.47376128484</v>
      </c>
      <c r="P464" s="771"/>
      <c r="Q464" s="35">
        <v>0</v>
      </c>
      <c r="R464" s="35">
        <v>0</v>
      </c>
      <c r="S464" s="35">
        <v>0</v>
      </c>
      <c r="T464" s="750"/>
      <c r="U464" s="750">
        <f>SUM(O464:S464)</f>
        <v>630121.47376128484</v>
      </c>
      <c r="V464" s="848">
        <f>U464/G464*100</f>
        <v>20.612300000000001</v>
      </c>
      <c r="W464" s="762">
        <f>U464-J464</f>
        <v>0</v>
      </c>
      <c r="X464" s="834">
        <f>V464/I464-1</f>
        <v>0</v>
      </c>
      <c r="Y464" s="769"/>
      <c r="AA464" s="938"/>
      <c r="AC464" s="938"/>
      <c r="AE464" s="949"/>
    </row>
    <row r="465" spans="1:31">
      <c r="A465" s="4"/>
      <c r="B465" s="256"/>
      <c r="C465" s="7"/>
      <c r="D465" s="256"/>
      <c r="E465" s="36"/>
      <c r="F465" s="256"/>
      <c r="G465" s="828"/>
      <c r="H465" s="750"/>
      <c r="I465" s="750"/>
      <c r="J465" s="762"/>
      <c r="K465" s="762"/>
      <c r="L465" s="762"/>
      <c r="M465" s="762"/>
      <c r="N465" s="762"/>
      <c r="O465" s="762"/>
      <c r="P465" s="771"/>
      <c r="Q465" s="762"/>
      <c r="R465" s="35"/>
      <c r="S465" s="762"/>
      <c r="T465" s="750"/>
      <c r="U465" s="750"/>
      <c r="V465" s="750"/>
      <c r="W465" s="753"/>
      <c r="X465" s="925"/>
      <c r="Y465" s="728"/>
      <c r="AA465" s="938"/>
      <c r="AC465" s="938"/>
      <c r="AE465" s="949"/>
    </row>
    <row r="466" spans="1:31" ht="13.5" thickBot="1">
      <c r="A466" s="4">
        <v>219</v>
      </c>
      <c r="B466" s="256"/>
      <c r="C466" s="7" t="s">
        <v>791</v>
      </c>
      <c r="D466" s="256"/>
      <c r="E466" s="36"/>
      <c r="F466" s="256"/>
      <c r="G466" s="846">
        <f>G458</f>
        <v>3238864.4996673875</v>
      </c>
      <c r="H466" s="750"/>
      <c r="I466" s="845">
        <f>J466/G466*100</f>
        <v>19.64521189771893</v>
      </c>
      <c r="J466" s="781">
        <f>J458+J462+J464</f>
        <v>636281.79403965222</v>
      </c>
      <c r="K466" s="771"/>
      <c r="L466" s="781">
        <f>L458+L462+L464</f>
        <v>1662.2711717529742</v>
      </c>
      <c r="M466" s="781">
        <f>M458+M462+M464</f>
        <v>2033.0541288685467</v>
      </c>
      <c r="N466" s="781">
        <f>N458+N462+N464</f>
        <v>2183.0645940097743</v>
      </c>
      <c r="O466" s="781">
        <f>O458+O462+O464</f>
        <v>630403.40414502088</v>
      </c>
      <c r="P466" s="771"/>
      <c r="Q466" s="781">
        <f>Q458+Q462+Q464</f>
        <v>1558.1690554610284</v>
      </c>
      <c r="R466" s="781">
        <f>R458+R462+R464</f>
        <v>2497.4116332681588</v>
      </c>
      <c r="S466" s="781">
        <f>S458+S462+S464</f>
        <v>2185.5250893341854</v>
      </c>
      <c r="T466" s="750"/>
      <c r="U466" s="756">
        <f>U458+U462+U464</f>
        <v>636644.50992308429</v>
      </c>
      <c r="V466" s="845">
        <f>U466/G466*100</f>
        <v>19.656410757179373</v>
      </c>
      <c r="W466" s="756">
        <f>W460+W462+W464</f>
        <v>362.71588343207668</v>
      </c>
      <c r="X466" s="977">
        <f>V466/I466-1</f>
        <v>5.7005541700183571E-4</v>
      </c>
      <c r="Y466" s="779"/>
      <c r="AA466" s="938"/>
      <c r="AC466" s="938"/>
      <c r="AE466" s="949"/>
    </row>
    <row r="467" spans="1:31" ht="13.5" thickTop="1">
      <c r="A467" s="4"/>
      <c r="B467" s="256"/>
      <c r="C467" s="7"/>
      <c r="D467" s="256"/>
      <c r="E467" s="134"/>
      <c r="F467" s="256"/>
      <c r="G467" s="453"/>
      <c r="H467" s="256"/>
      <c r="I467" s="792"/>
      <c r="J467" s="771"/>
      <c r="K467" s="771"/>
      <c r="L467" s="771"/>
      <c r="M467" s="771"/>
      <c r="N467" s="771"/>
      <c r="O467" s="771"/>
      <c r="P467" s="771"/>
      <c r="Q467" s="771"/>
      <c r="R467" s="771"/>
      <c r="S467" s="771"/>
      <c r="T467" s="750"/>
      <c r="U467" s="750"/>
      <c r="V467" s="848"/>
      <c r="W467" s="750"/>
      <c r="X467" s="978"/>
      <c r="Y467" s="779"/>
      <c r="AA467" s="938"/>
      <c r="AC467" s="938"/>
      <c r="AE467" s="949"/>
    </row>
    <row r="468" spans="1:31">
      <c r="A468" s="4"/>
      <c r="B468" s="256"/>
      <c r="C468" s="7"/>
      <c r="D468" s="256"/>
      <c r="E468" s="134"/>
      <c r="F468" s="256"/>
      <c r="G468" s="453"/>
      <c r="H468" s="256"/>
      <c r="I468" s="792"/>
      <c r="J468" s="771"/>
      <c r="K468" s="771"/>
      <c r="L468" s="771"/>
      <c r="M468" s="771"/>
      <c r="N468" s="771"/>
      <c r="O468" s="771"/>
      <c r="P468" s="771"/>
      <c r="Q468" s="771"/>
      <c r="R468" s="771"/>
      <c r="S468" s="771"/>
      <c r="T468" s="750"/>
      <c r="U468" s="750"/>
      <c r="V468" s="848"/>
      <c r="W468" s="750"/>
      <c r="X468" s="978"/>
      <c r="Y468" s="779"/>
      <c r="AA468" s="938"/>
      <c r="AC468" s="938"/>
      <c r="AE468" s="949"/>
    </row>
    <row r="469" spans="1:31">
      <c r="J469" s="504"/>
      <c r="K469" s="504"/>
      <c r="L469" s="2"/>
      <c r="M469" s="2"/>
      <c r="N469" s="504"/>
      <c r="O469" s="504"/>
      <c r="Q469" s="504"/>
      <c r="R469" s="504"/>
      <c r="S469" s="504"/>
      <c r="W469" s="753"/>
      <c r="X469" s="513"/>
      <c r="AA469" s="938"/>
      <c r="AC469" s="938"/>
      <c r="AE469" s="949"/>
    </row>
    <row r="470" spans="1:31">
      <c r="J470" s="504"/>
      <c r="K470" s="504"/>
      <c r="L470" s="2"/>
      <c r="M470" s="2"/>
      <c r="N470" s="504"/>
      <c r="O470" s="504"/>
      <c r="Q470" s="504"/>
      <c r="R470" s="504"/>
      <c r="S470" s="504"/>
      <c r="W470" s="504"/>
      <c r="X470" s="513"/>
      <c r="AA470" s="938"/>
      <c r="AC470" s="938"/>
      <c r="AE470" s="949"/>
    </row>
    <row r="471" spans="1:31">
      <c r="J471" s="504"/>
      <c r="K471" s="504"/>
      <c r="L471" s="2"/>
      <c r="M471" s="2"/>
      <c r="N471" s="504"/>
      <c r="O471" s="504"/>
      <c r="Q471" s="504"/>
      <c r="R471" s="504"/>
      <c r="S471" s="504"/>
      <c r="W471" s="504"/>
      <c r="X471" s="513"/>
      <c r="AA471" s="938"/>
      <c r="AC471" s="938"/>
      <c r="AE471" s="949"/>
    </row>
    <row r="472" spans="1:31">
      <c r="A472" s="1324" t="s">
        <v>724</v>
      </c>
      <c r="B472" s="1324"/>
      <c r="C472" s="1324"/>
      <c r="D472" s="1324"/>
      <c r="E472" s="1324"/>
      <c r="F472" s="1324"/>
      <c r="G472" s="1324"/>
      <c r="H472" s="1324"/>
      <c r="I472" s="1324"/>
      <c r="J472" s="1324"/>
      <c r="K472" s="1324"/>
      <c r="L472" s="1324"/>
      <c r="M472" s="1324"/>
      <c r="N472" s="1324"/>
      <c r="O472" s="1324"/>
      <c r="P472" s="1324"/>
      <c r="Q472" s="1324"/>
      <c r="R472" s="1324"/>
      <c r="S472" s="1324"/>
      <c r="T472" s="1324"/>
      <c r="U472" s="1324"/>
      <c r="V472" s="1324"/>
      <c r="W472" s="1324"/>
      <c r="X472" s="1324"/>
      <c r="Y472" s="665"/>
      <c r="AA472" s="938"/>
      <c r="AC472" s="938"/>
      <c r="AE472" s="949"/>
    </row>
    <row r="473" spans="1:31">
      <c r="A473" s="1324" t="s">
        <v>963</v>
      </c>
      <c r="B473" s="1324"/>
      <c r="C473" s="1324"/>
      <c r="D473" s="1324"/>
      <c r="E473" s="1324"/>
      <c r="F473" s="1324"/>
      <c r="G473" s="1324"/>
      <c r="H473" s="1324"/>
      <c r="I473" s="1324"/>
      <c r="J473" s="1324"/>
      <c r="K473" s="1324"/>
      <c r="L473" s="1324"/>
      <c r="M473" s="1324"/>
      <c r="N473" s="1324"/>
      <c r="O473" s="1324"/>
      <c r="P473" s="1324"/>
      <c r="Q473" s="1324"/>
      <c r="R473" s="1324"/>
      <c r="S473" s="1324"/>
      <c r="T473" s="1324"/>
      <c r="U473" s="1324"/>
      <c r="V473" s="1324"/>
      <c r="W473" s="1324"/>
      <c r="X473" s="1324"/>
      <c r="Y473" s="644"/>
      <c r="Z473" s="644"/>
      <c r="AA473" s="938"/>
      <c r="AC473" s="938"/>
      <c r="AE473" s="949"/>
    </row>
    <row r="474" spans="1:31">
      <c r="A474" s="385"/>
      <c r="B474" s="385"/>
      <c r="C474" s="385"/>
      <c r="D474" s="385"/>
      <c r="E474" s="447"/>
      <c r="F474" s="385"/>
      <c r="G474" s="447"/>
      <c r="H474" s="385"/>
      <c r="I474" s="385"/>
      <c r="J474" s="504"/>
      <c r="K474" s="504"/>
      <c r="L474" s="3"/>
      <c r="M474" s="3"/>
      <c r="N474" s="504"/>
      <c r="O474" s="504"/>
      <c r="P474" s="385"/>
      <c r="Q474" s="504"/>
      <c r="R474" s="504"/>
      <c r="S474" s="504"/>
      <c r="T474" s="385"/>
      <c r="U474" s="385"/>
      <c r="V474" s="385"/>
      <c r="W474" s="504"/>
      <c r="X474" s="513"/>
      <c r="AA474" s="938"/>
      <c r="AC474" s="938"/>
      <c r="AE474" s="949"/>
    </row>
    <row r="475" spans="1:31">
      <c r="A475" s="447"/>
      <c r="B475" s="447"/>
      <c r="C475" s="447"/>
      <c r="D475" s="447"/>
      <c r="E475" s="256"/>
      <c r="F475" s="256"/>
      <c r="G475" s="1313" t="s">
        <v>682</v>
      </c>
      <c r="H475" s="1313"/>
      <c r="I475" s="1313"/>
      <c r="J475" s="1313"/>
      <c r="K475" s="256"/>
      <c r="L475" s="1313" t="s">
        <v>496</v>
      </c>
      <c r="M475" s="1313"/>
      <c r="N475" s="1313"/>
      <c r="O475" s="256"/>
      <c r="P475" s="447"/>
      <c r="Q475" s="1313" t="s">
        <v>497</v>
      </c>
      <c r="R475" s="1313"/>
      <c r="S475" s="1313"/>
      <c r="T475" s="447"/>
      <c r="U475" s="1313" t="s">
        <v>683</v>
      </c>
      <c r="V475" s="1313"/>
      <c r="W475" s="1313"/>
      <c r="X475" s="1313"/>
      <c r="Y475" s="4"/>
      <c r="AA475" s="938"/>
      <c r="AC475" s="938"/>
      <c r="AE475" s="949"/>
    </row>
    <row r="476" spans="1:31" ht="38.25">
      <c r="A476" s="254" t="s">
        <v>1</v>
      </c>
      <c r="B476" s="254"/>
      <c r="C476" s="254"/>
      <c r="D476" s="254"/>
      <c r="E476" s="4" t="s">
        <v>670</v>
      </c>
      <c r="F476" s="254"/>
      <c r="G476" s="13" t="s">
        <v>684</v>
      </c>
      <c r="H476" s="254"/>
      <c r="I476" s="13" t="s">
        <v>196</v>
      </c>
      <c r="J476" s="254" t="s">
        <v>503</v>
      </c>
      <c r="K476" s="254"/>
      <c r="L476" s="254" t="s">
        <v>955</v>
      </c>
      <c r="M476" s="254" t="s">
        <v>956</v>
      </c>
      <c r="N476" s="254" t="s">
        <v>957</v>
      </c>
      <c r="O476" s="254" t="s">
        <v>958</v>
      </c>
      <c r="P476" s="254"/>
      <c r="Q476" s="254" t="s">
        <v>955</v>
      </c>
      <c r="R476" s="254" t="s">
        <v>956</v>
      </c>
      <c r="S476" s="254" t="s">
        <v>957</v>
      </c>
      <c r="T476" s="254"/>
      <c r="U476" s="13" t="s">
        <v>512</v>
      </c>
      <c r="V476" s="13" t="s">
        <v>691</v>
      </c>
      <c r="W476" s="13" t="s">
        <v>692</v>
      </c>
      <c r="X476" s="254" t="s">
        <v>693</v>
      </c>
      <c r="Y476" s="254"/>
      <c r="AA476" s="938"/>
      <c r="AC476" s="938"/>
      <c r="AE476" s="949"/>
    </row>
    <row r="477" spans="1:31" ht="14.25">
      <c r="A477" s="255" t="s">
        <v>2</v>
      </c>
      <c r="B477" s="256"/>
      <c r="C477" s="449" t="s">
        <v>3</v>
      </c>
      <c r="D477" s="256"/>
      <c r="E477" s="255" t="s">
        <v>4</v>
      </c>
      <c r="F477" s="256"/>
      <c r="G477" s="255" t="s">
        <v>694</v>
      </c>
      <c r="H477" s="256"/>
      <c r="I477" s="255" t="s">
        <v>77</v>
      </c>
      <c r="J477" s="255" t="s">
        <v>20</v>
      </c>
      <c r="K477" s="4"/>
      <c r="L477" s="255" t="s">
        <v>20</v>
      </c>
      <c r="M477" s="255" t="s">
        <v>20</v>
      </c>
      <c r="N477" s="255" t="s">
        <v>20</v>
      </c>
      <c r="O477" s="255" t="s">
        <v>20</v>
      </c>
      <c r="P477" s="256"/>
      <c r="Q477" s="255" t="s">
        <v>20</v>
      </c>
      <c r="R477" s="255" t="s">
        <v>20</v>
      </c>
      <c r="S477" s="255" t="s">
        <v>20</v>
      </c>
      <c r="T477" s="256"/>
      <c r="U477" s="255" t="s">
        <v>20</v>
      </c>
      <c r="V477" s="255" t="s">
        <v>77</v>
      </c>
      <c r="W477" s="255" t="s">
        <v>20</v>
      </c>
      <c r="X477" s="255" t="s">
        <v>76</v>
      </c>
      <c r="Y477" s="4"/>
      <c r="AA477" s="938"/>
      <c r="AC477" s="938"/>
      <c r="AE477" s="949"/>
    </row>
    <row r="478" spans="1:31">
      <c r="A478" s="4"/>
      <c r="B478" s="256"/>
      <c r="C478" s="256"/>
      <c r="D478" s="256"/>
      <c r="E478" s="4"/>
      <c r="F478" s="256"/>
      <c r="G478" s="4" t="s">
        <v>8</v>
      </c>
      <c r="H478" s="4"/>
      <c r="I478" s="4" t="s">
        <v>9</v>
      </c>
      <c r="J478" s="4" t="s">
        <v>370</v>
      </c>
      <c r="K478" s="4"/>
      <c r="L478" s="132" t="s">
        <v>79</v>
      </c>
      <c r="M478" s="132" t="s">
        <v>115</v>
      </c>
      <c r="N478" s="4" t="s">
        <v>81</v>
      </c>
      <c r="O478" s="4" t="s">
        <v>959</v>
      </c>
      <c r="P478" s="4"/>
      <c r="Q478" s="4" t="s">
        <v>118</v>
      </c>
      <c r="R478" s="4" t="s">
        <v>84</v>
      </c>
      <c r="S478" s="4" t="s">
        <v>516</v>
      </c>
      <c r="T478" s="4"/>
      <c r="U478" s="4" t="s">
        <v>960</v>
      </c>
      <c r="V478" s="4" t="s">
        <v>518</v>
      </c>
      <c r="W478" s="4" t="s">
        <v>961</v>
      </c>
      <c r="X478" s="4" t="s">
        <v>962</v>
      </c>
      <c r="AA478" s="938"/>
      <c r="AC478" s="938"/>
      <c r="AE478" s="949"/>
    </row>
    <row r="479" spans="1:31">
      <c r="A479" s="4"/>
      <c r="B479" s="256"/>
      <c r="C479" s="519"/>
      <c r="D479" s="256"/>
      <c r="E479" s="36"/>
      <c r="F479" s="256"/>
      <c r="G479" s="35"/>
      <c r="H479" s="256"/>
      <c r="I479" s="256"/>
      <c r="J479" s="762"/>
      <c r="K479" s="762"/>
      <c r="L479" s="762"/>
      <c r="M479" s="762"/>
      <c r="N479" s="762"/>
      <c r="O479" s="762"/>
      <c r="P479" s="771"/>
      <c r="Q479" s="762"/>
      <c r="R479" s="762"/>
      <c r="S479" s="762"/>
      <c r="T479" s="256"/>
      <c r="U479" s="256"/>
      <c r="V479" s="256"/>
      <c r="W479" s="504"/>
      <c r="X479" s="513"/>
    </row>
    <row r="480" spans="1:31">
      <c r="A480" s="4"/>
      <c r="B480" s="256"/>
      <c r="C480" s="6" t="s">
        <v>179</v>
      </c>
      <c r="D480" s="256"/>
      <c r="E480" s="36"/>
      <c r="F480" s="256"/>
      <c r="G480" s="453"/>
      <c r="H480" s="256"/>
      <c r="I480" s="256"/>
      <c r="J480" s="762"/>
      <c r="K480" s="762"/>
      <c r="L480" s="762"/>
      <c r="M480" s="762"/>
      <c r="N480" s="762"/>
      <c r="O480" s="762"/>
      <c r="P480" s="771"/>
      <c r="Q480" s="762"/>
      <c r="R480" s="762"/>
      <c r="S480" s="762"/>
      <c r="T480" s="256"/>
      <c r="U480" s="256"/>
      <c r="V480" s="256"/>
      <c r="W480" s="504"/>
      <c r="X480" s="513"/>
    </row>
    <row r="481" spans="1:31">
      <c r="A481" s="4">
        <v>220</v>
      </c>
      <c r="B481" s="256"/>
      <c r="C481" s="7" t="s">
        <v>703</v>
      </c>
      <c r="D481" s="256"/>
      <c r="E481" s="385" t="s">
        <v>704</v>
      </c>
      <c r="F481" s="256"/>
      <c r="G481" s="828">
        <v>96924.000000000073</v>
      </c>
      <c r="H481" s="856"/>
      <c r="I481" s="778"/>
      <c r="J481" s="762"/>
      <c r="K481" s="762"/>
      <c r="L481" s="35"/>
      <c r="M481" s="35"/>
      <c r="N481" s="35"/>
      <c r="O481" s="762"/>
      <c r="P481" s="787"/>
      <c r="Q481" s="35"/>
      <c r="R481" s="35"/>
      <c r="S481" s="35"/>
      <c r="T481" s="856"/>
      <c r="U481" s="818"/>
      <c r="V481" s="858"/>
      <c r="W481" s="753"/>
      <c r="X481" s="976"/>
      <c r="Y481" s="769"/>
      <c r="AA481" s="938"/>
      <c r="AE481" s="954"/>
    </row>
    <row r="482" spans="1:31">
      <c r="A482" s="4"/>
      <c r="B482" s="256"/>
      <c r="C482" s="512" t="s">
        <v>705</v>
      </c>
      <c r="D482" s="256"/>
      <c r="E482" s="36"/>
      <c r="F482" s="256"/>
      <c r="G482" s="828"/>
      <c r="H482" s="854"/>
      <c r="I482" s="855"/>
      <c r="J482" s="762"/>
      <c r="K482" s="762"/>
      <c r="L482" s="762"/>
      <c r="M482" s="762"/>
      <c r="N482" s="762"/>
      <c r="O482" s="762"/>
      <c r="P482" s="786"/>
      <c r="Q482" s="762"/>
      <c r="R482" s="762"/>
      <c r="S482" s="762"/>
      <c r="T482" s="854"/>
      <c r="U482" s="818"/>
      <c r="V482" s="853"/>
      <c r="W482" s="753"/>
      <c r="X482" s="976"/>
      <c r="Y482" s="769"/>
      <c r="AA482" s="938"/>
      <c r="AE482" s="949"/>
    </row>
    <row r="483" spans="1:31">
      <c r="A483" s="4">
        <v>221</v>
      </c>
      <c r="B483" s="256"/>
      <c r="C483" s="519" t="s">
        <v>792</v>
      </c>
      <c r="D483" s="256"/>
      <c r="E483" s="513" t="s">
        <v>674</v>
      </c>
      <c r="F483" s="256"/>
      <c r="G483" s="828">
        <v>89658.492055731243</v>
      </c>
      <c r="H483" s="750"/>
      <c r="I483" s="772">
        <v>9.8400000000000001E-2</v>
      </c>
      <c r="J483" s="762">
        <f>G483*I483/100</f>
        <v>88.223956182839544</v>
      </c>
      <c r="K483" s="762"/>
      <c r="L483" s="35">
        <v>11.959678475053126</v>
      </c>
      <c r="M483" s="35">
        <v>35.629899893952611</v>
      </c>
      <c r="N483" s="35">
        <v>33.427483437050917</v>
      </c>
      <c r="O483" s="762">
        <f>J483-L483-M483-N483</f>
        <v>7.2068943767828912</v>
      </c>
      <c r="P483" s="771"/>
      <c r="Q483" s="35">
        <v>11.21068645703521</v>
      </c>
      <c r="R483" s="35">
        <v>43.767908204617527</v>
      </c>
      <c r="S483" s="35">
        <v>33.465158990458427</v>
      </c>
      <c r="T483" s="750"/>
      <c r="U483" s="818">
        <f>SUM(O483:S483)</f>
        <v>95.650648028894054</v>
      </c>
      <c r="V483" s="848">
        <f>U483/G483*100</f>
        <v>0.10668331112399047</v>
      </c>
      <c r="W483" s="847">
        <f>U483-J483</f>
        <v>7.4266918460545099</v>
      </c>
      <c r="X483" s="834"/>
      <c r="Y483" s="769"/>
      <c r="AA483" s="938"/>
      <c r="AC483" s="938"/>
      <c r="AE483" s="949"/>
    </row>
    <row r="484" spans="1:31">
      <c r="A484" s="4">
        <v>222</v>
      </c>
      <c r="B484" s="256"/>
      <c r="C484" s="519" t="s">
        <v>793</v>
      </c>
      <c r="D484" s="256"/>
      <c r="E484" s="513" t="s">
        <v>674</v>
      </c>
      <c r="F484" s="256"/>
      <c r="G484" s="828">
        <v>391300.86243960465</v>
      </c>
      <c r="H484" s="750"/>
      <c r="I484" s="772">
        <v>9.8400000000000001E-2</v>
      </c>
      <c r="J484" s="762">
        <f>G484*I484/100</f>
        <v>385.04004864057094</v>
      </c>
      <c r="K484" s="762"/>
      <c r="L484" s="35">
        <v>52.196199093775803</v>
      </c>
      <c r="M484" s="35">
        <v>155.50128311854894</v>
      </c>
      <c r="N484" s="35">
        <v>145.88917121172457</v>
      </c>
      <c r="O484" s="762">
        <f>J484-L484-M484-N484</f>
        <v>31.453395216521614</v>
      </c>
      <c r="P484" s="771"/>
      <c r="Q484" s="35">
        <v>48.927337261607001</v>
      </c>
      <c r="R484" s="35">
        <v>191.01838359046451</v>
      </c>
      <c r="S484" s="35">
        <v>146.05360043870829</v>
      </c>
      <c r="T484" s="750"/>
      <c r="U484" s="818">
        <f>SUM(O484:S484)</f>
        <v>417.45271650730137</v>
      </c>
      <c r="V484" s="848">
        <f>U484/G484*100</f>
        <v>0.10668331112399046</v>
      </c>
      <c r="W484" s="847">
        <f>U484-J484</f>
        <v>32.41266786673043</v>
      </c>
      <c r="X484" s="834"/>
      <c r="Y484" s="769"/>
      <c r="AA484" s="938"/>
      <c r="AC484" s="938"/>
      <c r="AE484" s="949"/>
    </row>
    <row r="485" spans="1:31">
      <c r="A485" s="4">
        <v>223</v>
      </c>
      <c r="B485" s="256"/>
      <c r="C485" s="519" t="s">
        <v>794</v>
      </c>
      <c r="D485" s="256"/>
      <c r="E485" s="513" t="s">
        <v>674</v>
      </c>
      <c r="F485" s="256"/>
      <c r="G485" s="828">
        <v>373385.94021697668</v>
      </c>
      <c r="H485" s="750"/>
      <c r="I485" s="772">
        <v>9.8400000000000001E-2</v>
      </c>
      <c r="J485" s="762">
        <f>G485*I485/100</f>
        <v>367.41176517350505</v>
      </c>
      <c r="K485" s="762"/>
      <c r="L485" s="35">
        <v>49.806501199291546</v>
      </c>
      <c r="M485" s="35">
        <v>148.38196992506568</v>
      </c>
      <c r="N485" s="35">
        <v>139.20992921085855</v>
      </c>
      <c r="O485" s="762">
        <f>J485-L485-M485-N485</f>
        <v>30.013364838289249</v>
      </c>
      <c r="P485" s="771"/>
      <c r="Q485" s="35">
        <v>46.687297625258736</v>
      </c>
      <c r="R485" s="35">
        <v>182.27299145465375</v>
      </c>
      <c r="S485" s="35">
        <v>139.36683037671258</v>
      </c>
      <c r="T485" s="750"/>
      <c r="U485" s="818">
        <f>SUM(O485:S485)</f>
        <v>398.34048429491435</v>
      </c>
      <c r="V485" s="848">
        <f>U485/G485*100</f>
        <v>0.10668331112399047</v>
      </c>
      <c r="W485" s="847">
        <f>U485-J485</f>
        <v>30.928719121409301</v>
      </c>
      <c r="X485" s="834"/>
      <c r="Y485" s="769"/>
      <c r="AA485" s="938"/>
      <c r="AC485" s="938"/>
      <c r="AE485" s="949"/>
    </row>
    <row r="486" spans="1:31">
      <c r="A486" s="4">
        <v>224</v>
      </c>
      <c r="B486" s="256"/>
      <c r="C486" s="519" t="s">
        <v>795</v>
      </c>
      <c r="D486" s="256"/>
      <c r="E486" s="513" t="s">
        <v>674</v>
      </c>
      <c r="F486" s="256"/>
      <c r="G486" s="828">
        <v>488968.96402614162</v>
      </c>
      <c r="H486" s="750"/>
      <c r="I486" s="772">
        <v>9.8400000000000001E-2</v>
      </c>
      <c r="J486" s="762">
        <f>G486*I486/100</f>
        <v>481.14546060172341</v>
      </c>
      <c r="K486" s="762"/>
      <c r="L486" s="35">
        <v>65.22429119594652</v>
      </c>
      <c r="M486" s="35">
        <v>194.31416745969554</v>
      </c>
      <c r="N486" s="35">
        <v>182.3028870043434</v>
      </c>
      <c r="O486" s="762">
        <f>J486-L486-M486-N486</f>
        <v>39.304114941737936</v>
      </c>
      <c r="P486" s="771"/>
      <c r="Q486" s="35">
        <v>61.139526409958151</v>
      </c>
      <c r="R486" s="35">
        <v>238.69628232315412</v>
      </c>
      <c r="S486" s="35">
        <v>182.50835751691162</v>
      </c>
      <c r="T486" s="750"/>
      <c r="U486" s="818">
        <f>SUM(O486:S486)</f>
        <v>521.64828119176184</v>
      </c>
      <c r="V486" s="848">
        <f>U486/G486*100</f>
        <v>0.1066833111239905</v>
      </c>
      <c r="W486" s="847">
        <f>U486-J486</f>
        <v>40.502820590038425</v>
      </c>
      <c r="X486" s="834"/>
      <c r="Y486" s="769"/>
      <c r="AA486" s="938"/>
      <c r="AC486" s="938"/>
      <c r="AE486" s="949"/>
    </row>
    <row r="487" spans="1:31">
      <c r="A487" s="4">
        <v>225</v>
      </c>
      <c r="C487" s="512" t="s">
        <v>705</v>
      </c>
      <c r="G487" s="852">
        <f>SUM(G483:G486)</f>
        <v>1343314.2587384542</v>
      </c>
      <c r="H487" s="750"/>
      <c r="I487" s="806">
        <f>J487/G487*100</f>
        <v>9.8400000000000001E-2</v>
      </c>
      <c r="J487" s="805">
        <f>SUM(J483:J486)</f>
        <v>1321.821230598639</v>
      </c>
      <c r="K487" s="762"/>
      <c r="L487" s="805">
        <f>SUM(L483:L486)</f>
        <v>179.18666996406699</v>
      </c>
      <c r="M487" s="805">
        <f>SUM(M483:M486)</f>
        <v>533.82732039726272</v>
      </c>
      <c r="N487" s="805">
        <f>SUM(N483:N486)</f>
        <v>500.82947086397741</v>
      </c>
      <c r="O487" s="805">
        <f>SUM(O483:O486)</f>
        <v>107.97776937333168</v>
      </c>
      <c r="P487" s="762"/>
      <c r="Q487" s="805">
        <f>SUM(Q483:Q486)</f>
        <v>167.96484775385909</v>
      </c>
      <c r="R487" s="805">
        <f>SUM(R483:R486)</f>
        <v>655.75556557288996</v>
      </c>
      <c r="S487" s="805">
        <f>SUM(S483:S486)</f>
        <v>501.39394732279095</v>
      </c>
      <c r="T487" s="762"/>
      <c r="U487" s="808">
        <f>SUM(U483:U486)</f>
        <v>1433.0921300228715</v>
      </c>
      <c r="V487" s="850">
        <f>U487/G487*100</f>
        <v>0.10668331112399047</v>
      </c>
      <c r="W487" s="851">
        <f>SUM(W483:W486)</f>
        <v>111.27089942423267</v>
      </c>
      <c r="X487" s="816">
        <f>V487/I487-1</f>
        <v>8.4179991097464102E-2</v>
      </c>
      <c r="Y487" s="785"/>
      <c r="AA487" s="938"/>
      <c r="AC487" s="938"/>
      <c r="AE487" s="949"/>
    </row>
    <row r="488" spans="1:31">
      <c r="A488" s="4"/>
      <c r="C488" s="7"/>
      <c r="G488" s="818"/>
      <c r="H488" s="750"/>
      <c r="I488" s="792"/>
      <c r="J488" s="762"/>
      <c r="K488" s="762"/>
      <c r="L488" s="762"/>
      <c r="M488" s="762"/>
      <c r="N488" s="762"/>
      <c r="O488" s="762"/>
      <c r="P488" s="762"/>
      <c r="Q488" s="762"/>
      <c r="R488" s="762"/>
      <c r="S488" s="762"/>
      <c r="T488" s="762"/>
      <c r="U488" s="750"/>
      <c r="V488" s="848"/>
      <c r="W488" s="847"/>
      <c r="X488" s="785"/>
      <c r="Y488" s="785"/>
      <c r="AA488" s="938"/>
      <c r="AC488" s="938"/>
      <c r="AE488" s="949"/>
    </row>
    <row r="489" spans="1:31">
      <c r="A489" s="4">
        <v>226</v>
      </c>
      <c r="C489" s="7" t="s">
        <v>710</v>
      </c>
      <c r="G489" s="852">
        <f>G487</f>
        <v>1343314.2587384542</v>
      </c>
      <c r="H489" s="818">
        <f>H487</f>
        <v>0</v>
      </c>
      <c r="I489" s="806">
        <f>I487</f>
        <v>9.8400000000000001E-2</v>
      </c>
      <c r="J489" s="805">
        <f>J487</f>
        <v>1321.821230598639</v>
      </c>
      <c r="K489" s="818"/>
      <c r="L489" s="805">
        <f>L487</f>
        <v>179.18666996406699</v>
      </c>
      <c r="M489" s="805">
        <f>M487</f>
        <v>533.82732039726272</v>
      </c>
      <c r="N489" s="805">
        <f>N487</f>
        <v>500.82947086397741</v>
      </c>
      <c r="O489" s="805">
        <f>O487</f>
        <v>107.97776937333168</v>
      </c>
      <c r="P489" s="818"/>
      <c r="Q489" s="805">
        <f>Q487</f>
        <v>167.96484775385909</v>
      </c>
      <c r="R489" s="805">
        <f>R487</f>
        <v>655.75556557288996</v>
      </c>
      <c r="S489" s="805">
        <f>S487</f>
        <v>501.39394732279095</v>
      </c>
      <c r="T489" s="818"/>
      <c r="U489" s="852">
        <f>U487</f>
        <v>1433.0921300228715</v>
      </c>
      <c r="V489" s="806">
        <f>V487</f>
        <v>0.10668331112399047</v>
      </c>
      <c r="W489" s="805">
        <f>W487</f>
        <v>111.27089942423267</v>
      </c>
      <c r="X489" s="816">
        <f>X487</f>
        <v>8.4179991097464102E-2</v>
      </c>
      <c r="Y489" s="785"/>
      <c r="AA489" s="938"/>
      <c r="AC489" s="938"/>
      <c r="AE489" s="949"/>
    </row>
    <row r="490" spans="1:31">
      <c r="A490" s="4"/>
      <c r="B490" s="256"/>
      <c r="C490" s="519"/>
      <c r="D490" s="256"/>
      <c r="E490" s="513"/>
      <c r="F490" s="256"/>
      <c r="G490" s="35"/>
      <c r="H490" s="256"/>
      <c r="I490" s="256"/>
      <c r="J490" s="762"/>
      <c r="K490" s="762"/>
      <c r="L490" s="762"/>
      <c r="M490" s="762"/>
      <c r="N490" s="762"/>
      <c r="O490" s="762"/>
      <c r="P490" s="771"/>
      <c r="Q490" s="762"/>
      <c r="R490" s="762"/>
      <c r="S490" s="762"/>
      <c r="T490" s="256"/>
      <c r="U490" s="256"/>
      <c r="V490" s="256"/>
      <c r="W490" s="504"/>
      <c r="X490" s="666"/>
      <c r="AA490" s="938"/>
      <c r="AC490" s="938"/>
      <c r="AE490" s="949"/>
    </row>
    <row r="491" spans="1:31">
      <c r="A491" s="4">
        <v>227</v>
      </c>
      <c r="B491" s="256"/>
      <c r="C491" s="512" t="s">
        <v>790</v>
      </c>
      <c r="D491" s="256"/>
      <c r="E491" s="513" t="s">
        <v>674</v>
      </c>
      <c r="F491" s="256"/>
      <c r="G491" s="828">
        <v>1343314.2587384542</v>
      </c>
      <c r="H491" s="750"/>
      <c r="I491" s="772">
        <v>4.6600000000000003E-2</v>
      </c>
      <c r="J491" s="762">
        <f>G491*I491/100</f>
        <v>625.98444457211963</v>
      </c>
      <c r="K491" s="762"/>
      <c r="L491" s="35">
        <v>0</v>
      </c>
      <c r="M491" s="35">
        <v>242.14129757484648</v>
      </c>
      <c r="N491" s="35">
        <v>384.16213010551439</v>
      </c>
      <c r="O491" s="762">
        <f>J491-L491-M491-N491</f>
        <v>-0.3189831082412411</v>
      </c>
      <c r="P491" s="771"/>
      <c r="Q491" s="35">
        <v>0</v>
      </c>
      <c r="R491" s="35">
        <v>297.44731577541239</v>
      </c>
      <c r="S491" s="35">
        <v>384.59511277012899</v>
      </c>
      <c r="T491" s="750"/>
      <c r="U491" s="750">
        <f>SUM(O491:S491)</f>
        <v>681.72344543730014</v>
      </c>
      <c r="V491" s="848">
        <f>U491/G491*100</f>
        <v>5.0749364194014178E-2</v>
      </c>
      <c r="W491" s="847">
        <f>U491-J491</f>
        <v>55.739000865180515</v>
      </c>
      <c r="X491" s="834">
        <f>V491/I491-1</f>
        <v>8.9042150086141136E-2</v>
      </c>
      <c r="Y491" s="769"/>
      <c r="AA491" s="938"/>
      <c r="AC491" s="938"/>
      <c r="AE491" s="949"/>
    </row>
    <row r="492" spans="1:31">
      <c r="A492" s="4"/>
      <c r="B492" s="256"/>
      <c r="C492" s="7"/>
      <c r="D492" s="256"/>
      <c r="E492" s="36"/>
      <c r="F492" s="256"/>
      <c r="G492" s="818"/>
      <c r="H492" s="750"/>
      <c r="I492" s="772"/>
      <c r="J492" s="762"/>
      <c r="K492" s="762"/>
      <c r="L492" s="762"/>
      <c r="M492" s="762"/>
      <c r="N492" s="762"/>
      <c r="O492" s="762"/>
      <c r="P492" s="771"/>
      <c r="Q492" s="35"/>
      <c r="R492" s="35"/>
      <c r="S492" s="35"/>
      <c r="T492" s="750"/>
      <c r="U492" s="750"/>
      <c r="V492" s="848"/>
      <c r="W492" s="753"/>
      <c r="X492" s="834"/>
      <c r="Y492" s="769"/>
      <c r="AA492" s="938"/>
      <c r="AC492" s="938"/>
      <c r="AE492" s="949"/>
    </row>
    <row r="493" spans="1:31">
      <c r="A493" s="4">
        <v>228</v>
      </c>
      <c r="B493" s="256"/>
      <c r="C493" s="7" t="s">
        <v>715</v>
      </c>
      <c r="D493" s="256"/>
      <c r="E493" s="513" t="s">
        <v>674</v>
      </c>
      <c r="F493" s="256"/>
      <c r="G493" s="828">
        <v>712317.1393682817</v>
      </c>
      <c r="H493" s="750"/>
      <c r="I493" s="772">
        <v>20.612300000000001</v>
      </c>
      <c r="J493" s="762">
        <f>G493*I493/100</f>
        <v>146824.94571800833</v>
      </c>
      <c r="K493" s="762"/>
      <c r="L493" s="35">
        <v>0</v>
      </c>
      <c r="M493" s="35">
        <v>0</v>
      </c>
      <c r="N493" s="35">
        <v>0</v>
      </c>
      <c r="O493" s="762">
        <f>J493-L493-M493-N493</f>
        <v>146824.94571800833</v>
      </c>
      <c r="P493" s="771"/>
      <c r="Q493" s="35">
        <v>0</v>
      </c>
      <c r="R493" s="35">
        <v>0</v>
      </c>
      <c r="S493" s="35">
        <v>0</v>
      </c>
      <c r="T493" s="750"/>
      <c r="U493" s="750">
        <f>SUM(O493:S493)</f>
        <v>146824.94571800833</v>
      </c>
      <c r="V493" s="821">
        <f>U493/G493*100</f>
        <v>20.612300000000001</v>
      </c>
      <c r="W493" s="762">
        <f>U493-J493</f>
        <v>0</v>
      </c>
      <c r="X493" s="834">
        <f>V493/I493-1</f>
        <v>0</v>
      </c>
      <c r="Y493" s="769"/>
      <c r="AA493" s="938"/>
      <c r="AC493" s="938"/>
      <c r="AE493" s="949"/>
    </row>
    <row r="494" spans="1:31">
      <c r="A494" s="4"/>
      <c r="B494" s="256"/>
      <c r="C494" s="7"/>
      <c r="D494" s="256"/>
      <c r="E494" s="36"/>
      <c r="F494" s="256"/>
      <c r="G494" s="828"/>
      <c r="H494" s="750"/>
      <c r="I494" s="750"/>
      <c r="J494" s="762"/>
      <c r="K494" s="762"/>
      <c r="L494" s="762"/>
      <c r="M494" s="762"/>
      <c r="N494" s="762"/>
      <c r="O494" s="762"/>
      <c r="P494" s="771"/>
      <c r="Q494" s="35"/>
      <c r="R494" s="35"/>
      <c r="S494" s="35"/>
      <c r="T494" s="750"/>
      <c r="U494" s="750"/>
      <c r="V494" s="750"/>
      <c r="W494" s="753"/>
      <c r="X494" s="925"/>
      <c r="Y494" s="728"/>
      <c r="AA494" s="938"/>
      <c r="AC494" s="938"/>
    </row>
    <row r="495" spans="1:31" ht="13.5" thickBot="1">
      <c r="A495" s="4">
        <v>229</v>
      </c>
      <c r="B495" s="256"/>
      <c r="C495" s="7" t="s">
        <v>796</v>
      </c>
      <c r="D495" s="256"/>
      <c r="E495" s="36"/>
      <c r="F495" s="256"/>
      <c r="G495" s="846">
        <f>G487</f>
        <v>1343314.2587384542</v>
      </c>
      <c r="H495" s="750"/>
      <c r="I495" s="845">
        <f>J495/G495*100</f>
        <v>11.075051904302418</v>
      </c>
      <c r="J495" s="781">
        <f>J487+J491+J493</f>
        <v>148772.75139317909</v>
      </c>
      <c r="K495" s="771"/>
      <c r="L495" s="781">
        <f>L487+L491+L493</f>
        <v>179.18666996406699</v>
      </c>
      <c r="M495" s="781">
        <f>M487+M491+M493</f>
        <v>775.9686179721092</v>
      </c>
      <c r="N495" s="781">
        <f>N487+N491+N493</f>
        <v>884.99160096949186</v>
      </c>
      <c r="O495" s="781">
        <f>O487+O491+O493</f>
        <v>146932.60450427342</v>
      </c>
      <c r="P495" s="771"/>
      <c r="Q495" s="781">
        <f>Q487+Q491+Q492+Q493+Q494</f>
        <v>167.96484775385909</v>
      </c>
      <c r="R495" s="781">
        <f>R487+R491+R492+R493+R494</f>
        <v>953.2028813483023</v>
      </c>
      <c r="S495" s="781">
        <f>S487+S491+S492+S493+S494</f>
        <v>885.98906009292</v>
      </c>
      <c r="T495" s="750"/>
      <c r="U495" s="756">
        <f>U487+U491+U493</f>
        <v>148939.7612934685</v>
      </c>
      <c r="V495" s="845">
        <f>U495/G495*100</f>
        <v>11.087484579620423</v>
      </c>
      <c r="W495" s="756">
        <f>W489+W491+W493</f>
        <v>167.00990028941317</v>
      </c>
      <c r="X495" s="815">
        <f>V495/I495-1</f>
        <v>1.1225839323762976E-3</v>
      </c>
      <c r="Y495" s="785"/>
      <c r="AA495" s="938"/>
      <c r="AC495" s="938"/>
      <c r="AE495" s="949"/>
    </row>
    <row r="496" spans="1:31" ht="13.5" thickTop="1">
      <c r="A496" s="4"/>
      <c r="J496" s="504"/>
      <c r="K496" s="504"/>
      <c r="L496" s="2"/>
      <c r="M496" s="2"/>
      <c r="N496" s="504"/>
      <c r="O496" s="504"/>
      <c r="Q496" s="504"/>
      <c r="R496" s="504"/>
      <c r="S496" s="504"/>
      <c r="W496" s="753"/>
      <c r="X496" s="666"/>
    </row>
    <row r="497" spans="1:31">
      <c r="A497" s="4"/>
      <c r="B497" s="256"/>
      <c r="C497" s="6" t="s">
        <v>180</v>
      </c>
      <c r="D497" s="256"/>
      <c r="E497" s="36"/>
      <c r="F497" s="256"/>
      <c r="G497" s="35"/>
      <c r="H497" s="256"/>
      <c r="I497" s="256"/>
      <c r="J497" s="762"/>
      <c r="K497" s="762"/>
      <c r="L497" s="762"/>
      <c r="M497" s="762"/>
      <c r="N497" s="762"/>
      <c r="O497" s="762"/>
      <c r="P497" s="771"/>
      <c r="Q497" s="762"/>
      <c r="R497" s="762"/>
      <c r="S497" s="762"/>
      <c r="T497" s="256"/>
      <c r="U497" s="256"/>
      <c r="V497" s="256"/>
      <c r="W497" s="504"/>
      <c r="X497" s="666"/>
    </row>
    <row r="498" spans="1:31">
      <c r="A498" s="4"/>
      <c r="B498" s="256"/>
      <c r="C498" s="512" t="s">
        <v>726</v>
      </c>
      <c r="D498" s="256"/>
      <c r="E498" s="36"/>
      <c r="F498" s="256"/>
      <c r="G498" s="35"/>
      <c r="H498" s="256"/>
      <c r="I498" s="256"/>
      <c r="J498" s="762"/>
      <c r="K498" s="762"/>
      <c r="L498" s="762"/>
      <c r="M498" s="762"/>
      <c r="N498" s="762"/>
      <c r="O498" s="762"/>
      <c r="P498" s="771"/>
      <c r="Q498" s="762"/>
      <c r="R498" s="762"/>
      <c r="S498" s="762"/>
      <c r="T498" s="256"/>
      <c r="U498" s="256"/>
      <c r="V498" s="256"/>
      <c r="W498" s="504"/>
      <c r="X498" s="666"/>
    </row>
    <row r="499" spans="1:31">
      <c r="A499" s="4">
        <v>230</v>
      </c>
      <c r="B499" s="256"/>
      <c r="C499" s="519" t="s">
        <v>967</v>
      </c>
      <c r="D499" s="256"/>
      <c r="E499" s="513" t="s">
        <v>675</v>
      </c>
      <c r="F499" s="256"/>
      <c r="G499" s="35">
        <v>20879.34</v>
      </c>
      <c r="H499" s="256"/>
      <c r="I499" s="35">
        <v>0</v>
      </c>
      <c r="J499" s="35">
        <v>0</v>
      </c>
      <c r="K499" s="35"/>
      <c r="L499" s="35">
        <v>0</v>
      </c>
      <c r="M499" s="35">
        <v>0</v>
      </c>
      <c r="N499" s="35">
        <v>0</v>
      </c>
      <c r="O499" s="35">
        <v>0</v>
      </c>
      <c r="P499" s="771"/>
      <c r="Q499" s="35">
        <v>0</v>
      </c>
      <c r="R499" s="35">
        <v>0</v>
      </c>
      <c r="S499" s="35">
        <v>0</v>
      </c>
      <c r="T499" s="750"/>
      <c r="U499" s="35">
        <v>0</v>
      </c>
      <c r="V499" s="35">
        <v>0</v>
      </c>
      <c r="W499" s="35">
        <v>0</v>
      </c>
      <c r="X499" s="35"/>
      <c r="Y499" s="769"/>
    </row>
    <row r="500" spans="1:31">
      <c r="A500" s="4">
        <v>231</v>
      </c>
      <c r="B500" s="256"/>
      <c r="C500" s="519" t="s">
        <v>945</v>
      </c>
      <c r="D500" s="256"/>
      <c r="E500" s="513" t="s">
        <v>675</v>
      </c>
      <c r="F500" s="256"/>
      <c r="G500" s="35">
        <v>20175.232</v>
      </c>
      <c r="H500" s="256"/>
      <c r="I500" s="35">
        <v>0</v>
      </c>
      <c r="J500" s="35">
        <v>0</v>
      </c>
      <c r="K500" s="35"/>
      <c r="L500" s="35">
        <v>0</v>
      </c>
      <c r="M500" s="35">
        <v>0</v>
      </c>
      <c r="N500" s="35">
        <v>0</v>
      </c>
      <c r="O500" s="35">
        <v>0</v>
      </c>
      <c r="P500" s="771"/>
      <c r="Q500" s="35">
        <v>0</v>
      </c>
      <c r="R500" s="35">
        <v>0</v>
      </c>
      <c r="S500" s="35">
        <v>0</v>
      </c>
      <c r="T500" s="750"/>
      <c r="U500" s="35">
        <v>0</v>
      </c>
      <c r="V500" s="35">
        <v>0</v>
      </c>
      <c r="W500" s="35">
        <v>0</v>
      </c>
      <c r="X500" s="35"/>
      <c r="Y500" s="769"/>
    </row>
    <row r="501" spans="1:31">
      <c r="A501" s="4">
        <v>232</v>
      </c>
      <c r="C501" s="519" t="s">
        <v>946</v>
      </c>
      <c r="E501" s="513" t="s">
        <v>675</v>
      </c>
      <c r="G501" s="35">
        <v>5781.4719999999998</v>
      </c>
      <c r="I501" s="35">
        <v>0</v>
      </c>
      <c r="J501" s="35">
        <v>0</v>
      </c>
      <c r="K501" s="35"/>
      <c r="L501" s="35">
        <v>0</v>
      </c>
      <c r="M501" s="35">
        <v>0</v>
      </c>
      <c r="N501" s="35">
        <v>0</v>
      </c>
      <c r="O501" s="35">
        <v>0</v>
      </c>
      <c r="P501" s="68"/>
      <c r="Q501" s="35">
        <v>0</v>
      </c>
      <c r="R501" s="35">
        <v>0</v>
      </c>
      <c r="S501" s="35">
        <v>0</v>
      </c>
      <c r="T501" s="752"/>
      <c r="U501" s="35">
        <v>0</v>
      </c>
      <c r="V501" s="35">
        <v>0</v>
      </c>
      <c r="W501" s="35">
        <v>0</v>
      </c>
      <c r="X501" s="35"/>
      <c r="Y501" s="769"/>
    </row>
    <row r="502" spans="1:31">
      <c r="A502" s="4">
        <v>233</v>
      </c>
      <c r="B502" s="256"/>
      <c r="C502" s="512" t="s">
        <v>726</v>
      </c>
      <c r="D502" s="256"/>
      <c r="E502" s="742"/>
      <c r="F502" s="256"/>
      <c r="G502" s="420">
        <f>SUM(G499:G501)</f>
        <v>46836.044000000002</v>
      </c>
      <c r="H502" s="256"/>
      <c r="I502" s="807">
        <f>O502/G502*100</f>
        <v>0</v>
      </c>
      <c r="J502" s="807">
        <f>SUM(J499:J501)</f>
        <v>0</v>
      </c>
      <c r="K502" s="771"/>
      <c r="L502" s="807">
        <f>SUM(L499:L501)</f>
        <v>0</v>
      </c>
      <c r="M502" s="807">
        <f>SUM(M499:M501)</f>
        <v>0</v>
      </c>
      <c r="N502" s="807">
        <f>SUM(N499:N501)</f>
        <v>0</v>
      </c>
      <c r="O502" s="807">
        <f>SUM(O499:O501)</f>
        <v>0</v>
      </c>
      <c r="P502" s="771"/>
      <c r="Q502" s="807">
        <f>SUM(Q499:Q501)</f>
        <v>0</v>
      </c>
      <c r="R502" s="807">
        <f>SUM(R499:R501)</f>
        <v>0</v>
      </c>
      <c r="S502" s="807">
        <f>SUM(S499:S501)</f>
        <v>0</v>
      </c>
      <c r="T502" s="843"/>
      <c r="U502" s="807">
        <f>SUM(U499:U501)</f>
        <v>0</v>
      </c>
      <c r="V502" s="807">
        <f>U502/G502*100</f>
        <v>0</v>
      </c>
      <c r="W502" s="805">
        <f>SUM(W499:W501)</f>
        <v>0</v>
      </c>
      <c r="X502" s="921"/>
      <c r="Y502" s="769"/>
      <c r="AA502" s="938"/>
      <c r="AE502" s="949"/>
    </row>
    <row r="503" spans="1:31">
      <c r="A503" s="4"/>
      <c r="B503" s="256"/>
      <c r="C503" s="7"/>
      <c r="D503" s="256"/>
      <c r="E503" s="36"/>
      <c r="F503" s="256"/>
      <c r="G503" s="135"/>
      <c r="H503" s="256"/>
      <c r="I503" s="792"/>
      <c r="J503" s="753"/>
      <c r="K503" s="753"/>
      <c r="L503" s="504"/>
      <c r="M503" s="504"/>
      <c r="N503" s="504"/>
      <c r="O503" s="753"/>
      <c r="P503" s="256"/>
      <c r="Q503" s="753"/>
      <c r="R503" s="753"/>
      <c r="S503" s="753"/>
      <c r="T503" s="750"/>
      <c r="U503" s="750"/>
      <c r="V503" s="792"/>
      <c r="W503" s="753"/>
      <c r="X503" s="834"/>
      <c r="Y503" s="769"/>
      <c r="AA503" s="938"/>
    </row>
    <row r="504" spans="1:31">
      <c r="A504" s="4"/>
      <c r="B504" s="256"/>
      <c r="C504" s="512" t="s">
        <v>705</v>
      </c>
      <c r="D504" s="256"/>
      <c r="E504" s="36"/>
      <c r="F504" s="256"/>
      <c r="G504" s="35"/>
      <c r="H504" s="256"/>
      <c r="I504" s="792"/>
      <c r="J504" s="753"/>
      <c r="K504" s="753"/>
      <c r="L504" s="753"/>
      <c r="M504" s="753"/>
      <c r="N504" s="753"/>
      <c r="O504" s="753"/>
      <c r="P504" s="750"/>
      <c r="Q504" s="753"/>
      <c r="R504" s="753"/>
      <c r="S504" s="753"/>
      <c r="T504" s="750"/>
      <c r="U504" s="750"/>
      <c r="V504" s="792"/>
      <c r="W504" s="753"/>
      <c r="X504" s="834"/>
      <c r="Y504" s="769"/>
      <c r="AA504" s="938"/>
    </row>
    <row r="505" spans="1:31">
      <c r="A505" s="4">
        <v>234</v>
      </c>
      <c r="B505" s="256"/>
      <c r="C505" s="519" t="s">
        <v>800</v>
      </c>
      <c r="D505" s="256"/>
      <c r="E505" s="513" t="s">
        <v>674</v>
      </c>
      <c r="F505" s="256"/>
      <c r="G505" s="35">
        <v>592384.97535999969</v>
      </c>
      <c r="H505" s="256"/>
      <c r="I505" s="772">
        <v>0.2175</v>
      </c>
      <c r="J505" s="762">
        <f>G505*I505/100</f>
        <v>1288.4373214079992</v>
      </c>
      <c r="K505" s="762"/>
      <c r="L505" s="35">
        <v>107.08991532537287</v>
      </c>
      <c r="M505" s="35">
        <v>512.53547882408759</v>
      </c>
      <c r="N505" s="35">
        <v>591.50700239859066</v>
      </c>
      <c r="O505" s="762">
        <f>J505-L505-M505-N505</f>
        <v>77.304924859948073</v>
      </c>
      <c r="P505" s="771"/>
      <c r="Q505" s="35">
        <v>100.38325578128658</v>
      </c>
      <c r="R505" s="35">
        <v>629.60058421578094</v>
      </c>
      <c r="S505" s="35">
        <v>592.17367997549388</v>
      </c>
      <c r="T505" s="771"/>
      <c r="U505" s="771">
        <f>SUM(O505:S505)</f>
        <v>1399.4624448325094</v>
      </c>
      <c r="V505" s="792">
        <f>U505/G505*100</f>
        <v>0.23624205593365002</v>
      </c>
      <c r="W505" s="762">
        <f>U505-J505</f>
        <v>111.02512342451018</v>
      </c>
      <c r="X505" s="834"/>
      <c r="Y505" s="769"/>
      <c r="AA505" s="938"/>
      <c r="AC505" s="938"/>
      <c r="AE505" s="949"/>
    </row>
    <row r="506" spans="1:31">
      <c r="A506" s="4">
        <v>235</v>
      </c>
      <c r="B506" s="256"/>
      <c r="C506" s="519" t="s">
        <v>801</v>
      </c>
      <c r="D506" s="256"/>
      <c r="E506" s="513" t="s">
        <v>674</v>
      </c>
      <c r="F506" s="256"/>
      <c r="G506" s="453">
        <v>0</v>
      </c>
      <c r="H506" s="256"/>
      <c r="I506" s="772">
        <v>0.2175</v>
      </c>
      <c r="J506" s="762">
        <f>G506*I506/100</f>
        <v>0</v>
      </c>
      <c r="K506" s="762"/>
      <c r="L506" s="762">
        <v>0</v>
      </c>
      <c r="M506" s="762">
        <v>0</v>
      </c>
      <c r="N506" s="762">
        <v>0</v>
      </c>
      <c r="O506" s="762">
        <f>J506-L506-M506-N506</f>
        <v>0</v>
      </c>
      <c r="P506" s="771"/>
      <c r="Q506" s="762">
        <v>0</v>
      </c>
      <c r="R506" s="762">
        <v>0</v>
      </c>
      <c r="S506" s="762">
        <v>0</v>
      </c>
      <c r="T506" s="771"/>
      <c r="U506" s="771">
        <f>SUM(O506:S506)</f>
        <v>0</v>
      </c>
      <c r="V506" s="823" t="str">
        <f>IFERROR(U506/G506*100,"-")</f>
        <v>-</v>
      </c>
      <c r="W506" s="762">
        <f>U506-J506</f>
        <v>0</v>
      </c>
      <c r="X506" s="834"/>
      <c r="Y506" s="769"/>
      <c r="AA506" s="938"/>
      <c r="AE506" s="949"/>
    </row>
    <row r="507" spans="1:31">
      <c r="A507" s="4">
        <v>236</v>
      </c>
      <c r="B507" s="256"/>
      <c r="C507" s="512" t="s">
        <v>705</v>
      </c>
      <c r="D507" s="256"/>
      <c r="E507" s="742"/>
      <c r="F507" s="256"/>
      <c r="G507" s="420">
        <f>SUM(G505:G506)</f>
        <v>592384.97535999969</v>
      </c>
      <c r="H507" s="256"/>
      <c r="I507" s="806">
        <f>J507/G507*100</f>
        <v>0.21749999999999997</v>
      </c>
      <c r="J507" s="805">
        <f>SUM(J505:J506)</f>
        <v>1288.4373214079992</v>
      </c>
      <c r="K507" s="762"/>
      <c r="L507" s="805">
        <f>SUM(L505:L506)</f>
        <v>107.08991532537287</v>
      </c>
      <c r="M507" s="805">
        <f>SUM(M505:M506)</f>
        <v>512.53547882408759</v>
      </c>
      <c r="N507" s="805">
        <f>SUM(N505:N506)</f>
        <v>591.50700239859066</v>
      </c>
      <c r="O507" s="805">
        <f>SUM(O505:O506)</f>
        <v>77.304924859948073</v>
      </c>
      <c r="P507" s="771"/>
      <c r="Q507" s="807">
        <f>SUM(Q505:Q506)</f>
        <v>100.38325578128658</v>
      </c>
      <c r="R507" s="807">
        <f>SUM(R505:R506)</f>
        <v>629.60058421578094</v>
      </c>
      <c r="S507" s="807">
        <f>SUM(S505:S506)</f>
        <v>592.17367997549388</v>
      </c>
      <c r="T507" s="771"/>
      <c r="U507" s="807">
        <f>SUM(U505:U506)</f>
        <v>1399.4624448325094</v>
      </c>
      <c r="V507" s="806">
        <f>U507/G507*100</f>
        <v>0.23624205593365002</v>
      </c>
      <c r="W507" s="805">
        <f>SUM(W505:W506)</f>
        <v>111.02512342451018</v>
      </c>
      <c r="X507" s="921">
        <f>V507/I507-1</f>
        <v>8.6170372108735904E-2</v>
      </c>
      <c r="Y507" s="769"/>
      <c r="AA507" s="938"/>
      <c r="AC507" s="938"/>
      <c r="AE507" s="949"/>
    </row>
    <row r="508" spans="1:31">
      <c r="A508" s="4"/>
      <c r="B508" s="256"/>
      <c r="C508" s="7"/>
      <c r="D508" s="256"/>
      <c r="E508" s="36"/>
      <c r="F508" s="256"/>
      <c r="G508" s="135"/>
      <c r="H508" s="256"/>
      <c r="I508" s="792"/>
      <c r="J508" s="762"/>
      <c r="K508" s="762"/>
      <c r="L508" s="762"/>
      <c r="M508" s="762"/>
      <c r="N508" s="762"/>
      <c r="O508" s="762"/>
      <c r="P508" s="771"/>
      <c r="Q508" s="762"/>
      <c r="R508" s="762"/>
      <c r="S508" s="762"/>
      <c r="T508" s="771"/>
      <c r="U508" s="771"/>
      <c r="V508" s="792"/>
      <c r="W508" s="762"/>
      <c r="X508" s="834"/>
      <c r="Y508" s="769"/>
      <c r="AA508" s="938"/>
      <c r="AC508" s="938"/>
      <c r="AE508" s="949"/>
    </row>
    <row r="509" spans="1:31">
      <c r="A509" s="4">
        <v>237</v>
      </c>
      <c r="B509" s="256"/>
      <c r="C509" s="519" t="s">
        <v>802</v>
      </c>
      <c r="D509" s="256"/>
      <c r="E509" s="513" t="s">
        <v>674</v>
      </c>
      <c r="F509" s="256"/>
      <c r="G509" s="35">
        <v>57602.159589999996</v>
      </c>
      <c r="H509" s="256"/>
      <c r="I509" s="772">
        <v>0.2175</v>
      </c>
      <c r="J509" s="762">
        <f>G509*I509/100</f>
        <v>125.28469710824999</v>
      </c>
      <c r="K509" s="762"/>
      <c r="L509" s="35">
        <v>10.413178337791187</v>
      </c>
      <c r="M509" s="35">
        <v>49.837777247507958</v>
      </c>
      <c r="N509" s="35">
        <v>57.51678750808982</v>
      </c>
      <c r="O509" s="762">
        <f>J509-L509-M509-N509</f>
        <v>7.5169540148610281</v>
      </c>
      <c r="P509" s="771"/>
      <c r="Q509" s="35">
        <v>9.7610381089822358</v>
      </c>
      <c r="R509" s="35">
        <v>61.22092024348715</v>
      </c>
      <c r="S509" s="35">
        <v>57.581613710267753</v>
      </c>
      <c r="T509" s="771"/>
      <c r="U509" s="771">
        <f>SUM(O509:S509)</f>
        <v>136.08052607759817</v>
      </c>
      <c r="V509" s="792">
        <f>U509/G509*100</f>
        <v>0.23624205593365008</v>
      </c>
      <c r="W509" s="762">
        <f>U509-J509</f>
        <v>10.795828969348179</v>
      </c>
      <c r="X509" s="834">
        <f>V509/I509-1</f>
        <v>8.6170372108735904E-2</v>
      </c>
      <c r="Y509" s="769"/>
      <c r="AA509" s="938"/>
      <c r="AC509" s="938"/>
      <c r="AE509" s="949"/>
    </row>
    <row r="510" spans="1:31">
      <c r="A510" s="4">
        <v>238</v>
      </c>
      <c r="B510" s="256"/>
      <c r="C510" s="519" t="s">
        <v>803</v>
      </c>
      <c r="D510" s="256"/>
      <c r="E510" s="513" t="s">
        <v>674</v>
      </c>
      <c r="F510" s="256"/>
      <c r="G510" s="35">
        <v>1276.4049299999999</v>
      </c>
      <c r="H510" s="256"/>
      <c r="I510" s="772">
        <v>0.19020000000000001</v>
      </c>
      <c r="J510" s="762">
        <f>G510*I510/100</f>
        <v>2.4277221768600001</v>
      </c>
      <c r="K510" s="762"/>
      <c r="L510" s="35">
        <v>0.65508486657600595</v>
      </c>
      <c r="M510" s="35">
        <v>0.80120681594156196</v>
      </c>
      <c r="N510" s="35">
        <v>0.86032447809677703</v>
      </c>
      <c r="O510" s="762">
        <f>J510-L510-M510-N510</f>
        <v>0.11110601624565508</v>
      </c>
      <c r="P510" s="771"/>
      <c r="Q510" s="35">
        <v>0.6140592372321052</v>
      </c>
      <c r="R510" s="35">
        <v>0.98420558231756494</v>
      </c>
      <c r="S510" s="35">
        <v>0.86129413532159815</v>
      </c>
      <c r="T510" s="771"/>
      <c r="U510" s="771">
        <f>SUM(O510:S510)</f>
        <v>2.5706649711169236</v>
      </c>
      <c r="V510" s="792">
        <f>U510/G510*100</f>
        <v>0.20139885946044755</v>
      </c>
      <c r="W510" s="762">
        <f>U510-J510</f>
        <v>0.14294279425692347</v>
      </c>
      <c r="X510" s="834">
        <f>V510/I510-1</f>
        <v>5.8879387278903961E-2</v>
      </c>
      <c r="Y510" s="769"/>
      <c r="AA510" s="938"/>
      <c r="AC510" s="938"/>
      <c r="AE510" s="949"/>
    </row>
    <row r="511" spans="1:31">
      <c r="A511" s="4"/>
      <c r="B511" s="256"/>
      <c r="C511" s="7"/>
      <c r="D511" s="256"/>
      <c r="E511" s="36"/>
      <c r="F511" s="256"/>
      <c r="G511" s="453"/>
      <c r="H511" s="256"/>
      <c r="I511" s="792"/>
      <c r="J511" s="762"/>
      <c r="K511" s="762"/>
      <c r="L511" s="762"/>
      <c r="M511" s="762"/>
      <c r="N511" s="762"/>
      <c r="O511" s="762"/>
      <c r="P511" s="771"/>
      <c r="Q511" s="762"/>
      <c r="R511" s="762"/>
      <c r="S511" s="762"/>
      <c r="T511" s="771"/>
      <c r="U511" s="771"/>
      <c r="V511" s="792"/>
      <c r="W511" s="762"/>
      <c r="X511" s="834"/>
      <c r="Y511" s="769"/>
      <c r="AA511" s="938"/>
      <c r="AC511" s="938"/>
      <c r="AE511" s="949"/>
    </row>
    <row r="512" spans="1:31">
      <c r="A512" s="4">
        <v>239</v>
      </c>
      <c r="B512" s="256"/>
      <c r="C512" s="7" t="s">
        <v>804</v>
      </c>
      <c r="D512" s="256"/>
      <c r="E512" s="36"/>
      <c r="F512" s="256"/>
      <c r="G512" s="420">
        <f>G507</f>
        <v>592384.97535999969</v>
      </c>
      <c r="H512" s="256"/>
      <c r="I512" s="806">
        <f>J512/G512*100</f>
        <v>0.23905902404639778</v>
      </c>
      <c r="J512" s="807">
        <f>J507+J509+J510</f>
        <v>1416.1497406931092</v>
      </c>
      <c r="K512" s="771"/>
      <c r="L512" s="807">
        <f>L507+L509+L510</f>
        <v>118.15817852974007</v>
      </c>
      <c r="M512" s="807">
        <f>M507+M509+M510</f>
        <v>563.17446288753706</v>
      </c>
      <c r="N512" s="807">
        <f>N507+N509+N510</f>
        <v>649.88411438477726</v>
      </c>
      <c r="O512" s="807">
        <f>O507+O509+O510</f>
        <v>84.932984891054758</v>
      </c>
      <c r="P512" s="771"/>
      <c r="Q512" s="807">
        <f>Q507+Q509+Q510</f>
        <v>110.75835312750092</v>
      </c>
      <c r="R512" s="807">
        <f>R507+R509+R510</f>
        <v>691.80571004158571</v>
      </c>
      <c r="S512" s="807">
        <f>S507+S509+S510</f>
        <v>650.61658782108327</v>
      </c>
      <c r="T512" s="771"/>
      <c r="U512" s="807">
        <f>U507+U509+U510</f>
        <v>1538.1136358812246</v>
      </c>
      <c r="V512" s="806">
        <f>U512/G512*100</f>
        <v>0.2596476446666281</v>
      </c>
      <c r="W512" s="807">
        <f>W502+W507+W509+W510</f>
        <v>121.96389518811529</v>
      </c>
      <c r="X512" s="880">
        <f>V512/I512-1</f>
        <v>8.6123586852067113E-2</v>
      </c>
      <c r="Y512" s="779"/>
      <c r="AA512" s="938"/>
      <c r="AC512" s="938"/>
      <c r="AE512" s="949"/>
    </row>
    <row r="513" spans="1:31">
      <c r="A513" s="4"/>
      <c r="B513" s="256"/>
      <c r="D513" s="256"/>
      <c r="E513" s="36"/>
      <c r="F513" s="256"/>
      <c r="G513" s="453"/>
      <c r="H513" s="256"/>
      <c r="I513" s="792"/>
      <c r="J513" s="762"/>
      <c r="K513" s="762"/>
      <c r="L513" s="762"/>
      <c r="M513" s="762"/>
      <c r="N513" s="762"/>
      <c r="O513" s="762"/>
      <c r="P513" s="771"/>
      <c r="Q513" s="762"/>
      <c r="R513" s="762"/>
      <c r="S513" s="762"/>
      <c r="T513" s="771"/>
      <c r="U513" s="771"/>
      <c r="V513" s="792"/>
      <c r="W513" s="762"/>
      <c r="X513" s="834"/>
      <c r="Y513" s="769"/>
      <c r="AA513" s="938"/>
      <c r="AC513" s="938"/>
      <c r="AE513" s="949"/>
    </row>
    <row r="514" spans="1:31">
      <c r="A514" s="4"/>
      <c r="B514" s="256"/>
      <c r="C514" s="7" t="s">
        <v>805</v>
      </c>
      <c r="D514" s="256"/>
      <c r="E514" s="742"/>
      <c r="F514" s="256"/>
      <c r="G514" s="453"/>
      <c r="H514" s="256"/>
      <c r="I514" s="792"/>
      <c r="J514" s="762"/>
      <c r="K514" s="762"/>
      <c r="L514" s="762"/>
      <c r="M514" s="762"/>
      <c r="N514" s="762"/>
      <c r="O514" s="762"/>
      <c r="P514" s="771"/>
      <c r="Q514" s="762"/>
      <c r="R514" s="762"/>
      <c r="S514" s="762"/>
      <c r="T514" s="771"/>
      <c r="U514" s="771"/>
      <c r="V514" s="792"/>
      <c r="W514" s="762"/>
      <c r="X514" s="834"/>
      <c r="Y514" s="769"/>
      <c r="AA514" s="938"/>
      <c r="AC514" s="938"/>
      <c r="AE514" s="949"/>
    </row>
    <row r="515" spans="1:31">
      <c r="A515" s="4">
        <v>240</v>
      </c>
      <c r="B515" s="256"/>
      <c r="C515" s="9" t="s">
        <v>806</v>
      </c>
      <c r="D515" s="256"/>
      <c r="E515" s="4" t="s">
        <v>704</v>
      </c>
      <c r="F515" s="256"/>
      <c r="G515" s="35">
        <v>36.000000000000014</v>
      </c>
      <c r="H515" s="256"/>
      <c r="I515" s="35">
        <v>0</v>
      </c>
      <c r="J515" s="35">
        <v>0</v>
      </c>
      <c r="K515" s="35"/>
      <c r="L515" s="35">
        <v>0</v>
      </c>
      <c r="M515" s="35">
        <v>0</v>
      </c>
      <c r="N515" s="35">
        <v>0</v>
      </c>
      <c r="O515" s="35">
        <v>0</v>
      </c>
      <c r="P515" s="771"/>
      <c r="Q515" s="35">
        <v>0</v>
      </c>
      <c r="R515" s="35">
        <v>0</v>
      </c>
      <c r="S515" s="35">
        <v>0</v>
      </c>
      <c r="T515" s="750"/>
      <c r="U515" s="35">
        <v>0</v>
      </c>
      <c r="V515" s="35">
        <v>0</v>
      </c>
      <c r="W515" s="35">
        <v>0</v>
      </c>
      <c r="X515" s="35"/>
      <c r="Y515" s="769"/>
      <c r="AA515" s="938"/>
      <c r="AC515" s="938"/>
      <c r="AE515" s="949"/>
    </row>
    <row r="516" spans="1:31">
      <c r="A516" s="4">
        <v>241</v>
      </c>
      <c r="B516" s="256"/>
      <c r="C516" s="519" t="s">
        <v>807</v>
      </c>
      <c r="D516" s="256"/>
      <c r="E516" s="513" t="s">
        <v>674</v>
      </c>
      <c r="F516" s="256"/>
      <c r="G516" s="35">
        <v>238.00964000000002</v>
      </c>
      <c r="H516" s="256"/>
      <c r="I516" s="772">
        <v>0.1434</v>
      </c>
      <c r="J516" s="762">
        <f>G516*I516/100</f>
        <v>0.34130582376000002</v>
      </c>
      <c r="K516" s="762"/>
      <c r="L516" s="35">
        <v>2.9490087921875002E-2</v>
      </c>
      <c r="M516" s="35">
        <v>0.17679428565583963</v>
      </c>
      <c r="N516" s="35">
        <v>0.13488452849963448</v>
      </c>
      <c r="O516" s="762">
        <f>J516-L516-M516-N516</f>
        <v>1.3692168265089233E-4</v>
      </c>
      <c r="P516" s="771"/>
      <c r="Q516" s="35">
        <v>2.7643228868748766E-2</v>
      </c>
      <c r="R516" s="35">
        <v>0.21717479108042784</v>
      </c>
      <c r="S516" s="35">
        <v>0.1350365545792197</v>
      </c>
      <c r="T516" s="771"/>
      <c r="U516" s="771">
        <f>SUM(O516:S516)</f>
        <v>0.37999149621104722</v>
      </c>
      <c r="V516" s="792">
        <f>U516/G516*100</f>
        <v>0.15965382587488774</v>
      </c>
      <c r="W516" s="762">
        <f>U516-J516</f>
        <v>3.8685672451047204E-2</v>
      </c>
      <c r="X516" s="785">
        <f>V516/I516-1</f>
        <v>0.11334606607313624</v>
      </c>
      <c r="Y516" s="785"/>
      <c r="AA516" s="938"/>
      <c r="AC516" s="938"/>
      <c r="AE516" s="949"/>
    </row>
    <row r="517" spans="1:31">
      <c r="A517" s="4">
        <v>242</v>
      </c>
      <c r="B517" s="256"/>
      <c r="C517" s="9" t="s">
        <v>808</v>
      </c>
      <c r="D517" s="256"/>
      <c r="E517" s="513" t="s">
        <v>674</v>
      </c>
      <c r="F517" s="256"/>
      <c r="G517" s="35">
        <v>2278.64</v>
      </c>
      <c r="H517" s="256"/>
      <c r="I517" s="772">
        <v>0.1434</v>
      </c>
      <c r="J517" s="762">
        <f>G517*I517/100</f>
        <v>3.2675697600000002</v>
      </c>
      <c r="K517" s="762"/>
      <c r="L517" s="35">
        <v>0</v>
      </c>
      <c r="M517" s="35">
        <v>0</v>
      </c>
      <c r="N517" s="35">
        <v>0</v>
      </c>
      <c r="O517" s="762">
        <f>J517-L517-M517-N517</f>
        <v>3.2675697600000002</v>
      </c>
      <c r="P517" s="771"/>
      <c r="Q517" s="35">
        <v>0</v>
      </c>
      <c r="R517" s="35">
        <v>0</v>
      </c>
      <c r="S517" s="35">
        <v>0</v>
      </c>
      <c r="T517" s="771"/>
      <c r="U517" s="771">
        <f>SUM(O517:S517)</f>
        <v>3.2675697600000002</v>
      </c>
      <c r="V517" s="792">
        <f>U517/G517*100</f>
        <v>0.14340000000000003</v>
      </c>
      <c r="W517" s="762">
        <f>U517-J517</f>
        <v>0</v>
      </c>
      <c r="X517" s="785">
        <f>V517/I517-1</f>
        <v>0</v>
      </c>
      <c r="Y517" s="785"/>
      <c r="AA517" s="938"/>
      <c r="AC517" s="938"/>
      <c r="AE517" s="949"/>
    </row>
    <row r="518" spans="1:31">
      <c r="A518" s="4"/>
      <c r="B518" s="256"/>
      <c r="C518" s="7"/>
      <c r="D518" s="256"/>
      <c r="E518" s="36"/>
      <c r="F518" s="256"/>
      <c r="G518" s="35"/>
      <c r="H518" s="256"/>
      <c r="I518" s="792"/>
      <c r="J518" s="762"/>
      <c r="K518" s="762"/>
      <c r="L518" s="762"/>
      <c r="M518" s="762"/>
      <c r="N518" s="762"/>
      <c r="O518" s="762"/>
      <c r="P518" s="771"/>
      <c r="Q518" s="762"/>
      <c r="R518" s="762"/>
      <c r="S518" s="762"/>
      <c r="T518" s="771"/>
      <c r="U518" s="771"/>
      <c r="V518" s="792"/>
      <c r="W518" s="762"/>
      <c r="X518" s="834"/>
      <c r="Y518" s="769"/>
      <c r="AA518" s="938"/>
      <c r="AC518" s="938"/>
      <c r="AE518" s="949"/>
    </row>
    <row r="519" spans="1:31">
      <c r="A519" s="4">
        <v>243</v>
      </c>
      <c r="B519" s="256"/>
      <c r="C519" s="7" t="s">
        <v>809</v>
      </c>
      <c r="D519" s="256"/>
      <c r="E519" s="36"/>
      <c r="F519" s="256"/>
      <c r="G519" s="420">
        <f>G516</f>
        <v>238.00964000000002</v>
      </c>
      <c r="H519" s="256"/>
      <c r="I519" s="806">
        <f>J519/G519*100</f>
        <v>1.5162728634688916</v>
      </c>
      <c r="J519" s="805">
        <f>SUM(J516:J518)</f>
        <v>3.6088755837600002</v>
      </c>
      <c r="K519" s="762"/>
      <c r="L519" s="805">
        <f>SUM(L516:L518)</f>
        <v>2.9490087921875002E-2</v>
      </c>
      <c r="M519" s="805">
        <f>SUM(M516:M518)</f>
        <v>0.17679428565583963</v>
      </c>
      <c r="N519" s="805">
        <f>SUM(N516:N518)</f>
        <v>0.13488452849963448</v>
      </c>
      <c r="O519" s="805">
        <f>SUM(O516:O518)</f>
        <v>3.2677066816826512</v>
      </c>
      <c r="P519" s="771"/>
      <c r="Q519" s="807">
        <f>SUM(Q516:Q518)</f>
        <v>2.7643228868748766E-2</v>
      </c>
      <c r="R519" s="807">
        <f>SUM(R516:R518)</f>
        <v>0.21717479108042784</v>
      </c>
      <c r="S519" s="807">
        <f>SUM(S516:S518)</f>
        <v>0.1350365545792197</v>
      </c>
      <c r="T519" s="771"/>
      <c r="U519" s="807">
        <f>SUM(U516:U518)</f>
        <v>3.6475612562110475</v>
      </c>
      <c r="V519" s="806">
        <f>U519/G519*100</f>
        <v>1.5325266893437792</v>
      </c>
      <c r="W519" s="805">
        <f>SUM(W515:W518)</f>
        <v>3.8685672451047204E-2</v>
      </c>
      <c r="X519" s="816">
        <f>V519/I519-1</f>
        <v>1.0719591616051627E-2</v>
      </c>
      <c r="Y519" s="785"/>
      <c r="AA519" s="938"/>
      <c r="AC519" s="938"/>
      <c r="AE519" s="949"/>
    </row>
    <row r="520" spans="1:31">
      <c r="A520" s="4"/>
      <c r="B520" s="256"/>
      <c r="D520" s="256"/>
      <c r="E520" s="36"/>
      <c r="F520" s="256"/>
      <c r="G520" s="453"/>
      <c r="H520" s="256"/>
      <c r="I520" s="792"/>
      <c r="J520" s="762"/>
      <c r="K520" s="762"/>
      <c r="L520" s="762"/>
      <c r="M520" s="762"/>
      <c r="N520" s="762"/>
      <c r="O520" s="762"/>
      <c r="P520" s="771"/>
      <c r="Q520" s="762"/>
      <c r="R520" s="762"/>
      <c r="S520" s="762"/>
      <c r="T520" s="771"/>
      <c r="U520" s="771"/>
      <c r="V520" s="792"/>
      <c r="W520" s="762"/>
      <c r="X520" s="834"/>
      <c r="Y520" s="769"/>
      <c r="AA520" s="938"/>
      <c r="AC520" s="938"/>
      <c r="AE520" s="949"/>
    </row>
    <row r="521" spans="1:31">
      <c r="A521" s="4">
        <v>244</v>
      </c>
      <c r="B521" s="256"/>
      <c r="C521" s="7" t="s">
        <v>810</v>
      </c>
      <c r="D521" s="256"/>
      <c r="E521" s="513" t="s">
        <v>674</v>
      </c>
      <c r="F521" s="256"/>
      <c r="G521" s="35">
        <v>16020.952840000002</v>
      </c>
      <c r="H521" s="256"/>
      <c r="I521" s="35">
        <v>0</v>
      </c>
      <c r="J521" s="35">
        <v>0</v>
      </c>
      <c r="K521" s="35"/>
      <c r="L521" s="35">
        <v>0</v>
      </c>
      <c r="M521" s="35">
        <v>0</v>
      </c>
      <c r="N521" s="35">
        <v>0</v>
      </c>
      <c r="O521" s="35">
        <v>0</v>
      </c>
      <c r="P521" s="771"/>
      <c r="Q521" s="35">
        <v>0</v>
      </c>
      <c r="R521" s="35">
        <v>0</v>
      </c>
      <c r="S521" s="35">
        <v>0</v>
      </c>
      <c r="T521" s="750"/>
      <c r="U521" s="35">
        <v>0</v>
      </c>
      <c r="V521" s="35">
        <v>0</v>
      </c>
      <c r="W521" s="35">
        <v>0</v>
      </c>
      <c r="X521" s="35"/>
      <c r="Y521" s="769"/>
      <c r="AA521" s="938"/>
      <c r="AC521" s="938"/>
      <c r="AE521" s="949"/>
    </row>
    <row r="522" spans="1:31">
      <c r="A522" s="4">
        <v>245</v>
      </c>
      <c r="B522" s="256"/>
      <c r="C522" s="7" t="s">
        <v>715</v>
      </c>
      <c r="D522" s="256"/>
      <c r="E522" s="513" t="s">
        <v>674</v>
      </c>
      <c r="F522" s="256"/>
      <c r="G522" s="35">
        <v>59361.556339999981</v>
      </c>
      <c r="H522" s="256"/>
      <c r="I522" s="772">
        <v>20.612300000000001</v>
      </c>
      <c r="J522" s="762">
        <f>G522*I522/100</f>
        <v>12235.782077469816</v>
      </c>
      <c r="K522" s="762"/>
      <c r="L522" s="35">
        <v>0</v>
      </c>
      <c r="M522" s="35">
        <v>0</v>
      </c>
      <c r="N522" s="35">
        <v>0</v>
      </c>
      <c r="O522" s="762">
        <f>J522-L522-M522-N522</f>
        <v>12235.782077469816</v>
      </c>
      <c r="P522" s="771"/>
      <c r="Q522" s="35">
        <v>0</v>
      </c>
      <c r="R522" s="35">
        <v>0</v>
      </c>
      <c r="S522" s="35">
        <v>0</v>
      </c>
      <c r="T522" s="771"/>
      <c r="U522" s="771">
        <f>SUM(O522:S522)</f>
        <v>12235.782077469816</v>
      </c>
      <c r="V522" s="792">
        <f>U522/G522*100</f>
        <v>20.612300000000001</v>
      </c>
      <c r="W522" s="762">
        <f>U522-J522</f>
        <v>0</v>
      </c>
      <c r="X522" s="834">
        <f>V522/I522-1</f>
        <v>0</v>
      </c>
      <c r="Y522" s="769"/>
      <c r="AA522" s="938"/>
      <c r="AC522" s="938"/>
      <c r="AE522" s="949"/>
    </row>
    <row r="523" spans="1:31">
      <c r="A523" s="4"/>
      <c r="B523" s="256"/>
      <c r="C523" s="7"/>
      <c r="D523" s="256"/>
      <c r="E523" s="742"/>
      <c r="F523" s="256"/>
      <c r="G523" s="453"/>
      <c r="H523" s="256"/>
      <c r="I523" s="772"/>
      <c r="J523" s="762"/>
      <c r="K523" s="762"/>
      <c r="L523" s="762"/>
      <c r="M523" s="762"/>
      <c r="N523" s="762"/>
      <c r="O523" s="762"/>
      <c r="P523" s="771"/>
      <c r="Q523" s="762"/>
      <c r="R523" s="762"/>
      <c r="S523" s="762"/>
      <c r="T523" s="771"/>
      <c r="U523" s="771"/>
      <c r="V523" s="792"/>
      <c r="W523" s="762"/>
      <c r="X523" s="834"/>
      <c r="Y523" s="769"/>
      <c r="AA523" s="938"/>
      <c r="AC523" s="938"/>
      <c r="AE523" s="949"/>
    </row>
    <row r="524" spans="1:31" ht="13.5" thickBot="1">
      <c r="A524" s="4">
        <v>246</v>
      </c>
      <c r="B524" s="256"/>
      <c r="C524" s="7" t="s">
        <v>811</v>
      </c>
      <c r="D524" s="256"/>
      <c r="E524" s="36"/>
      <c r="F524" s="256"/>
      <c r="G524" s="458">
        <f>G512+G519</f>
        <v>592622.98499999964</v>
      </c>
      <c r="H524" s="256"/>
      <c r="I524" s="803">
        <f>J524/G524*100</f>
        <v>2.3042543133467381</v>
      </c>
      <c r="J524" s="781">
        <f>J512+J519+J522</f>
        <v>13655.540693746685</v>
      </c>
      <c r="K524" s="771"/>
      <c r="L524" s="781">
        <f>L512+L519+L522</f>
        <v>118.18766861766194</v>
      </c>
      <c r="M524" s="781">
        <f>M512+M519+M522</f>
        <v>563.35125717319295</v>
      </c>
      <c r="N524" s="781">
        <f>N512+N519+N522</f>
        <v>650.01899891327685</v>
      </c>
      <c r="O524" s="781">
        <f>O512+O519+O522</f>
        <v>12323.982769042554</v>
      </c>
      <c r="P524" s="771"/>
      <c r="Q524" s="781">
        <f>Q512+Q519+Q522</f>
        <v>110.78599635636968</v>
      </c>
      <c r="R524" s="781">
        <f>R512+R519+R522</f>
        <v>692.02288483266614</v>
      </c>
      <c r="S524" s="781">
        <f>S512+S519+S522</f>
        <v>650.75162437566246</v>
      </c>
      <c r="T524" s="771"/>
      <c r="U524" s="781">
        <f>U512+U519+U522</f>
        <v>13777.543274607251</v>
      </c>
      <c r="V524" s="803">
        <f>U524/G524*100</f>
        <v>2.3248411930238007</v>
      </c>
      <c r="W524" s="781">
        <f>W512+W519+W521+W522</f>
        <v>122.00258086056634</v>
      </c>
      <c r="X524" s="917">
        <f>V524/I524-1</f>
        <v>8.9342914789478645E-3</v>
      </c>
      <c r="Y524" s="769"/>
      <c r="AA524" s="938"/>
      <c r="AC524" s="938"/>
      <c r="AE524" s="949"/>
    </row>
    <row r="525" spans="1:31" ht="13.5" thickTop="1">
      <c r="A525" s="4"/>
      <c r="B525" s="256"/>
      <c r="C525" s="7"/>
      <c r="D525" s="256"/>
      <c r="E525" s="134"/>
      <c r="F525" s="256"/>
      <c r="G525" s="453"/>
      <c r="H525" s="256"/>
      <c r="I525" s="792"/>
      <c r="J525" s="771"/>
      <c r="K525" s="771"/>
      <c r="L525" s="771"/>
      <c r="M525" s="771"/>
      <c r="N525" s="771"/>
      <c r="O525" s="771"/>
      <c r="P525" s="771"/>
      <c r="Q525" s="771"/>
      <c r="R525" s="771"/>
      <c r="S525" s="771"/>
      <c r="T525" s="750"/>
      <c r="U525" s="750"/>
      <c r="V525" s="848"/>
      <c r="W525" s="750"/>
      <c r="X525" s="978"/>
      <c r="Y525" s="779"/>
    </row>
    <row r="526" spans="1:31">
      <c r="A526" s="4"/>
      <c r="B526" s="256"/>
      <c r="C526" s="7"/>
      <c r="D526" s="256"/>
      <c r="E526" s="134"/>
      <c r="F526" s="256"/>
      <c r="G526" s="453"/>
      <c r="H526" s="256"/>
      <c r="I526" s="792"/>
      <c r="J526" s="771"/>
      <c r="K526" s="771"/>
      <c r="L526" s="771"/>
      <c r="M526" s="771"/>
      <c r="N526" s="771"/>
      <c r="O526" s="771"/>
      <c r="P526" s="771"/>
      <c r="Q526" s="771"/>
      <c r="R526" s="771"/>
      <c r="S526" s="771"/>
      <c r="T526" s="750"/>
      <c r="U526" s="750"/>
      <c r="V526" s="848"/>
      <c r="W526" s="750"/>
      <c r="X526" s="978"/>
      <c r="Y526" s="779"/>
    </row>
    <row r="527" spans="1:31">
      <c r="J527" s="504"/>
      <c r="K527" s="504"/>
      <c r="L527" s="2"/>
      <c r="M527" s="2"/>
      <c r="N527" s="504"/>
      <c r="O527" s="504"/>
      <c r="Q527" s="504"/>
      <c r="R527" s="504"/>
      <c r="S527" s="504"/>
      <c r="W527" s="504"/>
      <c r="X527" s="513"/>
    </row>
    <row r="528" spans="1:31">
      <c r="J528" s="504"/>
      <c r="K528" s="504"/>
      <c r="L528" s="2"/>
      <c r="M528" s="2"/>
      <c r="N528" s="504"/>
      <c r="O528" s="504"/>
      <c r="Q528" s="504"/>
      <c r="R528" s="504"/>
      <c r="S528" s="504"/>
      <c r="W528" s="504"/>
      <c r="X528" s="513"/>
    </row>
    <row r="529" spans="1:31">
      <c r="J529" s="504"/>
      <c r="K529" s="504"/>
      <c r="L529" s="2"/>
      <c r="M529" s="2"/>
      <c r="N529" s="504"/>
      <c r="O529" s="504"/>
      <c r="Q529" s="504"/>
      <c r="R529" s="504"/>
      <c r="S529" s="504"/>
      <c r="W529" s="504"/>
      <c r="X529" s="513"/>
    </row>
    <row r="530" spans="1:31">
      <c r="A530" s="1324" t="s">
        <v>724</v>
      </c>
      <c r="B530" s="1324"/>
      <c r="C530" s="1324"/>
      <c r="D530" s="1324"/>
      <c r="E530" s="1324"/>
      <c r="F530" s="1324"/>
      <c r="G530" s="1324"/>
      <c r="H530" s="1324"/>
      <c r="I530" s="1324"/>
      <c r="J530" s="1324"/>
      <c r="K530" s="1324"/>
      <c r="L530" s="1324"/>
      <c r="M530" s="1324"/>
      <c r="N530" s="1324"/>
      <c r="O530" s="1324"/>
      <c r="P530" s="1324"/>
      <c r="Q530" s="1324"/>
      <c r="R530" s="1324"/>
      <c r="S530" s="1324"/>
      <c r="T530" s="1324"/>
      <c r="U530" s="1324"/>
      <c r="V530" s="1324"/>
      <c r="W530" s="1324"/>
      <c r="X530" s="1324"/>
      <c r="Y530" s="665"/>
    </row>
    <row r="531" spans="1:31">
      <c r="A531" s="1324" t="s">
        <v>963</v>
      </c>
      <c r="B531" s="1324"/>
      <c r="C531" s="1324"/>
      <c r="D531" s="1324"/>
      <c r="E531" s="1324"/>
      <c r="F531" s="1324"/>
      <c r="G531" s="1324"/>
      <c r="H531" s="1324"/>
      <c r="I531" s="1324"/>
      <c r="J531" s="1324"/>
      <c r="K531" s="1324"/>
      <c r="L531" s="1324"/>
      <c r="M531" s="1324"/>
      <c r="N531" s="1324"/>
      <c r="O531" s="1324"/>
      <c r="P531" s="1324"/>
      <c r="Q531" s="1324"/>
      <c r="R531" s="1324"/>
      <c r="S531" s="1324"/>
      <c r="T531" s="1324"/>
      <c r="U531" s="1324"/>
      <c r="V531" s="1324"/>
      <c r="W531" s="1324"/>
      <c r="X531" s="1324"/>
      <c r="Y531" s="644"/>
      <c r="Z531" s="644"/>
    </row>
    <row r="532" spans="1:31">
      <c r="A532" s="385"/>
      <c r="B532" s="385"/>
      <c r="C532" s="385"/>
      <c r="D532" s="385"/>
      <c r="E532" s="447"/>
      <c r="F532" s="385"/>
      <c r="G532" s="447"/>
      <c r="H532" s="385"/>
      <c r="I532" s="385"/>
      <c r="J532" s="504"/>
      <c r="K532" s="504"/>
      <c r="L532" s="3"/>
      <c r="M532" s="3"/>
      <c r="N532" s="504"/>
      <c r="O532" s="504"/>
      <c r="P532" s="385"/>
      <c r="Q532" s="504"/>
      <c r="R532" s="504"/>
      <c r="S532" s="504"/>
      <c r="T532" s="385"/>
      <c r="U532" s="385"/>
      <c r="V532" s="385"/>
      <c r="W532" s="504"/>
      <c r="X532" s="513"/>
    </row>
    <row r="533" spans="1:31">
      <c r="A533" s="447"/>
      <c r="B533" s="447"/>
      <c r="C533" s="447"/>
      <c r="D533" s="447"/>
      <c r="E533" s="256"/>
      <c r="F533" s="256"/>
      <c r="G533" s="1313" t="s">
        <v>682</v>
      </c>
      <c r="H533" s="1313"/>
      <c r="I533" s="1313"/>
      <c r="J533" s="1313"/>
      <c r="K533" s="256"/>
      <c r="L533" s="1313" t="s">
        <v>496</v>
      </c>
      <c r="M533" s="1313"/>
      <c r="N533" s="1313"/>
      <c r="O533" s="256"/>
      <c r="P533" s="447"/>
      <c r="Q533" s="1313" t="s">
        <v>497</v>
      </c>
      <c r="R533" s="1313"/>
      <c r="S533" s="1313"/>
      <c r="T533" s="447"/>
      <c r="U533" s="1313" t="s">
        <v>683</v>
      </c>
      <c r="V533" s="1313"/>
      <c r="W533" s="1313"/>
      <c r="X533" s="1313"/>
      <c r="Y533" s="4"/>
    </row>
    <row r="534" spans="1:31" ht="38.25">
      <c r="A534" s="254" t="s">
        <v>1</v>
      </c>
      <c r="B534" s="254"/>
      <c r="C534" s="254"/>
      <c r="D534" s="254"/>
      <c r="E534" s="4" t="s">
        <v>670</v>
      </c>
      <c r="F534" s="254"/>
      <c r="G534" s="13" t="s">
        <v>684</v>
      </c>
      <c r="H534" s="254"/>
      <c r="I534" s="13" t="s">
        <v>196</v>
      </c>
      <c r="J534" s="254" t="s">
        <v>503</v>
      </c>
      <c r="K534" s="254"/>
      <c r="L534" s="254" t="s">
        <v>955</v>
      </c>
      <c r="M534" s="254" t="s">
        <v>956</v>
      </c>
      <c r="N534" s="254" t="s">
        <v>957</v>
      </c>
      <c r="O534" s="254" t="s">
        <v>958</v>
      </c>
      <c r="P534" s="254"/>
      <c r="Q534" s="254" t="s">
        <v>955</v>
      </c>
      <c r="R534" s="254" t="s">
        <v>956</v>
      </c>
      <c r="S534" s="254" t="s">
        <v>957</v>
      </c>
      <c r="T534" s="254"/>
      <c r="U534" s="13" t="s">
        <v>512</v>
      </c>
      <c r="V534" s="13" t="s">
        <v>691</v>
      </c>
      <c r="W534" s="13" t="s">
        <v>692</v>
      </c>
      <c r="X534" s="254" t="s">
        <v>693</v>
      </c>
      <c r="Y534" s="254"/>
    </row>
    <row r="535" spans="1:31" ht="14.25">
      <c r="A535" s="255" t="s">
        <v>2</v>
      </c>
      <c r="B535" s="256"/>
      <c r="C535" s="449" t="s">
        <v>3</v>
      </c>
      <c r="D535" s="256"/>
      <c r="E535" s="255" t="s">
        <v>4</v>
      </c>
      <c r="F535" s="256"/>
      <c r="G535" s="255" t="s">
        <v>694</v>
      </c>
      <c r="H535" s="256"/>
      <c r="I535" s="255" t="s">
        <v>77</v>
      </c>
      <c r="J535" s="255" t="s">
        <v>20</v>
      </c>
      <c r="K535" s="4"/>
      <c r="L535" s="255" t="s">
        <v>20</v>
      </c>
      <c r="M535" s="255" t="s">
        <v>20</v>
      </c>
      <c r="N535" s="255" t="s">
        <v>20</v>
      </c>
      <c r="O535" s="255" t="s">
        <v>20</v>
      </c>
      <c r="P535" s="256"/>
      <c r="Q535" s="255" t="s">
        <v>20</v>
      </c>
      <c r="R535" s="255" t="s">
        <v>20</v>
      </c>
      <c r="S535" s="255" t="s">
        <v>20</v>
      </c>
      <c r="T535" s="256"/>
      <c r="U535" s="255" t="s">
        <v>20</v>
      </c>
      <c r="V535" s="255" t="s">
        <v>77</v>
      </c>
      <c r="W535" s="255" t="s">
        <v>20</v>
      </c>
      <c r="X535" s="255" t="s">
        <v>76</v>
      </c>
      <c r="Y535" s="4"/>
    </row>
    <row r="536" spans="1:31">
      <c r="A536" s="4"/>
      <c r="B536" s="256"/>
      <c r="C536" s="256"/>
      <c r="D536" s="256"/>
      <c r="E536" s="4"/>
      <c r="F536" s="256"/>
      <c r="G536" s="4" t="s">
        <v>8</v>
      </c>
      <c r="H536" s="4"/>
      <c r="I536" s="4" t="s">
        <v>9</v>
      </c>
      <c r="J536" s="4" t="s">
        <v>370</v>
      </c>
      <c r="K536" s="4"/>
      <c r="L536" s="132" t="s">
        <v>79</v>
      </c>
      <c r="M536" s="132" t="s">
        <v>115</v>
      </c>
      <c r="N536" s="4" t="s">
        <v>81</v>
      </c>
      <c r="O536" s="4" t="s">
        <v>959</v>
      </c>
      <c r="P536" s="4"/>
      <c r="Q536" s="4" t="s">
        <v>118</v>
      </c>
      <c r="R536" s="4" t="s">
        <v>84</v>
      </c>
      <c r="S536" s="4" t="s">
        <v>516</v>
      </c>
      <c r="T536" s="4"/>
      <c r="U536" s="4" t="s">
        <v>960</v>
      </c>
      <c r="V536" s="4" t="s">
        <v>518</v>
      </c>
      <c r="W536" s="4" t="s">
        <v>961</v>
      </c>
      <c r="X536" s="4" t="s">
        <v>962</v>
      </c>
    </row>
    <row r="537" spans="1:31">
      <c r="E537" s="1"/>
      <c r="J537" s="762"/>
      <c r="K537" s="762"/>
      <c r="L537" s="762"/>
      <c r="M537" s="762"/>
      <c r="N537" s="762"/>
      <c r="O537" s="762"/>
      <c r="P537" s="68"/>
      <c r="Q537" s="762"/>
      <c r="R537" s="762"/>
      <c r="S537" s="762"/>
      <c r="T537" s="68"/>
      <c r="U537" s="68"/>
      <c r="V537" s="68"/>
      <c r="W537" s="762"/>
      <c r="X537" s="976"/>
      <c r="Y537" s="769"/>
    </row>
    <row r="538" spans="1:31">
      <c r="A538" s="734"/>
      <c r="B538" s="734"/>
      <c r="C538" s="6" t="s">
        <v>181</v>
      </c>
      <c r="D538" s="734"/>
      <c r="E538" s="444"/>
      <c r="F538" s="734"/>
      <c r="G538" s="734"/>
      <c r="H538" s="734"/>
      <c r="I538" s="734"/>
      <c r="J538" s="762"/>
      <c r="K538" s="762"/>
      <c r="L538" s="762"/>
      <c r="M538" s="762"/>
      <c r="N538" s="762"/>
      <c r="O538" s="762"/>
      <c r="P538" s="790"/>
      <c r="Q538" s="762"/>
      <c r="R538" s="762"/>
      <c r="S538" s="762"/>
      <c r="T538" s="790"/>
      <c r="U538" s="790"/>
      <c r="V538" s="790"/>
      <c r="W538" s="762"/>
      <c r="X538" s="976"/>
      <c r="Y538" s="833"/>
    </row>
    <row r="539" spans="1:31">
      <c r="A539" s="256">
        <v>247</v>
      </c>
      <c r="B539" s="256"/>
      <c r="C539" s="7" t="s">
        <v>703</v>
      </c>
      <c r="D539" s="385"/>
      <c r="E539" s="4" t="s">
        <v>704</v>
      </c>
      <c r="F539" s="385"/>
      <c r="G539" s="35">
        <v>456.0000000000021</v>
      </c>
      <c r="H539" s="385"/>
      <c r="I539" s="35">
        <v>0</v>
      </c>
      <c r="J539" s="762">
        <v>0</v>
      </c>
      <c r="K539" s="762"/>
      <c r="L539" s="825">
        <v>0</v>
      </c>
      <c r="M539" s="825">
        <v>0</v>
      </c>
      <c r="N539" s="825">
        <v>0</v>
      </c>
      <c r="O539" s="762">
        <v>0</v>
      </c>
      <c r="P539" s="789"/>
      <c r="Q539" s="825">
        <v>0</v>
      </c>
      <c r="R539" s="825">
        <v>0</v>
      </c>
      <c r="S539" s="825">
        <v>0</v>
      </c>
      <c r="T539" s="789"/>
      <c r="U539" s="453">
        <v>0</v>
      </c>
      <c r="V539" s="453">
        <v>0</v>
      </c>
      <c r="W539" s="762">
        <v>0</v>
      </c>
      <c r="X539" s="834"/>
      <c r="Y539" s="833"/>
      <c r="AA539" s="938"/>
      <c r="AE539" s="954"/>
    </row>
    <row r="540" spans="1:31">
      <c r="A540" s="256">
        <v>248</v>
      </c>
      <c r="B540" s="256"/>
      <c r="C540" s="512" t="s">
        <v>705</v>
      </c>
      <c r="D540" s="447"/>
      <c r="E540" s="513" t="s">
        <v>674</v>
      </c>
      <c r="F540" s="447"/>
      <c r="G540" s="35">
        <v>55087.023449999993</v>
      </c>
      <c r="H540" s="447"/>
      <c r="I540" s="772">
        <v>0.1434</v>
      </c>
      <c r="J540" s="762">
        <f>G540*I540/100</f>
        <v>78.994791627299989</v>
      </c>
      <c r="K540" s="762"/>
      <c r="L540" s="35">
        <v>6.8254427211220925</v>
      </c>
      <c r="M540" s="35">
        <v>40.918808833748216</v>
      </c>
      <c r="N540" s="35">
        <v>31.218849726009235</v>
      </c>
      <c r="O540" s="762">
        <f>J540-L540-M540-N540</f>
        <v>3.1690346420450766E-2</v>
      </c>
      <c r="P540" s="787"/>
      <c r="Q540" s="35">
        <v>6.3979895811215028</v>
      </c>
      <c r="R540" s="35">
        <v>50.264824605408322</v>
      </c>
      <c r="S540" s="35">
        <v>31.254035965571312</v>
      </c>
      <c r="T540" s="787"/>
      <c r="U540" s="453">
        <f>SUM(O540:S540)</f>
        <v>87.948540498521595</v>
      </c>
      <c r="V540" s="959">
        <f>U540/G540*100</f>
        <v>0.1596538258748878</v>
      </c>
      <c r="W540" s="762">
        <f>U540-J540</f>
        <v>8.953748871221606</v>
      </c>
      <c r="X540" s="785">
        <f>V540/I540-1</f>
        <v>0.11334606607313669</v>
      </c>
      <c r="Y540" s="785"/>
      <c r="AA540" s="938"/>
      <c r="AC540" s="938"/>
      <c r="AE540" s="949"/>
    </row>
    <row r="541" spans="1:31">
      <c r="A541" s="256">
        <v>249</v>
      </c>
      <c r="B541" s="837"/>
      <c r="C541" s="512" t="s">
        <v>813</v>
      </c>
      <c r="D541" s="254"/>
      <c r="E541" s="513" t="s">
        <v>674</v>
      </c>
      <c r="F541" s="254"/>
      <c r="G541" s="35">
        <v>4252.9598999999998</v>
      </c>
      <c r="H541" s="254"/>
      <c r="I541" s="772">
        <v>0.1434</v>
      </c>
      <c r="J541" s="762">
        <f>G541*I541/100</f>
        <v>6.0987444966000002</v>
      </c>
      <c r="K541" s="762"/>
      <c r="L541" s="35">
        <v>0.52695412412374854</v>
      </c>
      <c r="M541" s="35">
        <v>3.1591115697810852</v>
      </c>
      <c r="N541" s="35">
        <v>2.410232168912791</v>
      </c>
      <c r="O541" s="762">
        <f>J541-L541-M541-N541</f>
        <v>2.4466337823754181E-3</v>
      </c>
      <c r="P541" s="786"/>
      <c r="Q541" s="35">
        <v>0.49395286630117513</v>
      </c>
      <c r="R541" s="35">
        <v>3.8806649922076151</v>
      </c>
      <c r="S541" s="35">
        <v>2.4129487009836361</v>
      </c>
      <c r="T541" s="786"/>
      <c r="U541" s="453">
        <f>SUM(O541:S541)</f>
        <v>6.7900131932748025</v>
      </c>
      <c r="V541" s="959">
        <f>U541/G541*100</f>
        <v>0.1596538258748878</v>
      </c>
      <c r="W541" s="762">
        <f>U541-J541</f>
        <v>0.69126869667480229</v>
      </c>
      <c r="X541" s="785">
        <f>V541/I541-1</f>
        <v>0.11334606607313669</v>
      </c>
      <c r="Y541" s="785"/>
      <c r="AA541" s="938"/>
      <c r="AC541" s="938"/>
      <c r="AE541" s="949"/>
    </row>
    <row r="542" spans="1:31">
      <c r="A542" s="256">
        <v>250</v>
      </c>
      <c r="B542" s="256"/>
      <c r="C542" s="512" t="s">
        <v>814</v>
      </c>
      <c r="D542" s="256"/>
      <c r="E542" s="513" t="s">
        <v>674</v>
      </c>
      <c r="F542" s="256"/>
      <c r="G542" s="35">
        <v>12766.517779999998</v>
      </c>
      <c r="H542" s="256"/>
      <c r="I542" s="35">
        <v>0</v>
      </c>
      <c r="J542" s="762">
        <f>G542*I542/100</f>
        <v>0</v>
      </c>
      <c r="K542" s="35"/>
      <c r="L542" s="35">
        <v>0</v>
      </c>
      <c r="M542" s="35">
        <v>0</v>
      </c>
      <c r="N542" s="35">
        <v>0</v>
      </c>
      <c r="O542" s="762">
        <f>J542-L542-M542-N542</f>
        <v>0</v>
      </c>
      <c r="P542" s="771"/>
      <c r="Q542" s="35">
        <v>0</v>
      </c>
      <c r="R542" s="35">
        <v>0</v>
      </c>
      <c r="S542" s="35">
        <v>0</v>
      </c>
      <c r="T542" s="750"/>
      <c r="U542" s="453">
        <f>SUM(O542:S542)</f>
        <v>0</v>
      </c>
      <c r="V542" s="35">
        <v>0</v>
      </c>
      <c r="W542" s="762">
        <f>U542-J542</f>
        <v>0</v>
      </c>
      <c r="X542" s="35"/>
      <c r="Y542" s="833"/>
      <c r="AA542" s="938"/>
      <c r="AC542" s="938"/>
      <c r="AE542" s="949"/>
    </row>
    <row r="543" spans="1:31">
      <c r="A543" s="256">
        <v>251</v>
      </c>
      <c r="B543" s="256"/>
      <c r="C543" s="512" t="s">
        <v>815</v>
      </c>
      <c r="D543" s="256"/>
      <c r="E543" s="513" t="s">
        <v>674</v>
      </c>
      <c r="F543" s="256"/>
      <c r="G543" s="35">
        <v>12450.358</v>
      </c>
      <c r="H543" s="256"/>
      <c r="I543" s="35">
        <v>0</v>
      </c>
      <c r="J543" s="762">
        <f>G543*I543/100</f>
        <v>0</v>
      </c>
      <c r="K543" s="35"/>
      <c r="L543" s="35">
        <v>0</v>
      </c>
      <c r="M543" s="35">
        <v>0</v>
      </c>
      <c r="N543" s="35">
        <v>0</v>
      </c>
      <c r="O543" s="762">
        <f>J543-L543-M543-N543</f>
        <v>0</v>
      </c>
      <c r="P543" s="771"/>
      <c r="Q543" s="35">
        <v>0</v>
      </c>
      <c r="R543" s="35">
        <v>0</v>
      </c>
      <c r="S543" s="35">
        <v>0</v>
      </c>
      <c r="T543" s="750"/>
      <c r="U543" s="453">
        <f>SUM(O543:S543)</f>
        <v>0</v>
      </c>
      <c r="V543" s="35">
        <v>0</v>
      </c>
      <c r="W543" s="762">
        <f>U543-J543</f>
        <v>0</v>
      </c>
      <c r="X543" s="35"/>
      <c r="Y543" s="833"/>
      <c r="AA543" s="938"/>
      <c r="AE543" s="949"/>
    </row>
    <row r="544" spans="1:31">
      <c r="A544" s="256"/>
      <c r="B544" s="256"/>
      <c r="C544" s="7"/>
      <c r="D544" s="256"/>
      <c r="E544" s="742"/>
      <c r="F544" s="256"/>
      <c r="G544" s="35"/>
      <c r="H544" s="256"/>
      <c r="I544" s="256"/>
      <c r="J544" s="762"/>
      <c r="K544" s="762"/>
      <c r="L544" s="762"/>
      <c r="M544" s="762"/>
      <c r="N544" s="762"/>
      <c r="O544" s="762"/>
      <c r="P544" s="771"/>
      <c r="Q544" s="762"/>
      <c r="R544" s="762"/>
      <c r="S544" s="762"/>
      <c r="T544" s="771"/>
      <c r="U544" s="453"/>
      <c r="V544" s="958"/>
      <c r="W544" s="762"/>
      <c r="X544" s="834"/>
      <c r="Y544" s="833"/>
      <c r="AA544" s="938"/>
      <c r="AE544" s="949"/>
    </row>
    <row r="545" spans="1:31">
      <c r="A545" s="256">
        <v>252</v>
      </c>
      <c r="B545" s="256"/>
      <c r="C545" s="7" t="s">
        <v>809</v>
      </c>
      <c r="D545" s="256"/>
      <c r="E545" s="134"/>
      <c r="F545" s="256"/>
      <c r="G545" s="137">
        <f>G540</f>
        <v>55087.023449999993</v>
      </c>
      <c r="H545" s="256"/>
      <c r="I545" s="806">
        <f>J545/G545*100</f>
        <v>0.15447110915538131</v>
      </c>
      <c r="J545" s="807">
        <f>SUM(J540:J544)</f>
        <v>85.093536123899995</v>
      </c>
      <c r="K545" s="771"/>
      <c r="L545" s="807">
        <f>SUM(L540:L544)</f>
        <v>7.352396845245841</v>
      </c>
      <c r="M545" s="807">
        <f>SUM(M540:M544)</f>
        <v>44.077920403529298</v>
      </c>
      <c r="N545" s="807">
        <f>SUM(N540:N544)</f>
        <v>33.629081894922024</v>
      </c>
      <c r="O545" s="807">
        <f>SUM(O540:O544)</f>
        <v>3.4136980202826184E-2</v>
      </c>
      <c r="P545" s="771"/>
      <c r="Q545" s="807">
        <f>SUM(Q540:Q544)</f>
        <v>6.8919424474226778</v>
      </c>
      <c r="R545" s="807">
        <f>SUM(R540:R544)</f>
        <v>54.145489597615935</v>
      </c>
      <c r="S545" s="807">
        <f>SUM(S540:S544)</f>
        <v>33.666984666554946</v>
      </c>
      <c r="T545" s="771"/>
      <c r="U545" s="807">
        <f>SUM(U540:U544)</f>
        <v>94.738553691796398</v>
      </c>
      <c r="V545" s="902">
        <f>U545/G545*100</f>
        <v>0.17197980170009786</v>
      </c>
      <c r="W545" s="805">
        <f>SUM(W540:W543)</f>
        <v>9.6450175678964083</v>
      </c>
      <c r="X545" s="921">
        <f>V545/I545-1</f>
        <v>0.11334606607313646</v>
      </c>
      <c r="Y545" s="769"/>
      <c r="AA545" s="938"/>
      <c r="AC545" s="938"/>
      <c r="AE545" s="949"/>
    </row>
    <row r="546" spans="1:31">
      <c r="A546" s="256"/>
      <c r="B546" s="256"/>
      <c r="D546" s="256"/>
      <c r="E546" s="36"/>
      <c r="F546" s="256"/>
      <c r="G546" s="35"/>
      <c r="H546" s="256"/>
      <c r="I546" s="256"/>
      <c r="J546" s="762"/>
      <c r="K546" s="762"/>
      <c r="L546" s="762"/>
      <c r="M546" s="762"/>
      <c r="N546" s="762"/>
      <c r="O546" s="762"/>
      <c r="P546" s="771"/>
      <c r="Q546" s="762"/>
      <c r="R546" s="762"/>
      <c r="S546" s="762"/>
      <c r="T546" s="771"/>
      <c r="U546" s="771"/>
      <c r="V546" s="821"/>
      <c r="W546" s="762"/>
      <c r="X546" s="834"/>
      <c r="Y546" s="769"/>
      <c r="AA546" s="938"/>
      <c r="AC546" s="938"/>
      <c r="AE546" s="949"/>
    </row>
    <row r="547" spans="1:31">
      <c r="A547" s="256"/>
      <c r="B547" s="256"/>
      <c r="C547" s="7" t="s">
        <v>816</v>
      </c>
      <c r="D547" s="256"/>
      <c r="E547" s="1"/>
      <c r="F547" s="256"/>
      <c r="G547" s="35"/>
      <c r="H547" s="256"/>
      <c r="I547" s="256"/>
      <c r="J547" s="762"/>
      <c r="K547" s="762"/>
      <c r="L547" s="762"/>
      <c r="M547" s="762"/>
      <c r="N547" s="762"/>
      <c r="O547" s="762"/>
      <c r="P547" s="771"/>
      <c r="Q547" s="762"/>
      <c r="R547" s="762"/>
      <c r="S547" s="762"/>
      <c r="T547" s="771"/>
      <c r="U547" s="771"/>
      <c r="V547" s="821"/>
      <c r="W547" s="762"/>
      <c r="X547" s="834"/>
      <c r="Y547" s="769"/>
      <c r="AA547" s="938"/>
      <c r="AC547" s="938"/>
      <c r="AE547" s="949"/>
    </row>
    <row r="548" spans="1:31">
      <c r="A548" s="256">
        <v>253</v>
      </c>
      <c r="B548" s="256"/>
      <c r="C548" s="519" t="s">
        <v>817</v>
      </c>
      <c r="D548" s="256"/>
      <c r="E548" s="513" t="s">
        <v>675</v>
      </c>
      <c r="F548" s="256"/>
      <c r="G548" s="35">
        <v>431.904</v>
      </c>
      <c r="H548" s="256"/>
      <c r="I548" s="35">
        <v>0</v>
      </c>
      <c r="J548" s="762">
        <v>0</v>
      </c>
      <c r="K548" s="762"/>
      <c r="L548" s="825">
        <v>0</v>
      </c>
      <c r="M548" s="825">
        <v>0</v>
      </c>
      <c r="N548" s="825">
        <v>0</v>
      </c>
      <c r="O548" s="762">
        <v>0</v>
      </c>
      <c r="P548" s="789"/>
      <c r="Q548" s="825">
        <v>0</v>
      </c>
      <c r="R548" s="825">
        <v>0</v>
      </c>
      <c r="S548" s="825">
        <v>0</v>
      </c>
      <c r="T548" s="789"/>
      <c r="U548" s="453">
        <v>0</v>
      </c>
      <c r="V548" s="453">
        <v>0</v>
      </c>
      <c r="W548" s="762">
        <v>0</v>
      </c>
      <c r="X548" s="834"/>
      <c r="Y548" s="769"/>
      <c r="AA548" s="938"/>
      <c r="AC548" s="938"/>
      <c r="AE548" s="949"/>
    </row>
    <row r="549" spans="1:31">
      <c r="A549" s="256">
        <v>254</v>
      </c>
      <c r="B549" s="256"/>
      <c r="C549" s="519" t="s">
        <v>807</v>
      </c>
      <c r="D549" s="256"/>
      <c r="E549" s="513" t="s">
        <v>674</v>
      </c>
      <c r="F549" s="256"/>
      <c r="G549" s="35">
        <v>4405.8775999999998</v>
      </c>
      <c r="H549" s="256"/>
      <c r="I549" s="772">
        <v>0.1729</v>
      </c>
      <c r="J549" s="762">
        <f>G549*I549/100</f>
        <v>7.6177623703999995</v>
      </c>
      <c r="K549" s="762"/>
      <c r="L549" s="35">
        <v>1.4610501951616022</v>
      </c>
      <c r="M549" s="35">
        <v>3.2812865272834841</v>
      </c>
      <c r="N549" s="35">
        <v>2.5109710457424308</v>
      </c>
      <c r="O549" s="762">
        <f>J549-L549-M549-N549</f>
        <v>0.36445460221248194</v>
      </c>
      <c r="P549" s="771"/>
      <c r="Q549" s="35">
        <v>1.3695498311357461</v>
      </c>
      <c r="R549" s="35">
        <v>4.0307451872343671</v>
      </c>
      <c r="S549" s="35">
        <v>2.5138011189041376</v>
      </c>
      <c r="T549" s="771"/>
      <c r="U549" s="771">
        <f>SUM(O549:S549)</f>
        <v>8.2785507394867324</v>
      </c>
      <c r="V549" s="821">
        <f>U549/G549*100</f>
        <v>0.18789788303439781</v>
      </c>
      <c r="W549" s="762">
        <f>U549-J549</f>
        <v>0.66078836908673289</v>
      </c>
      <c r="X549" s="834">
        <f>V549/I549-1</f>
        <v>8.6743106040473084E-2</v>
      </c>
      <c r="Y549" s="769"/>
      <c r="AA549" s="938"/>
      <c r="AC549" s="938"/>
      <c r="AE549" s="949"/>
    </row>
    <row r="550" spans="1:31">
      <c r="A550" s="256">
        <v>255</v>
      </c>
      <c r="B550" s="256"/>
      <c r="C550" s="9" t="s">
        <v>802</v>
      </c>
      <c r="D550" s="256"/>
      <c r="E550" s="513" t="s">
        <v>674</v>
      </c>
      <c r="F550" s="256"/>
      <c r="G550" s="35">
        <v>854.38999999999942</v>
      </c>
      <c r="H550" s="256"/>
      <c r="I550" s="772">
        <v>0.1729</v>
      </c>
      <c r="J550" s="762">
        <f>G550*I550/100</f>
        <v>1.4772403099999991</v>
      </c>
      <c r="K550" s="762"/>
      <c r="L550" s="35">
        <v>0.28332758863844076</v>
      </c>
      <c r="M550" s="35">
        <v>0.63630873359843998</v>
      </c>
      <c r="N550" s="35">
        <v>0.48692876801023116</v>
      </c>
      <c r="O550" s="762">
        <f>J550-L550-M550-N550</f>
        <v>7.0675219752887208E-2</v>
      </c>
      <c r="P550" s="771"/>
      <c r="Q550" s="35">
        <v>0.26558379202909987</v>
      </c>
      <c r="R550" s="35">
        <v>0.78164413385455112</v>
      </c>
      <c r="S550" s="35">
        <v>0.48747757722105228</v>
      </c>
      <c r="T550" s="771"/>
      <c r="U550" s="771">
        <f>SUM(O550:S550)</f>
        <v>1.6053807228575905</v>
      </c>
      <c r="V550" s="821">
        <f>U550/G550*100</f>
        <v>0.18789788303439781</v>
      </c>
      <c r="W550" s="762">
        <f>U550-J550</f>
        <v>0.12814041285759137</v>
      </c>
      <c r="X550" s="834">
        <f>V550/I550-1</f>
        <v>8.6743106040473084E-2</v>
      </c>
      <c r="Y550" s="769"/>
      <c r="AA550" s="938"/>
      <c r="AC550" s="938"/>
      <c r="AE550" s="949"/>
    </row>
    <row r="551" spans="1:31">
      <c r="A551" s="256"/>
      <c r="B551" s="256"/>
      <c r="C551" s="7"/>
      <c r="D551" s="256"/>
      <c r="E551" s="36"/>
      <c r="F551" s="256"/>
      <c r="G551" s="35"/>
      <c r="H551" s="256"/>
      <c r="I551" s="256"/>
      <c r="J551" s="762"/>
      <c r="K551" s="762"/>
      <c r="L551" s="762"/>
      <c r="M551" s="762"/>
      <c r="N551" s="762"/>
      <c r="O551" s="762"/>
      <c r="P551" s="771"/>
      <c r="Q551" s="762"/>
      <c r="R551" s="762"/>
      <c r="S551" s="762"/>
      <c r="T551" s="771"/>
      <c r="U551" s="771"/>
      <c r="V551" s="821"/>
      <c r="W551" s="762"/>
      <c r="X551" s="834"/>
      <c r="Y551" s="769"/>
      <c r="AA551" s="938"/>
      <c r="AC551" s="938"/>
      <c r="AE551" s="949"/>
    </row>
    <row r="552" spans="1:31">
      <c r="A552" s="256">
        <v>256</v>
      </c>
      <c r="B552" s="256"/>
      <c r="C552" s="7" t="s">
        <v>804</v>
      </c>
      <c r="D552" s="256"/>
      <c r="E552" s="36"/>
      <c r="F552" s="256"/>
      <c r="G552" s="137">
        <f>G549</f>
        <v>4405.8775999999998</v>
      </c>
      <c r="H552" s="256"/>
      <c r="I552" s="806">
        <f>J552/G552*100</f>
        <v>0.20642885495502644</v>
      </c>
      <c r="J552" s="805">
        <f>SUM(J549:J551)</f>
        <v>9.0950026803999986</v>
      </c>
      <c r="K552" s="762"/>
      <c r="L552" s="805">
        <f>SUM(L549:L551)</f>
        <v>1.7443777838000429</v>
      </c>
      <c r="M552" s="805">
        <f>SUM(M549:M551)</f>
        <v>3.917595260881924</v>
      </c>
      <c r="N552" s="805">
        <f>SUM(N549:N551)</f>
        <v>2.997899813752662</v>
      </c>
      <c r="O552" s="805">
        <f>SUM(O549:O551)</f>
        <v>0.43512982196536915</v>
      </c>
      <c r="P552" s="762"/>
      <c r="Q552" s="805">
        <f>SUM(Q549:Q551)</f>
        <v>1.6351336231648461</v>
      </c>
      <c r="R552" s="805">
        <f>SUM(R549:R551)</f>
        <v>4.8123893210889186</v>
      </c>
      <c r="S552" s="805">
        <f>SUM(S549:S551)</f>
        <v>3.00127869612519</v>
      </c>
      <c r="T552" s="762"/>
      <c r="U552" s="805">
        <f>SUM(U549:U551)</f>
        <v>9.8839314623443233</v>
      </c>
      <c r="V552" s="902">
        <f>U552/G552*100</f>
        <v>0.22433513501020375</v>
      </c>
      <c r="W552" s="805">
        <f>SUM(W548:W551)</f>
        <v>0.78892878194432425</v>
      </c>
      <c r="X552" s="921">
        <f>V552/I552-1</f>
        <v>8.6743106040473084E-2</v>
      </c>
      <c r="Y552" s="769"/>
      <c r="AA552" s="938"/>
      <c r="AC552" s="938"/>
      <c r="AE552" s="949"/>
    </row>
    <row r="553" spans="1:31">
      <c r="A553" s="256"/>
      <c r="E553" s="1"/>
      <c r="G553" s="135"/>
      <c r="J553" s="762"/>
      <c r="K553" s="762"/>
      <c r="L553" s="762"/>
      <c r="M553" s="762"/>
      <c r="N553" s="762"/>
      <c r="O553" s="762"/>
      <c r="P553" s="68"/>
      <c r="Q553" s="762"/>
      <c r="R553" s="762"/>
      <c r="S553" s="762"/>
      <c r="T553" s="68"/>
      <c r="U553" s="68"/>
      <c r="V553" s="911"/>
      <c r="W553" s="762"/>
      <c r="X553" s="666"/>
      <c r="AA553" s="938"/>
      <c r="AC553" s="938"/>
      <c r="AE553" s="949"/>
    </row>
    <row r="554" spans="1:31">
      <c r="A554" s="256">
        <v>257</v>
      </c>
      <c r="B554" s="256"/>
      <c r="C554" s="7" t="s">
        <v>810</v>
      </c>
      <c r="D554" s="256"/>
      <c r="E554" s="513" t="s">
        <v>674</v>
      </c>
      <c r="F554" s="256"/>
      <c r="G554" s="35">
        <v>1599.69</v>
      </c>
      <c r="H554" s="256"/>
      <c r="I554" s="35">
        <v>0</v>
      </c>
      <c r="J554" s="762">
        <v>0</v>
      </c>
      <c r="K554" s="762"/>
      <c r="L554" s="825">
        <v>0</v>
      </c>
      <c r="M554" s="825">
        <v>0</v>
      </c>
      <c r="N554" s="825">
        <v>0</v>
      </c>
      <c r="O554" s="762">
        <v>0</v>
      </c>
      <c r="P554" s="789"/>
      <c r="Q554" s="825">
        <v>0</v>
      </c>
      <c r="R554" s="825">
        <v>0</v>
      </c>
      <c r="S554" s="825">
        <v>0</v>
      </c>
      <c r="T554" s="789"/>
      <c r="U554" s="453">
        <v>0</v>
      </c>
      <c r="V554" s="453">
        <v>0</v>
      </c>
      <c r="W554" s="762">
        <v>0</v>
      </c>
      <c r="X554" s="834"/>
      <c r="Y554" s="769"/>
      <c r="AA554" s="938"/>
      <c r="AC554" s="938"/>
      <c r="AE554" s="949"/>
    </row>
    <row r="555" spans="1:31">
      <c r="A555" s="256">
        <v>258</v>
      </c>
      <c r="B555" s="256"/>
      <c r="C555" s="7" t="s">
        <v>715</v>
      </c>
      <c r="D555" s="256"/>
      <c r="E555" s="513" t="s">
        <v>674</v>
      </c>
      <c r="F555" s="256"/>
      <c r="G555" s="35">
        <v>2163.9659000000001</v>
      </c>
      <c r="H555" s="256"/>
      <c r="I555" s="772">
        <v>20.612300000000001</v>
      </c>
      <c r="J555" s="762">
        <f>G555*I555/100</f>
        <v>446.04314320570006</v>
      </c>
      <c r="K555" s="762"/>
      <c r="L555" s="825">
        <v>0</v>
      </c>
      <c r="M555" s="825">
        <v>0</v>
      </c>
      <c r="N555" s="825">
        <v>0</v>
      </c>
      <c r="O555" s="762">
        <f>J555-L555-M555-N555</f>
        <v>446.04314320570006</v>
      </c>
      <c r="P555" s="771"/>
      <c r="Q555" s="35">
        <v>0</v>
      </c>
      <c r="R555" s="35">
        <v>0</v>
      </c>
      <c r="S555" s="35">
        <v>0</v>
      </c>
      <c r="T555" s="771"/>
      <c r="U555" s="771">
        <f>SUM(O555:S555)</f>
        <v>446.04314320570006</v>
      </c>
      <c r="V555" s="821">
        <f>U555/G555*100</f>
        <v>20.612300000000001</v>
      </c>
      <c r="W555" s="762">
        <f>U555-J555</f>
        <v>0</v>
      </c>
      <c r="X555" s="834">
        <f>V555/I555-1</f>
        <v>0</v>
      </c>
      <c r="Y555" s="769"/>
      <c r="AA555" s="938"/>
      <c r="AC555" s="938"/>
      <c r="AE555" s="949"/>
    </row>
    <row r="556" spans="1:31">
      <c r="A556" s="256"/>
      <c r="B556" s="256"/>
      <c r="C556" s="7"/>
      <c r="D556" s="256"/>
      <c r="E556" s="36"/>
      <c r="F556" s="256"/>
      <c r="G556" s="35"/>
      <c r="H556" s="256"/>
      <c r="I556" s="256"/>
      <c r="J556" s="762"/>
      <c r="K556" s="762"/>
      <c r="L556" s="762"/>
      <c r="M556" s="762"/>
      <c r="N556" s="762"/>
      <c r="O556" s="762"/>
      <c r="P556" s="771"/>
      <c r="Q556" s="762"/>
      <c r="R556" s="762"/>
      <c r="S556" s="762"/>
      <c r="T556" s="771"/>
      <c r="U556" s="771"/>
      <c r="V556" s="821"/>
      <c r="W556" s="762"/>
      <c r="X556" s="834"/>
      <c r="Y556" s="769"/>
      <c r="AA556" s="938"/>
      <c r="AC556" s="938"/>
    </row>
    <row r="557" spans="1:31" ht="13.5" thickBot="1">
      <c r="A557" s="256">
        <v>259</v>
      </c>
      <c r="B557" s="256"/>
      <c r="C557" s="7" t="s">
        <v>818</v>
      </c>
      <c r="D557" s="256"/>
      <c r="E557" s="36"/>
      <c r="F557" s="256"/>
      <c r="G557" s="832">
        <f>G545+G552</f>
        <v>59492.901049999993</v>
      </c>
      <c r="H557" s="256"/>
      <c r="I557" s="831">
        <f>J557/G557*100</f>
        <v>0.90806074754359312</v>
      </c>
      <c r="J557" s="781">
        <f>J545+J552+J555</f>
        <v>540.2316820100001</v>
      </c>
      <c r="K557" s="771"/>
      <c r="L557" s="781">
        <f>L545+L552+L555</f>
        <v>9.0967746290458837</v>
      </c>
      <c r="M557" s="781">
        <f>M545+M552+M555</f>
        <v>47.995515664411222</v>
      </c>
      <c r="N557" s="781">
        <f>N545+N552+N555</f>
        <v>36.626981708674684</v>
      </c>
      <c r="O557" s="781">
        <f>O545+O552+O555</f>
        <v>446.51241000786825</v>
      </c>
      <c r="P557" s="771"/>
      <c r="Q557" s="781">
        <f>Q545+Q552+Q555</f>
        <v>8.5270760705875244</v>
      </c>
      <c r="R557" s="781">
        <f>R545+R552+R555</f>
        <v>58.95787891870485</v>
      </c>
      <c r="S557" s="781">
        <f>S545+S552+S555</f>
        <v>36.668263362680136</v>
      </c>
      <c r="T557" s="771"/>
      <c r="U557" s="781">
        <f>U545+U552+U555</f>
        <v>550.66562835984075</v>
      </c>
      <c r="V557" s="901">
        <f>U557/G557*100</f>
        <v>0.92559888430561055</v>
      </c>
      <c r="W557" s="799">
        <f>W545+W552+W555</f>
        <v>10.433946349840733</v>
      </c>
      <c r="X557" s="917">
        <f>V557/I557-1</f>
        <v>1.9313836447022004E-2</v>
      </c>
      <c r="Y557" s="769"/>
      <c r="AA557" s="938"/>
      <c r="AC557" s="938"/>
      <c r="AE557" s="949"/>
    </row>
    <row r="558" spans="1:31" ht="13.5" thickTop="1">
      <c r="A558" s="256"/>
      <c r="B558" s="256"/>
      <c r="C558" s="7"/>
      <c r="D558" s="256"/>
      <c r="E558" s="36"/>
      <c r="F558" s="256"/>
      <c r="G558" s="35"/>
      <c r="H558" s="256"/>
      <c r="I558" s="256"/>
      <c r="J558" s="762"/>
      <c r="K558" s="762"/>
      <c r="L558" s="762"/>
      <c r="M558" s="762"/>
      <c r="N558" s="762"/>
      <c r="O558" s="762"/>
      <c r="P558" s="771"/>
      <c r="Q558" s="762"/>
      <c r="R558" s="762"/>
      <c r="S558" s="762"/>
      <c r="T558" s="771"/>
      <c r="U558" s="771"/>
      <c r="V558" s="771"/>
      <c r="W558" s="762"/>
      <c r="X558" s="666"/>
    </row>
    <row r="559" spans="1:31">
      <c r="A559" s="256"/>
      <c r="B559" s="256"/>
      <c r="C559" s="6" t="s">
        <v>182</v>
      </c>
      <c r="D559" s="256"/>
      <c r="E559" s="36"/>
      <c r="F559" s="256"/>
      <c r="G559" s="35"/>
      <c r="H559" s="256"/>
      <c r="I559" s="256"/>
      <c r="J559" s="762"/>
      <c r="K559" s="762"/>
      <c r="L559" s="762"/>
      <c r="M559" s="762"/>
      <c r="N559" s="762"/>
      <c r="O559" s="762"/>
      <c r="P559" s="771"/>
      <c r="Q559" s="762"/>
      <c r="R559" s="762"/>
      <c r="S559" s="762"/>
      <c r="T559" s="771"/>
      <c r="U559" s="771"/>
      <c r="V559" s="771"/>
      <c r="W559" s="762"/>
      <c r="X559" s="666"/>
    </row>
    <row r="560" spans="1:31">
      <c r="A560" s="256"/>
      <c r="B560" s="256"/>
      <c r="C560" s="7" t="s">
        <v>816</v>
      </c>
      <c r="D560" s="256"/>
      <c r="E560" s="36"/>
      <c r="F560" s="256"/>
      <c r="G560" s="35"/>
      <c r="H560" s="256"/>
      <c r="I560" s="256"/>
      <c r="J560" s="762"/>
      <c r="K560" s="762"/>
      <c r="L560" s="762"/>
      <c r="M560" s="762"/>
      <c r="N560" s="762"/>
      <c r="O560" s="762"/>
      <c r="P560" s="771"/>
      <c r="Q560" s="762"/>
      <c r="R560" s="762"/>
      <c r="S560" s="762"/>
      <c r="T560" s="771"/>
      <c r="U560" s="771"/>
      <c r="V560" s="771"/>
      <c r="W560" s="762"/>
      <c r="X560" s="666"/>
    </row>
    <row r="561" spans="1:31">
      <c r="A561" s="256">
        <v>260</v>
      </c>
      <c r="B561" s="256"/>
      <c r="C561" s="519" t="s">
        <v>817</v>
      </c>
      <c r="D561" s="256"/>
      <c r="E561" s="513" t="s">
        <v>675</v>
      </c>
      <c r="F561" s="256"/>
      <c r="G561" s="35">
        <v>71858.168000000005</v>
      </c>
      <c r="H561" s="256"/>
      <c r="I561" s="35">
        <v>0</v>
      </c>
      <c r="J561" s="762">
        <v>0</v>
      </c>
      <c r="K561" s="762"/>
      <c r="L561" s="825">
        <v>0</v>
      </c>
      <c r="M561" s="825">
        <v>0</v>
      </c>
      <c r="N561" s="825">
        <v>0</v>
      </c>
      <c r="O561" s="762">
        <v>0</v>
      </c>
      <c r="P561" s="771"/>
      <c r="Q561" s="825">
        <v>0</v>
      </c>
      <c r="R561" s="825">
        <v>0</v>
      </c>
      <c r="S561" s="825">
        <v>0</v>
      </c>
      <c r="T561" s="771"/>
      <c r="U561" s="771">
        <v>0</v>
      </c>
      <c r="V561" s="771">
        <v>0</v>
      </c>
      <c r="W561" s="762">
        <v>0</v>
      </c>
      <c r="X561" s="834"/>
      <c r="Y561" s="769"/>
    </row>
    <row r="562" spans="1:31">
      <c r="A562" s="256">
        <v>261</v>
      </c>
      <c r="C562" s="519" t="s">
        <v>807</v>
      </c>
      <c r="E562" s="513" t="s">
        <v>674</v>
      </c>
      <c r="G562" s="35">
        <v>713737.64702999999</v>
      </c>
      <c r="I562" s="772">
        <v>0.21870000000000001</v>
      </c>
      <c r="J562" s="762">
        <f>G562*I562/100</f>
        <v>1560.9442340546102</v>
      </c>
      <c r="K562" s="762"/>
      <c r="L562" s="35">
        <v>93.792407213470639</v>
      </c>
      <c r="M562" s="35">
        <v>584.79105061009568</v>
      </c>
      <c r="N562" s="35">
        <v>849.57803103823073</v>
      </c>
      <c r="O562" s="762">
        <f>J562-L562-M562-N562</f>
        <v>32.782745192813195</v>
      </c>
      <c r="P562" s="68"/>
      <c r="Q562" s="35">
        <v>87.918523187231116</v>
      </c>
      <c r="R562" s="35">
        <v>718.35961083709674</v>
      </c>
      <c r="S562" s="35">
        <v>850.53557612362465</v>
      </c>
      <c r="T562" s="68"/>
      <c r="U562" s="771">
        <f>SUM(O562:S562)</f>
        <v>1689.5964553407657</v>
      </c>
      <c r="V562" s="821">
        <f>U562/G562*100</f>
        <v>0.23672514156588242</v>
      </c>
      <c r="W562" s="762">
        <f>U562-J562</f>
        <v>128.65222128615551</v>
      </c>
      <c r="X562" s="834">
        <f>V562/I562-1</f>
        <v>8.2419485897953448E-2</v>
      </c>
      <c r="Y562" s="769"/>
      <c r="AA562" s="938"/>
      <c r="AC562" s="938"/>
      <c r="AE562" s="949"/>
    </row>
    <row r="563" spans="1:31">
      <c r="A563" s="256">
        <v>262</v>
      </c>
      <c r="B563" s="256"/>
      <c r="C563" s="9" t="s">
        <v>819</v>
      </c>
      <c r="D563" s="256"/>
      <c r="E563" s="513" t="s">
        <v>674</v>
      </c>
      <c r="F563" s="256"/>
      <c r="G563" s="35">
        <v>22348.747200000002</v>
      </c>
      <c r="H563" s="256"/>
      <c r="I563" s="772">
        <v>0.21870000000000001</v>
      </c>
      <c r="J563" s="762">
        <f>G563*I563/100</f>
        <v>48.876710126400006</v>
      </c>
      <c r="K563" s="762"/>
      <c r="L563" s="35">
        <v>2.9368533477472658</v>
      </c>
      <c r="M563" s="35">
        <v>18.31113632479877</v>
      </c>
      <c r="N563" s="35">
        <v>26.602218225920634</v>
      </c>
      <c r="O563" s="762">
        <f>J563-L563-M563-N563</f>
        <v>1.0265022279333351</v>
      </c>
      <c r="P563" s="771"/>
      <c r="Q563" s="35">
        <v>2.7529286945770126</v>
      </c>
      <c r="R563" s="35">
        <v>22.4934713869925</v>
      </c>
      <c r="S563" s="35">
        <v>26.632201137898331</v>
      </c>
      <c r="T563" s="771"/>
      <c r="U563" s="771">
        <f>SUM(O563:S563)</f>
        <v>52.905103447401174</v>
      </c>
      <c r="V563" s="821">
        <f>U563/G563*100</f>
        <v>0.23672514156588237</v>
      </c>
      <c r="W563" s="762">
        <f>U563-J563</f>
        <v>4.0283933210011682</v>
      </c>
      <c r="X563" s="834">
        <f>V563/I563-1</f>
        <v>8.2419485897953226E-2</v>
      </c>
      <c r="Y563" s="769"/>
      <c r="AA563" s="938"/>
      <c r="AC563" s="938"/>
      <c r="AE563" s="949"/>
    </row>
    <row r="564" spans="1:31">
      <c r="A564" s="256"/>
      <c r="B564" s="256"/>
      <c r="C564" s="7"/>
      <c r="D564" s="256"/>
      <c r="E564" s="36"/>
      <c r="F564" s="256"/>
      <c r="G564" s="135"/>
      <c r="H564" s="256"/>
      <c r="I564" s="772"/>
      <c r="J564" s="762"/>
      <c r="K564" s="762"/>
      <c r="L564" s="762"/>
      <c r="M564" s="762"/>
      <c r="N564" s="762"/>
      <c r="O564" s="762"/>
      <c r="P564" s="771"/>
      <c r="Q564" s="762"/>
      <c r="R564" s="762"/>
      <c r="S564" s="762"/>
      <c r="T564" s="771"/>
      <c r="U564" s="771"/>
      <c r="V564" s="821"/>
      <c r="W564" s="762"/>
      <c r="X564" s="834"/>
      <c r="Y564" s="769"/>
    </row>
    <row r="565" spans="1:31">
      <c r="A565" s="256">
        <v>263</v>
      </c>
      <c r="B565" s="256"/>
      <c r="C565" s="7" t="s">
        <v>804</v>
      </c>
      <c r="D565" s="256"/>
      <c r="E565" s="36"/>
      <c r="F565" s="256"/>
      <c r="G565" s="420">
        <f>G562</f>
        <v>713737.64702999999</v>
      </c>
      <c r="H565" s="256"/>
      <c r="I565" s="806">
        <f>J565/G565*100</f>
        <v>0.22554799384336605</v>
      </c>
      <c r="J565" s="805">
        <f>SUM(J562:J564)</f>
        <v>1609.8209441810102</v>
      </c>
      <c r="K565" s="762"/>
      <c r="L565" s="805">
        <f>SUM(L562:L564)</f>
        <v>96.729260561217899</v>
      </c>
      <c r="M565" s="805">
        <f>SUM(M562:M564)</f>
        <v>603.10218693489446</v>
      </c>
      <c r="N565" s="805">
        <f>SUM(N562:N564)</f>
        <v>876.18024926415137</v>
      </c>
      <c r="O565" s="805">
        <f>SUM(O562:O564)</f>
        <v>33.80924742074653</v>
      </c>
      <c r="P565" s="762"/>
      <c r="Q565" s="807">
        <f>SUM(Q562:Q564)</f>
        <v>90.671451881808125</v>
      </c>
      <c r="R565" s="807">
        <f>SUM(R562:R564)</f>
        <v>740.85308222408923</v>
      </c>
      <c r="S565" s="807">
        <f>SUM(S562:S564)</f>
        <v>877.16777726152293</v>
      </c>
      <c r="T565" s="771"/>
      <c r="U565" s="807">
        <f>SUM(U562:U564)</f>
        <v>1742.5015587881669</v>
      </c>
      <c r="V565" s="902">
        <f>U565/G565*100</f>
        <v>0.24413754354125103</v>
      </c>
      <c r="W565" s="805">
        <f>SUM(W561:W564)</f>
        <v>132.68061460715668</v>
      </c>
      <c r="X565" s="921">
        <f>V565/I565-1</f>
        <v>8.2419485897953448E-2</v>
      </c>
      <c r="Y565" s="769"/>
      <c r="AA565" s="938"/>
      <c r="AC565" s="938"/>
      <c r="AE565" s="949"/>
    </row>
    <row r="566" spans="1:31">
      <c r="A566" s="256"/>
      <c r="B566" s="256"/>
      <c r="D566" s="256"/>
      <c r="E566" s="36"/>
      <c r="F566" s="256"/>
      <c r="G566" s="35"/>
      <c r="H566" s="256"/>
      <c r="I566" s="256"/>
      <c r="J566" s="762"/>
      <c r="K566" s="762"/>
      <c r="L566" s="762"/>
      <c r="M566" s="762"/>
      <c r="N566" s="762"/>
      <c r="O566" s="762"/>
      <c r="P566" s="771"/>
      <c r="Q566" s="762"/>
      <c r="R566" s="762"/>
      <c r="S566" s="762"/>
      <c r="T566" s="771"/>
      <c r="U566" s="771"/>
      <c r="V566" s="821"/>
      <c r="W566" s="762"/>
      <c r="X566" s="666"/>
      <c r="AA566" s="938"/>
      <c r="AC566" s="938"/>
    </row>
    <row r="567" spans="1:31">
      <c r="A567" s="256"/>
      <c r="B567" s="256"/>
      <c r="C567" s="7" t="s">
        <v>805</v>
      </c>
      <c r="D567" s="256"/>
      <c r="E567" s="36"/>
      <c r="F567" s="256"/>
      <c r="G567" s="453"/>
      <c r="H567" s="256"/>
      <c r="I567" s="256"/>
      <c r="J567" s="762"/>
      <c r="K567" s="762"/>
      <c r="L567" s="762"/>
      <c r="M567" s="762"/>
      <c r="N567" s="762"/>
      <c r="O567" s="762"/>
      <c r="P567" s="771"/>
      <c r="Q567" s="762"/>
      <c r="R567" s="762"/>
      <c r="S567" s="762"/>
      <c r="T567" s="771"/>
      <c r="U567" s="771"/>
      <c r="V567" s="821"/>
      <c r="W567" s="762"/>
      <c r="X567" s="666"/>
      <c r="AA567" s="938"/>
      <c r="AC567" s="938"/>
    </row>
    <row r="568" spans="1:31">
      <c r="A568" s="256">
        <v>264</v>
      </c>
      <c r="B568" s="256"/>
      <c r="C568" s="9" t="s">
        <v>820</v>
      </c>
      <c r="D568" s="256"/>
      <c r="E568" s="513" t="s">
        <v>674</v>
      </c>
      <c r="F568" s="256"/>
      <c r="G568" s="35">
        <v>75999.023490000007</v>
      </c>
      <c r="H568" s="256"/>
      <c r="I568" s="772">
        <v>0.21870000000000001</v>
      </c>
      <c r="J568" s="762">
        <f>G568*I568/100</f>
        <v>166.20986437263002</v>
      </c>
      <c r="K568" s="762"/>
      <c r="L568" s="35">
        <v>9.9870469053464248</v>
      </c>
      <c r="M568" s="35">
        <v>62.268746754492533</v>
      </c>
      <c r="N568" s="35">
        <v>90.463353034744088</v>
      </c>
      <c r="O568" s="762">
        <f>J568-L568-M568-N568</f>
        <v>3.4907176780469769</v>
      </c>
      <c r="P568" s="771"/>
      <c r="Q568" s="35">
        <v>9.3615937686857631</v>
      </c>
      <c r="R568" s="35">
        <v>76.491171742802919</v>
      </c>
      <c r="S568" s="35">
        <v>90.565312755855061</v>
      </c>
      <c r="T568" s="771"/>
      <c r="U568" s="771">
        <f>SUM(O568:S568)</f>
        <v>179.90879594539072</v>
      </c>
      <c r="V568" s="821">
        <f>U568/G568*100</f>
        <v>0.23672514156588237</v>
      </c>
      <c r="W568" s="762">
        <f>U568-J568</f>
        <v>13.698931572760699</v>
      </c>
      <c r="X568" s="834">
        <f>V568/I568-1</f>
        <v>8.2419485897953226E-2</v>
      </c>
      <c r="Y568" s="769"/>
      <c r="AA568" s="938"/>
      <c r="AC568" s="938"/>
      <c r="AE568" s="949"/>
    </row>
    <row r="569" spans="1:31">
      <c r="A569" s="256">
        <v>265</v>
      </c>
      <c r="B569" s="256"/>
      <c r="C569" s="9" t="s">
        <v>821</v>
      </c>
      <c r="D569" s="256"/>
      <c r="E569" s="513" t="s">
        <v>674</v>
      </c>
      <c r="F569" s="256"/>
      <c r="G569" s="35">
        <v>7467.4059999999999</v>
      </c>
      <c r="H569" s="256"/>
      <c r="I569" s="772">
        <v>0.21870000000000001</v>
      </c>
      <c r="J569" s="762">
        <f>G569*I569/100</f>
        <v>16.331216921999999</v>
      </c>
      <c r="K569" s="762"/>
      <c r="L569" s="35">
        <v>0</v>
      </c>
      <c r="M569" s="35">
        <v>0</v>
      </c>
      <c r="N569" s="35">
        <v>0</v>
      </c>
      <c r="O569" s="762">
        <f>J569-L569-M569-N569</f>
        <v>16.331216921999999</v>
      </c>
      <c r="P569" s="771"/>
      <c r="Q569" s="35">
        <v>0</v>
      </c>
      <c r="R569" s="35">
        <v>0</v>
      </c>
      <c r="S569" s="35">
        <v>0</v>
      </c>
      <c r="T569" s="771"/>
      <c r="U569" s="771">
        <f>SUM(O569:S569)</f>
        <v>16.331216921999999</v>
      </c>
      <c r="V569" s="821">
        <f>U569/G569*100</f>
        <v>0.21870000000000001</v>
      </c>
      <c r="W569" s="762">
        <f>U569-J569</f>
        <v>0</v>
      </c>
      <c r="X569" s="834">
        <f>V569/I569-1</f>
        <v>0</v>
      </c>
      <c r="Y569" s="769"/>
      <c r="AA569" s="938"/>
      <c r="AC569" s="938"/>
      <c r="AE569" s="949"/>
    </row>
    <row r="570" spans="1:31">
      <c r="A570" s="256"/>
      <c r="B570" s="256"/>
      <c r="C570" s="7"/>
      <c r="D570" s="256"/>
      <c r="E570" s="36"/>
      <c r="F570" s="256"/>
      <c r="G570" s="453"/>
      <c r="H570" s="256"/>
      <c r="I570" s="256"/>
      <c r="J570" s="762"/>
      <c r="K570" s="762"/>
      <c r="L570" s="762"/>
      <c r="M570" s="762"/>
      <c r="N570" s="762"/>
      <c r="O570" s="762"/>
      <c r="P570" s="771"/>
      <c r="Q570" s="762"/>
      <c r="R570" s="762"/>
      <c r="S570" s="762"/>
      <c r="T570" s="771"/>
      <c r="U570" s="771"/>
      <c r="V570" s="821"/>
      <c r="W570" s="762"/>
      <c r="X570" s="834"/>
      <c r="Y570" s="769"/>
      <c r="AA570" s="938"/>
      <c r="AC570" s="938"/>
      <c r="AE570" s="949"/>
    </row>
    <row r="571" spans="1:31">
      <c r="A571" s="256">
        <v>266</v>
      </c>
      <c r="B571" s="256"/>
      <c r="C571" s="7" t="s">
        <v>809</v>
      </c>
      <c r="D571" s="256"/>
      <c r="E571" s="742"/>
      <c r="F571" s="256"/>
      <c r="G571" s="137">
        <f>G568</f>
        <v>75999.023490000007</v>
      </c>
      <c r="H571" s="256"/>
      <c r="I571" s="806">
        <f>J571/G571*100</f>
        <v>0.2401887194230185</v>
      </c>
      <c r="J571" s="805">
        <f>SUM(J568:J570)</f>
        <v>182.54108129463003</v>
      </c>
      <c r="K571" s="762"/>
      <c r="L571" s="805">
        <f>SUM(L568:L570)</f>
        <v>9.9870469053464248</v>
      </c>
      <c r="M571" s="805">
        <f>SUM(M568:M570)</f>
        <v>62.268746754492533</v>
      </c>
      <c r="N571" s="805">
        <f>SUM(N568:N570)</f>
        <v>90.463353034744088</v>
      </c>
      <c r="O571" s="805">
        <f>SUM(O568:O570)</f>
        <v>19.821934600046976</v>
      </c>
      <c r="P571" s="771"/>
      <c r="Q571" s="807">
        <f>SUM(Q568:Q570)</f>
        <v>9.3615937686857631</v>
      </c>
      <c r="R571" s="807">
        <f>SUM(R568:R570)</f>
        <v>76.491171742802919</v>
      </c>
      <c r="S571" s="807">
        <f>SUM(S568:S570)</f>
        <v>90.565312755855061</v>
      </c>
      <c r="T571" s="771"/>
      <c r="U571" s="807">
        <f>SUM(U568:U570)</f>
        <v>196.24001286739073</v>
      </c>
      <c r="V571" s="902">
        <f>U571/G571*100</f>
        <v>0.25821386098890087</v>
      </c>
      <c r="W571" s="805">
        <f>SUM(W568:W570)</f>
        <v>13.698931572760699</v>
      </c>
      <c r="X571" s="921">
        <f>V571/I571-1</f>
        <v>7.5045745733531399E-2</v>
      </c>
      <c r="Y571" s="769"/>
      <c r="AA571" s="938"/>
      <c r="AC571" s="938"/>
      <c r="AE571" s="949"/>
    </row>
    <row r="572" spans="1:31">
      <c r="A572" s="256"/>
      <c r="B572" s="256"/>
      <c r="D572" s="256"/>
      <c r="E572" s="134"/>
      <c r="F572" s="256"/>
      <c r="G572" s="749"/>
      <c r="H572" s="256"/>
      <c r="I572" s="256"/>
      <c r="J572" s="762"/>
      <c r="K572" s="762"/>
      <c r="L572" s="762"/>
      <c r="M572" s="762"/>
      <c r="N572" s="762"/>
      <c r="O572" s="762"/>
      <c r="P572" s="771"/>
      <c r="Q572" s="762"/>
      <c r="R572" s="762"/>
      <c r="S572" s="762"/>
      <c r="T572" s="771"/>
      <c r="U572" s="771"/>
      <c r="V572" s="821"/>
      <c r="W572" s="762"/>
      <c r="X572" s="834"/>
      <c r="Y572" s="769"/>
      <c r="AA572" s="938"/>
      <c r="AC572" s="938"/>
      <c r="AE572" s="949"/>
    </row>
    <row r="573" spans="1:31">
      <c r="A573" s="256">
        <v>267</v>
      </c>
      <c r="B573" s="256"/>
      <c r="C573" s="7" t="s">
        <v>715</v>
      </c>
      <c r="D573" s="256"/>
      <c r="E573" s="513" t="s">
        <v>674</v>
      </c>
      <c r="F573" s="256"/>
      <c r="G573" s="35">
        <v>35618.685999999994</v>
      </c>
      <c r="H573" s="256"/>
      <c r="I573" s="836">
        <v>20.612300000000001</v>
      </c>
      <c r="J573" s="762">
        <f>G573*I573/100</f>
        <v>7341.8304143779997</v>
      </c>
      <c r="K573" s="762"/>
      <c r="L573" s="825">
        <v>0</v>
      </c>
      <c r="M573" s="825">
        <v>0</v>
      </c>
      <c r="N573" s="825">
        <v>0</v>
      </c>
      <c r="O573" s="762">
        <f>J573-L573-M573-N573</f>
        <v>7341.8304143779997</v>
      </c>
      <c r="P573" s="771"/>
      <c r="Q573" s="825">
        <v>0</v>
      </c>
      <c r="R573" s="825">
        <v>0</v>
      </c>
      <c r="S573" s="825">
        <v>0</v>
      </c>
      <c r="T573" s="35"/>
      <c r="U573" s="771">
        <f>SUM(O573:S573)</f>
        <v>7341.8304143779997</v>
      </c>
      <c r="V573" s="821">
        <f>U573/G573*100</f>
        <v>20.612300000000001</v>
      </c>
      <c r="W573" s="762">
        <f>U573-J573</f>
        <v>0</v>
      </c>
      <c r="X573" s="834">
        <f>V573/I573-1</f>
        <v>0</v>
      </c>
      <c r="Y573" s="769"/>
      <c r="AA573" s="938"/>
      <c r="AC573" s="938"/>
      <c r="AE573" s="949"/>
    </row>
    <row r="574" spans="1:31">
      <c r="A574" s="256"/>
      <c r="B574" s="256"/>
      <c r="C574" s="7"/>
      <c r="D574" s="256"/>
      <c r="E574" s="36"/>
      <c r="F574" s="256"/>
      <c r="G574" s="453"/>
      <c r="H574" s="256"/>
      <c r="I574" s="957"/>
      <c r="J574" s="762"/>
      <c r="K574" s="762"/>
      <c r="L574" s="762"/>
      <c r="M574" s="762"/>
      <c r="N574" s="762"/>
      <c r="O574" s="762"/>
      <c r="P574" s="771"/>
      <c r="Q574" s="762"/>
      <c r="R574" s="762"/>
      <c r="S574" s="762"/>
      <c r="T574" s="771"/>
      <c r="U574" s="771"/>
      <c r="V574" s="821"/>
      <c r="W574" s="762"/>
      <c r="X574" s="666"/>
      <c r="AA574" s="938"/>
      <c r="AC574" s="938"/>
      <c r="AE574" s="949"/>
    </row>
    <row r="575" spans="1:31" ht="13.5" thickBot="1">
      <c r="A575" s="256">
        <v>268</v>
      </c>
      <c r="B575" s="256"/>
      <c r="C575" s="7" t="s">
        <v>822</v>
      </c>
      <c r="D575" s="256"/>
      <c r="E575" s="36"/>
      <c r="F575" s="256"/>
      <c r="G575" s="458">
        <f>G565+G571</f>
        <v>789736.67052000004</v>
      </c>
      <c r="H575" s="256"/>
      <c r="I575" s="803">
        <f>J575/G575*100</f>
        <v>1.156612422953496</v>
      </c>
      <c r="J575" s="781">
        <f>J565+J571+J573</f>
        <v>9134.1924398536394</v>
      </c>
      <c r="K575" s="771"/>
      <c r="L575" s="781">
        <f>L565+L571+L573</f>
        <v>106.71630746656433</v>
      </c>
      <c r="M575" s="781">
        <f>M565+M571+M573</f>
        <v>665.37093368938702</v>
      </c>
      <c r="N575" s="781">
        <f>N565+N571+N573</f>
        <v>966.64360229889542</v>
      </c>
      <c r="O575" s="781">
        <f>O565+O571+O573</f>
        <v>7395.4615963987935</v>
      </c>
      <c r="P575" s="771"/>
      <c r="Q575" s="781">
        <f>Q565+Q571+Q573</f>
        <v>100.03304565049389</v>
      </c>
      <c r="R575" s="781">
        <f>R565+R571+R573</f>
        <v>817.34425396689221</v>
      </c>
      <c r="S575" s="781">
        <f>S565+S571+S573</f>
        <v>967.733090017378</v>
      </c>
      <c r="T575" s="771"/>
      <c r="U575" s="781">
        <f>U565+U571+U573</f>
        <v>9280.5719860335576</v>
      </c>
      <c r="V575" s="901">
        <f>U575/G575*100</f>
        <v>1.1751476577531583</v>
      </c>
      <c r="W575" s="799">
        <f>W565+W571+W573</f>
        <v>146.37954617991738</v>
      </c>
      <c r="X575" s="917">
        <f>V575/I575-1</f>
        <v>1.6025450212899583E-2</v>
      </c>
      <c r="Y575" s="769"/>
      <c r="AA575" s="938"/>
      <c r="AC575" s="938"/>
      <c r="AE575" s="949"/>
    </row>
    <row r="576" spans="1:31" ht="13.5" thickTop="1">
      <c r="A576" s="4"/>
      <c r="B576" s="256"/>
      <c r="C576" s="7"/>
      <c r="D576" s="256"/>
      <c r="E576" s="36"/>
      <c r="F576" s="256"/>
      <c r="G576" s="453"/>
      <c r="H576" s="256"/>
      <c r="I576" s="792"/>
      <c r="J576" s="771"/>
      <c r="K576" s="771"/>
      <c r="L576" s="771"/>
      <c r="M576" s="771"/>
      <c r="N576" s="771"/>
      <c r="O576" s="771"/>
      <c r="P576" s="771"/>
      <c r="Q576" s="771"/>
      <c r="R576" s="771"/>
      <c r="S576" s="771"/>
      <c r="T576" s="771"/>
      <c r="U576" s="771"/>
      <c r="V576" s="821"/>
      <c r="W576" s="762"/>
      <c r="X576" s="976"/>
      <c r="Y576" s="769"/>
      <c r="AA576" s="938"/>
      <c r="AE576" s="949"/>
    </row>
    <row r="577" spans="1:31">
      <c r="A577" s="4"/>
      <c r="B577" s="256"/>
      <c r="C577" s="7"/>
      <c r="D577" s="256"/>
      <c r="E577" s="36"/>
      <c r="F577" s="256"/>
      <c r="G577" s="453"/>
      <c r="H577" s="256"/>
      <c r="I577" s="792"/>
      <c r="J577" s="771"/>
      <c r="K577" s="771"/>
      <c r="L577" s="771"/>
      <c r="M577" s="771"/>
      <c r="N577" s="771"/>
      <c r="O577" s="771"/>
      <c r="P577" s="771"/>
      <c r="Q577" s="771"/>
      <c r="R577" s="771"/>
      <c r="S577" s="771"/>
      <c r="T577" s="771"/>
      <c r="U577" s="771"/>
      <c r="V577" s="821"/>
      <c r="W577" s="762"/>
      <c r="X577" s="976"/>
      <c r="Y577" s="769"/>
      <c r="AA577" s="938"/>
      <c r="AE577" s="949"/>
    </row>
    <row r="578" spans="1:31">
      <c r="A578" s="4"/>
      <c r="B578" s="256"/>
      <c r="C578" s="7"/>
      <c r="D578" s="256"/>
      <c r="E578" s="36"/>
      <c r="F578" s="256"/>
      <c r="G578" s="453"/>
      <c r="H578" s="256"/>
      <c r="I578" s="792"/>
      <c r="J578" s="771"/>
      <c r="K578" s="771"/>
      <c r="L578" s="771"/>
      <c r="M578" s="771"/>
      <c r="N578" s="771"/>
      <c r="O578" s="771"/>
      <c r="P578" s="771"/>
      <c r="Q578" s="771"/>
      <c r="R578" s="771"/>
      <c r="S578" s="771"/>
      <c r="T578" s="771"/>
      <c r="U578" s="771"/>
      <c r="V578" s="821"/>
      <c r="W578" s="762"/>
      <c r="X578" s="976"/>
      <c r="Y578" s="769"/>
      <c r="AA578" s="938"/>
      <c r="AE578" s="949"/>
    </row>
    <row r="579" spans="1:31">
      <c r="J579" s="504"/>
      <c r="K579" s="504"/>
      <c r="L579" s="2"/>
      <c r="M579" s="2"/>
      <c r="N579" s="504"/>
      <c r="O579" s="504"/>
      <c r="Q579" s="504"/>
      <c r="R579" s="504"/>
      <c r="S579" s="504"/>
      <c r="W579" s="504"/>
      <c r="X579" s="513"/>
      <c r="AA579" s="938"/>
      <c r="AE579" s="949"/>
    </row>
    <row r="580" spans="1:31">
      <c r="J580" s="504"/>
      <c r="K580" s="504"/>
      <c r="L580" s="2"/>
      <c r="M580" s="2"/>
      <c r="N580" s="504"/>
      <c r="O580" s="504"/>
      <c r="Q580" s="504"/>
      <c r="R580" s="504"/>
      <c r="S580" s="504"/>
      <c r="W580" s="762"/>
      <c r="X580" s="513"/>
      <c r="AA580" s="938"/>
      <c r="AE580" s="949"/>
    </row>
    <row r="581" spans="1:31">
      <c r="A581" s="1324" t="s">
        <v>724</v>
      </c>
      <c r="B581" s="1324"/>
      <c r="C581" s="1324"/>
      <c r="D581" s="1324"/>
      <c r="E581" s="1324"/>
      <c r="F581" s="1324"/>
      <c r="G581" s="1324"/>
      <c r="H581" s="1324"/>
      <c r="I581" s="1324"/>
      <c r="J581" s="1324"/>
      <c r="K581" s="1324"/>
      <c r="L581" s="1324"/>
      <c r="M581" s="1324"/>
      <c r="N581" s="1324"/>
      <c r="O581" s="1324"/>
      <c r="P581" s="1324"/>
      <c r="Q581" s="1324"/>
      <c r="R581" s="1324"/>
      <c r="S581" s="1324"/>
      <c r="T581" s="1324"/>
      <c r="U581" s="1324"/>
      <c r="V581" s="1324"/>
      <c r="W581" s="1324"/>
      <c r="X581" s="1324"/>
      <c r="Y581" s="665"/>
      <c r="AA581" s="938"/>
      <c r="AE581" s="949"/>
    </row>
    <row r="582" spans="1:31">
      <c r="A582" s="1324" t="s">
        <v>963</v>
      </c>
      <c r="B582" s="1324"/>
      <c r="C582" s="1324"/>
      <c r="D582" s="1324"/>
      <c r="E582" s="1324"/>
      <c r="F582" s="1324"/>
      <c r="G582" s="1324"/>
      <c r="H582" s="1324"/>
      <c r="I582" s="1324"/>
      <c r="J582" s="1324"/>
      <c r="K582" s="1324"/>
      <c r="L582" s="1324"/>
      <c r="M582" s="1324"/>
      <c r="N582" s="1324"/>
      <c r="O582" s="1324"/>
      <c r="P582" s="1324"/>
      <c r="Q582" s="1324"/>
      <c r="R582" s="1324"/>
      <c r="S582" s="1324"/>
      <c r="T582" s="1324"/>
      <c r="U582" s="1324"/>
      <c r="V582" s="1324"/>
      <c r="W582" s="1324"/>
      <c r="X582" s="1324"/>
      <c r="Y582" s="644"/>
      <c r="Z582" s="644"/>
      <c r="AA582" s="938"/>
      <c r="AE582" s="949"/>
    </row>
    <row r="583" spans="1:31">
      <c r="A583" s="385"/>
      <c r="B583" s="385"/>
      <c r="C583" s="385"/>
      <c r="D583" s="385"/>
      <c r="E583" s="447"/>
      <c r="F583" s="385"/>
      <c r="G583" s="447"/>
      <c r="H583" s="385"/>
      <c r="I583" s="385"/>
      <c r="J583" s="504"/>
      <c r="K583" s="504"/>
      <c r="L583" s="3"/>
      <c r="M583" s="3"/>
      <c r="N583" s="504"/>
      <c r="O583" s="504"/>
      <c r="P583" s="385"/>
      <c r="Q583" s="504"/>
      <c r="R583" s="504"/>
      <c r="S583" s="504"/>
      <c r="T583" s="385"/>
      <c r="U583" s="385"/>
      <c r="V583" s="385"/>
      <c r="W583" s="504"/>
      <c r="X583" s="513"/>
      <c r="AA583" s="938"/>
      <c r="AE583" s="949"/>
    </row>
    <row r="584" spans="1:31">
      <c r="A584" s="447"/>
      <c r="B584" s="447"/>
      <c r="C584" s="447"/>
      <c r="D584" s="447"/>
      <c r="E584" s="256"/>
      <c r="F584" s="256"/>
      <c r="G584" s="1313" t="s">
        <v>682</v>
      </c>
      <c r="H584" s="1313"/>
      <c r="I584" s="1313"/>
      <c r="J584" s="1313"/>
      <c r="K584" s="256"/>
      <c r="L584" s="1313" t="s">
        <v>496</v>
      </c>
      <c r="M584" s="1313"/>
      <c r="N584" s="1313"/>
      <c r="O584" s="256"/>
      <c r="P584" s="447"/>
      <c r="Q584" s="1313" t="s">
        <v>497</v>
      </c>
      <c r="R584" s="1313"/>
      <c r="S584" s="1313"/>
      <c r="T584" s="447"/>
      <c r="U584" s="1313" t="s">
        <v>683</v>
      </c>
      <c r="V584" s="1313"/>
      <c r="W584" s="1313"/>
      <c r="X584" s="1313"/>
      <c r="Y584" s="4"/>
      <c r="AA584" s="938"/>
      <c r="AE584" s="949"/>
    </row>
    <row r="585" spans="1:31" ht="38.25">
      <c r="A585" s="254" t="s">
        <v>1</v>
      </c>
      <c r="B585" s="254"/>
      <c r="C585" s="254"/>
      <c r="D585" s="254"/>
      <c r="E585" s="4" t="s">
        <v>670</v>
      </c>
      <c r="F585" s="254"/>
      <c r="G585" s="13" t="s">
        <v>684</v>
      </c>
      <c r="H585" s="254"/>
      <c r="I585" s="13" t="s">
        <v>196</v>
      </c>
      <c r="J585" s="254" t="s">
        <v>503</v>
      </c>
      <c r="K585" s="254"/>
      <c r="L585" s="254" t="s">
        <v>955</v>
      </c>
      <c r="M585" s="254" t="s">
        <v>956</v>
      </c>
      <c r="N585" s="254" t="s">
        <v>957</v>
      </c>
      <c r="O585" s="254" t="s">
        <v>688</v>
      </c>
      <c r="P585" s="254"/>
      <c r="Q585" s="254" t="s">
        <v>955</v>
      </c>
      <c r="R585" s="254" t="s">
        <v>956</v>
      </c>
      <c r="S585" s="254" t="s">
        <v>957</v>
      </c>
      <c r="T585" s="254"/>
      <c r="U585" s="13" t="s">
        <v>512</v>
      </c>
      <c r="V585" s="13" t="s">
        <v>691</v>
      </c>
      <c r="W585" s="13" t="s">
        <v>692</v>
      </c>
      <c r="X585" s="254" t="s">
        <v>693</v>
      </c>
      <c r="Y585" s="254"/>
      <c r="AA585" s="938"/>
      <c r="AE585" s="949"/>
    </row>
    <row r="586" spans="1:31" ht="14.25">
      <c r="A586" s="255" t="s">
        <v>2</v>
      </c>
      <c r="B586" s="256"/>
      <c r="C586" s="449" t="s">
        <v>3</v>
      </c>
      <c r="D586" s="256"/>
      <c r="E586" s="255" t="s">
        <v>4</v>
      </c>
      <c r="F586" s="256"/>
      <c r="G586" s="255" t="s">
        <v>694</v>
      </c>
      <c r="H586" s="256"/>
      <c r="I586" s="255" t="s">
        <v>77</v>
      </c>
      <c r="J586" s="255" t="s">
        <v>20</v>
      </c>
      <c r="K586" s="4"/>
      <c r="L586" s="255" t="s">
        <v>20</v>
      </c>
      <c r="M586" s="255" t="s">
        <v>20</v>
      </c>
      <c r="N586" s="255" t="s">
        <v>20</v>
      </c>
      <c r="O586" s="255" t="s">
        <v>20</v>
      </c>
      <c r="P586" s="256"/>
      <c r="Q586" s="255" t="s">
        <v>20</v>
      </c>
      <c r="R586" s="255" t="s">
        <v>20</v>
      </c>
      <c r="S586" s="255" t="s">
        <v>20</v>
      </c>
      <c r="T586" s="256"/>
      <c r="U586" s="255" t="s">
        <v>20</v>
      </c>
      <c r="V586" s="255" t="s">
        <v>77</v>
      </c>
      <c r="W586" s="255" t="s">
        <v>20</v>
      </c>
      <c r="X586" s="255" t="s">
        <v>76</v>
      </c>
      <c r="Y586" s="4"/>
      <c r="AA586" s="938"/>
      <c r="AE586" s="949"/>
    </row>
    <row r="587" spans="1:31">
      <c r="A587" s="4"/>
      <c r="B587" s="256"/>
      <c r="C587" s="256"/>
      <c r="D587" s="256"/>
      <c r="E587" s="4"/>
      <c r="F587" s="256"/>
      <c r="G587" s="4" t="s">
        <v>8</v>
      </c>
      <c r="H587" s="4"/>
      <c r="I587" s="4" t="s">
        <v>9</v>
      </c>
      <c r="J587" s="4" t="s">
        <v>370</v>
      </c>
      <c r="K587" s="4"/>
      <c r="L587" s="132" t="s">
        <v>79</v>
      </c>
      <c r="M587" s="132" t="s">
        <v>115</v>
      </c>
      <c r="N587" s="4" t="s">
        <v>81</v>
      </c>
      <c r="O587" s="4" t="s">
        <v>959</v>
      </c>
      <c r="P587" s="4"/>
      <c r="Q587" s="4" t="s">
        <v>118</v>
      </c>
      <c r="R587" s="4" t="s">
        <v>84</v>
      </c>
      <c r="S587" s="4" t="s">
        <v>516</v>
      </c>
      <c r="T587" s="4"/>
      <c r="U587" s="4" t="s">
        <v>960</v>
      </c>
      <c r="V587" s="4" t="s">
        <v>518</v>
      </c>
      <c r="W587" s="4" t="s">
        <v>961</v>
      </c>
      <c r="X587" s="4" t="s">
        <v>962</v>
      </c>
    </row>
    <row r="588" spans="1:31">
      <c r="A588" s="4"/>
      <c r="B588" s="256"/>
      <c r="C588" s="256"/>
      <c r="D588" s="256"/>
      <c r="E588" s="4"/>
      <c r="F588" s="256"/>
      <c r="G588" s="4"/>
      <c r="H588" s="4"/>
      <c r="I588" s="4"/>
      <c r="J588" s="4"/>
      <c r="K588" s="4"/>
      <c r="L588" s="132"/>
      <c r="M588" s="132"/>
      <c r="N588" s="4"/>
      <c r="O588" s="4"/>
      <c r="P588" s="4"/>
      <c r="Q588" s="4"/>
      <c r="R588" s="4"/>
      <c r="S588" s="4"/>
      <c r="T588" s="4"/>
      <c r="U588" s="4"/>
      <c r="V588" s="4"/>
      <c r="W588" s="4"/>
      <c r="X588" s="4"/>
    </row>
    <row r="589" spans="1:31">
      <c r="A589" s="4"/>
      <c r="B589" s="256"/>
      <c r="C589" s="6" t="s">
        <v>183</v>
      </c>
      <c r="D589" s="256"/>
      <c r="E589" s="742"/>
      <c r="F589" s="256"/>
      <c r="G589" s="35"/>
      <c r="H589" s="256"/>
      <c r="I589" s="256"/>
      <c r="J589" s="762"/>
      <c r="K589" s="762"/>
      <c r="L589" s="762"/>
      <c r="M589" s="762"/>
      <c r="N589" s="762"/>
      <c r="O589" s="762"/>
      <c r="P589" s="771"/>
      <c r="Q589" s="762"/>
      <c r="R589" s="762"/>
      <c r="S589" s="762"/>
      <c r="T589" s="771"/>
      <c r="U589" s="771"/>
      <c r="V589" s="771"/>
      <c r="W589" s="762"/>
      <c r="X589" s="513"/>
    </row>
    <row r="590" spans="1:31">
      <c r="A590" s="256">
        <v>269</v>
      </c>
      <c r="B590" s="256"/>
      <c r="C590" s="512" t="s">
        <v>726</v>
      </c>
      <c r="D590" s="256"/>
      <c r="E590" s="513" t="s">
        <v>675</v>
      </c>
      <c r="F590" s="256"/>
      <c r="G590" s="35">
        <v>6040.4639999999999</v>
      </c>
      <c r="H590" s="750"/>
      <c r="I590" s="35">
        <v>0</v>
      </c>
      <c r="J590" s="762">
        <v>0</v>
      </c>
      <c r="K590" s="762"/>
      <c r="L590" s="825">
        <v>0</v>
      </c>
      <c r="M590" s="825">
        <v>0</v>
      </c>
      <c r="N590" s="825">
        <v>0</v>
      </c>
      <c r="O590" s="762">
        <v>0</v>
      </c>
      <c r="P590" s="771"/>
      <c r="Q590" s="35">
        <v>0</v>
      </c>
      <c r="R590" s="35">
        <v>0</v>
      </c>
      <c r="S590" s="35">
        <v>0</v>
      </c>
      <c r="T590" s="771"/>
      <c r="U590" s="771">
        <v>0</v>
      </c>
      <c r="V590" s="771">
        <v>0</v>
      </c>
      <c r="W590" s="762">
        <v>0</v>
      </c>
      <c r="X590" s="834"/>
      <c r="Y590" s="769"/>
    </row>
    <row r="591" spans="1:31">
      <c r="A591" s="256">
        <v>270</v>
      </c>
      <c r="B591" s="256"/>
      <c r="C591" s="512" t="s">
        <v>705</v>
      </c>
      <c r="D591" s="256"/>
      <c r="E591" s="513" t="s">
        <v>674</v>
      </c>
      <c r="F591" s="256"/>
      <c r="G591" s="35">
        <v>90073.425800000012</v>
      </c>
      <c r="H591" s="750"/>
      <c r="I591" s="772">
        <v>0.14700000000000002</v>
      </c>
      <c r="J591" s="762">
        <f>G591*I591/100</f>
        <v>132.40793592600002</v>
      </c>
      <c r="K591" s="762"/>
      <c r="L591" s="35">
        <v>2.8522366222343125</v>
      </c>
      <c r="M591" s="35">
        <v>53.547075007156863</v>
      </c>
      <c r="N591" s="35">
        <v>75.954499308342562</v>
      </c>
      <c r="O591" s="762">
        <f>J591-L591-M591-N591</f>
        <v>5.4124988266295304E-2</v>
      </c>
      <c r="P591" s="771"/>
      <c r="Q591" s="35">
        <v>2.6736112128633147</v>
      </c>
      <c r="R591" s="35">
        <v>65.777436100425092</v>
      </c>
      <c r="S591" s="35">
        <v>76.040106344858529</v>
      </c>
      <c r="T591" s="771"/>
      <c r="U591" s="771">
        <f>SUM(O591:S591)</f>
        <v>144.54527864641324</v>
      </c>
      <c r="V591" s="821">
        <f>U591/G591*100</f>
        <v>0.16047494292863149</v>
      </c>
      <c r="W591" s="762">
        <f>U591-J591</f>
        <v>12.137342720413216</v>
      </c>
      <c r="X591" s="834">
        <f>V591/I591-1</f>
        <v>9.1666278426064451E-2</v>
      </c>
      <c r="Y591" s="769"/>
      <c r="AA591" s="938"/>
      <c r="AC591" s="938"/>
      <c r="AE591" s="949"/>
    </row>
    <row r="592" spans="1:31">
      <c r="A592" s="256"/>
      <c r="B592" s="256"/>
      <c r="C592" s="7"/>
      <c r="D592" s="256"/>
      <c r="E592" s="513"/>
      <c r="F592" s="256"/>
      <c r="G592" s="35"/>
      <c r="H592" s="750"/>
      <c r="I592" s="772"/>
      <c r="J592" s="762"/>
      <c r="K592" s="762"/>
      <c r="L592" s="35"/>
      <c r="M592" s="35"/>
      <c r="N592" s="35"/>
      <c r="O592" s="762"/>
      <c r="P592" s="771"/>
      <c r="Q592" s="35"/>
      <c r="R592" s="35"/>
      <c r="S592" s="35"/>
      <c r="T592" s="771"/>
      <c r="U592" s="771"/>
      <c r="V592" s="821"/>
      <c r="W592" s="762">
        <f>U592-J592</f>
        <v>0</v>
      </c>
      <c r="X592" s="834"/>
      <c r="Y592" s="769"/>
      <c r="AA592" s="938"/>
      <c r="AC592" s="938"/>
      <c r="AE592" s="949"/>
    </row>
    <row r="593" spans="1:31">
      <c r="A593" s="256">
        <v>271</v>
      </c>
      <c r="B593" s="256"/>
      <c r="C593" s="7" t="s">
        <v>710</v>
      </c>
      <c r="D593" s="256"/>
      <c r="E593" s="513"/>
      <c r="F593" s="256"/>
      <c r="G593" s="420">
        <f>G591</f>
        <v>90073.425800000012</v>
      </c>
      <c r="H593" s="750"/>
      <c r="I593" s="810">
        <f>I591</f>
        <v>0.14700000000000002</v>
      </c>
      <c r="J593" s="805">
        <f>G593*I593/100</f>
        <v>132.40793592600002</v>
      </c>
      <c r="K593" s="984"/>
      <c r="L593" s="420">
        <f>SUM(L591:L592)</f>
        <v>2.8522366222343125</v>
      </c>
      <c r="M593" s="420">
        <f>SUM(M591:M592)</f>
        <v>53.547075007156863</v>
      </c>
      <c r="N593" s="420">
        <f>SUM(N591:N592)</f>
        <v>75.954499308342562</v>
      </c>
      <c r="O593" s="420">
        <f>SUM(O591:O592)</f>
        <v>5.4124988266295304E-2</v>
      </c>
      <c r="P593" s="984"/>
      <c r="Q593" s="420">
        <f>SUM(Q591:Q592)</f>
        <v>2.6736112128633147</v>
      </c>
      <c r="R593" s="420">
        <f>SUM(R591:R592)</f>
        <v>65.777436100425092</v>
      </c>
      <c r="S593" s="420">
        <f>SUM(S591:S592)</f>
        <v>76.040106344858529</v>
      </c>
      <c r="T593" s="984"/>
      <c r="U593" s="807">
        <f>SUM(U591:U592)</f>
        <v>144.54527864641324</v>
      </c>
      <c r="V593" s="810">
        <f>V591</f>
        <v>0.16047494292863149</v>
      </c>
      <c r="W593" s="805">
        <f>U593-J593</f>
        <v>12.137342720413216</v>
      </c>
      <c r="X593" s="921">
        <f>X591</f>
        <v>9.1666278426064451E-2</v>
      </c>
      <c r="Y593" s="769"/>
      <c r="AA593" s="938"/>
      <c r="AC593" s="938"/>
      <c r="AE593" s="949"/>
    </row>
    <row r="594" spans="1:31">
      <c r="A594" s="256"/>
      <c r="G594" s="744"/>
      <c r="H594" s="752"/>
      <c r="I594" s="772"/>
      <c r="J594" s="762"/>
      <c r="K594" s="762"/>
      <c r="L594" s="762"/>
      <c r="M594" s="762"/>
      <c r="N594" s="762"/>
      <c r="O594" s="762"/>
      <c r="P594" s="68"/>
      <c r="Q594" s="827"/>
      <c r="R594" s="827"/>
      <c r="S594" s="827"/>
      <c r="T594" s="68"/>
      <c r="U594" s="771"/>
      <c r="V594" s="821"/>
      <c r="W594" s="762"/>
      <c r="X594" s="834"/>
      <c r="Y594" s="769"/>
      <c r="AA594" s="938"/>
      <c r="AC594" s="938"/>
      <c r="AE594" s="949"/>
    </row>
    <row r="595" spans="1:31" hidden="1">
      <c r="A595" s="256"/>
      <c r="B595" s="256"/>
      <c r="C595" s="7" t="s">
        <v>715</v>
      </c>
      <c r="D595" s="256"/>
      <c r="E595" s="36"/>
      <c r="F595" s="256"/>
      <c r="G595" s="830"/>
      <c r="H595" s="750"/>
      <c r="I595" s="829"/>
      <c r="J595" s="762"/>
      <c r="K595" s="762"/>
      <c r="L595" s="805"/>
      <c r="M595" s="805"/>
      <c r="N595" s="805"/>
      <c r="O595" s="762"/>
      <c r="P595" s="771"/>
      <c r="Q595" s="137"/>
      <c r="R595" s="137"/>
      <c r="S595" s="137"/>
      <c r="T595" s="771"/>
      <c r="U595" s="771"/>
      <c r="V595" s="902"/>
      <c r="W595" s="762"/>
      <c r="X595" s="921"/>
      <c r="Y595" s="769"/>
      <c r="AA595" s="938"/>
      <c r="AC595" s="938"/>
      <c r="AE595" s="949"/>
    </row>
    <row r="596" spans="1:31" hidden="1">
      <c r="A596" s="256"/>
      <c r="B596" s="256"/>
      <c r="C596" s="7"/>
      <c r="D596" s="256"/>
      <c r="E596" s="36"/>
      <c r="F596" s="256"/>
      <c r="G596" s="828"/>
      <c r="H596" s="750"/>
      <c r="I596" s="823"/>
      <c r="J596" s="762"/>
      <c r="K596" s="762"/>
      <c r="L596" s="762"/>
      <c r="M596" s="762"/>
      <c r="N596" s="762"/>
      <c r="O596" s="762"/>
      <c r="P596" s="771"/>
      <c r="Q596" s="827"/>
      <c r="R596" s="827"/>
      <c r="S596" s="827"/>
      <c r="T596" s="771"/>
      <c r="U596" s="771"/>
      <c r="V596" s="821"/>
      <c r="W596" s="762"/>
      <c r="X596" s="834"/>
      <c r="Y596" s="769"/>
      <c r="AA596" s="938"/>
      <c r="AC596" s="938"/>
      <c r="AE596" s="949"/>
    </row>
    <row r="597" spans="1:31">
      <c r="A597" s="256">
        <v>272</v>
      </c>
      <c r="B597" s="734"/>
      <c r="C597" s="7" t="s">
        <v>715</v>
      </c>
      <c r="D597" s="734"/>
      <c r="E597" s="513" t="s">
        <v>674</v>
      </c>
      <c r="F597" s="734"/>
      <c r="G597" s="35">
        <v>15795.321699999999</v>
      </c>
      <c r="H597" s="826"/>
      <c r="I597" s="772">
        <v>20.612300000000001</v>
      </c>
      <c r="J597" s="762">
        <f>G597*I597/100</f>
        <v>3255.7790947690996</v>
      </c>
      <c r="K597" s="762"/>
      <c r="L597" s="825">
        <v>0</v>
      </c>
      <c r="M597" s="825">
        <v>0</v>
      </c>
      <c r="N597" s="825">
        <v>0</v>
      </c>
      <c r="O597" s="762">
        <f>J597-L597-M597-N597</f>
        <v>3255.7790947690996</v>
      </c>
      <c r="P597" s="824"/>
      <c r="Q597" s="35">
        <v>0</v>
      </c>
      <c r="R597" s="35">
        <v>0</v>
      </c>
      <c r="S597" s="35">
        <v>0</v>
      </c>
      <c r="T597" s="824"/>
      <c r="U597" s="771">
        <f>SUM(O597:S597)</f>
        <v>3255.7790947690996</v>
      </c>
      <c r="V597" s="821">
        <f>U597/G597*100</f>
        <v>20.612300000000001</v>
      </c>
      <c r="W597" s="762">
        <f>U597-J597</f>
        <v>0</v>
      </c>
      <c r="X597" s="834">
        <f>V597/I597-1</f>
        <v>0</v>
      </c>
      <c r="Y597" s="769"/>
      <c r="AA597" s="938"/>
      <c r="AC597" s="938"/>
      <c r="AE597" s="949"/>
    </row>
    <row r="598" spans="1:31">
      <c r="A598" s="256"/>
      <c r="B598" s="385"/>
      <c r="C598" s="7"/>
      <c r="D598" s="385"/>
      <c r="E598" s="447"/>
      <c r="F598" s="385"/>
      <c r="G598" s="35"/>
      <c r="H598" s="822"/>
      <c r="I598" s="823"/>
      <c r="J598" s="762"/>
      <c r="K598" s="762"/>
      <c r="L598" s="762"/>
      <c r="M598" s="762"/>
      <c r="N598" s="762"/>
      <c r="O598" s="762"/>
      <c r="P598" s="789"/>
      <c r="Q598" s="762"/>
      <c r="R598" s="762"/>
      <c r="S598" s="762"/>
      <c r="T598" s="789"/>
      <c r="U598" s="789"/>
      <c r="V598" s="821"/>
      <c r="W598" s="762"/>
      <c r="X598" s="834"/>
      <c r="Y598" s="769"/>
    </row>
    <row r="599" spans="1:31" ht="13.5" thickBot="1">
      <c r="A599" s="256">
        <v>273</v>
      </c>
      <c r="B599" s="447"/>
      <c r="C599" s="7" t="s">
        <v>823</v>
      </c>
      <c r="D599" s="447"/>
      <c r="E599" s="385"/>
      <c r="F599" s="447"/>
      <c r="G599" s="819">
        <f>G593</f>
        <v>90073.425800000012</v>
      </c>
      <c r="H599" s="818"/>
      <c r="I599" s="820">
        <f>J599/G599*100</f>
        <v>3.7615833977695772</v>
      </c>
      <c r="J599" s="458">
        <f>J591+J597</f>
        <v>3388.1870306950996</v>
      </c>
      <c r="K599" s="453"/>
      <c r="L599" s="458">
        <f>SUM(L591)</f>
        <v>2.8522366222343125</v>
      </c>
      <c r="M599" s="458">
        <f>SUM(M591)</f>
        <v>53.547075007156863</v>
      </c>
      <c r="N599" s="458">
        <f>SUM(N591)</f>
        <v>75.954499308342562</v>
      </c>
      <c r="O599" s="458">
        <f>O593+O597</f>
        <v>3255.8332197573659</v>
      </c>
      <c r="P599" s="453"/>
      <c r="Q599" s="458">
        <f>Q593</f>
        <v>2.6736112128633147</v>
      </c>
      <c r="R599" s="458">
        <f>R593</f>
        <v>65.777436100425092</v>
      </c>
      <c r="S599" s="458">
        <f>S593</f>
        <v>76.040106344858529</v>
      </c>
      <c r="T599" s="453"/>
      <c r="U599" s="458">
        <f>U593+U597</f>
        <v>3400.324373415513</v>
      </c>
      <c r="V599" s="820">
        <f>U599/G599*100</f>
        <v>3.7750583406982092</v>
      </c>
      <c r="W599" s="799">
        <f>W591+W597</f>
        <v>12.137342720413216</v>
      </c>
      <c r="X599" s="917">
        <f>V599/I599-1</f>
        <v>3.582252871655589E-3</v>
      </c>
      <c r="Y599" s="769"/>
      <c r="AA599" s="938"/>
      <c r="AC599" s="938"/>
      <c r="AE599" s="949"/>
    </row>
    <row r="600" spans="1:31" ht="13.5" thickTop="1">
      <c r="A600" s="256"/>
      <c r="B600" s="254"/>
      <c r="C600" s="254"/>
      <c r="D600" s="254"/>
      <c r="E600" s="4"/>
      <c r="F600" s="254"/>
      <c r="G600" s="13"/>
      <c r="H600" s="254"/>
      <c r="I600" s="817"/>
      <c r="J600" s="762"/>
      <c r="K600" s="762"/>
      <c r="L600" s="762"/>
      <c r="M600" s="762"/>
      <c r="N600" s="762"/>
      <c r="O600" s="762"/>
      <c r="P600" s="786"/>
      <c r="Q600" s="762"/>
      <c r="R600" s="762"/>
      <c r="S600" s="762"/>
      <c r="T600" s="786"/>
      <c r="U600" s="786"/>
      <c r="V600" s="786"/>
      <c r="W600" s="762"/>
      <c r="X600" s="834"/>
      <c r="Y600" s="769"/>
    </row>
    <row r="601" spans="1:31">
      <c r="A601" s="256"/>
      <c r="B601" s="256"/>
      <c r="C601" s="6" t="s">
        <v>184</v>
      </c>
      <c r="D601" s="256"/>
      <c r="E601" s="4"/>
      <c r="F601" s="256"/>
      <c r="G601" s="4"/>
      <c r="H601" s="256"/>
      <c r="I601" s="256"/>
      <c r="J601" s="762"/>
      <c r="K601" s="762"/>
      <c r="L601" s="762"/>
      <c r="M601" s="762"/>
      <c r="N601" s="762"/>
      <c r="O601" s="762"/>
      <c r="P601" s="771"/>
      <c r="Q601" s="762"/>
      <c r="R601" s="762"/>
      <c r="S601" s="762"/>
      <c r="T601" s="771"/>
      <c r="U601" s="771"/>
      <c r="V601" s="771"/>
      <c r="W601" s="762"/>
      <c r="X601" s="666"/>
    </row>
    <row r="602" spans="1:31">
      <c r="A602" s="256">
        <v>274</v>
      </c>
      <c r="B602" s="256"/>
      <c r="C602" s="7" t="s">
        <v>703</v>
      </c>
      <c r="D602" s="256"/>
      <c r="E602" s="4" t="s">
        <v>824</v>
      </c>
      <c r="F602" s="256"/>
      <c r="G602" s="35">
        <v>564.00000000000091</v>
      </c>
      <c r="H602" s="256"/>
      <c r="I602" s="35">
        <v>0</v>
      </c>
      <c r="J602" s="35">
        <v>0</v>
      </c>
      <c r="K602" s="35"/>
      <c r="L602" s="35">
        <v>0</v>
      </c>
      <c r="M602" s="35">
        <v>0</v>
      </c>
      <c r="N602" s="35">
        <v>0</v>
      </c>
      <c r="O602" s="35">
        <v>0</v>
      </c>
      <c r="P602" s="771"/>
      <c r="Q602" s="35">
        <v>0</v>
      </c>
      <c r="R602" s="35">
        <v>0</v>
      </c>
      <c r="S602" s="35">
        <v>0</v>
      </c>
      <c r="T602" s="750"/>
      <c r="U602" s="35">
        <v>0</v>
      </c>
      <c r="V602" s="35">
        <v>0</v>
      </c>
      <c r="W602" s="35">
        <v>0</v>
      </c>
      <c r="X602" s="35"/>
      <c r="Y602" s="769"/>
      <c r="AA602" s="938"/>
      <c r="AE602" s="954"/>
    </row>
    <row r="603" spans="1:31" ht="14.25">
      <c r="A603" s="256"/>
      <c r="B603" s="256"/>
      <c r="C603" s="7" t="s">
        <v>825</v>
      </c>
      <c r="D603" s="256"/>
      <c r="E603" s="4"/>
      <c r="F603" s="256"/>
      <c r="G603" s="35"/>
      <c r="H603" s="256"/>
      <c r="I603" s="35"/>
      <c r="J603" s="35"/>
      <c r="K603" s="35"/>
      <c r="L603" s="35"/>
      <c r="M603" s="35"/>
      <c r="N603" s="35"/>
      <c r="O603" s="35"/>
      <c r="P603" s="771"/>
      <c r="Q603" s="35"/>
      <c r="R603" s="35"/>
      <c r="S603" s="35"/>
      <c r="T603" s="750"/>
      <c r="U603" s="35"/>
      <c r="V603" s="35"/>
      <c r="W603" s="35"/>
      <c r="X603" s="35"/>
      <c r="Y603" s="769"/>
      <c r="AA603" s="938"/>
      <c r="AE603" s="954"/>
    </row>
    <row r="604" spans="1:31">
      <c r="A604" s="256"/>
      <c r="B604" s="256"/>
      <c r="C604" s="519" t="s">
        <v>826</v>
      </c>
      <c r="D604" s="256"/>
      <c r="F604" s="256"/>
      <c r="G604" s="749"/>
      <c r="H604" s="256"/>
      <c r="I604" s="256"/>
      <c r="J604" s="762"/>
      <c r="K604" s="762"/>
      <c r="L604" s="35"/>
      <c r="M604" s="35"/>
      <c r="N604" s="35"/>
      <c r="O604" s="762"/>
      <c r="P604" s="771"/>
      <c r="Q604" s="762"/>
      <c r="R604" s="762"/>
      <c r="S604" s="762"/>
      <c r="T604" s="771"/>
      <c r="U604" s="771"/>
      <c r="V604" s="821"/>
      <c r="W604" s="762"/>
      <c r="X604" s="834"/>
      <c r="Y604" s="769"/>
      <c r="AA604" s="938"/>
    </row>
    <row r="605" spans="1:31">
      <c r="A605" s="256">
        <v>275</v>
      </c>
      <c r="B605" s="256"/>
      <c r="C605" s="731" t="s">
        <v>947</v>
      </c>
      <c r="D605" s="256"/>
      <c r="E605" s="513" t="s">
        <v>828</v>
      </c>
      <c r="F605" s="256"/>
      <c r="G605" s="35">
        <v>14363.064</v>
      </c>
      <c r="H605" s="256"/>
      <c r="I605" s="35">
        <v>0</v>
      </c>
      <c r="J605" s="35">
        <v>0</v>
      </c>
      <c r="K605" s="35"/>
      <c r="L605" s="35">
        <v>0</v>
      </c>
      <c r="M605" s="35">
        <v>0</v>
      </c>
      <c r="N605" s="35">
        <v>0</v>
      </c>
      <c r="O605" s="35">
        <v>0</v>
      </c>
      <c r="P605" s="771"/>
      <c r="Q605" s="35">
        <v>0</v>
      </c>
      <c r="R605" s="35">
        <v>0</v>
      </c>
      <c r="S605" s="35">
        <v>0</v>
      </c>
      <c r="T605" s="750"/>
      <c r="U605" s="35">
        <v>0</v>
      </c>
      <c r="V605" s="35">
        <v>0</v>
      </c>
      <c r="W605" s="35">
        <v>0</v>
      </c>
      <c r="X605" s="35"/>
      <c r="Y605" s="785"/>
      <c r="AA605" s="938"/>
    </row>
    <row r="606" spans="1:31">
      <c r="A606" s="256">
        <v>276</v>
      </c>
      <c r="B606" s="256"/>
      <c r="C606" s="731" t="s">
        <v>968</v>
      </c>
      <c r="D606" s="256"/>
      <c r="E606" s="513" t="s">
        <v>828</v>
      </c>
      <c r="F606" s="256"/>
      <c r="G606" s="35">
        <v>12176.784</v>
      </c>
      <c r="H606" s="256"/>
      <c r="I606" s="35">
        <v>0</v>
      </c>
      <c r="J606" s="35">
        <v>0</v>
      </c>
      <c r="K606" s="35"/>
      <c r="L606" s="35">
        <v>0</v>
      </c>
      <c r="M606" s="35">
        <v>0</v>
      </c>
      <c r="N606" s="35">
        <v>0</v>
      </c>
      <c r="O606" s="35">
        <v>0</v>
      </c>
      <c r="P606" s="771"/>
      <c r="Q606" s="35">
        <v>0</v>
      </c>
      <c r="R606" s="35">
        <v>0</v>
      </c>
      <c r="S606" s="35">
        <v>0</v>
      </c>
      <c r="T606" s="750"/>
      <c r="U606" s="35">
        <v>0</v>
      </c>
      <c r="V606" s="35">
        <v>0</v>
      </c>
      <c r="W606" s="35">
        <v>0</v>
      </c>
      <c r="X606" s="35"/>
      <c r="Y606" s="785"/>
      <c r="AA606" s="938"/>
    </row>
    <row r="607" spans="1:31">
      <c r="A607" s="256"/>
      <c r="B607" s="256"/>
      <c r="C607" s="519" t="s">
        <v>830</v>
      </c>
      <c r="D607" s="256"/>
      <c r="E607" s="36"/>
      <c r="F607" s="256"/>
      <c r="G607" s="35"/>
      <c r="H607" s="256"/>
      <c r="I607" s="256"/>
      <c r="J607" s="762"/>
      <c r="K607" s="762"/>
      <c r="L607" s="35"/>
      <c r="M607" s="35"/>
      <c r="N607" s="35"/>
      <c r="O607" s="762"/>
      <c r="P607" s="771"/>
      <c r="Q607" s="35"/>
      <c r="R607" s="35"/>
      <c r="S607" s="35"/>
      <c r="T607" s="771"/>
      <c r="U607" s="771"/>
      <c r="V607" s="821"/>
      <c r="W607" s="762"/>
      <c r="X607" s="834"/>
      <c r="Y607" s="769"/>
      <c r="AA607" s="938"/>
    </row>
    <row r="608" spans="1:31">
      <c r="A608" s="256">
        <v>277</v>
      </c>
      <c r="B608" s="256"/>
      <c r="C608" s="814" t="s">
        <v>831</v>
      </c>
      <c r="D608" s="256"/>
      <c r="E608" s="36" t="s">
        <v>674</v>
      </c>
      <c r="F608" s="256"/>
      <c r="G608" s="35">
        <v>393753.99073000008</v>
      </c>
      <c r="H608" s="256"/>
      <c r="I608" s="772">
        <v>1.9199999999999998E-2</v>
      </c>
      <c r="J608" s="762">
        <f>G608*I608/100</f>
        <v>75.600766220160011</v>
      </c>
      <c r="K608" s="762"/>
      <c r="L608" s="35">
        <v>28.564106178708613</v>
      </c>
      <c r="M608" s="35">
        <v>0</v>
      </c>
      <c r="N608" s="35">
        <v>0</v>
      </c>
      <c r="O608" s="762">
        <f>J608-L608-M608-N608</f>
        <v>47.036660041451398</v>
      </c>
      <c r="P608" s="771"/>
      <c r="Q608" s="35">
        <v>0</v>
      </c>
      <c r="R608" s="35">
        <v>0</v>
      </c>
      <c r="S608" s="35">
        <v>0</v>
      </c>
      <c r="T608" s="771"/>
      <c r="U608" s="771">
        <f>SUM(O608:S608)</f>
        <v>47.036660041451398</v>
      </c>
      <c r="V608" s="821">
        <f>U608/G608*100</f>
        <v>1.1945697351345645E-2</v>
      </c>
      <c r="W608" s="762">
        <f>U608-J608</f>
        <v>-28.564106178708613</v>
      </c>
      <c r="X608" s="980">
        <f>V608/I608-1</f>
        <v>-0.37782826295074756</v>
      </c>
      <c r="Y608" s="769"/>
      <c r="AA608" s="938"/>
      <c r="AC608" s="938"/>
      <c r="AE608" s="949"/>
    </row>
    <row r="609" spans="1:31">
      <c r="A609" s="256">
        <v>278</v>
      </c>
      <c r="B609" s="256"/>
      <c r="C609" s="814" t="s">
        <v>832</v>
      </c>
      <c r="D609" s="256"/>
      <c r="E609" s="36" t="s">
        <v>674</v>
      </c>
      <c r="F609" s="256"/>
      <c r="G609" s="35">
        <v>37535.500949999994</v>
      </c>
      <c r="H609" s="256"/>
      <c r="I609" s="772">
        <v>1.9199999999999998E-2</v>
      </c>
      <c r="J609" s="762">
        <f>G609*I609/100</f>
        <v>7.2068161823999981</v>
      </c>
      <c r="K609" s="762"/>
      <c r="L609" s="35">
        <v>2.7229388396015293</v>
      </c>
      <c r="M609" s="35">
        <v>0</v>
      </c>
      <c r="N609" s="35">
        <v>0</v>
      </c>
      <c r="O609" s="762">
        <f>J609-L609-M609-N609</f>
        <v>4.4838773427984684</v>
      </c>
      <c r="P609" s="771"/>
      <c r="Q609" s="35">
        <v>0</v>
      </c>
      <c r="R609" s="35">
        <v>0</v>
      </c>
      <c r="S609" s="35">
        <v>0</v>
      </c>
      <c r="T609" s="35"/>
      <c r="U609" s="771">
        <f>SUM(O609:S609)</f>
        <v>4.4838773427984684</v>
      </c>
      <c r="V609" s="821">
        <f>U609/G609*100</f>
        <v>1.1945697351345643E-2</v>
      </c>
      <c r="W609" s="762">
        <f>U609-J609</f>
        <v>-2.7229388396015297</v>
      </c>
      <c r="X609" s="785">
        <f>V609/I609-1</f>
        <v>-0.37782826295074767</v>
      </c>
      <c r="Y609" s="785"/>
      <c r="AA609" s="938"/>
      <c r="AC609" s="938"/>
      <c r="AE609" s="949"/>
    </row>
    <row r="610" spans="1:31">
      <c r="A610" s="256"/>
      <c r="B610" s="256"/>
      <c r="C610" s="7"/>
      <c r="D610" s="256"/>
      <c r="E610" s="36"/>
      <c r="F610" s="256"/>
      <c r="G610" s="35"/>
      <c r="H610" s="256"/>
      <c r="I610" s="256"/>
      <c r="J610" s="762"/>
      <c r="K610" s="762"/>
      <c r="L610" s="35"/>
      <c r="M610" s="35"/>
      <c r="N610" s="35"/>
      <c r="O610" s="762"/>
      <c r="P610" s="771"/>
      <c r="Q610" s="35"/>
      <c r="R610" s="35"/>
      <c r="S610" s="35"/>
      <c r="T610" s="771"/>
      <c r="U610" s="771"/>
      <c r="V610" s="821"/>
      <c r="W610" s="762"/>
      <c r="X610" s="834"/>
      <c r="Y610" s="769"/>
      <c r="AA610" s="938"/>
      <c r="AC610" s="938"/>
      <c r="AE610" s="949"/>
    </row>
    <row r="611" spans="1:31">
      <c r="A611" s="256">
        <v>279</v>
      </c>
      <c r="B611" s="256"/>
      <c r="C611" s="9" t="s">
        <v>833</v>
      </c>
      <c r="D611" s="256"/>
      <c r="E611" s="36" t="s">
        <v>674</v>
      </c>
      <c r="F611" s="256"/>
      <c r="G611" s="35">
        <v>1410.373</v>
      </c>
      <c r="H611" s="256"/>
      <c r="I611" s="772">
        <v>1.9199999999999998E-2</v>
      </c>
      <c r="J611" s="762">
        <f>G611*I611/100</f>
        <v>0.27079161600000001</v>
      </c>
      <c r="K611" s="762"/>
      <c r="L611" s="35">
        <v>0.10231272589490586</v>
      </c>
      <c r="M611" s="35">
        <v>0</v>
      </c>
      <c r="N611" s="35">
        <v>0</v>
      </c>
      <c r="O611" s="762">
        <f>J611-L611-M611-N611</f>
        <v>0.16847889010509415</v>
      </c>
      <c r="P611" s="771"/>
      <c r="Q611" s="35">
        <v>0</v>
      </c>
      <c r="R611" s="35">
        <v>0</v>
      </c>
      <c r="S611" s="35">
        <v>0</v>
      </c>
      <c r="T611" s="771"/>
      <c r="U611" s="771">
        <f>SUM(O611:S611)</f>
        <v>0.16847889010509415</v>
      </c>
      <c r="V611" s="821">
        <f>U611/G611*100</f>
        <v>1.1945697351345647E-2</v>
      </c>
      <c r="W611" s="762">
        <f>U611-J611</f>
        <v>-0.10231272589490586</v>
      </c>
      <c r="X611" s="980">
        <f>V611/I611-1</f>
        <v>-0.37782826295074745</v>
      </c>
      <c r="Y611" s="769"/>
      <c r="AA611" s="938"/>
      <c r="AC611" s="938"/>
      <c r="AE611" s="949"/>
    </row>
    <row r="612" spans="1:31">
      <c r="A612" s="256">
        <v>280</v>
      </c>
      <c r="B612" s="256"/>
      <c r="C612" s="9" t="s">
        <v>834</v>
      </c>
      <c r="D612" s="256"/>
      <c r="E612" s="36" t="s">
        <v>674</v>
      </c>
      <c r="F612" s="256"/>
      <c r="G612" s="35">
        <v>350</v>
      </c>
      <c r="H612" s="256"/>
      <c r="I612" s="772">
        <v>1.9199999999999998E-2</v>
      </c>
      <c r="J612" s="762">
        <f>G612*I612/100</f>
        <v>6.7199999999999996E-2</v>
      </c>
      <c r="K612" s="762"/>
      <c r="L612" s="35">
        <v>0</v>
      </c>
      <c r="M612" s="35">
        <v>0</v>
      </c>
      <c r="N612" s="35">
        <v>0</v>
      </c>
      <c r="O612" s="762">
        <f>J612-L612-M612-N612</f>
        <v>6.7199999999999996E-2</v>
      </c>
      <c r="P612" s="771"/>
      <c r="Q612" s="35">
        <v>0</v>
      </c>
      <c r="R612" s="35">
        <v>0</v>
      </c>
      <c r="S612" s="35">
        <v>0</v>
      </c>
      <c r="T612" s="35"/>
      <c r="U612" s="771">
        <f>SUM(O612:S612)</f>
        <v>6.7199999999999996E-2</v>
      </c>
      <c r="V612" s="821">
        <v>1.1945697351345647E-2</v>
      </c>
      <c r="W612" s="762">
        <f>U612-J612</f>
        <v>0</v>
      </c>
      <c r="X612" s="785">
        <f>V612/I612-1</f>
        <v>-0.37782826295074745</v>
      </c>
      <c r="Y612" s="785"/>
      <c r="AA612" s="938"/>
      <c r="AC612" s="938"/>
      <c r="AE612" s="949"/>
    </row>
    <row r="613" spans="1:31">
      <c r="A613" s="256"/>
      <c r="B613" s="256"/>
      <c r="C613" s="7"/>
      <c r="D613" s="256"/>
      <c r="E613" s="36"/>
      <c r="F613" s="256"/>
      <c r="G613" s="453"/>
      <c r="H613" s="256"/>
      <c r="I613" s="256"/>
      <c r="J613" s="762"/>
      <c r="K613" s="762"/>
      <c r="L613" s="35"/>
      <c r="M613" s="35"/>
      <c r="N613" s="35"/>
      <c r="O613" s="762"/>
      <c r="P613" s="771"/>
      <c r="Q613" s="35"/>
      <c r="R613" s="35"/>
      <c r="S613" s="35"/>
      <c r="T613" s="771"/>
      <c r="U613" s="771"/>
      <c r="V613" s="821"/>
      <c r="W613" s="762"/>
      <c r="X613" s="834"/>
      <c r="Y613" s="769"/>
      <c r="AA613" s="938"/>
      <c r="AC613" s="938"/>
    </row>
    <row r="614" spans="1:31">
      <c r="A614" s="256">
        <v>281</v>
      </c>
      <c r="C614" s="9" t="s">
        <v>835</v>
      </c>
      <c r="E614" s="36" t="s">
        <v>777</v>
      </c>
      <c r="G614" s="35">
        <v>0</v>
      </c>
      <c r="I614" s="783">
        <v>3.5799999999999998E-3</v>
      </c>
      <c r="J614" s="35">
        <v>327.83781096999996</v>
      </c>
      <c r="K614" s="762"/>
      <c r="L614" s="35">
        <v>0</v>
      </c>
      <c r="M614" s="35">
        <v>126.74858452616807</v>
      </c>
      <c r="N614" s="35">
        <v>201.0892264438319</v>
      </c>
      <c r="O614" s="35">
        <f>J614-L614-M614-N614</f>
        <v>0</v>
      </c>
      <c r="P614" s="68"/>
      <c r="Q614" s="35">
        <v>29.423554194372251</v>
      </c>
      <c r="R614" s="35">
        <v>154.67064676517469</v>
      </c>
      <c r="S614" s="35">
        <v>199.98692770115883</v>
      </c>
      <c r="T614" s="68"/>
      <c r="U614" s="771">
        <f>Q614+R614+S614</f>
        <v>384.08112866070576</v>
      </c>
      <c r="V614" s="783">
        <v>4.1941789342021703E-3</v>
      </c>
      <c r="W614" s="762">
        <f>U614-J614</f>
        <v>56.243317690705794</v>
      </c>
      <c r="X614" s="785">
        <f>IFERROR(V614/I614-1,"-")</f>
        <v>0.17155836150898618</v>
      </c>
      <c r="Y614" s="785"/>
      <c r="AA614" s="938"/>
      <c r="AC614" s="938"/>
      <c r="AE614" s="949"/>
    </row>
    <row r="615" spans="1:31">
      <c r="A615" s="256"/>
      <c r="B615" s="256"/>
      <c r="C615" s="7"/>
      <c r="D615" s="256"/>
      <c r="E615" s="742"/>
      <c r="F615" s="256"/>
      <c r="G615" s="35"/>
      <c r="H615" s="256"/>
      <c r="I615" s="256"/>
      <c r="J615" s="762"/>
      <c r="K615" s="762"/>
      <c r="L615" s="762"/>
      <c r="M615" s="762"/>
      <c r="N615" s="762"/>
      <c r="O615" s="762"/>
      <c r="P615" s="771"/>
      <c r="Q615" s="762"/>
      <c r="R615" s="762"/>
      <c r="S615" s="762"/>
      <c r="T615" s="771"/>
      <c r="U615" s="771"/>
      <c r="V615" s="821"/>
      <c r="W615" s="762"/>
      <c r="X615" s="834"/>
      <c r="Y615" s="769"/>
      <c r="AA615" s="938"/>
      <c r="AC615" s="938"/>
    </row>
    <row r="616" spans="1:31">
      <c r="A616" s="256">
        <v>282</v>
      </c>
      <c r="B616" s="256"/>
      <c r="C616" s="7" t="s">
        <v>836</v>
      </c>
      <c r="D616" s="256"/>
      <c r="E616" s="742"/>
      <c r="F616" s="256"/>
      <c r="G616" s="420">
        <f>G608+G609</f>
        <v>431289.49168000009</v>
      </c>
      <c r="H616" s="256"/>
      <c r="I616" s="806">
        <f>J616/G616*100</f>
        <v>9.5291768734651561E-2</v>
      </c>
      <c r="J616" s="807">
        <f>SUM(J608:J614)</f>
        <v>410.98338498855998</v>
      </c>
      <c r="K616" s="771"/>
      <c r="L616" s="807">
        <f>SUM(L608:L614)</f>
        <v>31.389357744205046</v>
      </c>
      <c r="M616" s="807">
        <f>SUM(M608:M614)</f>
        <v>126.74858452616807</v>
      </c>
      <c r="N616" s="807">
        <f>SUM(N608:N614)</f>
        <v>201.0892264438319</v>
      </c>
      <c r="O616" s="807">
        <f>SUM(O608:O614)</f>
        <v>51.756216274354955</v>
      </c>
      <c r="P616" s="771"/>
      <c r="Q616" s="807">
        <f>SUM(Q607:Q614)</f>
        <v>29.423554194372251</v>
      </c>
      <c r="R616" s="807">
        <f>SUM(R607:R614)</f>
        <v>154.67064676517469</v>
      </c>
      <c r="S616" s="807">
        <f>SUM(S607:S614)</f>
        <v>199.98692770115883</v>
      </c>
      <c r="T616" s="771"/>
      <c r="U616" s="807">
        <f>SUM(U607:U614)</f>
        <v>435.83734493506074</v>
      </c>
      <c r="V616" s="902">
        <f>U616/G616*100</f>
        <v>0.10105447810410252</v>
      </c>
      <c r="W616" s="805">
        <f>SUM(W608:W614)</f>
        <v>24.853959946500748</v>
      </c>
      <c r="X616" s="816">
        <f>V616/I616-1</f>
        <v>6.047436673672979E-2</v>
      </c>
      <c r="Y616" s="785"/>
      <c r="AA616" s="938"/>
      <c r="AC616" s="938"/>
      <c r="AE616" s="949"/>
    </row>
    <row r="617" spans="1:31">
      <c r="A617" s="256"/>
      <c r="B617" s="256"/>
      <c r="D617" s="256"/>
      <c r="E617" s="742"/>
      <c r="F617" s="256"/>
      <c r="G617" s="35"/>
      <c r="H617" s="256"/>
      <c r="I617" s="256"/>
      <c r="J617" s="762"/>
      <c r="K617" s="762"/>
      <c r="L617" s="762"/>
      <c r="M617" s="762"/>
      <c r="N617" s="762"/>
      <c r="O617" s="762"/>
      <c r="P617" s="771"/>
      <c r="Q617" s="762"/>
      <c r="R617" s="762"/>
      <c r="S617" s="762"/>
      <c r="T617" s="771"/>
      <c r="U617" s="771"/>
      <c r="V617" s="821"/>
      <c r="W617" s="762"/>
      <c r="X617" s="666"/>
      <c r="AA617" s="938"/>
      <c r="AE617" s="949"/>
    </row>
    <row r="618" spans="1:31">
      <c r="A618" s="256"/>
      <c r="B618" s="256"/>
      <c r="C618" s="512" t="s">
        <v>837</v>
      </c>
      <c r="D618" s="256"/>
      <c r="E618" s="36"/>
      <c r="F618" s="256"/>
      <c r="G618" s="453"/>
      <c r="H618" s="256"/>
      <c r="I618" s="256"/>
      <c r="J618" s="762"/>
      <c r="K618" s="762"/>
      <c r="L618" s="762"/>
      <c r="M618" s="762"/>
      <c r="N618" s="762"/>
      <c r="O618" s="762"/>
      <c r="P618" s="771"/>
      <c r="Q618" s="762"/>
      <c r="R618" s="762"/>
      <c r="S618" s="762"/>
      <c r="T618" s="771"/>
      <c r="U618" s="771"/>
      <c r="V618" s="821"/>
      <c r="W618" s="762"/>
      <c r="X618" s="666"/>
      <c r="AA618" s="938"/>
      <c r="AE618" s="949"/>
    </row>
    <row r="619" spans="1:31">
      <c r="A619" s="256"/>
      <c r="C619" s="519" t="s">
        <v>838</v>
      </c>
      <c r="G619" s="135"/>
      <c r="J619" s="762"/>
      <c r="K619" s="762"/>
      <c r="L619" s="762"/>
      <c r="M619" s="762"/>
      <c r="N619" s="762"/>
      <c r="O619" s="762"/>
      <c r="P619" s="68"/>
      <c r="Q619" s="762"/>
      <c r="R619" s="762"/>
      <c r="S619" s="762"/>
      <c r="T619" s="68"/>
      <c r="U619" s="68"/>
      <c r="V619" s="911"/>
      <c r="W619" s="762"/>
      <c r="X619" s="666"/>
      <c r="AA619" s="938"/>
      <c r="AE619" s="949"/>
    </row>
    <row r="620" spans="1:31">
      <c r="A620" s="256">
        <v>283</v>
      </c>
      <c r="B620" s="256"/>
      <c r="C620" s="731" t="s">
        <v>839</v>
      </c>
      <c r="D620" s="256"/>
      <c r="E620" s="513" t="s">
        <v>840</v>
      </c>
      <c r="F620" s="256"/>
      <c r="G620" s="35">
        <v>17815248</v>
      </c>
      <c r="H620" s="256"/>
      <c r="I620" s="35">
        <v>0</v>
      </c>
      <c r="J620" s="35">
        <v>0</v>
      </c>
      <c r="K620" s="35"/>
      <c r="L620" s="35">
        <v>0</v>
      </c>
      <c r="M620" s="35">
        <v>0</v>
      </c>
      <c r="N620" s="35">
        <v>0</v>
      </c>
      <c r="O620" s="35">
        <v>0</v>
      </c>
      <c r="P620" s="771"/>
      <c r="Q620" s="35">
        <v>0</v>
      </c>
      <c r="R620" s="35">
        <v>0</v>
      </c>
      <c r="S620" s="35">
        <v>0</v>
      </c>
      <c r="T620" s="750"/>
      <c r="U620" s="35">
        <v>0</v>
      </c>
      <c r="V620" s="35">
        <v>0</v>
      </c>
      <c r="W620" s="35">
        <v>0</v>
      </c>
      <c r="X620" s="35"/>
      <c r="Y620" s="769"/>
      <c r="AA620" s="938"/>
      <c r="AE620" s="949"/>
    </row>
    <row r="621" spans="1:31">
      <c r="A621" s="256"/>
      <c r="B621" s="256"/>
      <c r="C621" s="519" t="s">
        <v>841</v>
      </c>
      <c r="D621" s="256"/>
      <c r="E621" s="36"/>
      <c r="F621" s="256"/>
      <c r="G621" s="35"/>
      <c r="H621" s="256"/>
      <c r="I621" s="256"/>
      <c r="J621" s="762"/>
      <c r="K621" s="762"/>
      <c r="L621" s="762"/>
      <c r="M621" s="762"/>
      <c r="N621" s="762"/>
      <c r="O621" s="762"/>
      <c r="P621" s="771"/>
      <c r="Q621" s="762"/>
      <c r="R621" s="762"/>
      <c r="S621" s="762"/>
      <c r="T621" s="771"/>
      <c r="U621" s="68"/>
      <c r="V621" s="821"/>
      <c r="W621" s="762"/>
      <c r="X621" s="834"/>
      <c r="Y621" s="769"/>
      <c r="AA621" s="938"/>
      <c r="AE621" s="949"/>
    </row>
    <row r="622" spans="1:31">
      <c r="A622" s="256">
        <v>284</v>
      </c>
      <c r="B622" s="256"/>
      <c r="C622" s="814" t="s">
        <v>842</v>
      </c>
      <c r="D622" s="256"/>
      <c r="E622" s="513" t="s">
        <v>840</v>
      </c>
      <c r="F622" s="256"/>
      <c r="G622" s="35">
        <v>674172</v>
      </c>
      <c r="H622" s="256"/>
      <c r="I622" s="35">
        <v>0</v>
      </c>
      <c r="J622" s="35">
        <v>0</v>
      </c>
      <c r="K622" s="35"/>
      <c r="L622" s="35">
        <v>0</v>
      </c>
      <c r="M622" s="35">
        <v>0</v>
      </c>
      <c r="N622" s="35">
        <v>0</v>
      </c>
      <c r="O622" s="35">
        <v>0</v>
      </c>
      <c r="P622" s="771"/>
      <c r="Q622" s="35">
        <v>0</v>
      </c>
      <c r="R622" s="35">
        <v>0</v>
      </c>
      <c r="S622" s="35">
        <v>0</v>
      </c>
      <c r="T622" s="750"/>
      <c r="U622" s="35">
        <v>0</v>
      </c>
      <c r="V622" s="35">
        <v>0</v>
      </c>
      <c r="W622" s="35">
        <v>0</v>
      </c>
      <c r="X622" s="35"/>
      <c r="Y622" s="785"/>
      <c r="AA622" s="938"/>
      <c r="AE622" s="949"/>
    </row>
    <row r="623" spans="1:31" ht="12.75" customHeight="1">
      <c r="A623" s="256">
        <v>285</v>
      </c>
      <c r="C623" s="814" t="s">
        <v>843</v>
      </c>
      <c r="E623" s="513" t="s">
        <v>840</v>
      </c>
      <c r="G623" s="35">
        <v>10476</v>
      </c>
      <c r="I623" s="35">
        <v>0</v>
      </c>
      <c r="J623" s="35">
        <v>0</v>
      </c>
      <c r="K623" s="35"/>
      <c r="L623" s="35">
        <v>0</v>
      </c>
      <c r="M623" s="35">
        <v>0</v>
      </c>
      <c r="N623" s="35">
        <v>0</v>
      </c>
      <c r="O623" s="35">
        <v>0</v>
      </c>
      <c r="P623" s="771"/>
      <c r="Q623" s="35">
        <v>0</v>
      </c>
      <c r="R623" s="35">
        <v>0</v>
      </c>
      <c r="S623" s="35">
        <v>0</v>
      </c>
      <c r="T623" s="750"/>
      <c r="U623" s="35">
        <v>0</v>
      </c>
      <c r="V623" s="35">
        <v>0</v>
      </c>
      <c r="W623" s="35">
        <v>0</v>
      </c>
      <c r="X623" s="35"/>
      <c r="Y623" s="785"/>
      <c r="AA623" s="938"/>
      <c r="AE623" s="949"/>
    </row>
    <row r="624" spans="1:31">
      <c r="A624" s="256">
        <v>286</v>
      </c>
      <c r="B624" s="256"/>
      <c r="C624" s="731" t="s">
        <v>844</v>
      </c>
      <c r="D624" s="256"/>
      <c r="E624" s="513" t="s">
        <v>840</v>
      </c>
      <c r="F624" s="256"/>
      <c r="G624" s="35">
        <v>0</v>
      </c>
      <c r="H624" s="256"/>
      <c r="I624" s="35">
        <v>0</v>
      </c>
      <c r="J624" s="35">
        <v>0</v>
      </c>
      <c r="K624" s="35"/>
      <c r="L624" s="35">
        <v>0</v>
      </c>
      <c r="M624" s="35">
        <v>0</v>
      </c>
      <c r="N624" s="35">
        <v>0</v>
      </c>
      <c r="O624" s="35">
        <v>0</v>
      </c>
      <c r="P624" s="771"/>
      <c r="Q624" s="35">
        <v>0</v>
      </c>
      <c r="R624" s="35">
        <v>0</v>
      </c>
      <c r="S624" s="35">
        <v>0</v>
      </c>
      <c r="T624" s="750"/>
      <c r="U624" s="35">
        <v>0</v>
      </c>
      <c r="V624" s="35">
        <v>0</v>
      </c>
      <c r="W624" s="35">
        <v>0</v>
      </c>
      <c r="X624" s="35"/>
      <c r="Y624" s="769"/>
      <c r="AA624" s="938"/>
      <c r="AE624" s="949"/>
    </row>
    <row r="625" spans="1:31">
      <c r="A625" s="256">
        <v>287</v>
      </c>
      <c r="B625" s="256"/>
      <c r="C625" s="731" t="s">
        <v>845</v>
      </c>
      <c r="D625" s="256"/>
      <c r="E625" s="513" t="s">
        <v>840</v>
      </c>
      <c r="F625" s="256"/>
      <c r="G625" s="35">
        <v>0</v>
      </c>
      <c r="H625" s="256"/>
      <c r="I625" s="35">
        <v>0</v>
      </c>
      <c r="J625" s="35">
        <v>0</v>
      </c>
      <c r="K625" s="35"/>
      <c r="L625" s="35">
        <v>0</v>
      </c>
      <c r="M625" s="35">
        <v>0</v>
      </c>
      <c r="N625" s="35">
        <v>0</v>
      </c>
      <c r="O625" s="35">
        <v>0</v>
      </c>
      <c r="P625" s="771"/>
      <c r="Q625" s="35">
        <v>0</v>
      </c>
      <c r="R625" s="35">
        <v>0</v>
      </c>
      <c r="S625" s="35">
        <v>0</v>
      </c>
      <c r="T625" s="750"/>
      <c r="U625" s="35">
        <v>0</v>
      </c>
      <c r="V625" s="35">
        <v>0</v>
      </c>
      <c r="W625" s="35">
        <v>0</v>
      </c>
      <c r="X625" s="35"/>
      <c r="Y625" s="769"/>
      <c r="AA625" s="938"/>
      <c r="AE625" s="949"/>
    </row>
    <row r="626" spans="1:31">
      <c r="A626" s="256"/>
      <c r="B626" s="256"/>
      <c r="C626" s="519" t="s">
        <v>846</v>
      </c>
      <c r="D626" s="256"/>
      <c r="E626" s="513"/>
      <c r="F626" s="256"/>
      <c r="G626" s="35"/>
      <c r="H626" s="256"/>
      <c r="I626" s="772"/>
      <c r="J626" s="762"/>
      <c r="K626" s="762"/>
      <c r="L626" s="762"/>
      <c r="M626" s="762"/>
      <c r="N626" s="762"/>
      <c r="O626" s="762"/>
      <c r="P626" s="771"/>
      <c r="Q626" s="762"/>
      <c r="R626" s="762"/>
      <c r="S626" s="762"/>
      <c r="T626" s="771"/>
      <c r="U626" s="68"/>
      <c r="V626" s="821"/>
      <c r="W626" s="762"/>
      <c r="X626" s="834"/>
      <c r="Y626" s="769"/>
      <c r="AA626" s="938"/>
      <c r="AE626" s="949"/>
    </row>
    <row r="627" spans="1:31">
      <c r="A627" s="256">
        <v>288</v>
      </c>
      <c r="B627" s="256"/>
      <c r="C627" s="731" t="s">
        <v>847</v>
      </c>
      <c r="D627" s="256"/>
      <c r="E627" s="36" t="s">
        <v>777</v>
      </c>
      <c r="F627" s="256"/>
      <c r="G627" s="35">
        <v>2989700.51</v>
      </c>
      <c r="H627" s="256"/>
      <c r="I627" s="35">
        <v>0</v>
      </c>
      <c r="J627" s="35">
        <v>0</v>
      </c>
      <c r="K627" s="35"/>
      <c r="L627" s="35">
        <v>0</v>
      </c>
      <c r="M627" s="35">
        <v>0</v>
      </c>
      <c r="N627" s="35">
        <v>0</v>
      </c>
      <c r="O627" s="35">
        <v>0</v>
      </c>
      <c r="P627" s="771"/>
      <c r="Q627" s="35">
        <v>0</v>
      </c>
      <c r="R627" s="35">
        <v>0</v>
      </c>
      <c r="S627" s="35">
        <v>0</v>
      </c>
      <c r="T627" s="750"/>
      <c r="U627" s="35">
        <v>0</v>
      </c>
      <c r="V627" s="35">
        <v>0</v>
      </c>
      <c r="W627" s="35">
        <v>0</v>
      </c>
      <c r="X627" s="35"/>
      <c r="Y627" s="785"/>
      <c r="AA627" s="938"/>
      <c r="AE627" s="949"/>
    </row>
    <row r="628" spans="1:31">
      <c r="A628" s="256"/>
      <c r="B628" s="256"/>
      <c r="C628" s="731"/>
      <c r="D628" s="256"/>
      <c r="E628" s="36"/>
      <c r="F628" s="256"/>
      <c r="G628" s="35"/>
      <c r="H628" s="256"/>
      <c r="I628" s="35"/>
      <c r="J628" s="35"/>
      <c r="K628" s="35"/>
      <c r="L628" s="35"/>
      <c r="M628" s="35"/>
      <c r="N628" s="35"/>
      <c r="O628" s="35"/>
      <c r="P628" s="771"/>
      <c r="Q628" s="35"/>
      <c r="R628" s="35"/>
      <c r="S628" s="35"/>
      <c r="T628" s="750"/>
      <c r="U628" s="35"/>
      <c r="V628" s="35"/>
      <c r="W628" s="35"/>
      <c r="X628" s="35"/>
      <c r="Y628" s="785"/>
      <c r="AA628" s="938"/>
      <c r="AE628" s="949"/>
    </row>
    <row r="629" spans="1:31">
      <c r="A629" s="256">
        <v>289</v>
      </c>
      <c r="B629" s="256"/>
      <c r="C629" s="9" t="s">
        <v>848</v>
      </c>
      <c r="D629" s="256"/>
      <c r="E629" s="36" t="s">
        <v>777</v>
      </c>
      <c r="F629" s="256"/>
      <c r="G629" s="35">
        <v>0</v>
      </c>
      <c r="H629" s="256"/>
      <c r="I629" s="783">
        <v>3.5799999999999998E-3</v>
      </c>
      <c r="J629" s="35">
        <v>70.632634880000026</v>
      </c>
      <c r="K629" s="762"/>
      <c r="L629" s="35">
        <v>0</v>
      </c>
      <c r="M629" s="35">
        <v>27.307974226355761</v>
      </c>
      <c r="N629" s="35">
        <v>43.324660653644266</v>
      </c>
      <c r="O629" s="35">
        <f>J629-L629-M629-N629</f>
        <v>0</v>
      </c>
      <c r="P629" s="35"/>
      <c r="Q629" s="35">
        <v>0</v>
      </c>
      <c r="R629" s="35">
        <v>33.3237807051419</v>
      </c>
      <c r="S629" s="35">
        <v>43.087170461803538</v>
      </c>
      <c r="T629" s="771"/>
      <c r="U629" s="68">
        <f>R629+S629</f>
        <v>76.410951166945438</v>
      </c>
      <c r="V629" s="783">
        <v>4.1941789342021703E-3</v>
      </c>
      <c r="W629" s="762">
        <f>U629-J629</f>
        <v>5.7783162869454117</v>
      </c>
      <c r="X629" s="785">
        <f>IFERROR(V629/I629-1,"-")</f>
        <v>0.17155836150898618</v>
      </c>
      <c r="Y629" s="785"/>
      <c r="AA629" s="938"/>
      <c r="AC629" s="938"/>
      <c r="AE629" s="949"/>
    </row>
    <row r="630" spans="1:31">
      <c r="A630" s="256"/>
      <c r="B630" s="256"/>
      <c r="D630" s="256"/>
      <c r="E630" s="36"/>
      <c r="F630" s="256"/>
      <c r="G630" s="35"/>
      <c r="H630" s="256"/>
      <c r="I630" s="772"/>
      <c r="J630" s="35"/>
      <c r="K630" s="35"/>
      <c r="L630" s="762"/>
      <c r="M630" s="762"/>
      <c r="N630" s="35"/>
      <c r="O630" s="35"/>
      <c r="P630" s="35"/>
      <c r="Q630" s="762"/>
      <c r="R630" s="762"/>
      <c r="S630" s="762"/>
      <c r="T630" s="771"/>
      <c r="U630" s="771"/>
      <c r="V630" s="821"/>
      <c r="W630" s="762"/>
      <c r="X630" s="834"/>
      <c r="Y630" s="769"/>
      <c r="AA630" s="938"/>
      <c r="AC630" s="938"/>
      <c r="AE630" s="949"/>
    </row>
    <row r="631" spans="1:31">
      <c r="A631" s="256">
        <v>290</v>
      </c>
      <c r="B631" s="256"/>
      <c r="C631" s="7" t="s">
        <v>849</v>
      </c>
      <c r="D631" s="256"/>
      <c r="E631" s="36"/>
      <c r="F631" s="256"/>
      <c r="G631" s="420">
        <f>G616</f>
        <v>431289.49168000009</v>
      </c>
      <c r="H631" s="256"/>
      <c r="I631" s="806">
        <f>J631/G631*100</f>
        <v>1.637708227132199E-2</v>
      </c>
      <c r="J631" s="807">
        <f>SUM(J629:J630)</f>
        <v>70.632634880000026</v>
      </c>
      <c r="K631" s="771"/>
      <c r="L631" s="807">
        <f>SUM(L629:L630)</f>
        <v>0</v>
      </c>
      <c r="M631" s="807">
        <f>SUM(M629:M630)</f>
        <v>27.307974226355761</v>
      </c>
      <c r="N631" s="807">
        <f>SUM(N629:N630)</f>
        <v>43.324660653644266</v>
      </c>
      <c r="O631" s="807">
        <f>SUM(O629:O630)</f>
        <v>0</v>
      </c>
      <c r="P631" s="771"/>
      <c r="Q631" s="807">
        <f>SUM(Q629:Q630)</f>
        <v>0</v>
      </c>
      <c r="R631" s="807">
        <f>SUM(R629:R630)</f>
        <v>33.3237807051419</v>
      </c>
      <c r="S631" s="807">
        <f>SUM(S629:S630)</f>
        <v>43.087170461803538</v>
      </c>
      <c r="T631" s="771"/>
      <c r="U631" s="807">
        <f>SUM(U629:U630)</f>
        <v>76.410951166945438</v>
      </c>
      <c r="V631" s="902">
        <f>U631/G631*100</f>
        <v>1.7716859010244414E-2</v>
      </c>
      <c r="W631" s="805">
        <f>SUM(W620:W629)</f>
        <v>5.7783162869454117</v>
      </c>
      <c r="X631" s="921">
        <f>V631/I631-1</f>
        <v>8.1808023964593302E-2</v>
      </c>
      <c r="Y631" s="769"/>
      <c r="AA631" s="938"/>
      <c r="AC631" s="938"/>
      <c r="AE631" s="949"/>
    </row>
    <row r="632" spans="1:31">
      <c r="A632" s="256"/>
      <c r="B632" s="256"/>
      <c r="C632" s="7"/>
      <c r="D632" s="256"/>
      <c r="E632" s="36"/>
      <c r="F632" s="256"/>
      <c r="G632" s="35"/>
      <c r="H632" s="256"/>
      <c r="I632" s="256"/>
      <c r="J632" s="762"/>
      <c r="K632" s="762"/>
      <c r="L632" s="762"/>
      <c r="M632" s="762"/>
      <c r="N632" s="762"/>
      <c r="O632" s="762"/>
      <c r="P632" s="771"/>
      <c r="Q632" s="762"/>
      <c r="R632" s="762"/>
      <c r="S632" s="762"/>
      <c r="T632" s="771"/>
      <c r="U632" s="771"/>
      <c r="V632" s="821"/>
      <c r="W632" s="762"/>
      <c r="X632" s="834"/>
      <c r="Y632" s="769"/>
      <c r="AA632" s="938"/>
      <c r="AC632" s="938"/>
      <c r="AE632" s="949"/>
    </row>
    <row r="633" spans="1:31" ht="13.5" thickBot="1">
      <c r="A633" s="256">
        <v>291</v>
      </c>
      <c r="B633" s="256"/>
      <c r="C633" s="7" t="s">
        <v>850</v>
      </c>
      <c r="D633" s="256"/>
      <c r="E633" s="36"/>
      <c r="F633" s="256"/>
      <c r="G633" s="768">
        <f>G616</f>
        <v>431289.49168000009</v>
      </c>
      <c r="H633" s="256"/>
      <c r="I633" s="803">
        <f>J633/G633*100</f>
        <v>0.11166885100597355</v>
      </c>
      <c r="J633" s="781">
        <f>J616+J631</f>
        <v>481.61601986855999</v>
      </c>
      <c r="K633" s="771"/>
      <c r="L633" s="781">
        <f>L616+L631</f>
        <v>31.389357744205046</v>
      </c>
      <c r="M633" s="781">
        <f>M616+M631</f>
        <v>154.05655875252384</v>
      </c>
      <c r="N633" s="781">
        <f>N616+N631</f>
        <v>244.41388709747616</v>
      </c>
      <c r="O633" s="781">
        <f>O616+O631</f>
        <v>51.756216274354955</v>
      </c>
      <c r="P633" s="771"/>
      <c r="Q633" s="781">
        <f>Q616+Q631</f>
        <v>29.423554194372251</v>
      </c>
      <c r="R633" s="781">
        <f>R616+R631</f>
        <v>187.99442747031659</v>
      </c>
      <c r="S633" s="781">
        <f>S616+S631</f>
        <v>243.07409816296237</v>
      </c>
      <c r="T633" s="771"/>
      <c r="U633" s="781">
        <f>U616+U631</f>
        <v>512.24829610200618</v>
      </c>
      <c r="V633" s="901">
        <f>U633/G633*100</f>
        <v>0.11877133711434694</v>
      </c>
      <c r="W633" s="799">
        <f>W616+W631</f>
        <v>30.632276233446159</v>
      </c>
      <c r="X633" s="815">
        <f>V633/I633-1</f>
        <v>6.3603109053154361E-2</v>
      </c>
      <c r="Y633" s="785"/>
      <c r="AA633" s="938"/>
      <c r="AC633" s="938"/>
      <c r="AE633" s="949"/>
    </row>
    <row r="634" spans="1:31" ht="13.5" thickTop="1">
      <c r="A634" s="4"/>
      <c r="B634" s="256"/>
      <c r="C634" s="7"/>
      <c r="D634" s="256"/>
      <c r="E634" s="36"/>
      <c r="F634" s="256"/>
      <c r="G634" s="35"/>
      <c r="H634" s="256"/>
      <c r="I634" s="792"/>
      <c r="J634" s="771"/>
      <c r="K634" s="771"/>
      <c r="L634" s="771"/>
      <c r="M634" s="771"/>
      <c r="N634" s="771"/>
      <c r="O634" s="771"/>
      <c r="P634" s="771"/>
      <c r="Q634" s="771"/>
      <c r="R634" s="771"/>
      <c r="S634" s="771"/>
      <c r="T634" s="771"/>
      <c r="U634" s="771"/>
      <c r="V634" s="821"/>
      <c r="W634" s="762"/>
      <c r="X634" s="983"/>
      <c r="Y634" s="785"/>
      <c r="AA634" s="938"/>
      <c r="AE634" s="949"/>
    </row>
    <row r="635" spans="1:31">
      <c r="A635" s="4"/>
      <c r="B635" s="256"/>
      <c r="C635" s="7"/>
      <c r="D635" s="256"/>
      <c r="E635" s="36"/>
      <c r="F635" s="256"/>
      <c r="G635" s="35"/>
      <c r="H635" s="256"/>
      <c r="I635" s="792"/>
      <c r="J635" s="771"/>
      <c r="K635" s="771"/>
      <c r="L635" s="771"/>
      <c r="M635" s="771"/>
      <c r="N635" s="771"/>
      <c r="O635" s="771"/>
      <c r="P635" s="771"/>
      <c r="Q635" s="771"/>
      <c r="R635" s="771"/>
      <c r="S635" s="771"/>
      <c r="T635" s="771"/>
      <c r="U635" s="771"/>
      <c r="V635" s="821"/>
      <c r="W635" s="762"/>
      <c r="X635" s="983"/>
      <c r="Y635" s="785"/>
      <c r="AA635" s="938"/>
      <c r="AE635" s="949"/>
    </row>
    <row r="636" spans="1:31">
      <c r="J636" s="504"/>
      <c r="K636" s="504"/>
      <c r="L636" s="2"/>
      <c r="M636" s="2"/>
      <c r="N636" s="504"/>
      <c r="O636" s="504"/>
      <c r="Q636" s="504"/>
      <c r="R636" s="504"/>
      <c r="S636" s="504"/>
      <c r="W636" s="504"/>
      <c r="X636" s="513"/>
      <c r="AA636" s="938"/>
      <c r="AE636" s="949"/>
    </row>
    <row r="637" spans="1:31">
      <c r="J637" s="504"/>
      <c r="K637" s="504"/>
      <c r="L637" s="2"/>
      <c r="M637" s="2"/>
      <c r="N637" s="504"/>
      <c r="O637" s="504"/>
      <c r="Q637" s="504"/>
      <c r="R637" s="504"/>
      <c r="S637" s="504"/>
      <c r="W637" s="504"/>
      <c r="X637" s="513"/>
      <c r="AA637" s="938"/>
      <c r="AE637" s="949"/>
    </row>
    <row r="638" spans="1:31">
      <c r="J638" s="504"/>
      <c r="K638" s="504"/>
      <c r="L638" s="2"/>
      <c r="M638" s="2"/>
      <c r="N638" s="504"/>
      <c r="O638" s="504"/>
      <c r="Q638" s="504"/>
      <c r="R638" s="504"/>
      <c r="S638" s="504"/>
      <c r="W638" s="504"/>
      <c r="X638" s="513"/>
      <c r="AA638" s="938"/>
      <c r="AE638" s="949"/>
    </row>
    <row r="639" spans="1:31">
      <c r="A639" s="1324" t="s">
        <v>724</v>
      </c>
      <c r="B639" s="1324"/>
      <c r="C639" s="1324"/>
      <c r="D639" s="1324"/>
      <c r="E639" s="1324"/>
      <c r="F639" s="1324"/>
      <c r="G639" s="1324"/>
      <c r="H639" s="1324"/>
      <c r="I639" s="1324"/>
      <c r="J639" s="1324"/>
      <c r="K639" s="1324"/>
      <c r="L639" s="1324"/>
      <c r="M639" s="1324"/>
      <c r="N639" s="1324"/>
      <c r="O639" s="1324"/>
      <c r="P639" s="1324"/>
      <c r="Q639" s="1324"/>
      <c r="R639" s="1324"/>
      <c r="S639" s="1324"/>
      <c r="T639" s="1324"/>
      <c r="U639" s="1324"/>
      <c r="V639" s="1324"/>
      <c r="W639" s="1324"/>
      <c r="X639" s="1324"/>
      <c r="Y639" s="665"/>
      <c r="AA639" s="938"/>
      <c r="AE639" s="949"/>
    </row>
    <row r="640" spans="1:31">
      <c r="A640" s="1324" t="s">
        <v>954</v>
      </c>
      <c r="B640" s="1324"/>
      <c r="C640" s="1324"/>
      <c r="D640" s="1324"/>
      <c r="E640" s="1324"/>
      <c r="F640" s="1324"/>
      <c r="G640" s="1324"/>
      <c r="H640" s="1324"/>
      <c r="I640" s="1324"/>
      <c r="J640" s="1324"/>
      <c r="K640" s="1324"/>
      <c r="L640" s="1324"/>
      <c r="M640" s="1324"/>
      <c r="N640" s="1324"/>
      <c r="O640" s="1324"/>
      <c r="P640" s="1324"/>
      <c r="Q640" s="1324"/>
      <c r="R640" s="1324"/>
      <c r="S640" s="1324"/>
      <c r="T640" s="1324"/>
      <c r="U640" s="1324"/>
      <c r="V640" s="1324"/>
      <c r="W640" s="1324"/>
      <c r="X640" s="1324"/>
      <c r="Y640" s="644"/>
      <c r="Z640" s="644"/>
      <c r="AA640" s="938"/>
      <c r="AE640" s="949"/>
    </row>
    <row r="641" spans="1:31">
      <c r="A641" s="385"/>
      <c r="B641" s="385"/>
      <c r="C641" s="385"/>
      <c r="D641" s="385"/>
      <c r="E641" s="447"/>
      <c r="F641" s="385"/>
      <c r="G641" s="447"/>
      <c r="H641" s="385"/>
      <c r="I641" s="385"/>
      <c r="J641" s="504"/>
      <c r="K641" s="504"/>
      <c r="L641" s="3"/>
      <c r="M641" s="3"/>
      <c r="N641" s="504"/>
      <c r="O641" s="504"/>
      <c r="P641" s="385"/>
      <c r="Q641" s="504"/>
      <c r="R641" s="504"/>
      <c r="S641" s="504"/>
      <c r="T641" s="385"/>
      <c r="U641" s="385"/>
      <c r="V641" s="385"/>
      <c r="W641" s="504"/>
      <c r="X641" s="513"/>
      <c r="AA641" s="938"/>
      <c r="AE641" s="949"/>
    </row>
    <row r="642" spans="1:31">
      <c r="A642" s="447"/>
      <c r="B642" s="447"/>
      <c r="C642" s="447"/>
      <c r="D642" s="447"/>
      <c r="E642" s="256"/>
      <c r="F642" s="256"/>
      <c r="G642" s="1313" t="s">
        <v>682</v>
      </c>
      <c r="H642" s="1313"/>
      <c r="I642" s="1313"/>
      <c r="J642" s="1313"/>
      <c r="K642" s="256"/>
      <c r="L642" s="1313" t="s">
        <v>496</v>
      </c>
      <c r="M642" s="1313"/>
      <c r="N642" s="1313"/>
      <c r="O642" s="256"/>
      <c r="P642" s="447"/>
      <c r="Q642" s="1313" t="s">
        <v>497</v>
      </c>
      <c r="R642" s="1313"/>
      <c r="S642" s="1313"/>
      <c r="T642" s="447"/>
      <c r="U642" s="1313" t="s">
        <v>683</v>
      </c>
      <c r="V642" s="1313"/>
      <c r="W642" s="1313"/>
      <c r="X642" s="1313"/>
      <c r="Y642" s="4"/>
      <c r="AA642" s="938"/>
      <c r="AE642" s="949"/>
    </row>
    <row r="643" spans="1:31" ht="38.25">
      <c r="A643" s="254" t="s">
        <v>1</v>
      </c>
      <c r="B643" s="254"/>
      <c r="C643" s="254"/>
      <c r="D643" s="254"/>
      <c r="E643" s="4" t="s">
        <v>670</v>
      </c>
      <c r="F643" s="254"/>
      <c r="G643" s="13" t="s">
        <v>684</v>
      </c>
      <c r="H643" s="254"/>
      <c r="I643" s="13" t="s">
        <v>196</v>
      </c>
      <c r="J643" s="254" t="s">
        <v>503</v>
      </c>
      <c r="K643" s="254"/>
      <c r="L643" s="254" t="s">
        <v>955</v>
      </c>
      <c r="M643" s="254" t="s">
        <v>956</v>
      </c>
      <c r="N643" s="254" t="s">
        <v>957</v>
      </c>
      <c r="O643" s="254" t="s">
        <v>958</v>
      </c>
      <c r="P643" s="254"/>
      <c r="Q643" s="254" t="s">
        <v>955</v>
      </c>
      <c r="R643" s="254" t="s">
        <v>956</v>
      </c>
      <c r="S643" s="254" t="s">
        <v>957</v>
      </c>
      <c r="T643" s="254"/>
      <c r="U643" s="13" t="s">
        <v>512</v>
      </c>
      <c r="V643" s="13" t="s">
        <v>691</v>
      </c>
      <c r="W643" s="13" t="s">
        <v>692</v>
      </c>
      <c r="X643" s="254" t="s">
        <v>693</v>
      </c>
      <c r="Y643" s="254"/>
      <c r="AA643" s="938"/>
      <c r="AE643" s="949"/>
    </row>
    <row r="644" spans="1:31" ht="14.25">
      <c r="A644" s="255" t="s">
        <v>2</v>
      </c>
      <c r="B644" s="256"/>
      <c r="C644" s="449" t="s">
        <v>3</v>
      </c>
      <c r="D644" s="256"/>
      <c r="E644" s="255" t="s">
        <v>4</v>
      </c>
      <c r="F644" s="256"/>
      <c r="G644" s="255" t="s">
        <v>694</v>
      </c>
      <c r="H644" s="256"/>
      <c r="I644" s="255" t="s">
        <v>77</v>
      </c>
      <c r="J644" s="255" t="s">
        <v>20</v>
      </c>
      <c r="K644" s="4"/>
      <c r="L644" s="255" t="s">
        <v>20</v>
      </c>
      <c r="M644" s="255" t="s">
        <v>20</v>
      </c>
      <c r="N644" s="255" t="s">
        <v>20</v>
      </c>
      <c r="O644" s="255" t="s">
        <v>20</v>
      </c>
      <c r="P644" s="256"/>
      <c r="Q644" s="255" t="s">
        <v>20</v>
      </c>
      <c r="R644" s="255" t="s">
        <v>20</v>
      </c>
      <c r="S644" s="255" t="s">
        <v>20</v>
      </c>
      <c r="T644" s="256"/>
      <c r="U644" s="255" t="s">
        <v>20</v>
      </c>
      <c r="V644" s="255" t="s">
        <v>77</v>
      </c>
      <c r="W644" s="255" t="s">
        <v>20</v>
      </c>
      <c r="X644" s="255" t="s">
        <v>76</v>
      </c>
      <c r="Y644" s="4"/>
      <c r="AA644" s="938"/>
      <c r="AE644" s="949"/>
    </row>
    <row r="645" spans="1:31">
      <c r="A645" s="4"/>
      <c r="B645" s="256"/>
      <c r="C645" s="256"/>
      <c r="D645" s="256"/>
      <c r="E645" s="4"/>
      <c r="F645" s="256"/>
      <c r="G645" s="4" t="s">
        <v>8</v>
      </c>
      <c r="H645" s="4"/>
      <c r="I645" s="4" t="s">
        <v>9</v>
      </c>
      <c r="J645" s="4" t="s">
        <v>370</v>
      </c>
      <c r="K645" s="4"/>
      <c r="L645" s="132" t="s">
        <v>79</v>
      </c>
      <c r="M645" s="132" t="s">
        <v>115</v>
      </c>
      <c r="N645" s="4" t="s">
        <v>81</v>
      </c>
      <c r="O645" s="4" t="s">
        <v>959</v>
      </c>
      <c r="P645" s="4"/>
      <c r="Q645" s="4" t="s">
        <v>118</v>
      </c>
      <c r="R645" s="4" t="s">
        <v>84</v>
      </c>
      <c r="S645" s="4" t="s">
        <v>516</v>
      </c>
      <c r="T645" s="4"/>
      <c r="U645" s="4" t="s">
        <v>960</v>
      </c>
      <c r="V645" s="4" t="s">
        <v>518</v>
      </c>
      <c r="W645" s="4" t="s">
        <v>961</v>
      </c>
      <c r="X645" s="4" t="s">
        <v>962</v>
      </c>
    </row>
    <row r="646" spans="1:31" ht="8.4499999999999993" customHeight="1">
      <c r="A646" s="4"/>
      <c r="B646" s="256"/>
      <c r="C646" s="256"/>
      <c r="D646" s="256"/>
      <c r="E646" s="4"/>
      <c r="F646" s="256"/>
      <c r="G646" s="4"/>
      <c r="H646" s="4"/>
      <c r="I646" s="4"/>
      <c r="J646" s="4"/>
      <c r="K646" s="4"/>
      <c r="L646" s="132"/>
      <c r="M646" s="132"/>
      <c r="N646" s="4"/>
      <c r="O646" s="4"/>
      <c r="P646" s="4"/>
      <c r="Q646" s="4"/>
      <c r="R646" s="4"/>
      <c r="S646" s="4"/>
      <c r="T646" s="4"/>
      <c r="U646" s="4"/>
      <c r="V646" s="4"/>
      <c r="W646" s="4"/>
      <c r="X646" s="4"/>
    </row>
    <row r="647" spans="1:31">
      <c r="A647" s="504"/>
      <c r="B647" s="256"/>
      <c r="C647" s="6" t="s">
        <v>185</v>
      </c>
      <c r="D647" s="256"/>
      <c r="E647" s="36"/>
      <c r="F647" s="256"/>
      <c r="G647" s="35"/>
      <c r="H647" s="256"/>
      <c r="I647" s="256"/>
      <c r="J647" s="762"/>
      <c r="K647" s="762"/>
      <c r="L647" s="762"/>
      <c r="M647" s="762"/>
      <c r="N647" s="762"/>
      <c r="O647" s="762"/>
      <c r="P647" s="771"/>
      <c r="Q647" s="762"/>
      <c r="R647" s="762"/>
      <c r="S647" s="762"/>
      <c r="T647" s="771"/>
      <c r="U647" s="771"/>
      <c r="V647" s="771"/>
      <c r="W647" s="762"/>
      <c r="X647" s="666"/>
    </row>
    <row r="648" spans="1:31">
      <c r="A648" s="4">
        <v>292</v>
      </c>
      <c r="B648" s="256"/>
      <c r="C648" s="7" t="s">
        <v>703</v>
      </c>
      <c r="D648" s="256"/>
      <c r="E648" s="4" t="s">
        <v>824</v>
      </c>
      <c r="F648" s="256"/>
      <c r="G648" s="35">
        <v>501.00000000000347</v>
      </c>
      <c r="H648" s="256"/>
      <c r="I648" s="35">
        <v>0</v>
      </c>
      <c r="J648" s="35">
        <v>0</v>
      </c>
      <c r="K648" s="35"/>
      <c r="L648" s="35">
        <v>0</v>
      </c>
      <c r="M648" s="35">
        <v>0</v>
      </c>
      <c r="N648" s="35">
        <v>0</v>
      </c>
      <c r="O648" s="35">
        <v>0</v>
      </c>
      <c r="P648" s="771"/>
      <c r="Q648" s="35">
        <v>0</v>
      </c>
      <c r="R648" s="35">
        <v>0</v>
      </c>
      <c r="S648" s="35">
        <v>0</v>
      </c>
      <c r="T648" s="750"/>
      <c r="U648" s="35">
        <v>0</v>
      </c>
      <c r="V648" s="35">
        <v>0</v>
      </c>
      <c r="W648" s="35">
        <v>0</v>
      </c>
      <c r="X648" s="35"/>
      <c r="Y648" s="769"/>
      <c r="AA648" s="938"/>
    </row>
    <row r="649" spans="1:31" ht="14.25">
      <c r="A649" s="4"/>
      <c r="B649" s="256"/>
      <c r="C649" s="7" t="s">
        <v>825</v>
      </c>
      <c r="D649" s="256"/>
      <c r="E649" s="4"/>
      <c r="F649" s="256"/>
      <c r="G649" s="35"/>
      <c r="H649" s="256"/>
      <c r="I649" s="35"/>
      <c r="J649" s="35"/>
      <c r="K649" s="35"/>
      <c r="L649" s="35"/>
      <c r="M649" s="35"/>
      <c r="N649" s="35"/>
      <c r="O649" s="35"/>
      <c r="P649" s="771"/>
      <c r="Q649" s="35"/>
      <c r="R649" s="35"/>
      <c r="S649" s="35"/>
      <c r="T649" s="750"/>
      <c r="U649" s="35"/>
      <c r="V649" s="35"/>
      <c r="W649" s="35"/>
      <c r="X649" s="35"/>
      <c r="Y649" s="769"/>
      <c r="AA649" s="938"/>
    </row>
    <row r="650" spans="1:31">
      <c r="A650" s="4"/>
      <c r="B650" s="256"/>
      <c r="C650" s="519" t="s">
        <v>826</v>
      </c>
      <c r="D650" s="256"/>
      <c r="F650" s="256"/>
      <c r="G650" s="35"/>
      <c r="H650" s="256"/>
      <c r="I650" s="256"/>
      <c r="J650" s="762"/>
      <c r="K650" s="762"/>
      <c r="L650" s="762"/>
      <c r="M650" s="762"/>
      <c r="N650" s="762"/>
      <c r="O650" s="762"/>
      <c r="P650" s="771"/>
      <c r="Q650" s="762"/>
      <c r="R650" s="762"/>
      <c r="S650" s="762"/>
      <c r="T650" s="771"/>
      <c r="U650" s="771"/>
      <c r="V650" s="821"/>
      <c r="W650" s="762"/>
      <c r="X650" s="834"/>
      <c r="Y650" s="769"/>
      <c r="AA650" s="938"/>
    </row>
    <row r="651" spans="1:31">
      <c r="A651" s="4">
        <v>293</v>
      </c>
      <c r="B651" s="256"/>
      <c r="C651" s="731" t="s">
        <v>851</v>
      </c>
      <c r="D651" s="256"/>
      <c r="E651" s="513" t="s">
        <v>828</v>
      </c>
      <c r="F651" s="256"/>
      <c r="G651" s="35">
        <v>60333.714</v>
      </c>
      <c r="H651" s="256"/>
      <c r="I651" s="35">
        <v>0</v>
      </c>
      <c r="J651" s="35">
        <v>0</v>
      </c>
      <c r="K651" s="35"/>
      <c r="L651" s="35">
        <v>0</v>
      </c>
      <c r="M651" s="35">
        <v>0</v>
      </c>
      <c r="N651" s="35">
        <v>0</v>
      </c>
      <c r="O651" s="35">
        <v>0</v>
      </c>
      <c r="P651" s="771"/>
      <c r="Q651" s="35">
        <v>0</v>
      </c>
      <c r="R651" s="35">
        <v>0</v>
      </c>
      <c r="S651" s="35">
        <v>0</v>
      </c>
      <c r="T651" s="750"/>
      <c r="U651" s="35">
        <v>0</v>
      </c>
      <c r="V651" s="35">
        <v>0</v>
      </c>
      <c r="W651" s="35">
        <v>0</v>
      </c>
      <c r="X651" s="35"/>
      <c r="Y651" s="769"/>
      <c r="AA651" s="938"/>
    </row>
    <row r="652" spans="1:31">
      <c r="A652" s="4">
        <v>294</v>
      </c>
      <c r="C652" s="731" t="s">
        <v>852</v>
      </c>
      <c r="E652" s="513" t="s">
        <v>828</v>
      </c>
      <c r="G652" s="35">
        <v>248379.71</v>
      </c>
      <c r="I652" s="35">
        <v>0</v>
      </c>
      <c r="J652" s="35">
        <v>0</v>
      </c>
      <c r="K652" s="35"/>
      <c r="L652" s="35">
        <v>0</v>
      </c>
      <c r="M652" s="35">
        <v>0</v>
      </c>
      <c r="N652" s="35">
        <v>0</v>
      </c>
      <c r="O652" s="35">
        <v>0</v>
      </c>
      <c r="P652" s="771"/>
      <c r="Q652" s="35">
        <v>0</v>
      </c>
      <c r="R652" s="35">
        <v>0</v>
      </c>
      <c r="S652" s="35">
        <v>0</v>
      </c>
      <c r="T652" s="750"/>
      <c r="U652" s="35">
        <v>0</v>
      </c>
      <c r="V652" s="35">
        <v>0</v>
      </c>
      <c r="W652" s="35">
        <v>0</v>
      </c>
      <c r="X652" s="35"/>
      <c r="Y652" s="769"/>
      <c r="AA652" s="938"/>
    </row>
    <row r="653" spans="1:31">
      <c r="A653" s="4"/>
      <c r="C653" s="519" t="s">
        <v>830</v>
      </c>
      <c r="E653" s="36"/>
      <c r="G653" s="35"/>
      <c r="I653" s="772"/>
      <c r="J653" s="762"/>
      <c r="K653" s="762"/>
      <c r="L653" s="762"/>
      <c r="M653" s="762"/>
      <c r="N653" s="762"/>
      <c r="O653" s="762"/>
      <c r="P653" s="68"/>
      <c r="Q653" s="762"/>
      <c r="R653" s="762"/>
      <c r="S653" s="762"/>
      <c r="T653" s="68"/>
      <c r="U653" s="771"/>
      <c r="V653" s="821"/>
      <c r="W653" s="762"/>
      <c r="X653" s="834"/>
      <c r="Y653" s="769"/>
      <c r="AA653" s="938"/>
    </row>
    <row r="654" spans="1:31">
      <c r="A654" s="4">
        <v>295</v>
      </c>
      <c r="C654" s="814" t="s">
        <v>831</v>
      </c>
      <c r="E654" s="36" t="s">
        <v>674</v>
      </c>
      <c r="G654" s="35">
        <v>4963881.1019000001</v>
      </c>
      <c r="I654" s="772">
        <v>1.26E-2</v>
      </c>
      <c r="J654" s="762">
        <f>G654*I654/100</f>
        <v>625.44901883939997</v>
      </c>
      <c r="K654" s="762"/>
      <c r="L654" s="35">
        <v>108.47513420704212</v>
      </c>
      <c r="M654" s="35">
        <v>0</v>
      </c>
      <c r="N654" s="35">
        <v>0</v>
      </c>
      <c r="O654" s="762">
        <f>J654-L654-M654-N654</f>
        <v>516.97388463235779</v>
      </c>
      <c r="P654" s="68"/>
      <c r="Q654" s="35">
        <v>0</v>
      </c>
      <c r="R654" s="35">
        <v>0</v>
      </c>
      <c r="S654" s="762">
        <v>0</v>
      </c>
      <c r="T654" s="35"/>
      <c r="U654" s="771">
        <f>SUM(O654:S654)</f>
        <v>516.97388463235779</v>
      </c>
      <c r="V654" s="821">
        <f>U654/G654*100</f>
        <v>1.04147112716797E-2</v>
      </c>
      <c r="W654" s="762">
        <f>U654-J654</f>
        <v>-108.47513420704217</v>
      </c>
      <c r="X654" s="980">
        <f>V654/I654-1</f>
        <v>-0.17343561335875401</v>
      </c>
      <c r="Y654" s="769"/>
      <c r="AA654" s="938"/>
      <c r="AC654" s="938"/>
      <c r="AE654" s="949"/>
    </row>
    <row r="655" spans="1:31">
      <c r="A655" s="4">
        <v>296</v>
      </c>
      <c r="C655" s="814" t="s">
        <v>832</v>
      </c>
      <c r="E655" s="36" t="s">
        <v>674</v>
      </c>
      <c r="G655" s="35">
        <v>41762.222750000008</v>
      </c>
      <c r="I655" s="772">
        <v>1.26E-2</v>
      </c>
      <c r="J655" s="762">
        <f>G655*I655/100</f>
        <v>5.2620400665000009</v>
      </c>
      <c r="K655" s="762"/>
      <c r="L655" s="35">
        <v>0.91262514645176551</v>
      </c>
      <c r="M655" s="35">
        <v>0</v>
      </c>
      <c r="N655" s="35">
        <v>0</v>
      </c>
      <c r="O655" s="762">
        <f>J655-L655-M655-N655</f>
        <v>4.3494149200482353</v>
      </c>
      <c r="P655" s="68"/>
      <c r="Q655" s="35">
        <v>0</v>
      </c>
      <c r="R655" s="35">
        <v>0</v>
      </c>
      <c r="S655" s="35">
        <v>0</v>
      </c>
      <c r="T655" s="68"/>
      <c r="U655" s="771">
        <f>SUM(O655:S655)</f>
        <v>4.3494149200482353</v>
      </c>
      <c r="V655" s="821">
        <f>U655/G655*100</f>
        <v>1.0414711271679701E-2</v>
      </c>
      <c r="W655" s="762">
        <f>U655-J655</f>
        <v>-0.91262514645176562</v>
      </c>
      <c r="X655" s="980">
        <f>V655/I655-1</f>
        <v>-0.1734356133587539</v>
      </c>
      <c r="Y655" s="769"/>
      <c r="AA655" s="938"/>
      <c r="AC655" s="938"/>
      <c r="AE655" s="949"/>
    </row>
    <row r="656" spans="1:31">
      <c r="A656" s="4"/>
      <c r="C656" s="7"/>
      <c r="E656" s="36"/>
      <c r="G656" s="35"/>
      <c r="I656" s="772"/>
      <c r="J656" s="762"/>
      <c r="K656" s="762"/>
      <c r="L656" s="35"/>
      <c r="M656" s="762"/>
      <c r="N656" s="35"/>
      <c r="O656" s="762"/>
      <c r="P656" s="68"/>
      <c r="Q656" s="35"/>
      <c r="R656" s="762"/>
      <c r="S656" s="762"/>
      <c r="T656" s="68"/>
      <c r="U656" s="771"/>
      <c r="V656" s="821"/>
      <c r="W656" s="762"/>
      <c r="X656" s="834"/>
      <c r="Y656" s="769"/>
      <c r="AA656" s="938"/>
      <c r="AC656" s="938"/>
      <c r="AE656" s="949"/>
    </row>
    <row r="657" spans="1:32">
      <c r="A657" s="4">
        <v>297</v>
      </c>
      <c r="B657" s="256"/>
      <c r="C657" s="9" t="s">
        <v>833</v>
      </c>
      <c r="D657" s="256"/>
      <c r="E657" s="36" t="s">
        <v>674</v>
      </c>
      <c r="F657" s="256"/>
      <c r="G657" s="35">
        <v>24455.350999999999</v>
      </c>
      <c r="H657" s="256"/>
      <c r="I657" s="772">
        <v>1.26E-2</v>
      </c>
      <c r="J657" s="762">
        <f>G657*I657/100</f>
        <v>3.0813742259999999</v>
      </c>
      <c r="K657" s="762"/>
      <c r="L657" s="35">
        <v>0.53442002887416529</v>
      </c>
      <c r="M657" s="35">
        <v>0</v>
      </c>
      <c r="N657" s="35">
        <v>0</v>
      </c>
      <c r="O657" s="762">
        <f>J657-L657-M657-N657</f>
        <v>2.5469541971258347</v>
      </c>
      <c r="P657" s="771"/>
      <c r="Q657" s="35">
        <v>0</v>
      </c>
      <c r="R657" s="35">
        <v>0</v>
      </c>
      <c r="S657" s="35">
        <v>0</v>
      </c>
      <c r="T657" s="771"/>
      <c r="U657" s="771">
        <f>SUM(O657:S657)</f>
        <v>2.5469541971258347</v>
      </c>
      <c r="V657" s="821">
        <f>U657/G657*100</f>
        <v>1.0414711271679703E-2</v>
      </c>
      <c r="W657" s="762">
        <f>U657-J657</f>
        <v>-0.53442002887416518</v>
      </c>
      <c r="X657" s="980">
        <f>V657/I657-1</f>
        <v>-0.17343561335875368</v>
      </c>
      <c r="Y657" s="769"/>
      <c r="AA657" s="938"/>
      <c r="AC657" s="938"/>
      <c r="AE657" s="949"/>
    </row>
    <row r="658" spans="1:32">
      <c r="A658" s="4">
        <v>298</v>
      </c>
      <c r="B658" s="256"/>
      <c r="C658" s="9" t="s">
        <v>834</v>
      </c>
      <c r="D658" s="256"/>
      <c r="E658" s="36" t="s">
        <v>674</v>
      </c>
      <c r="F658" s="256"/>
      <c r="G658" s="35">
        <v>176.95000000000073</v>
      </c>
      <c r="H658" s="256"/>
      <c r="I658" s="772">
        <v>1.26E-2</v>
      </c>
      <c r="J658" s="762">
        <f>G658*I658/100</f>
        <v>2.2295700000000092E-2</v>
      </c>
      <c r="K658" s="762"/>
      <c r="L658" s="35">
        <v>3.8668684047627839E-3</v>
      </c>
      <c r="M658" s="35">
        <v>0</v>
      </c>
      <c r="N658" s="35">
        <v>0</v>
      </c>
      <c r="O658" s="762">
        <f>J658-L658-M658-N658</f>
        <v>1.8428831595237307E-2</v>
      </c>
      <c r="P658" s="771"/>
      <c r="Q658" s="35">
        <v>0</v>
      </c>
      <c r="R658" s="35">
        <v>0</v>
      </c>
      <c r="S658" s="35">
        <v>0</v>
      </c>
      <c r="T658" s="771"/>
      <c r="U658" s="771">
        <f>SUM(O658:S658)</f>
        <v>1.8428831595237307E-2</v>
      </c>
      <c r="V658" s="821">
        <f>U658/G658*100</f>
        <v>1.0414711271679701E-2</v>
      </c>
      <c r="W658" s="762">
        <f>U658-J658</f>
        <v>-3.8668684047627848E-3</v>
      </c>
      <c r="X658" s="980">
        <f>V658/I658-1</f>
        <v>-0.1734356133587539</v>
      </c>
      <c r="Y658" s="769"/>
      <c r="AA658" s="938"/>
      <c r="AC658" s="938"/>
      <c r="AE658" s="949"/>
    </row>
    <row r="659" spans="1:32">
      <c r="A659" s="4"/>
      <c r="C659" s="7"/>
      <c r="E659" s="36"/>
      <c r="G659" s="35"/>
      <c r="I659" s="772"/>
      <c r="J659" s="762"/>
      <c r="K659" s="762"/>
      <c r="L659" s="762"/>
      <c r="M659" s="762"/>
      <c r="N659" s="762"/>
      <c r="O659" s="762"/>
      <c r="P659" s="68"/>
      <c r="Q659" s="762"/>
      <c r="R659" s="762"/>
      <c r="S659" s="762"/>
      <c r="T659" s="68"/>
      <c r="U659" s="771"/>
      <c r="V659" s="821"/>
      <c r="W659" s="762"/>
      <c r="X659" s="834"/>
      <c r="Y659" s="769"/>
      <c r="AA659" s="938"/>
      <c r="AC659" s="938"/>
      <c r="AE659" s="949"/>
    </row>
    <row r="660" spans="1:32">
      <c r="A660" s="4">
        <v>299</v>
      </c>
      <c r="B660" s="256"/>
      <c r="C660" s="9" t="s">
        <v>835</v>
      </c>
      <c r="D660" s="256"/>
      <c r="E660" s="36" t="s">
        <v>777</v>
      </c>
      <c r="F660" s="256"/>
      <c r="G660" s="35">
        <v>0</v>
      </c>
      <c r="H660" s="256"/>
      <c r="I660" s="783">
        <v>3.0899999999999999E-3</v>
      </c>
      <c r="J660" s="35">
        <v>3215.4555231599979</v>
      </c>
      <c r="K660" s="762"/>
      <c r="L660" s="35">
        <v>0</v>
      </c>
      <c r="M660" s="35">
        <v>2139.6182019678349</v>
      </c>
      <c r="N660" s="35">
        <v>1075.8373211921632</v>
      </c>
      <c r="O660" s="762">
        <f>J660-L660-M660-N660</f>
        <v>0</v>
      </c>
      <c r="P660" s="68"/>
      <c r="Q660" s="35">
        <v>103.04176993967982</v>
      </c>
      <c r="R660" s="35">
        <v>2610.9651036030414</v>
      </c>
      <c r="S660" s="35">
        <v>1069.9399683232759</v>
      </c>
      <c r="T660" s="771"/>
      <c r="U660" s="771">
        <f>Q660+R660+S660</f>
        <v>3783.9468418659972</v>
      </c>
      <c r="V660" s="783">
        <v>3.6363108297250506E-3</v>
      </c>
      <c r="W660" s="762">
        <f>U660-J660</f>
        <v>568.49131870599922</v>
      </c>
      <c r="X660" s="980">
        <f>V660/I660-1</f>
        <v>0.17679962127024296</v>
      </c>
      <c r="Y660" s="769"/>
      <c r="AA660" s="938"/>
      <c r="AC660" s="938"/>
      <c r="AE660" s="949"/>
    </row>
    <row r="661" spans="1:32">
      <c r="A661" s="4"/>
      <c r="B661" s="256"/>
      <c r="C661" s="7"/>
      <c r="D661" s="256"/>
      <c r="E661" s="742"/>
      <c r="F661" s="256"/>
      <c r="G661" s="35"/>
      <c r="H661" s="256"/>
      <c r="I661" s="256"/>
      <c r="J661" s="762"/>
      <c r="K661" s="762"/>
      <c r="L661" s="762"/>
      <c r="M661" s="762"/>
      <c r="N661" s="762"/>
      <c r="O661" s="762"/>
      <c r="P661" s="771"/>
      <c r="Q661" s="762"/>
      <c r="R661" s="762"/>
      <c r="S661" s="762"/>
      <c r="T661" s="771"/>
      <c r="U661" s="771"/>
      <c r="V661" s="821"/>
      <c r="W661" s="762"/>
      <c r="X661" s="834"/>
      <c r="Y661" s="769"/>
      <c r="AA661" s="938"/>
    </row>
    <row r="662" spans="1:32">
      <c r="A662" s="4">
        <v>300</v>
      </c>
      <c r="B662" s="256"/>
      <c r="C662" s="7" t="s">
        <v>836</v>
      </c>
      <c r="D662" s="256"/>
      <c r="E662" s="742"/>
      <c r="F662" s="256"/>
      <c r="G662" s="420">
        <f>G654+G655</f>
        <v>5005643.3246499998</v>
      </c>
      <c r="H662" s="256"/>
      <c r="I662" s="806">
        <f>J662/G662*100</f>
        <v>7.6898612272999767E-2</v>
      </c>
      <c r="J662" s="807">
        <f>SUM(J654:J660)</f>
        <v>3849.270251991898</v>
      </c>
      <c r="K662" s="771"/>
      <c r="L662" s="807">
        <f>SUM(L654:L660)</f>
        <v>109.9260462507728</v>
      </c>
      <c r="M662" s="807">
        <f>SUM(M654:M660)</f>
        <v>2139.6182019678349</v>
      </c>
      <c r="N662" s="807">
        <f>SUM(N654:N660)</f>
        <v>1075.8373211921632</v>
      </c>
      <c r="O662" s="807">
        <f>SUM(O654:O660)</f>
        <v>523.88868258112711</v>
      </c>
      <c r="P662" s="771"/>
      <c r="Q662" s="807">
        <f>SUM(Q654:Q660)</f>
        <v>103.04176993967982</v>
      </c>
      <c r="R662" s="807">
        <f>SUM(R654:R660)</f>
        <v>2610.9651036030414</v>
      </c>
      <c r="S662" s="807">
        <f>SUM(S654:S660)</f>
        <v>1069.9399683232759</v>
      </c>
      <c r="T662" s="771"/>
      <c r="U662" s="807">
        <f>SUM(U654:U660)</f>
        <v>4307.835524447124</v>
      </c>
      <c r="V662" s="902">
        <f>U662/G662*100</f>
        <v>8.6059578061294106E-2</v>
      </c>
      <c r="W662" s="805">
        <f>SUM(W654:W660)</f>
        <v>458.56527245522636</v>
      </c>
      <c r="X662" s="921">
        <f>V662/I662-1</f>
        <v>0.11913044354782065</v>
      </c>
      <c r="Y662" s="769"/>
      <c r="AA662" s="938"/>
      <c r="AC662" s="938"/>
      <c r="AE662" s="949"/>
    </row>
    <row r="663" spans="1:32">
      <c r="A663" s="4"/>
      <c r="B663" s="256"/>
      <c r="D663" s="256"/>
      <c r="E663" s="742"/>
      <c r="F663" s="256"/>
      <c r="G663" s="453"/>
      <c r="H663" s="256"/>
      <c r="I663" s="256"/>
      <c r="J663" s="762"/>
      <c r="K663" s="762"/>
      <c r="L663" s="762"/>
      <c r="M663" s="762"/>
      <c r="N663" s="762"/>
      <c r="O663" s="762"/>
      <c r="P663" s="771"/>
      <c r="Q663" s="762"/>
      <c r="R663" s="762"/>
      <c r="S663" s="762"/>
      <c r="T663" s="771"/>
      <c r="U663" s="771"/>
      <c r="V663" s="821"/>
      <c r="W663" s="762"/>
      <c r="X663" s="666"/>
      <c r="AA663" s="1327"/>
      <c r="AB663" s="1327"/>
      <c r="AC663" s="1327"/>
      <c r="AD663" s="1327"/>
      <c r="AE663" s="1327"/>
      <c r="AF663" s="1327"/>
    </row>
    <row r="664" spans="1:32">
      <c r="A664" s="4"/>
      <c r="C664" s="512" t="s">
        <v>837</v>
      </c>
      <c r="E664" s="36"/>
      <c r="G664" s="135"/>
      <c r="J664" s="762"/>
      <c r="K664" s="762"/>
      <c r="L664" s="762"/>
      <c r="M664" s="762"/>
      <c r="N664" s="762"/>
      <c r="O664" s="762"/>
      <c r="P664" s="68"/>
      <c r="Q664" s="762"/>
      <c r="R664" s="762"/>
      <c r="S664" s="762"/>
      <c r="T664" s="68"/>
      <c r="U664" s="68"/>
      <c r="V664" s="911"/>
      <c r="W664" s="762"/>
      <c r="X664" s="666"/>
      <c r="AA664" s="938"/>
      <c r="AE664" s="949"/>
    </row>
    <row r="665" spans="1:32">
      <c r="A665" s="4"/>
      <c r="B665" s="256"/>
      <c r="C665" s="519" t="s">
        <v>838</v>
      </c>
      <c r="D665" s="256"/>
      <c r="F665" s="256"/>
      <c r="G665" s="35"/>
      <c r="H665" s="256"/>
      <c r="I665" s="256"/>
      <c r="J665" s="762"/>
      <c r="K665" s="762"/>
      <c r="L665" s="762"/>
      <c r="M665" s="762"/>
      <c r="N665" s="762"/>
      <c r="O665" s="762"/>
      <c r="P665" s="771"/>
      <c r="Q665" s="762"/>
      <c r="R665" s="762"/>
      <c r="S665" s="762"/>
      <c r="T665" s="771"/>
      <c r="U665" s="771"/>
      <c r="V665" s="821"/>
      <c r="W665" s="762"/>
      <c r="X665" s="666"/>
      <c r="AA665" s="938"/>
      <c r="AE665" s="949"/>
    </row>
    <row r="666" spans="1:32">
      <c r="A666" s="4">
        <v>301</v>
      </c>
      <c r="B666" s="256"/>
      <c r="C666" s="731" t="s">
        <v>839</v>
      </c>
      <c r="D666" s="256"/>
      <c r="E666" s="513" t="s">
        <v>840</v>
      </c>
      <c r="F666" s="256"/>
      <c r="G666" s="35">
        <v>113600526</v>
      </c>
      <c r="H666" s="256"/>
      <c r="I666" s="35">
        <v>0</v>
      </c>
      <c r="J666" s="35">
        <v>0</v>
      </c>
      <c r="K666" s="35"/>
      <c r="L666" s="35">
        <v>0</v>
      </c>
      <c r="M666" s="35">
        <v>0</v>
      </c>
      <c r="N666" s="35">
        <v>0</v>
      </c>
      <c r="O666" s="35">
        <v>0</v>
      </c>
      <c r="P666" s="771"/>
      <c r="Q666" s="35">
        <v>0</v>
      </c>
      <c r="R666" s="35">
        <v>0</v>
      </c>
      <c r="S666" s="35">
        <v>0</v>
      </c>
      <c r="T666" s="750"/>
      <c r="U666" s="35">
        <v>0</v>
      </c>
      <c r="V666" s="35">
        <v>0</v>
      </c>
      <c r="W666" s="35">
        <v>0</v>
      </c>
      <c r="X666" s="35"/>
      <c r="Y666" s="769"/>
      <c r="AA666" s="938"/>
      <c r="AE666" s="949"/>
    </row>
    <row r="667" spans="1:32">
      <c r="A667" s="4"/>
      <c r="B667" s="256"/>
      <c r="C667" s="519" t="s">
        <v>841</v>
      </c>
      <c r="D667" s="256"/>
      <c r="E667" s="36"/>
      <c r="F667" s="256"/>
      <c r="G667" s="35"/>
      <c r="H667" s="256"/>
      <c r="I667" s="256"/>
      <c r="J667" s="762"/>
      <c r="K667" s="762"/>
      <c r="L667" s="762"/>
      <c r="M667" s="762"/>
      <c r="N667" s="762"/>
      <c r="O667" s="762"/>
      <c r="P667" s="771"/>
      <c r="Q667" s="762"/>
      <c r="R667" s="762"/>
      <c r="S667" s="762"/>
      <c r="T667" s="771"/>
      <c r="U667" s="771"/>
      <c r="V667" s="821"/>
      <c r="W667" s="762"/>
      <c r="X667" s="834"/>
      <c r="Y667" s="769"/>
      <c r="AA667" s="938"/>
      <c r="AE667" s="949"/>
    </row>
    <row r="668" spans="1:32">
      <c r="A668" s="4">
        <v>302</v>
      </c>
      <c r="B668" s="256"/>
      <c r="C668" s="814" t="s">
        <v>842</v>
      </c>
      <c r="D668" s="256"/>
      <c r="E668" s="513" t="s">
        <v>840</v>
      </c>
      <c r="F668" s="256"/>
      <c r="G668" s="35">
        <v>2398062</v>
      </c>
      <c r="H668" s="256"/>
      <c r="I668" s="35">
        <v>0</v>
      </c>
      <c r="J668" s="35">
        <v>0</v>
      </c>
      <c r="K668" s="35"/>
      <c r="L668" s="35">
        <v>0</v>
      </c>
      <c r="M668" s="35">
        <v>0</v>
      </c>
      <c r="N668" s="35">
        <v>0</v>
      </c>
      <c r="O668" s="35">
        <v>0</v>
      </c>
      <c r="P668" s="771"/>
      <c r="Q668" s="35">
        <v>0</v>
      </c>
      <c r="R668" s="35">
        <v>0</v>
      </c>
      <c r="S668" s="35">
        <v>0</v>
      </c>
      <c r="T668" s="750"/>
      <c r="U668" s="35">
        <v>0</v>
      </c>
      <c r="V668" s="35">
        <v>0</v>
      </c>
      <c r="W668" s="35">
        <v>0</v>
      </c>
      <c r="X668" s="35"/>
      <c r="Y668" s="769"/>
      <c r="AA668" s="938"/>
      <c r="AE668" s="949"/>
    </row>
    <row r="669" spans="1:32" ht="12.75" customHeight="1">
      <c r="A669" s="4">
        <v>303</v>
      </c>
      <c r="B669" s="256"/>
      <c r="C669" s="814" t="s">
        <v>843</v>
      </c>
      <c r="D669" s="256"/>
      <c r="E669" s="513" t="s">
        <v>840</v>
      </c>
      <c r="F669" s="256"/>
      <c r="G669" s="35">
        <v>900000</v>
      </c>
      <c r="H669" s="256"/>
      <c r="I669" s="35">
        <v>0</v>
      </c>
      <c r="J669" s="35">
        <v>0</v>
      </c>
      <c r="K669" s="35"/>
      <c r="L669" s="35">
        <v>0</v>
      </c>
      <c r="M669" s="35">
        <v>0</v>
      </c>
      <c r="N669" s="35">
        <v>0</v>
      </c>
      <c r="O669" s="35">
        <v>0</v>
      </c>
      <c r="P669" s="771"/>
      <c r="Q669" s="35">
        <v>0</v>
      </c>
      <c r="R669" s="35">
        <v>0</v>
      </c>
      <c r="S669" s="35">
        <v>0</v>
      </c>
      <c r="T669" s="750"/>
      <c r="U669" s="35">
        <v>0</v>
      </c>
      <c r="V669" s="35">
        <v>0</v>
      </c>
      <c r="W669" s="35">
        <v>0</v>
      </c>
      <c r="X669" s="35"/>
      <c r="Y669" s="769"/>
      <c r="AA669" s="938"/>
      <c r="AE669" s="949"/>
    </row>
    <row r="670" spans="1:32">
      <c r="A670" s="4">
        <v>304</v>
      </c>
      <c r="B670" s="256"/>
      <c r="C670" s="731" t="s">
        <v>844</v>
      </c>
      <c r="D670" s="256"/>
      <c r="E670" s="513" t="s">
        <v>840</v>
      </c>
      <c r="F670" s="256"/>
      <c r="G670" s="35">
        <v>12000</v>
      </c>
      <c r="H670" s="256"/>
      <c r="I670" s="35">
        <v>0</v>
      </c>
      <c r="J670" s="35">
        <v>0</v>
      </c>
      <c r="K670" s="35"/>
      <c r="L670" s="35">
        <v>0</v>
      </c>
      <c r="M670" s="35">
        <v>0</v>
      </c>
      <c r="N670" s="35">
        <v>0</v>
      </c>
      <c r="O670" s="35">
        <v>0</v>
      </c>
      <c r="P670" s="771"/>
      <c r="Q670" s="35">
        <v>0</v>
      </c>
      <c r="R670" s="35">
        <v>0</v>
      </c>
      <c r="S670" s="35">
        <v>0</v>
      </c>
      <c r="T670" s="750"/>
      <c r="U670" s="35">
        <v>0</v>
      </c>
      <c r="V670" s="35">
        <v>0</v>
      </c>
      <c r="W670" s="35">
        <v>0</v>
      </c>
      <c r="X670" s="35"/>
      <c r="Y670" s="769"/>
      <c r="AA670" s="938"/>
      <c r="AE670" s="949"/>
    </row>
    <row r="671" spans="1:32">
      <c r="A671" s="4">
        <v>305</v>
      </c>
      <c r="B671" s="256"/>
      <c r="C671" s="731" t="s">
        <v>845</v>
      </c>
      <c r="D671" s="256"/>
      <c r="E671" s="513" t="s">
        <v>840</v>
      </c>
      <c r="F671" s="256"/>
      <c r="G671" s="35">
        <v>180000</v>
      </c>
      <c r="H671" s="256"/>
      <c r="I671" s="35">
        <v>0</v>
      </c>
      <c r="J671" s="35">
        <v>0</v>
      </c>
      <c r="K671" s="35"/>
      <c r="L671" s="35">
        <v>0</v>
      </c>
      <c r="M671" s="35">
        <v>0</v>
      </c>
      <c r="N671" s="35">
        <v>0</v>
      </c>
      <c r="O671" s="35">
        <v>0</v>
      </c>
      <c r="P671" s="771"/>
      <c r="Q671" s="35">
        <v>0</v>
      </c>
      <c r="R671" s="35">
        <v>0</v>
      </c>
      <c r="S671" s="35">
        <v>0</v>
      </c>
      <c r="T671" s="750"/>
      <c r="U671" s="35">
        <v>0</v>
      </c>
      <c r="V671" s="35">
        <v>0</v>
      </c>
      <c r="W671" s="35">
        <v>0</v>
      </c>
      <c r="X671" s="35"/>
      <c r="Y671" s="769"/>
      <c r="AA671" s="938"/>
      <c r="AE671" s="949"/>
    </row>
    <row r="672" spans="1:32">
      <c r="A672" s="4"/>
      <c r="C672" s="519" t="s">
        <v>846</v>
      </c>
      <c r="E672" s="513"/>
      <c r="G672" s="35"/>
      <c r="I672" s="772"/>
      <c r="J672" s="762"/>
      <c r="K672" s="762"/>
      <c r="L672" s="762"/>
      <c r="M672" s="762"/>
      <c r="N672" s="762"/>
      <c r="O672" s="762"/>
      <c r="P672" s="68"/>
      <c r="Q672" s="762"/>
      <c r="R672" s="762"/>
      <c r="S672" s="762"/>
      <c r="T672" s="68"/>
      <c r="U672" s="771"/>
      <c r="V672" s="821"/>
      <c r="W672" s="762"/>
      <c r="X672" s="834"/>
      <c r="Y672" s="769"/>
      <c r="AA672" s="938"/>
      <c r="AE672" s="949"/>
    </row>
    <row r="673" spans="1:31">
      <c r="A673" s="4">
        <v>306</v>
      </c>
      <c r="B673" s="734"/>
      <c r="C673" s="731" t="s">
        <v>847</v>
      </c>
      <c r="D673" s="734"/>
      <c r="E673" s="36" t="s">
        <v>777</v>
      </c>
      <c r="F673" s="734"/>
      <c r="G673" s="35">
        <v>31198326.559999999</v>
      </c>
      <c r="H673" s="734"/>
      <c r="I673" s="35">
        <v>0</v>
      </c>
      <c r="J673" s="35">
        <v>0</v>
      </c>
      <c r="K673" s="35"/>
      <c r="L673" s="35">
        <v>0</v>
      </c>
      <c r="M673" s="35">
        <v>0</v>
      </c>
      <c r="N673" s="35">
        <v>0</v>
      </c>
      <c r="O673" s="35">
        <v>0</v>
      </c>
      <c r="P673" s="771"/>
      <c r="Q673" s="35">
        <v>0</v>
      </c>
      <c r="R673" s="35">
        <v>0</v>
      </c>
      <c r="S673" s="35">
        <v>0</v>
      </c>
      <c r="T673" s="750"/>
      <c r="U673" s="35">
        <v>0</v>
      </c>
      <c r="V673" s="35">
        <v>0</v>
      </c>
      <c r="W673" s="35">
        <v>0</v>
      </c>
      <c r="X673" s="35"/>
      <c r="Y673" s="769"/>
      <c r="AA673" s="938"/>
      <c r="AE673" s="949"/>
    </row>
    <row r="674" spans="1:31">
      <c r="A674" s="4"/>
      <c r="B674" s="734"/>
      <c r="C674" s="731"/>
      <c r="D674" s="734"/>
      <c r="E674" s="36"/>
      <c r="F674" s="734"/>
      <c r="G674" s="35"/>
      <c r="H674" s="734"/>
      <c r="I674" s="35"/>
      <c r="J674" s="35"/>
      <c r="K674" s="35"/>
      <c r="L674" s="35"/>
      <c r="M674" s="35"/>
      <c r="N674" s="35"/>
      <c r="O674" s="35"/>
      <c r="P674" s="771"/>
      <c r="Q674" s="35"/>
      <c r="R674" s="35"/>
      <c r="S674" s="35"/>
      <c r="T674" s="750"/>
      <c r="U674" s="35"/>
      <c r="V674" s="35"/>
      <c r="W674" s="35"/>
      <c r="X674" s="35"/>
      <c r="Y674" s="769"/>
      <c r="AA674" s="938"/>
      <c r="AE674" s="949"/>
    </row>
    <row r="675" spans="1:31">
      <c r="A675" s="4">
        <v>307</v>
      </c>
      <c r="B675" s="447"/>
      <c r="C675" s="9" t="s">
        <v>848</v>
      </c>
      <c r="D675" s="447"/>
      <c r="E675" s="36" t="s">
        <v>777</v>
      </c>
      <c r="F675" s="447"/>
      <c r="G675" s="35">
        <v>0</v>
      </c>
      <c r="H675" s="447"/>
      <c r="I675" s="783">
        <v>3.0899999999999999E-3</v>
      </c>
      <c r="J675" s="35">
        <v>737.06227340000055</v>
      </c>
      <c r="K675" s="762"/>
      <c r="L675" s="35">
        <v>0</v>
      </c>
      <c r="M675" s="35">
        <v>425.80073937659938</v>
      </c>
      <c r="N675" s="35">
        <v>311.26153402340117</v>
      </c>
      <c r="O675" s="762">
        <f>J675-L675-M675-N675</f>
        <v>0</v>
      </c>
      <c r="P675" s="787"/>
      <c r="Q675" s="35">
        <v>0</v>
      </c>
      <c r="R675" s="35">
        <v>519.60245551200785</v>
      </c>
      <c r="S675" s="35">
        <v>309.55531035511177</v>
      </c>
      <c r="T675" s="787"/>
      <c r="U675" s="771">
        <f>SUM(O675:S675)</f>
        <v>829.15776586711968</v>
      </c>
      <c r="V675" s="783">
        <v>3.6363108297250506E-3</v>
      </c>
      <c r="W675" s="762">
        <f>U675-J675</f>
        <v>92.095492467119129</v>
      </c>
      <c r="X675" s="982">
        <f>V675/I675-1</f>
        <v>0.17679962127024296</v>
      </c>
      <c r="Y675" s="769"/>
      <c r="AA675" s="938"/>
      <c r="AC675" s="938"/>
      <c r="AE675" s="949"/>
    </row>
    <row r="676" spans="1:31">
      <c r="A676" s="4"/>
      <c r="B676" s="254"/>
      <c r="D676" s="254"/>
      <c r="E676" s="36"/>
      <c r="F676" s="254"/>
      <c r="G676" s="13"/>
      <c r="H676" s="254"/>
      <c r="I676" s="254"/>
      <c r="J676" s="762"/>
      <c r="K676" s="762"/>
      <c r="L676" s="762"/>
      <c r="M676" s="762"/>
      <c r="N676" s="762"/>
      <c r="O676" s="762"/>
      <c r="P676" s="786"/>
      <c r="Q676" s="762"/>
      <c r="R676" s="762"/>
      <c r="S676" s="762"/>
      <c r="T676" s="786"/>
      <c r="U676" s="786"/>
      <c r="V676" s="956"/>
      <c r="W676" s="762"/>
      <c r="X676" s="770"/>
      <c r="Y676" s="769"/>
      <c r="AA676" s="938"/>
      <c r="AE676" s="949"/>
    </row>
    <row r="677" spans="1:31">
      <c r="A677" s="4">
        <v>308</v>
      </c>
      <c r="B677" s="256"/>
      <c r="C677" s="7" t="s">
        <v>849</v>
      </c>
      <c r="D677" s="256"/>
      <c r="E677" s="4"/>
      <c r="F677" s="256"/>
      <c r="G677" s="812">
        <f>G662</f>
        <v>5005643.3246499998</v>
      </c>
      <c r="H677" s="256"/>
      <c r="I677" s="806">
        <f>J677/G677*100</f>
        <v>1.4724626298689324E-2</v>
      </c>
      <c r="J677" s="805">
        <f>SUM(J675:J676)</f>
        <v>737.06227340000055</v>
      </c>
      <c r="K677" s="762"/>
      <c r="L677" s="805">
        <f>SUM(L675:L676)</f>
        <v>0</v>
      </c>
      <c r="M677" s="805">
        <f>SUM(M675:M676)</f>
        <v>425.80073937659938</v>
      </c>
      <c r="N677" s="805">
        <f>SUM(N675:N676)</f>
        <v>311.26153402340117</v>
      </c>
      <c r="O677" s="805">
        <f>SUM(O675:O676)</f>
        <v>0</v>
      </c>
      <c r="P677" s="762"/>
      <c r="Q677" s="137">
        <f>SUM(Q675:Q676)</f>
        <v>0</v>
      </c>
      <c r="R677" s="137">
        <f>SUM(R675:R676)</f>
        <v>519.60245551200785</v>
      </c>
      <c r="S677" s="137">
        <f>SUM(S675:S676)</f>
        <v>309.55531035511177</v>
      </c>
      <c r="T677" s="453"/>
      <c r="U677" s="807">
        <f>SUM(Q677:T677)</f>
        <v>829.15776586711968</v>
      </c>
      <c r="V677" s="902">
        <f>U677/G677*100</f>
        <v>1.6564459592715693E-2</v>
      </c>
      <c r="W677" s="805">
        <f>SUM(W675:W676)</f>
        <v>92.095492467119129</v>
      </c>
      <c r="X677" s="804">
        <f>V677/I677-1</f>
        <v>0.12494940494280238</v>
      </c>
      <c r="Y677" s="769"/>
      <c r="AA677" s="938"/>
      <c r="AC677" s="938"/>
      <c r="AE677" s="949"/>
    </row>
    <row r="678" spans="1:31">
      <c r="A678" s="4"/>
      <c r="B678" s="256"/>
      <c r="C678" s="7"/>
      <c r="D678" s="256"/>
      <c r="E678" s="4"/>
      <c r="F678" s="256"/>
      <c r="G678" s="4"/>
      <c r="H678" s="256"/>
      <c r="I678" s="256"/>
      <c r="J678" s="762"/>
      <c r="K678" s="762"/>
      <c r="L678" s="762"/>
      <c r="M678" s="762"/>
      <c r="N678" s="762"/>
      <c r="O678" s="762"/>
      <c r="P678" s="771"/>
      <c r="Q678" s="762"/>
      <c r="R678" s="762"/>
      <c r="S678" s="762"/>
      <c r="T678" s="771"/>
      <c r="U678" s="771"/>
      <c r="V678" s="821"/>
      <c r="W678" s="762"/>
      <c r="X678" s="504"/>
      <c r="AC678" s="938"/>
      <c r="AE678" s="728"/>
    </row>
    <row r="679" spans="1:31" ht="13.5" thickBot="1">
      <c r="A679" s="4">
        <v>309</v>
      </c>
      <c r="B679" s="256"/>
      <c r="C679" s="7" t="s">
        <v>853</v>
      </c>
      <c r="D679" s="256"/>
      <c r="E679" s="742"/>
      <c r="F679" s="256"/>
      <c r="G679" s="981">
        <f>G677</f>
        <v>5005643.3246499998</v>
      </c>
      <c r="H679" s="256"/>
      <c r="I679" s="803">
        <f>J679/G679*100</f>
        <v>9.1623238571689081E-2</v>
      </c>
      <c r="J679" s="781">
        <f>J662+J677</f>
        <v>4586.3325253918983</v>
      </c>
      <c r="K679" s="771"/>
      <c r="L679" s="781">
        <f>L662+L677</f>
        <v>109.9260462507728</v>
      </c>
      <c r="M679" s="781">
        <f>M662+M677</f>
        <v>2565.4189413444342</v>
      </c>
      <c r="N679" s="781">
        <f>N662+N677</f>
        <v>1387.0988552155645</v>
      </c>
      <c r="O679" s="781">
        <f>O662+O677</f>
        <v>523.88868258112711</v>
      </c>
      <c r="P679" s="771"/>
      <c r="Q679" s="781">
        <f>Q662+Q677</f>
        <v>103.04176993967982</v>
      </c>
      <c r="R679" s="781">
        <f>R662+R677</f>
        <v>3130.5675591150493</v>
      </c>
      <c r="S679" s="781">
        <f>S662+S677</f>
        <v>1379.4952786783876</v>
      </c>
      <c r="T679" s="771"/>
      <c r="U679" s="781">
        <f>U662+U677</f>
        <v>5136.9932903142435</v>
      </c>
      <c r="V679" s="901">
        <f>U679/G679*100</f>
        <v>0.10262403765400981</v>
      </c>
      <c r="W679" s="799">
        <f>W662+W677</f>
        <v>550.66076492234549</v>
      </c>
      <c r="X679" s="798">
        <f>V679/I679-1</f>
        <v>0.12006559966458008</v>
      </c>
      <c r="Y679" s="769"/>
      <c r="AA679" s="938"/>
      <c r="AC679" s="938"/>
      <c r="AE679" s="949"/>
    </row>
    <row r="680" spans="1:31" ht="13.5" thickTop="1">
      <c r="A680" s="4"/>
      <c r="B680" s="256"/>
      <c r="C680" s="6"/>
      <c r="D680" s="256"/>
      <c r="E680" s="134"/>
      <c r="F680" s="256"/>
      <c r="G680" s="749"/>
      <c r="H680" s="256"/>
      <c r="I680" s="256"/>
      <c r="J680" s="762"/>
      <c r="K680" s="762"/>
      <c r="L680" s="762"/>
      <c r="M680" s="762"/>
      <c r="N680" s="762"/>
      <c r="O680" s="762"/>
      <c r="P680" s="771"/>
      <c r="Q680" s="762"/>
      <c r="R680" s="762"/>
      <c r="S680" s="762"/>
      <c r="T680" s="771"/>
      <c r="U680" s="771"/>
      <c r="V680" s="771"/>
      <c r="W680" s="762"/>
      <c r="X680" s="513"/>
      <c r="AA680" s="955"/>
      <c r="AC680" s="955"/>
      <c r="AE680" s="955"/>
    </row>
    <row r="681" spans="1:31">
      <c r="A681" s="4"/>
      <c r="B681" s="256"/>
      <c r="C681" s="6"/>
      <c r="D681" s="256"/>
      <c r="E681" s="134"/>
      <c r="F681" s="256"/>
      <c r="G681" s="749"/>
      <c r="H681" s="256"/>
      <c r="I681" s="256"/>
      <c r="J681" s="762"/>
      <c r="K681" s="762"/>
      <c r="L681" s="762"/>
      <c r="M681" s="762"/>
      <c r="N681" s="762"/>
      <c r="O681" s="762"/>
      <c r="P681" s="771"/>
      <c r="Q681" s="762"/>
      <c r="R681" s="762"/>
      <c r="S681" s="762"/>
      <c r="T681" s="771"/>
      <c r="U681" s="771"/>
      <c r="V681" s="771"/>
      <c r="W681" s="762"/>
      <c r="X681" s="513"/>
      <c r="AA681" s="955"/>
      <c r="AC681" s="955"/>
      <c r="AE681" s="955"/>
    </row>
    <row r="682" spans="1:31">
      <c r="A682" s="4"/>
      <c r="B682" s="256"/>
      <c r="C682" s="6"/>
      <c r="D682" s="256"/>
      <c r="E682" s="134"/>
      <c r="F682" s="256"/>
      <c r="G682" s="749"/>
      <c r="H682" s="256"/>
      <c r="I682" s="256"/>
      <c r="J682" s="762"/>
      <c r="K682" s="762"/>
      <c r="L682" s="762"/>
      <c r="M682" s="762"/>
      <c r="N682" s="762"/>
      <c r="O682" s="762"/>
      <c r="P682" s="771"/>
      <c r="Q682" s="762"/>
      <c r="R682" s="762"/>
      <c r="S682" s="762"/>
      <c r="T682" s="771"/>
      <c r="U682" s="771"/>
      <c r="V682" s="771"/>
      <c r="W682" s="762"/>
      <c r="X682" s="513"/>
      <c r="AA682" s="955"/>
      <c r="AC682" s="955"/>
      <c r="AE682" s="955"/>
    </row>
    <row r="683" spans="1:31">
      <c r="A683" s="4"/>
      <c r="B683" s="256"/>
      <c r="C683" s="6"/>
      <c r="D683" s="256"/>
      <c r="E683" s="134"/>
      <c r="F683" s="256"/>
      <c r="G683" s="749"/>
      <c r="H683" s="256"/>
      <c r="I683" s="256"/>
      <c r="J683" s="762"/>
      <c r="K683" s="762"/>
      <c r="L683" s="762"/>
      <c r="M683" s="762"/>
      <c r="N683" s="762"/>
      <c r="O683" s="762"/>
      <c r="P683" s="771"/>
      <c r="Q683" s="762"/>
      <c r="R683" s="762"/>
      <c r="S683" s="762"/>
      <c r="T683" s="771"/>
      <c r="U683" s="771"/>
      <c r="V683" s="771"/>
      <c r="W683" s="762"/>
      <c r="X683" s="513"/>
      <c r="AA683" s="955"/>
      <c r="AC683" s="955"/>
      <c r="AE683" s="955"/>
    </row>
    <row r="684" spans="1:31">
      <c r="A684" s="4"/>
      <c r="B684" s="256"/>
      <c r="C684" s="6"/>
      <c r="D684" s="256"/>
      <c r="E684" s="134"/>
      <c r="F684" s="256"/>
      <c r="G684" s="749"/>
      <c r="H684" s="256"/>
      <c r="I684" s="256"/>
      <c r="J684" s="762"/>
      <c r="K684" s="762"/>
      <c r="L684" s="762"/>
      <c r="M684" s="762"/>
      <c r="N684" s="762"/>
      <c r="O684" s="762"/>
      <c r="P684" s="771"/>
      <c r="Q684" s="762"/>
      <c r="R684" s="762"/>
      <c r="S684" s="762"/>
      <c r="T684" s="771"/>
      <c r="U684" s="771"/>
      <c r="V684" s="771"/>
      <c r="W684" s="762"/>
      <c r="X684" s="513"/>
      <c r="AA684" s="955"/>
      <c r="AC684" s="955"/>
      <c r="AE684" s="955"/>
    </row>
    <row r="685" spans="1:31">
      <c r="A685" s="1324" t="s">
        <v>724</v>
      </c>
      <c r="B685" s="1324"/>
      <c r="C685" s="1324"/>
      <c r="D685" s="1324"/>
      <c r="E685" s="1324"/>
      <c r="F685" s="1324"/>
      <c r="G685" s="1324"/>
      <c r="H685" s="1324"/>
      <c r="I685" s="1324"/>
      <c r="J685" s="1324"/>
      <c r="K685" s="1324"/>
      <c r="L685" s="1324"/>
      <c r="M685" s="1324"/>
      <c r="N685" s="1324"/>
      <c r="O685" s="1324"/>
      <c r="P685" s="1324"/>
      <c r="Q685" s="1324"/>
      <c r="R685" s="1324"/>
      <c r="S685" s="1324"/>
      <c r="T685" s="1324"/>
      <c r="U685" s="1324"/>
      <c r="V685" s="1324"/>
      <c r="W685" s="1324"/>
      <c r="X685" s="1324"/>
      <c r="AA685" s="955"/>
      <c r="AC685" s="955"/>
      <c r="AE685" s="955"/>
    </row>
    <row r="686" spans="1:31">
      <c r="A686" s="1324" t="s">
        <v>963</v>
      </c>
      <c r="B686" s="1324"/>
      <c r="C686" s="1324"/>
      <c r="D686" s="1324"/>
      <c r="E686" s="1324"/>
      <c r="F686" s="1324"/>
      <c r="G686" s="1324"/>
      <c r="H686" s="1324"/>
      <c r="I686" s="1324"/>
      <c r="J686" s="1324"/>
      <c r="K686" s="1324"/>
      <c r="L686" s="1324"/>
      <c r="M686" s="1324"/>
      <c r="N686" s="1324"/>
      <c r="O686" s="1324"/>
      <c r="P686" s="1324"/>
      <c r="Q686" s="1324"/>
      <c r="R686" s="1324"/>
      <c r="S686" s="1324"/>
      <c r="T686" s="1324"/>
      <c r="U686" s="1324"/>
      <c r="V686" s="1324"/>
      <c r="W686" s="1324"/>
      <c r="X686" s="1324"/>
      <c r="AA686" s="955"/>
      <c r="AC686" s="955"/>
      <c r="AE686" s="955"/>
    </row>
    <row r="687" spans="1:31">
      <c r="A687" s="385"/>
      <c r="B687" s="385"/>
      <c r="C687" s="385"/>
      <c r="D687" s="385"/>
      <c r="E687" s="447"/>
      <c r="F687" s="385"/>
      <c r="G687" s="447"/>
      <c r="H687" s="385"/>
      <c r="I687" s="385"/>
      <c r="J687" s="504"/>
      <c r="K687" s="504"/>
      <c r="L687" s="3"/>
      <c r="M687" s="3"/>
      <c r="N687" s="504"/>
      <c r="O687" s="504"/>
      <c r="P687" s="385"/>
      <c r="Q687" s="504"/>
      <c r="R687" s="504"/>
      <c r="S687" s="504"/>
      <c r="T687" s="385"/>
      <c r="U687" s="385"/>
      <c r="V687" s="385"/>
      <c r="W687" s="504"/>
      <c r="X687" s="513"/>
      <c r="AA687" s="955"/>
      <c r="AC687" s="955"/>
      <c r="AE687" s="955"/>
    </row>
    <row r="688" spans="1:31">
      <c r="A688" s="447"/>
      <c r="B688" s="447"/>
      <c r="C688" s="447"/>
      <c r="D688" s="447"/>
      <c r="E688" s="256"/>
      <c r="F688" s="256"/>
      <c r="G688" s="1313" t="s">
        <v>682</v>
      </c>
      <c r="H688" s="1313"/>
      <c r="I688" s="1313"/>
      <c r="J688" s="1313"/>
      <c r="K688" s="256"/>
      <c r="L688" s="1313" t="s">
        <v>496</v>
      </c>
      <c r="M688" s="1313"/>
      <c r="N688" s="1313"/>
      <c r="O688" s="256"/>
      <c r="P688" s="447"/>
      <c r="Q688" s="1313" t="s">
        <v>497</v>
      </c>
      <c r="R688" s="1313"/>
      <c r="S688" s="1313"/>
      <c r="T688" s="447"/>
      <c r="U688" s="1313" t="s">
        <v>683</v>
      </c>
      <c r="V688" s="1313"/>
      <c r="W688" s="1313"/>
      <c r="X688" s="1313"/>
      <c r="AA688" s="955"/>
      <c r="AC688" s="955"/>
      <c r="AE688" s="955"/>
    </row>
    <row r="689" spans="1:31" ht="38.25">
      <c r="A689" s="254" t="s">
        <v>1</v>
      </c>
      <c r="B689" s="254"/>
      <c r="C689" s="254"/>
      <c r="D689" s="254"/>
      <c r="E689" s="4" t="s">
        <v>670</v>
      </c>
      <c r="F689" s="254"/>
      <c r="G689" s="13" t="s">
        <v>684</v>
      </c>
      <c r="H689" s="254"/>
      <c r="I689" s="13" t="s">
        <v>196</v>
      </c>
      <c r="J689" s="254" t="s">
        <v>503</v>
      </c>
      <c r="K689" s="254"/>
      <c r="L689" s="254" t="s">
        <v>955</v>
      </c>
      <c r="M689" s="254" t="s">
        <v>956</v>
      </c>
      <c r="N689" s="254" t="s">
        <v>957</v>
      </c>
      <c r="O689" s="254" t="s">
        <v>958</v>
      </c>
      <c r="P689" s="254"/>
      <c r="Q689" s="254" t="s">
        <v>955</v>
      </c>
      <c r="R689" s="254" t="s">
        <v>956</v>
      </c>
      <c r="S689" s="254" t="s">
        <v>957</v>
      </c>
      <c r="T689" s="254"/>
      <c r="U689" s="13" t="s">
        <v>512</v>
      </c>
      <c r="V689" s="13" t="s">
        <v>691</v>
      </c>
      <c r="W689" s="13" t="s">
        <v>692</v>
      </c>
      <c r="X689" s="254" t="s">
        <v>693</v>
      </c>
      <c r="AA689" s="955"/>
      <c r="AC689" s="955"/>
      <c r="AE689" s="955"/>
    </row>
    <row r="690" spans="1:31" ht="14.25">
      <c r="A690" s="255" t="s">
        <v>2</v>
      </c>
      <c r="B690" s="256"/>
      <c r="C690" s="449" t="s">
        <v>3</v>
      </c>
      <c r="D690" s="256"/>
      <c r="E690" s="255" t="s">
        <v>4</v>
      </c>
      <c r="F690" s="256"/>
      <c r="G690" s="255" t="s">
        <v>694</v>
      </c>
      <c r="H690" s="256"/>
      <c r="I690" s="255" t="s">
        <v>77</v>
      </c>
      <c r="J690" s="255" t="s">
        <v>20</v>
      </c>
      <c r="K690" s="4"/>
      <c r="L690" s="255" t="s">
        <v>20</v>
      </c>
      <c r="M690" s="255" t="s">
        <v>20</v>
      </c>
      <c r="N690" s="255" t="s">
        <v>20</v>
      </c>
      <c r="O690" s="255" t="s">
        <v>20</v>
      </c>
      <c r="P690" s="256"/>
      <c r="Q690" s="255" t="s">
        <v>20</v>
      </c>
      <c r="R690" s="255" t="s">
        <v>20</v>
      </c>
      <c r="S690" s="255" t="s">
        <v>20</v>
      </c>
      <c r="T690" s="256"/>
      <c r="U690" s="255" t="s">
        <v>20</v>
      </c>
      <c r="V690" s="255" t="s">
        <v>77</v>
      </c>
      <c r="W690" s="255" t="s">
        <v>20</v>
      </c>
      <c r="X690" s="255" t="s">
        <v>76</v>
      </c>
      <c r="AA690" s="955"/>
      <c r="AC690" s="955"/>
      <c r="AE690" s="955"/>
    </row>
    <row r="691" spans="1:31">
      <c r="A691" s="4"/>
      <c r="B691" s="256"/>
      <c r="C691" s="256"/>
      <c r="D691" s="256"/>
      <c r="E691" s="4"/>
      <c r="F691" s="256"/>
      <c r="G691" s="4" t="s">
        <v>8</v>
      </c>
      <c r="H691" s="4"/>
      <c r="I691" s="4" t="s">
        <v>9</v>
      </c>
      <c r="J691" s="4" t="s">
        <v>370</v>
      </c>
      <c r="K691" s="4"/>
      <c r="L691" s="132" t="s">
        <v>79</v>
      </c>
      <c r="M691" s="132" t="s">
        <v>115</v>
      </c>
      <c r="N691" s="4" t="s">
        <v>81</v>
      </c>
      <c r="O691" s="4" t="s">
        <v>959</v>
      </c>
      <c r="P691" s="4"/>
      <c r="Q691" s="4" t="s">
        <v>118</v>
      </c>
      <c r="R691" s="4" t="s">
        <v>84</v>
      </c>
      <c r="S691" s="4" t="s">
        <v>516</v>
      </c>
      <c r="T691" s="4"/>
      <c r="U691" s="4" t="s">
        <v>960</v>
      </c>
      <c r="V691" s="4" t="s">
        <v>518</v>
      </c>
      <c r="W691" s="4" t="s">
        <v>961</v>
      </c>
      <c r="X691" s="4" t="s">
        <v>962</v>
      </c>
      <c r="AA691" s="955"/>
      <c r="AC691" s="955"/>
      <c r="AE691" s="955"/>
    </row>
    <row r="692" spans="1:31">
      <c r="A692" s="4"/>
      <c r="B692" s="256"/>
      <c r="C692" s="6"/>
      <c r="D692" s="256"/>
      <c r="E692" s="134"/>
      <c r="F692" s="256"/>
      <c r="G692" s="749"/>
      <c r="H692" s="256"/>
      <c r="I692" s="256"/>
      <c r="J692" s="762"/>
      <c r="K692" s="762"/>
      <c r="L692" s="762"/>
      <c r="M692" s="762"/>
      <c r="N692" s="762"/>
      <c r="O692" s="762"/>
      <c r="P692" s="771"/>
      <c r="Q692" s="762"/>
      <c r="R692" s="762"/>
      <c r="S692" s="762"/>
      <c r="T692" s="771"/>
      <c r="U692" s="771"/>
      <c r="V692" s="771"/>
      <c r="W692" s="762"/>
      <c r="X692" s="513"/>
      <c r="AA692" s="955"/>
      <c r="AC692" s="955"/>
      <c r="AE692" s="955"/>
    </row>
    <row r="693" spans="1:31">
      <c r="A693" s="4"/>
      <c r="C693" s="6" t="s">
        <v>186</v>
      </c>
      <c r="E693" s="36"/>
      <c r="G693" s="35"/>
      <c r="J693" s="762"/>
      <c r="K693" s="762"/>
      <c r="L693" s="762"/>
      <c r="M693" s="762"/>
      <c r="N693" s="762"/>
      <c r="O693" s="762"/>
      <c r="P693" s="68"/>
      <c r="Q693" s="762"/>
      <c r="R693" s="762"/>
      <c r="S693" s="762"/>
      <c r="T693" s="68"/>
      <c r="U693" s="68"/>
      <c r="V693" s="68"/>
      <c r="W693" s="762"/>
      <c r="X693" s="513"/>
    </row>
    <row r="694" spans="1:31">
      <c r="A694" s="4">
        <v>310</v>
      </c>
      <c r="B694" s="256"/>
      <c r="C694" s="7" t="s">
        <v>703</v>
      </c>
      <c r="D694" s="256"/>
      <c r="E694" s="4" t="s">
        <v>824</v>
      </c>
      <c r="F694" s="256"/>
      <c r="G694" s="35">
        <v>12.000000000000004</v>
      </c>
      <c r="H694" s="256"/>
      <c r="I694" s="35">
        <v>0</v>
      </c>
      <c r="J694" s="35">
        <v>0</v>
      </c>
      <c r="K694" s="35"/>
      <c r="L694" s="35">
        <v>0</v>
      </c>
      <c r="M694" s="35">
        <v>0</v>
      </c>
      <c r="N694" s="35">
        <v>0</v>
      </c>
      <c r="O694" s="35">
        <v>0</v>
      </c>
      <c r="P694" s="771"/>
      <c r="Q694" s="35">
        <v>0</v>
      </c>
      <c r="R694" s="35">
        <v>0</v>
      </c>
      <c r="S694" s="35">
        <v>0</v>
      </c>
      <c r="T694" s="750"/>
      <c r="U694" s="35">
        <v>0</v>
      </c>
      <c r="V694" s="35">
        <v>0</v>
      </c>
      <c r="W694" s="35">
        <v>0</v>
      </c>
      <c r="X694" s="35"/>
      <c r="Y694" s="769"/>
      <c r="AA694" s="938"/>
      <c r="AE694" s="954"/>
    </row>
    <row r="695" spans="1:31" ht="14.25">
      <c r="A695" s="4"/>
      <c r="B695" s="256"/>
      <c r="C695" s="7" t="s">
        <v>825</v>
      </c>
      <c r="D695" s="256"/>
      <c r="E695" s="4"/>
      <c r="F695" s="256"/>
      <c r="G695" s="35"/>
      <c r="H695" s="256"/>
      <c r="I695" s="35"/>
      <c r="J695" s="35"/>
      <c r="K695" s="35"/>
      <c r="L695" s="35"/>
      <c r="M695" s="35"/>
      <c r="N695" s="35"/>
      <c r="O695" s="35"/>
      <c r="P695" s="771"/>
      <c r="Q695" s="35"/>
      <c r="R695" s="35"/>
      <c r="S695" s="35"/>
      <c r="T695" s="750"/>
      <c r="U695" s="35"/>
      <c r="V695" s="35"/>
      <c r="W695" s="35"/>
      <c r="X695" s="35"/>
      <c r="Y695" s="769"/>
      <c r="AA695" s="938"/>
      <c r="AE695" s="954"/>
    </row>
    <row r="696" spans="1:31">
      <c r="A696" s="4">
        <v>311</v>
      </c>
      <c r="B696" s="256"/>
      <c r="C696" s="519" t="s">
        <v>826</v>
      </c>
      <c r="D696" s="256"/>
      <c r="E696" s="513" t="s">
        <v>828</v>
      </c>
      <c r="F696" s="256"/>
      <c r="G696" s="35">
        <v>28200</v>
      </c>
      <c r="H696" s="256"/>
      <c r="I696" s="35">
        <v>0</v>
      </c>
      <c r="J696" s="35">
        <v>0</v>
      </c>
      <c r="K696" s="35"/>
      <c r="L696" s="35">
        <v>0</v>
      </c>
      <c r="M696" s="35">
        <v>0</v>
      </c>
      <c r="N696" s="35">
        <v>0</v>
      </c>
      <c r="O696" s="35">
        <v>0</v>
      </c>
      <c r="P696" s="771"/>
      <c r="Q696" s="35">
        <v>0</v>
      </c>
      <c r="R696" s="35">
        <v>0</v>
      </c>
      <c r="S696" s="35">
        <v>0</v>
      </c>
      <c r="T696" s="750"/>
      <c r="U696" s="35">
        <v>0</v>
      </c>
      <c r="V696" s="35">
        <v>0</v>
      </c>
      <c r="W696" s="35">
        <v>0</v>
      </c>
      <c r="X696" s="35"/>
      <c r="Y696" s="769"/>
      <c r="AA696" s="938"/>
    </row>
    <row r="697" spans="1:31">
      <c r="A697" s="4">
        <v>312</v>
      </c>
      <c r="B697" s="256"/>
      <c r="C697" s="9" t="s">
        <v>830</v>
      </c>
      <c r="D697" s="256"/>
      <c r="E697" s="513" t="s">
        <v>674</v>
      </c>
      <c r="F697" s="256"/>
      <c r="G697" s="35">
        <v>249200.14546999999</v>
      </c>
      <c r="H697" s="256"/>
      <c r="I697" s="772">
        <v>4.1000000000000003E-3</v>
      </c>
      <c r="J697" s="762">
        <f>G697*I697/100</f>
        <v>10.217205964270001</v>
      </c>
      <c r="K697" s="762"/>
      <c r="L697" s="35">
        <v>10.217205964270001</v>
      </c>
      <c r="M697" s="35">
        <v>0</v>
      </c>
      <c r="N697" s="35">
        <v>0</v>
      </c>
      <c r="O697" s="762">
        <f>J697-L697-M697-N697</f>
        <v>0</v>
      </c>
      <c r="P697" s="771"/>
      <c r="Q697" s="35">
        <v>0</v>
      </c>
      <c r="R697" s="35">
        <v>0</v>
      </c>
      <c r="S697" s="35">
        <v>0</v>
      </c>
      <c r="T697" s="771"/>
      <c r="U697" s="771">
        <f>SUM(O697:S697)</f>
        <v>0</v>
      </c>
      <c r="V697" s="771">
        <f>U697/G697*100</f>
        <v>0</v>
      </c>
      <c r="W697" s="762">
        <f>U697-J697</f>
        <v>-10.217205964270001</v>
      </c>
      <c r="X697" s="980">
        <f>V697/I697-1</f>
        <v>-1</v>
      </c>
      <c r="Y697" s="769"/>
      <c r="AA697" s="938"/>
      <c r="AC697" s="938"/>
      <c r="AE697" s="949"/>
    </row>
    <row r="698" spans="1:31">
      <c r="A698" s="4"/>
      <c r="B698" s="256"/>
      <c r="C698" s="9"/>
      <c r="D698" s="256"/>
      <c r="E698" s="513"/>
      <c r="F698" s="256"/>
      <c r="G698" s="35"/>
      <c r="H698" s="256"/>
      <c r="I698" s="772"/>
      <c r="J698" s="762"/>
      <c r="K698" s="762"/>
      <c r="L698" s="35"/>
      <c r="M698" s="35"/>
      <c r="N698" s="35"/>
      <c r="O698" s="762"/>
      <c r="P698" s="771"/>
      <c r="Q698" s="35"/>
      <c r="R698" s="35"/>
      <c r="S698" s="35"/>
      <c r="T698" s="771"/>
      <c r="U698" s="771"/>
      <c r="V698" s="821"/>
      <c r="W698" s="762"/>
      <c r="X698" s="980"/>
      <c r="Y698" s="769"/>
      <c r="AA698" s="938"/>
      <c r="AC698" s="938"/>
      <c r="AE698" s="949"/>
    </row>
    <row r="699" spans="1:31">
      <c r="A699" s="4">
        <v>313</v>
      </c>
      <c r="B699" s="256"/>
      <c r="C699" s="9" t="s">
        <v>835</v>
      </c>
      <c r="D699" s="256"/>
      <c r="E699" s="513" t="s">
        <v>674</v>
      </c>
      <c r="F699" s="256"/>
      <c r="G699" s="35">
        <v>0</v>
      </c>
      <c r="H699" s="256"/>
      <c r="I699" s="783">
        <v>4.1900000000000001E-3</v>
      </c>
      <c r="J699" s="35">
        <v>216.63544388</v>
      </c>
      <c r="K699" s="762"/>
      <c r="L699" s="35">
        <v>0</v>
      </c>
      <c r="M699" s="35">
        <v>104.835140629248</v>
      </c>
      <c r="N699" s="35">
        <v>111.80030325075201</v>
      </c>
      <c r="O699" s="762">
        <f>J699-L699-M699-N699</f>
        <v>0</v>
      </c>
      <c r="P699" s="771"/>
      <c r="Q699" s="35">
        <v>9.5773387864319055</v>
      </c>
      <c r="R699" s="35">
        <v>127.92978371680481</v>
      </c>
      <c r="S699" s="35">
        <v>111.18745423898166</v>
      </c>
      <c r="T699" s="771"/>
      <c r="U699" s="771">
        <f>SUM(O699:S699)</f>
        <v>248.69457674221837</v>
      </c>
      <c r="V699" s="783">
        <v>4.8100636621914127E-3</v>
      </c>
      <c r="W699" s="762">
        <f>U699-J699</f>
        <v>32.059132862218377</v>
      </c>
      <c r="X699" s="834">
        <f>IFERROR(V699/I699-1,"-")</f>
        <v>0.14798655422229423</v>
      </c>
      <c r="Y699" s="769"/>
      <c r="AA699" s="938"/>
      <c r="AC699" s="938"/>
      <c r="AE699" s="949"/>
    </row>
    <row r="700" spans="1:31">
      <c r="A700" s="4"/>
      <c r="B700" s="256"/>
      <c r="C700" s="9"/>
      <c r="D700" s="256"/>
      <c r="E700" s="513"/>
      <c r="F700" s="256"/>
      <c r="G700" s="35"/>
      <c r="H700" s="256"/>
      <c r="I700" s="772"/>
      <c r="J700" s="762"/>
      <c r="K700" s="762"/>
      <c r="L700" s="762"/>
      <c r="M700" s="762"/>
      <c r="N700" s="762"/>
      <c r="O700" s="762"/>
      <c r="P700" s="771"/>
      <c r="Q700" s="762"/>
      <c r="R700" s="762"/>
      <c r="S700" s="762"/>
      <c r="T700" s="771"/>
      <c r="U700" s="771"/>
      <c r="V700" s="821"/>
      <c r="W700" s="762"/>
      <c r="X700" s="834"/>
      <c r="Y700" s="769"/>
      <c r="AA700" s="938"/>
      <c r="AC700" s="938"/>
    </row>
    <row r="701" spans="1:31">
      <c r="A701" s="4">
        <v>314</v>
      </c>
      <c r="B701" s="256"/>
      <c r="C701" s="7" t="s">
        <v>836</v>
      </c>
      <c r="D701" s="256"/>
      <c r="E701" s="36"/>
      <c r="F701" s="256"/>
      <c r="G701" s="420">
        <f>G697</f>
        <v>249200.14546999999</v>
      </c>
      <c r="H701" s="256"/>
      <c r="I701" s="810">
        <f>J701/G701*100</f>
        <v>9.1032310360982388E-2</v>
      </c>
      <c r="J701" s="805">
        <f>SUM(J697:J700)</f>
        <v>226.85264984426999</v>
      </c>
      <c r="K701" s="762"/>
      <c r="L701" s="805">
        <f>SUM(L697:L700)</f>
        <v>10.217205964270001</v>
      </c>
      <c r="M701" s="805">
        <f>SUM(M697:M700)</f>
        <v>104.835140629248</v>
      </c>
      <c r="N701" s="805">
        <f>SUM(N697:N700)</f>
        <v>111.80030325075201</v>
      </c>
      <c r="O701" s="805">
        <f>SUM(O697:O700)</f>
        <v>0</v>
      </c>
      <c r="P701" s="762"/>
      <c r="Q701" s="807">
        <f>SUM(Q697:Q700)</f>
        <v>9.5773387864319055</v>
      </c>
      <c r="R701" s="807">
        <f>SUM(R697:R700)</f>
        <v>127.92978371680481</v>
      </c>
      <c r="S701" s="807">
        <f>SUM(S697:S700)</f>
        <v>111.18745423898166</v>
      </c>
      <c r="T701" s="771"/>
      <c r="U701" s="807">
        <f>SUM(U697:U700)</f>
        <v>248.69457674221837</v>
      </c>
      <c r="V701" s="902">
        <f>U701/G701*100</f>
        <v>9.9797123421887221E-2</v>
      </c>
      <c r="W701" s="805">
        <f>SUM(W694:W699)</f>
        <v>21.841926897948376</v>
      </c>
      <c r="X701" s="921">
        <f>V701/I701-1</f>
        <v>9.6282441104137195E-2</v>
      </c>
      <c r="Y701" s="769"/>
      <c r="AA701" s="938"/>
      <c r="AC701" s="938"/>
      <c r="AE701" s="949"/>
    </row>
    <row r="702" spans="1:31">
      <c r="A702" s="4"/>
      <c r="E702" s="36"/>
      <c r="G702" s="35"/>
      <c r="I702" s="772"/>
      <c r="J702" s="762"/>
      <c r="K702" s="762"/>
      <c r="L702" s="762"/>
      <c r="M702" s="762"/>
      <c r="N702" s="762"/>
      <c r="O702" s="762"/>
      <c r="P702" s="68"/>
      <c r="Q702" s="762"/>
      <c r="R702" s="762"/>
      <c r="S702" s="762"/>
      <c r="T702" s="68"/>
      <c r="U702" s="68"/>
      <c r="V702" s="911"/>
      <c r="W702" s="762"/>
      <c r="X702" s="666"/>
      <c r="AA702" s="938"/>
      <c r="AE702" s="949"/>
    </row>
    <row r="703" spans="1:31">
      <c r="A703" s="4"/>
      <c r="C703" s="512" t="s">
        <v>837</v>
      </c>
      <c r="E703" s="36"/>
      <c r="G703" s="35"/>
      <c r="I703" s="772"/>
      <c r="J703" s="762"/>
      <c r="K703" s="762"/>
      <c r="L703" s="762"/>
      <c r="M703" s="762"/>
      <c r="N703" s="762"/>
      <c r="O703" s="762"/>
      <c r="P703" s="68"/>
      <c r="Q703" s="762"/>
      <c r="R703" s="762"/>
      <c r="S703" s="762"/>
      <c r="T703" s="68"/>
      <c r="U703" s="68"/>
      <c r="V703" s="911"/>
      <c r="W703" s="762"/>
      <c r="X703" s="666"/>
      <c r="AA703" s="938"/>
      <c r="AE703" s="949"/>
    </row>
    <row r="704" spans="1:31">
      <c r="A704" s="4"/>
      <c r="B704" s="256"/>
      <c r="C704" s="519" t="s">
        <v>838</v>
      </c>
      <c r="D704" s="256"/>
      <c r="E704" s="513"/>
      <c r="F704" s="256"/>
      <c r="G704" s="35"/>
      <c r="H704" s="256"/>
      <c r="I704" s="772"/>
      <c r="J704" s="762"/>
      <c r="K704" s="762"/>
      <c r="L704" s="762"/>
      <c r="M704" s="762"/>
      <c r="N704" s="762"/>
      <c r="O704" s="762"/>
      <c r="P704" s="771"/>
      <c r="Q704" s="762"/>
      <c r="R704" s="762"/>
      <c r="S704" s="762"/>
      <c r="T704" s="771"/>
      <c r="U704" s="771"/>
      <c r="V704" s="821"/>
      <c r="W704" s="762"/>
      <c r="X704" s="666"/>
      <c r="AA704" s="938"/>
      <c r="AE704" s="949"/>
    </row>
    <row r="705" spans="1:31">
      <c r="A705" s="4">
        <v>315</v>
      </c>
      <c r="C705" s="731" t="s">
        <v>839</v>
      </c>
      <c r="E705" s="513" t="s">
        <v>840</v>
      </c>
      <c r="G705" s="35">
        <v>38472252</v>
      </c>
      <c r="I705" s="35">
        <v>0</v>
      </c>
      <c r="J705" s="35">
        <v>0</v>
      </c>
      <c r="K705" s="35"/>
      <c r="L705" s="35">
        <v>0</v>
      </c>
      <c r="M705" s="35">
        <v>0</v>
      </c>
      <c r="N705" s="35">
        <v>0</v>
      </c>
      <c r="O705" s="35">
        <v>0</v>
      </c>
      <c r="P705" s="771"/>
      <c r="Q705" s="35">
        <v>0</v>
      </c>
      <c r="R705" s="35">
        <v>0</v>
      </c>
      <c r="S705" s="35">
        <v>0</v>
      </c>
      <c r="T705" s="750"/>
      <c r="U705" s="35">
        <v>0</v>
      </c>
      <c r="V705" s="35">
        <v>0</v>
      </c>
      <c r="W705" s="35">
        <v>0</v>
      </c>
      <c r="X705" s="35"/>
      <c r="Y705" s="769"/>
      <c r="AA705" s="938"/>
      <c r="AE705" s="949"/>
    </row>
    <row r="706" spans="1:31">
      <c r="A706" s="4"/>
      <c r="C706" s="519" t="s">
        <v>841</v>
      </c>
      <c r="E706" s="36"/>
      <c r="G706" s="35"/>
      <c r="I706" s="772"/>
      <c r="J706" s="762"/>
      <c r="K706" s="762"/>
      <c r="L706" s="762"/>
      <c r="M706" s="762"/>
      <c r="N706" s="762"/>
      <c r="O706" s="762"/>
      <c r="P706" s="68"/>
      <c r="Q706" s="762"/>
      <c r="R706" s="762"/>
      <c r="S706" s="762"/>
      <c r="T706" s="68"/>
      <c r="U706" s="68"/>
      <c r="V706" s="911"/>
      <c r="W706" s="762"/>
      <c r="X706" s="834"/>
      <c r="Y706" s="769"/>
      <c r="AA706" s="938"/>
      <c r="AE706" s="949"/>
    </row>
    <row r="707" spans="1:31">
      <c r="A707" s="4">
        <v>316</v>
      </c>
      <c r="B707" s="256"/>
      <c r="C707" s="731" t="s">
        <v>842</v>
      </c>
      <c r="D707" s="256"/>
      <c r="E707" s="513" t="s">
        <v>840</v>
      </c>
      <c r="F707" s="256"/>
      <c r="G707" s="35">
        <v>0</v>
      </c>
      <c r="H707" s="256"/>
      <c r="I707" s="35">
        <v>0</v>
      </c>
      <c r="J707" s="35">
        <v>0</v>
      </c>
      <c r="K707" s="35"/>
      <c r="L707" s="35">
        <v>0</v>
      </c>
      <c r="M707" s="35">
        <v>0</v>
      </c>
      <c r="N707" s="35">
        <v>0</v>
      </c>
      <c r="O707" s="35">
        <v>0</v>
      </c>
      <c r="P707" s="771"/>
      <c r="Q707" s="35">
        <v>0</v>
      </c>
      <c r="R707" s="35">
        <v>0</v>
      </c>
      <c r="S707" s="35">
        <v>0</v>
      </c>
      <c r="T707" s="750"/>
      <c r="U707" s="35">
        <v>0</v>
      </c>
      <c r="V707" s="35">
        <v>0</v>
      </c>
      <c r="W707" s="35">
        <v>0</v>
      </c>
      <c r="X707" s="35"/>
      <c r="Y707" s="769"/>
      <c r="AA707" s="938"/>
      <c r="AE707" s="949"/>
    </row>
    <row r="708" spans="1:31">
      <c r="A708" s="4">
        <v>317</v>
      </c>
      <c r="B708" s="256"/>
      <c r="C708" s="731" t="s">
        <v>843</v>
      </c>
      <c r="D708" s="256"/>
      <c r="E708" s="513" t="s">
        <v>840</v>
      </c>
      <c r="F708" s="256"/>
      <c r="G708" s="35">
        <v>649668</v>
      </c>
      <c r="H708" s="256"/>
      <c r="I708" s="35">
        <v>0</v>
      </c>
      <c r="J708" s="35">
        <v>0</v>
      </c>
      <c r="K708" s="35"/>
      <c r="L708" s="35">
        <v>0</v>
      </c>
      <c r="M708" s="35">
        <v>0</v>
      </c>
      <c r="N708" s="35">
        <v>0</v>
      </c>
      <c r="O708" s="35">
        <v>0</v>
      </c>
      <c r="P708" s="771"/>
      <c r="Q708" s="35">
        <v>0</v>
      </c>
      <c r="R708" s="35">
        <v>0</v>
      </c>
      <c r="S708" s="35">
        <v>0</v>
      </c>
      <c r="T708" s="750"/>
      <c r="U708" s="35">
        <v>0</v>
      </c>
      <c r="V708" s="35">
        <v>0</v>
      </c>
      <c r="W708" s="35">
        <v>0</v>
      </c>
      <c r="X708" s="35"/>
      <c r="Y708" s="769"/>
      <c r="AA708" s="938"/>
      <c r="AE708" s="949"/>
    </row>
    <row r="709" spans="1:31">
      <c r="A709" s="4">
        <v>318</v>
      </c>
      <c r="C709" s="731" t="s">
        <v>844</v>
      </c>
      <c r="E709" s="513" t="s">
        <v>840</v>
      </c>
      <c r="G709" s="35">
        <v>0</v>
      </c>
      <c r="I709" s="35">
        <v>0</v>
      </c>
      <c r="J709" s="35">
        <v>0</v>
      </c>
      <c r="K709" s="35"/>
      <c r="L709" s="35">
        <v>0</v>
      </c>
      <c r="M709" s="35">
        <v>0</v>
      </c>
      <c r="N709" s="35">
        <v>0</v>
      </c>
      <c r="O709" s="35">
        <v>0</v>
      </c>
      <c r="P709" s="771"/>
      <c r="Q709" s="35">
        <v>0</v>
      </c>
      <c r="R709" s="35">
        <v>0</v>
      </c>
      <c r="S709" s="35">
        <v>0</v>
      </c>
      <c r="T709" s="750"/>
      <c r="U709" s="35">
        <v>0</v>
      </c>
      <c r="V709" s="35">
        <v>0</v>
      </c>
      <c r="W709" s="35">
        <v>0</v>
      </c>
      <c r="X709" s="35"/>
      <c r="Y709" s="769"/>
      <c r="AA709" s="938"/>
      <c r="AE709" s="949"/>
    </row>
    <row r="710" spans="1:31">
      <c r="A710" s="4">
        <v>319</v>
      </c>
      <c r="B710" s="256"/>
      <c r="C710" s="731" t="s">
        <v>845</v>
      </c>
      <c r="D710" s="256"/>
      <c r="E710" s="513" t="s">
        <v>840</v>
      </c>
      <c r="F710" s="256"/>
      <c r="G710" s="35">
        <v>0</v>
      </c>
      <c r="H710" s="256"/>
      <c r="I710" s="35">
        <v>0</v>
      </c>
      <c r="J710" s="35">
        <v>0</v>
      </c>
      <c r="K710" s="35"/>
      <c r="L710" s="35">
        <v>0</v>
      </c>
      <c r="M710" s="35">
        <v>0</v>
      </c>
      <c r="N710" s="35">
        <v>0</v>
      </c>
      <c r="O710" s="35">
        <v>0</v>
      </c>
      <c r="P710" s="771"/>
      <c r="Q710" s="35">
        <v>0</v>
      </c>
      <c r="R710" s="35">
        <v>0</v>
      </c>
      <c r="S710" s="35">
        <v>0</v>
      </c>
      <c r="T710" s="750"/>
      <c r="U710" s="35">
        <v>0</v>
      </c>
      <c r="V710" s="35">
        <v>0</v>
      </c>
      <c r="W710" s="35">
        <v>0</v>
      </c>
      <c r="X710" s="35"/>
      <c r="Y710" s="769"/>
      <c r="AA710" s="938"/>
      <c r="AE710" s="949"/>
    </row>
    <row r="711" spans="1:31">
      <c r="A711" s="4"/>
      <c r="B711" s="256"/>
      <c r="C711" s="519" t="s">
        <v>846</v>
      </c>
      <c r="D711" s="256"/>
      <c r="E711" s="742"/>
      <c r="F711" s="256"/>
      <c r="G711" s="35"/>
      <c r="H711" s="256"/>
      <c r="I711" s="772"/>
      <c r="J711" s="762"/>
      <c r="K711" s="762"/>
      <c r="L711" s="762"/>
      <c r="M711" s="762"/>
      <c r="N711" s="762"/>
      <c r="O711" s="762"/>
      <c r="P711" s="771"/>
      <c r="Q711" s="762"/>
      <c r="R711" s="762"/>
      <c r="S711" s="762"/>
      <c r="T711" s="771"/>
      <c r="U711" s="68"/>
      <c r="V711" s="911"/>
      <c r="W711" s="762"/>
      <c r="X711" s="834"/>
      <c r="Y711" s="769"/>
      <c r="AA711" s="938"/>
      <c r="AE711" s="949"/>
    </row>
    <row r="712" spans="1:31">
      <c r="A712" s="4">
        <v>320</v>
      </c>
      <c r="B712" s="256"/>
      <c r="C712" s="731" t="s">
        <v>847</v>
      </c>
      <c r="D712" s="256"/>
      <c r="E712" s="513" t="s">
        <v>777</v>
      </c>
      <c r="F712" s="256"/>
      <c r="G712" s="35">
        <v>6433273.9199999999</v>
      </c>
      <c r="H712" s="256"/>
      <c r="I712" s="35">
        <v>0</v>
      </c>
      <c r="J712" s="35">
        <v>0</v>
      </c>
      <c r="K712" s="35"/>
      <c r="L712" s="35">
        <v>0</v>
      </c>
      <c r="M712" s="35">
        <v>0</v>
      </c>
      <c r="N712" s="35">
        <v>0</v>
      </c>
      <c r="O712" s="35">
        <v>0</v>
      </c>
      <c r="P712" s="771"/>
      <c r="Q712" s="35">
        <v>0</v>
      </c>
      <c r="R712" s="35">
        <v>0</v>
      </c>
      <c r="S712" s="35">
        <v>0</v>
      </c>
      <c r="T712" s="750"/>
      <c r="U712" s="35">
        <v>0</v>
      </c>
      <c r="V712" s="35">
        <v>0</v>
      </c>
      <c r="W712" s="35">
        <v>0</v>
      </c>
      <c r="X712" s="35"/>
      <c r="Y712" s="769"/>
      <c r="AA712" s="938"/>
      <c r="AE712" s="949"/>
    </row>
    <row r="713" spans="1:31">
      <c r="A713" s="4"/>
      <c r="B713" s="256"/>
      <c r="C713" s="731"/>
      <c r="D713" s="256"/>
      <c r="E713" s="513"/>
      <c r="F713" s="256"/>
      <c r="G713" s="35"/>
      <c r="H713" s="256"/>
      <c r="I713" s="35"/>
      <c r="J713" s="35"/>
      <c r="K713" s="35"/>
      <c r="L713" s="35"/>
      <c r="M713" s="35"/>
      <c r="N713" s="35"/>
      <c r="O713" s="35"/>
      <c r="P713" s="771"/>
      <c r="Q713" s="35"/>
      <c r="R713" s="35"/>
      <c r="S713" s="35"/>
      <c r="T713" s="750"/>
      <c r="U713" s="35"/>
      <c r="V713" s="35"/>
      <c r="W713" s="35"/>
      <c r="X713" s="35"/>
      <c r="Y713" s="769"/>
      <c r="AA713" s="938"/>
      <c r="AE713" s="949"/>
    </row>
    <row r="714" spans="1:31">
      <c r="A714" s="4">
        <v>321</v>
      </c>
      <c r="C714" s="9" t="s">
        <v>848</v>
      </c>
      <c r="E714" s="513" t="s">
        <v>777</v>
      </c>
      <c r="G714" s="35">
        <v>0</v>
      </c>
      <c r="I714" s="783">
        <v>4.1900000000000001E-3</v>
      </c>
      <c r="J714" s="35">
        <v>151.98647672000001</v>
      </c>
      <c r="K714" s="762"/>
      <c r="L714" s="35">
        <v>0</v>
      </c>
      <c r="M714" s="35">
        <v>58.760979199992988</v>
      </c>
      <c r="N714" s="35">
        <v>93.225497520007025</v>
      </c>
      <c r="O714" s="35">
        <f>J714-L714-M714-N714</f>
        <v>0</v>
      </c>
      <c r="P714" s="68"/>
      <c r="Q714" s="35">
        <v>0</v>
      </c>
      <c r="R714" s="35">
        <v>71.705721143903546</v>
      </c>
      <c r="S714" s="35">
        <v>92.714468905900361</v>
      </c>
      <c r="T714" s="68"/>
      <c r="U714" s="68">
        <f>SUM(Q714:S714)</f>
        <v>164.42019004980392</v>
      </c>
      <c r="V714" s="783">
        <v>4.8100636621914127E-3</v>
      </c>
      <c r="W714" s="762">
        <f>U714-J714</f>
        <v>12.433713329803908</v>
      </c>
      <c r="X714" s="834">
        <f>IFERROR(V714/I714-1,"-")</f>
        <v>0.14798655422229423</v>
      </c>
      <c r="Y714" s="769"/>
      <c r="AA714" s="938"/>
      <c r="AC714" s="938"/>
      <c r="AE714" s="949"/>
    </row>
    <row r="715" spans="1:31">
      <c r="A715" s="4"/>
      <c r="B715" s="256"/>
      <c r="D715" s="256"/>
      <c r="E715" s="36"/>
      <c r="F715" s="256"/>
      <c r="G715" s="35"/>
      <c r="H715" s="256"/>
      <c r="I715" s="256"/>
      <c r="J715" s="762"/>
      <c r="K715" s="762"/>
      <c r="L715" s="762"/>
      <c r="M715" s="762"/>
      <c r="N715" s="762"/>
      <c r="O715" s="35"/>
      <c r="P715" s="771"/>
      <c r="Q715" s="762"/>
      <c r="R715" s="762"/>
      <c r="S715" s="762"/>
      <c r="T715" s="771"/>
      <c r="U715" s="771"/>
      <c r="V715" s="821"/>
      <c r="W715" s="762"/>
      <c r="X715" s="834"/>
      <c r="Y715" s="769"/>
      <c r="AA715" s="938"/>
      <c r="AC715" s="938"/>
      <c r="AE715" s="949"/>
    </row>
    <row r="716" spans="1:31">
      <c r="A716" s="4">
        <v>322</v>
      </c>
      <c r="B716" s="256"/>
      <c r="C716" s="7" t="s">
        <v>849</v>
      </c>
      <c r="D716" s="256"/>
      <c r="E716" s="513"/>
      <c r="F716" s="256"/>
      <c r="G716" s="420">
        <f>G701</f>
        <v>249200.14546999999</v>
      </c>
      <c r="H716" s="256"/>
      <c r="I716" s="806">
        <f>J716/G716*100</f>
        <v>6.0989722310694612E-2</v>
      </c>
      <c r="J716" s="805">
        <f>SUM(J714:J715)</f>
        <v>151.98647672000001</v>
      </c>
      <c r="K716" s="762"/>
      <c r="L716" s="805">
        <f>SUM(L714:L715)</f>
        <v>0</v>
      </c>
      <c r="M716" s="805">
        <f>SUM(M714:M715)</f>
        <v>58.760979199992988</v>
      </c>
      <c r="N716" s="805">
        <f>SUM(N714:N715)</f>
        <v>93.225497520007025</v>
      </c>
      <c r="O716" s="805">
        <f>SUM(O714:O715)</f>
        <v>0</v>
      </c>
      <c r="P716" s="771"/>
      <c r="Q716" s="807">
        <f>SUM(Q714:Q715)</f>
        <v>0</v>
      </c>
      <c r="R716" s="807">
        <f>SUM(R714:R715)</f>
        <v>71.705721143903546</v>
      </c>
      <c r="S716" s="807">
        <f>SUM(S714:S715)</f>
        <v>92.714468905900361</v>
      </c>
      <c r="T716" s="771"/>
      <c r="U716" s="807">
        <f>SUM(U714)</f>
        <v>164.42019004980392</v>
      </c>
      <c r="V716" s="902">
        <f>U716/G716*100</f>
        <v>6.5979170975081824E-2</v>
      </c>
      <c r="W716" s="805">
        <f>SUM(W705:W714)</f>
        <v>12.433713329803908</v>
      </c>
      <c r="X716" s="921">
        <f>V716/I716-1</f>
        <v>8.1808023964593524E-2</v>
      </c>
      <c r="Y716" s="769"/>
      <c r="AA716" s="938"/>
      <c r="AC716" s="938"/>
      <c r="AE716" s="949"/>
    </row>
    <row r="717" spans="1:31">
      <c r="A717" s="4"/>
      <c r="B717" s="256"/>
      <c r="C717" s="7"/>
      <c r="D717" s="256"/>
      <c r="E717" s="36"/>
      <c r="F717" s="256"/>
      <c r="G717" s="35"/>
      <c r="H717" s="256"/>
      <c r="I717" s="256"/>
      <c r="J717" s="762"/>
      <c r="K717" s="762"/>
      <c r="L717" s="762"/>
      <c r="M717" s="762"/>
      <c r="N717" s="762"/>
      <c r="O717" s="762"/>
      <c r="P717" s="771"/>
      <c r="Q717" s="762"/>
      <c r="R717" s="762"/>
      <c r="S717" s="762"/>
      <c r="T717" s="771"/>
      <c r="U717" s="771"/>
      <c r="V717" s="821"/>
      <c r="W717" s="762"/>
      <c r="X717" s="666"/>
      <c r="AA717" s="938"/>
      <c r="AE717" s="949"/>
    </row>
    <row r="718" spans="1:31">
      <c r="A718" s="4">
        <v>323</v>
      </c>
      <c r="B718" s="256"/>
      <c r="C718" s="7" t="s">
        <v>854</v>
      </c>
      <c r="D718" s="256"/>
      <c r="E718" s="36"/>
      <c r="F718" s="256"/>
      <c r="G718" s="453"/>
      <c r="H718" s="256"/>
      <c r="I718" s="256"/>
      <c r="J718" s="762"/>
      <c r="K718" s="762"/>
      <c r="L718" s="762"/>
      <c r="M718" s="762"/>
      <c r="N718" s="762"/>
      <c r="O718" s="762"/>
      <c r="P718" s="771"/>
      <c r="Q718" s="762"/>
      <c r="R718" s="762"/>
      <c r="S718" s="762"/>
      <c r="T718" s="771"/>
      <c r="U718" s="771"/>
      <c r="V718" s="821"/>
      <c r="W718" s="762"/>
      <c r="X718" s="666"/>
      <c r="AA718" s="938"/>
      <c r="AE718" s="949"/>
    </row>
    <row r="719" spans="1:31" ht="13.5" thickBot="1">
      <c r="A719" s="4"/>
      <c r="B719" s="256"/>
      <c r="C719" s="7"/>
      <c r="D719" s="256"/>
      <c r="E719" s="36"/>
      <c r="F719" s="256"/>
      <c r="G719" s="458">
        <f>G701</f>
        <v>249200.14546999999</v>
      </c>
      <c r="H719" s="256"/>
      <c r="I719" s="803">
        <f>J719/G719*100</f>
        <v>0.15202203267167702</v>
      </c>
      <c r="J719" s="781">
        <f>J701+J716</f>
        <v>378.83912656427003</v>
      </c>
      <c r="K719" s="771"/>
      <c r="L719" s="781">
        <f>L701+L716</f>
        <v>10.217205964270001</v>
      </c>
      <c r="M719" s="781">
        <f>M701+M716</f>
        <v>163.59611982924099</v>
      </c>
      <c r="N719" s="781">
        <f>N701+N716</f>
        <v>205.02580077075902</v>
      </c>
      <c r="O719" s="781">
        <f>O701+O716</f>
        <v>0</v>
      </c>
      <c r="P719" s="771"/>
      <c r="Q719" s="781">
        <f>Q701+Q716</f>
        <v>9.5773387864319055</v>
      </c>
      <c r="R719" s="781">
        <f>R701+R716</f>
        <v>199.63550486070835</v>
      </c>
      <c r="S719" s="781">
        <f>S701+S716</f>
        <v>203.90192314488201</v>
      </c>
      <c r="T719" s="771"/>
      <c r="U719" s="781">
        <f>U701+U716</f>
        <v>413.11476679202229</v>
      </c>
      <c r="V719" s="901">
        <f>U719/G719*100</f>
        <v>0.16577629439696906</v>
      </c>
      <c r="W719" s="781">
        <f>W701+W716</f>
        <v>34.275640227752284</v>
      </c>
      <c r="X719" s="977">
        <f>V719/I719-1</f>
        <v>9.0475449404082253E-2</v>
      </c>
      <c r="Y719" s="779"/>
      <c r="AA719" s="938"/>
      <c r="AC719" s="938"/>
      <c r="AE719" s="949"/>
    </row>
    <row r="720" spans="1:31" ht="13.5" thickTop="1">
      <c r="A720" s="4"/>
      <c r="B720" s="256"/>
      <c r="C720" s="7"/>
      <c r="D720" s="256"/>
      <c r="E720" s="36"/>
      <c r="F720" s="256"/>
      <c r="G720" s="453"/>
      <c r="H720" s="256"/>
      <c r="I720" s="792"/>
      <c r="J720" s="771"/>
      <c r="K720" s="771"/>
      <c r="L720" s="771"/>
      <c r="M720" s="771"/>
      <c r="N720" s="771"/>
      <c r="O720" s="771"/>
      <c r="P720" s="771"/>
      <c r="Q720" s="771"/>
      <c r="R720" s="771"/>
      <c r="S720" s="771"/>
      <c r="T720" s="771"/>
      <c r="U720" s="771"/>
      <c r="V720" s="771"/>
      <c r="W720" s="771"/>
      <c r="X720" s="978"/>
      <c r="Y720" s="779"/>
      <c r="AE720" s="949"/>
    </row>
    <row r="721" spans="1:31" ht="13.5" thickBot="1">
      <c r="A721" s="4">
        <v>324</v>
      </c>
      <c r="B721" s="256"/>
      <c r="C721" s="504" t="s">
        <v>523</v>
      </c>
      <c r="D721" s="256"/>
      <c r="E721" s="134"/>
      <c r="F721" s="256"/>
      <c r="G721" s="749"/>
      <c r="H721" s="256"/>
      <c r="I721" s="256"/>
      <c r="J721" s="458">
        <f>J34+J58+J88+J109+J141+J150+J193+J218+J252+J272+J314+J343+J395+J411+J449+J466+J495+J524+J557+J575+J599+J633+J679+J719</f>
        <v>3115357.1241047904</v>
      </c>
      <c r="K721" s="750"/>
      <c r="L721" s="458">
        <f t="shared" ref="L721:U721" si="7">L34+L58+L88+L109+L141+L150+L193+L218+L252+L272+L314+L343+L395+L411+L449+L466+L495+L524+L557+L575+L599+L633+L679+L719</f>
        <v>4279.0945088308627</v>
      </c>
      <c r="M721" s="458">
        <f t="shared" si="7"/>
        <v>38156.803959081393</v>
      </c>
      <c r="N721" s="458">
        <f t="shared" si="7"/>
        <v>20462.561851652143</v>
      </c>
      <c r="O721" s="458">
        <f t="shared" si="7"/>
        <v>3052458.6637852257</v>
      </c>
      <c r="P721" s="750">
        <f t="shared" si="7"/>
        <v>0</v>
      </c>
      <c r="Q721" s="756">
        <f t="shared" si="7"/>
        <v>3884.1941707516062</v>
      </c>
      <c r="R721" s="756">
        <f t="shared" si="7"/>
        <v>42874.998378134667</v>
      </c>
      <c r="S721" s="458">
        <f t="shared" si="7"/>
        <v>19261.161824881954</v>
      </c>
      <c r="T721" s="750">
        <f t="shared" si="7"/>
        <v>0</v>
      </c>
      <c r="U721" s="458">
        <f t="shared" si="7"/>
        <v>3118479.0181589941</v>
      </c>
      <c r="V721" s="750"/>
      <c r="W721" s="458">
        <f>W34+W58+W88+W109+W141+W150+W193+W218+W252+W272+W314+W343+W395+W411+W449+W466+W495+W524+W557+W575+W599+W633+W679+W719</f>
        <v>3121.8940542039777</v>
      </c>
      <c r="X721" s="513"/>
      <c r="AA721" s="938"/>
      <c r="AC721" s="938"/>
      <c r="AE721" s="949"/>
    </row>
    <row r="722" spans="1:31" ht="13.5" thickTop="1">
      <c r="A722" s="4"/>
      <c r="B722" s="256"/>
      <c r="C722" s="504"/>
      <c r="D722" s="256"/>
      <c r="E722" s="134"/>
      <c r="F722" s="256"/>
      <c r="G722" s="749"/>
      <c r="H722" s="256"/>
      <c r="I722" s="256"/>
      <c r="J722" s="750"/>
      <c r="K722" s="750"/>
      <c r="L722" s="750"/>
      <c r="M722" s="750"/>
      <c r="N722" s="750"/>
      <c r="O722" s="750"/>
      <c r="P722" s="750"/>
      <c r="Q722" s="750"/>
      <c r="R722" s="750"/>
      <c r="S722" s="750"/>
      <c r="T722" s="750"/>
      <c r="U722" s="750"/>
      <c r="V722" s="771"/>
      <c r="W722" s="771"/>
      <c r="X722" s="513"/>
      <c r="AA722" s="938"/>
      <c r="AC722" s="938"/>
    </row>
    <row r="723" spans="1:31">
      <c r="J723" s="504"/>
      <c r="K723" s="504"/>
      <c r="L723" s="2"/>
      <c r="M723" s="2"/>
      <c r="N723" s="504"/>
      <c r="O723" s="504"/>
      <c r="Q723" s="504"/>
      <c r="R723" s="504"/>
      <c r="S723" s="504"/>
      <c r="W723" s="504"/>
      <c r="X723" s="929"/>
      <c r="AA723" s="938"/>
      <c r="AC723" s="938"/>
    </row>
    <row r="724" spans="1:31">
      <c r="J724" s="504"/>
      <c r="K724" s="504"/>
      <c r="L724" s="2"/>
      <c r="M724" s="2"/>
      <c r="N724" s="504"/>
      <c r="O724" s="504"/>
      <c r="Q724" s="504"/>
      <c r="R724" s="504"/>
      <c r="S724" s="504"/>
      <c r="W724" s="504"/>
      <c r="X724" s="929"/>
      <c r="AA724" s="938"/>
      <c r="AC724" s="938"/>
    </row>
    <row r="725" spans="1:31">
      <c r="J725" s="504"/>
      <c r="K725" s="504"/>
      <c r="L725" s="2"/>
      <c r="M725" s="2"/>
      <c r="N725" s="504"/>
      <c r="O725" s="504"/>
      <c r="Q725" s="504"/>
      <c r="R725" s="504"/>
      <c r="S725" s="504"/>
      <c r="W725" s="504"/>
      <c r="X725" s="513"/>
      <c r="Z725" s="728"/>
      <c r="AA725" s="938"/>
      <c r="AC725" s="938"/>
    </row>
    <row r="726" spans="1:31">
      <c r="J726" s="504"/>
      <c r="K726" s="504"/>
      <c r="L726" s="2"/>
      <c r="M726" s="2"/>
      <c r="N726" s="504"/>
      <c r="O726" s="504"/>
      <c r="Q726" s="504"/>
      <c r="R726" s="504"/>
      <c r="S726" s="504"/>
      <c r="W726" s="762"/>
      <c r="X726" s="929"/>
      <c r="Z726" s="728"/>
      <c r="AA726" s="938"/>
      <c r="AC726" s="938"/>
    </row>
    <row r="727" spans="1:31">
      <c r="A727" s="1324" t="s">
        <v>724</v>
      </c>
      <c r="B727" s="1324"/>
      <c r="C727" s="1324"/>
      <c r="D727" s="1324"/>
      <c r="E727" s="1324"/>
      <c r="F727" s="1324"/>
      <c r="G727" s="1324"/>
      <c r="H727" s="1324"/>
      <c r="I727" s="1324"/>
      <c r="J727" s="1324"/>
      <c r="K727" s="1324"/>
      <c r="L727" s="1324"/>
      <c r="M727" s="1324"/>
      <c r="N727" s="1324"/>
      <c r="O727" s="1324"/>
      <c r="P727" s="1324"/>
      <c r="Q727" s="1324"/>
      <c r="R727" s="1324"/>
      <c r="S727" s="1324"/>
      <c r="T727" s="1324"/>
      <c r="U727" s="1324"/>
      <c r="V727" s="1324"/>
      <c r="W727" s="1324"/>
      <c r="X727" s="1324"/>
      <c r="Y727" s="665"/>
    </row>
    <row r="728" spans="1:31">
      <c r="A728" s="1324" t="s">
        <v>963</v>
      </c>
      <c r="B728" s="1324"/>
      <c r="C728" s="1324"/>
      <c r="D728" s="1324"/>
      <c r="E728" s="1324"/>
      <c r="F728" s="1324"/>
      <c r="G728" s="1324"/>
      <c r="H728" s="1324"/>
      <c r="I728" s="1324"/>
      <c r="J728" s="1324"/>
      <c r="K728" s="1324"/>
      <c r="L728" s="1324"/>
      <c r="M728" s="1324"/>
      <c r="N728" s="1324"/>
      <c r="O728" s="1324"/>
      <c r="P728" s="1324"/>
      <c r="Q728" s="1324"/>
      <c r="R728" s="1324"/>
      <c r="S728" s="1324"/>
      <c r="T728" s="1324"/>
      <c r="U728" s="1324"/>
      <c r="V728" s="1324"/>
      <c r="W728" s="1324"/>
      <c r="X728" s="1324"/>
      <c r="Y728" s="644"/>
      <c r="Z728" s="644"/>
    </row>
    <row r="729" spans="1:31">
      <c r="A729" s="385"/>
      <c r="B729" s="385"/>
      <c r="C729" s="385"/>
      <c r="D729" s="385"/>
      <c r="E729" s="447"/>
      <c r="F729" s="385"/>
      <c r="G729" s="447"/>
      <c r="H729" s="385"/>
      <c r="I729" s="385"/>
      <c r="J729" s="504"/>
      <c r="K729" s="504"/>
      <c r="L729" s="3"/>
      <c r="M729" s="3"/>
      <c r="N729" s="504"/>
      <c r="O729" s="504"/>
      <c r="P729" s="385"/>
      <c r="Q729" s="504"/>
      <c r="R729" s="504"/>
      <c r="S729" s="504"/>
      <c r="T729" s="385"/>
      <c r="U729" s="385"/>
      <c r="V729" s="385"/>
      <c r="W729" s="504"/>
      <c r="X729" s="513"/>
    </row>
    <row r="730" spans="1:31">
      <c r="A730" s="447"/>
      <c r="B730" s="447"/>
      <c r="C730" s="447"/>
      <c r="D730" s="447"/>
      <c r="E730" s="256"/>
      <c r="F730" s="256"/>
      <c r="G730" s="1313" t="s">
        <v>682</v>
      </c>
      <c r="H730" s="1313"/>
      <c r="I730" s="1313"/>
      <c r="J730" s="1313"/>
      <c r="K730" s="256"/>
      <c r="L730" s="1313" t="s">
        <v>496</v>
      </c>
      <c r="M730" s="1313"/>
      <c r="N730" s="1313"/>
      <c r="O730" s="256"/>
      <c r="P730" s="447"/>
      <c r="Q730" s="1313" t="s">
        <v>497</v>
      </c>
      <c r="R730" s="1313"/>
      <c r="S730" s="1313"/>
      <c r="T730" s="447"/>
      <c r="U730" s="1313" t="s">
        <v>683</v>
      </c>
      <c r="V730" s="1313"/>
      <c r="W730" s="1313"/>
      <c r="X730" s="1313"/>
      <c r="Y730" s="4"/>
    </row>
    <row r="731" spans="1:31" ht="38.25">
      <c r="A731" s="254" t="s">
        <v>1</v>
      </c>
      <c r="B731" s="254"/>
      <c r="C731" s="254"/>
      <c r="D731" s="254"/>
      <c r="E731" s="4" t="s">
        <v>670</v>
      </c>
      <c r="F731" s="254"/>
      <c r="G731" s="13" t="s">
        <v>684</v>
      </c>
      <c r="H731" s="254"/>
      <c r="I731" s="13" t="s">
        <v>196</v>
      </c>
      <c r="J731" s="254" t="s">
        <v>503</v>
      </c>
      <c r="K731" s="254"/>
      <c r="L731" s="254" t="s">
        <v>955</v>
      </c>
      <c r="M731" s="254" t="s">
        <v>956</v>
      </c>
      <c r="N731" s="254" t="s">
        <v>957</v>
      </c>
      <c r="O731" s="254" t="s">
        <v>688</v>
      </c>
      <c r="P731" s="254"/>
      <c r="Q731" s="254" t="s">
        <v>955</v>
      </c>
      <c r="R731" s="254" t="s">
        <v>956</v>
      </c>
      <c r="S731" s="254" t="s">
        <v>957</v>
      </c>
      <c r="T731" s="254"/>
      <c r="U731" s="13" t="s">
        <v>512</v>
      </c>
      <c r="V731" s="13" t="s">
        <v>691</v>
      </c>
      <c r="W731" s="13" t="s">
        <v>692</v>
      </c>
      <c r="X731" s="254" t="s">
        <v>693</v>
      </c>
      <c r="Y731" s="254"/>
    </row>
    <row r="732" spans="1:31">
      <c r="A732" s="255" t="s">
        <v>2</v>
      </c>
      <c r="B732" s="256"/>
      <c r="C732" s="449" t="s">
        <v>3</v>
      </c>
      <c r="D732" s="256"/>
      <c r="E732" s="255" t="s">
        <v>4</v>
      </c>
      <c r="F732" s="256"/>
      <c r="G732" s="255" t="s">
        <v>694</v>
      </c>
      <c r="H732" s="256"/>
      <c r="I732" s="255" t="s">
        <v>131</v>
      </c>
      <c r="J732" s="255" t="s">
        <v>20</v>
      </c>
      <c r="K732" s="4"/>
      <c r="L732" s="255" t="s">
        <v>20</v>
      </c>
      <c r="M732" s="255" t="s">
        <v>20</v>
      </c>
      <c r="N732" s="255" t="s">
        <v>20</v>
      </c>
      <c r="O732" s="255" t="s">
        <v>20</v>
      </c>
      <c r="P732" s="256"/>
      <c r="Q732" s="255" t="s">
        <v>20</v>
      </c>
      <c r="R732" s="255" t="s">
        <v>20</v>
      </c>
      <c r="S732" s="255" t="s">
        <v>20</v>
      </c>
      <c r="T732" s="256"/>
      <c r="U732" s="255" t="s">
        <v>20</v>
      </c>
      <c r="V732" s="255" t="s">
        <v>131</v>
      </c>
      <c r="W732" s="255" t="s">
        <v>20</v>
      </c>
      <c r="X732" s="255" t="s">
        <v>76</v>
      </c>
      <c r="Y732" s="4"/>
    </row>
    <row r="733" spans="1:31">
      <c r="A733" s="4"/>
      <c r="B733" s="256"/>
      <c r="C733" s="256"/>
      <c r="D733" s="256"/>
      <c r="E733" s="4"/>
      <c r="F733" s="256"/>
      <c r="G733" s="4" t="s">
        <v>8</v>
      </c>
      <c r="H733" s="4"/>
      <c r="I733" s="4" t="s">
        <v>9</v>
      </c>
      <c r="J733" s="4" t="s">
        <v>370</v>
      </c>
      <c r="K733" s="4"/>
      <c r="L733" s="132" t="s">
        <v>79</v>
      </c>
      <c r="M733" s="132" t="s">
        <v>115</v>
      </c>
      <c r="N733" s="4" t="s">
        <v>81</v>
      </c>
      <c r="O733" s="4" t="s">
        <v>959</v>
      </c>
      <c r="P733" s="4"/>
      <c r="Q733" s="4" t="s">
        <v>118</v>
      </c>
      <c r="R733" s="4" t="s">
        <v>84</v>
      </c>
      <c r="S733" s="4" t="s">
        <v>516</v>
      </c>
      <c r="T733" s="4"/>
      <c r="U733" s="4" t="s">
        <v>960</v>
      </c>
      <c r="V733" s="4" t="s">
        <v>518</v>
      </c>
      <c r="W733" s="4" t="s">
        <v>961</v>
      </c>
      <c r="X733" s="4" t="s">
        <v>962</v>
      </c>
    </row>
    <row r="734" spans="1:31">
      <c r="A734" s="4"/>
      <c r="C734" s="802" t="s">
        <v>524</v>
      </c>
      <c r="E734" s="36"/>
      <c r="G734" s="35"/>
      <c r="J734" s="762"/>
      <c r="K734" s="762"/>
      <c r="L734" s="762"/>
      <c r="M734" s="762"/>
      <c r="N734" s="762"/>
      <c r="O734" s="762"/>
      <c r="P734" s="68"/>
      <c r="Q734" s="762"/>
      <c r="R734" s="762"/>
      <c r="S734" s="762"/>
      <c r="T734" s="68"/>
      <c r="U734" s="68"/>
      <c r="V734" s="68"/>
      <c r="W734" s="762"/>
      <c r="X734" s="666"/>
    </row>
    <row r="735" spans="1:31">
      <c r="A735" s="4"/>
      <c r="C735" s="6" t="s">
        <v>525</v>
      </c>
      <c r="E735" s="36"/>
      <c r="J735" s="762"/>
      <c r="K735" s="762"/>
      <c r="L735" s="762"/>
      <c r="M735" s="762"/>
      <c r="N735" s="762"/>
      <c r="O735" s="762"/>
      <c r="P735" s="68"/>
      <c r="Q735" s="762"/>
      <c r="R735" s="762"/>
      <c r="S735" s="762"/>
      <c r="T735" s="68"/>
      <c r="U735" s="68"/>
      <c r="V735" s="68"/>
      <c r="W735" s="762"/>
      <c r="X735" s="666"/>
    </row>
    <row r="736" spans="1:31">
      <c r="A736" s="4"/>
      <c r="B736" s="256"/>
      <c r="C736" s="512" t="s">
        <v>855</v>
      </c>
      <c r="D736" s="256"/>
      <c r="E736" s="36"/>
      <c r="F736" s="256"/>
      <c r="H736" s="256"/>
      <c r="I736" s="256"/>
      <c r="J736" s="762"/>
      <c r="K736" s="762"/>
      <c r="L736" s="762"/>
      <c r="M736" s="762"/>
      <c r="N736" s="762"/>
      <c r="O736" s="762"/>
      <c r="P736" s="771"/>
      <c r="Q736" s="762"/>
      <c r="R736" s="762"/>
      <c r="S736" s="762"/>
      <c r="T736" s="771"/>
      <c r="U736" s="771"/>
      <c r="V736" s="771"/>
      <c r="W736" s="762"/>
      <c r="X736" s="666"/>
    </row>
    <row r="737" spans="1:46">
      <c r="A737" s="4">
        <v>325</v>
      </c>
      <c r="B737" s="256"/>
      <c r="C737" s="775" t="s">
        <v>856</v>
      </c>
      <c r="D737" s="256"/>
      <c r="E737" s="513" t="s">
        <v>840</v>
      </c>
      <c r="F737" s="256"/>
      <c r="G737" s="35">
        <v>91095.48</v>
      </c>
      <c r="H737" s="256"/>
      <c r="I737" s="35">
        <v>0</v>
      </c>
      <c r="J737" s="35">
        <v>0</v>
      </c>
      <c r="K737" s="35"/>
      <c r="L737" s="35">
        <v>0</v>
      </c>
      <c r="M737" s="35">
        <v>0</v>
      </c>
      <c r="N737" s="35">
        <v>0</v>
      </c>
      <c r="O737" s="35">
        <v>0</v>
      </c>
      <c r="P737" s="771"/>
      <c r="Q737" s="35">
        <v>0</v>
      </c>
      <c r="R737" s="35">
        <v>0</v>
      </c>
      <c r="S737" s="35">
        <v>0</v>
      </c>
      <c r="T737" s="750"/>
      <c r="U737" s="35">
        <v>0</v>
      </c>
      <c r="V737" s="35">
        <v>0</v>
      </c>
      <c r="W737" s="35">
        <v>0</v>
      </c>
      <c r="X737" s="35"/>
      <c r="Y737" s="769"/>
      <c r="AA737" s="938"/>
      <c r="AE737" s="949"/>
    </row>
    <row r="738" spans="1:46">
      <c r="A738" s="1">
        <v>326</v>
      </c>
      <c r="C738" s="775" t="s">
        <v>857</v>
      </c>
      <c r="E738" s="513" t="s">
        <v>777</v>
      </c>
      <c r="G738" s="771">
        <v>0</v>
      </c>
      <c r="I738" s="35">
        <v>0</v>
      </c>
      <c r="J738" s="35">
        <v>0</v>
      </c>
      <c r="K738" s="35"/>
      <c r="L738" s="35">
        <v>0</v>
      </c>
      <c r="M738" s="35">
        <v>0</v>
      </c>
      <c r="N738" s="35">
        <v>0</v>
      </c>
      <c r="O738" s="35">
        <v>0</v>
      </c>
      <c r="P738" s="771"/>
      <c r="Q738" s="35">
        <v>0</v>
      </c>
      <c r="R738" s="35">
        <v>0</v>
      </c>
      <c r="S738" s="35">
        <v>0</v>
      </c>
      <c r="T738" s="750"/>
      <c r="U738" s="35">
        <v>0</v>
      </c>
      <c r="V738" s="35">
        <v>0</v>
      </c>
      <c r="W738" s="35">
        <v>0</v>
      </c>
      <c r="X738" s="35"/>
      <c r="Y738" s="769"/>
    </row>
    <row r="739" spans="1:46">
      <c r="E739" s="36"/>
      <c r="G739" s="35"/>
      <c r="I739" s="953"/>
      <c r="J739" s="762"/>
      <c r="K739" s="762"/>
      <c r="L739" s="762"/>
      <c r="M739" s="762"/>
      <c r="N739" s="762"/>
      <c r="O739" s="762"/>
      <c r="P739" s="68"/>
      <c r="Q739" s="762"/>
      <c r="R739" s="762"/>
      <c r="S739" s="762"/>
      <c r="T739" s="68"/>
      <c r="U739" s="68"/>
      <c r="V739" s="68"/>
      <c r="W739" s="762"/>
      <c r="X739" s="666"/>
      <c r="AA739" s="782"/>
    </row>
    <row r="740" spans="1:46" ht="13.5" thickBot="1">
      <c r="A740" s="1">
        <v>327</v>
      </c>
      <c r="C740" s="504" t="s">
        <v>858</v>
      </c>
      <c r="E740" s="36"/>
      <c r="G740" s="768">
        <f>G737+G738</f>
        <v>91095.48</v>
      </c>
      <c r="I740" s="760">
        <v>0</v>
      </c>
      <c r="J740" s="799">
        <f>SUM(J737:J739)</f>
        <v>0</v>
      </c>
      <c r="K740" s="762"/>
      <c r="L740" s="799">
        <f>SUM(L737:L739)</f>
        <v>0</v>
      </c>
      <c r="M740" s="799">
        <f>SUM(M737:M739)</f>
        <v>0</v>
      </c>
      <c r="N740" s="799">
        <f>SUM(N737:N739)</f>
        <v>0</v>
      </c>
      <c r="O740" s="799">
        <f>SUM(O737:O739)</f>
        <v>0</v>
      </c>
      <c r="P740" s="762"/>
      <c r="Q740" s="799">
        <f>SUM(Q737:Q739)</f>
        <v>0</v>
      </c>
      <c r="R740" s="799">
        <f>SUM(R737:R739)</f>
        <v>0</v>
      </c>
      <c r="S740" s="799">
        <f>SUM(S737:S739)</f>
        <v>0</v>
      </c>
      <c r="T740" s="68"/>
      <c r="U740" s="760">
        <f>SUM(U737:U739)</f>
        <v>0</v>
      </c>
      <c r="V740" s="760">
        <v>0</v>
      </c>
      <c r="W740" s="799">
        <v>0</v>
      </c>
      <c r="X740" s="917"/>
      <c r="Y740" s="769"/>
      <c r="AA740" s="962"/>
    </row>
    <row r="741" spans="1:46" ht="13.5" thickTop="1">
      <c r="C741" s="9"/>
      <c r="E741" s="36"/>
      <c r="G741" s="35"/>
      <c r="J741" s="762"/>
      <c r="K741" s="762"/>
      <c r="L741" s="762"/>
      <c r="M741" s="762"/>
      <c r="N741" s="762"/>
      <c r="O741" s="762"/>
      <c r="P741" s="68"/>
      <c r="Q741" s="762"/>
      <c r="R741" s="762"/>
      <c r="S741" s="762"/>
      <c r="T741" s="68"/>
      <c r="U741" s="68"/>
      <c r="V741" s="68"/>
      <c r="W741" s="762"/>
      <c r="X741" s="666"/>
      <c r="AA741" s="782"/>
    </row>
    <row r="742" spans="1:46">
      <c r="B742" s="256"/>
      <c r="C742" s="6" t="s">
        <v>526</v>
      </c>
      <c r="D742" s="256"/>
      <c r="E742" s="36"/>
      <c r="F742" s="256"/>
      <c r="G742" s="35"/>
      <c r="H742" s="256"/>
      <c r="I742" s="256"/>
      <c r="J742" s="762"/>
      <c r="K742" s="762"/>
      <c r="L742" s="762"/>
      <c r="M742" s="762"/>
      <c r="N742" s="762"/>
      <c r="O742" s="762"/>
      <c r="P742" s="771"/>
      <c r="Q742" s="762"/>
      <c r="R742" s="762"/>
      <c r="S742" s="762"/>
      <c r="T742" s="771"/>
      <c r="U742" s="771"/>
      <c r="V742" s="771"/>
      <c r="W742" s="762"/>
      <c r="X742" s="666"/>
      <c r="AA742" s="782"/>
    </row>
    <row r="743" spans="1:46">
      <c r="A743" s="1">
        <v>328</v>
      </c>
      <c r="C743" s="801" t="s">
        <v>859</v>
      </c>
      <c r="E743" s="513" t="s">
        <v>840</v>
      </c>
      <c r="G743" s="35">
        <v>1210000</v>
      </c>
      <c r="I743" s="35">
        <v>0</v>
      </c>
      <c r="J743" s="35">
        <v>0</v>
      </c>
      <c r="K743" s="35"/>
      <c r="L743" s="35">
        <v>0</v>
      </c>
      <c r="M743" s="35">
        <v>0</v>
      </c>
      <c r="N743" s="35">
        <v>0</v>
      </c>
      <c r="O743" s="35">
        <v>0</v>
      </c>
      <c r="P743" s="771"/>
      <c r="Q743" s="35">
        <v>0</v>
      </c>
      <c r="R743" s="35">
        <v>0</v>
      </c>
      <c r="S743" s="35">
        <v>0</v>
      </c>
      <c r="T743" s="750"/>
      <c r="U743" s="35">
        <v>0</v>
      </c>
      <c r="V743" s="35">
        <v>0</v>
      </c>
      <c r="W743" s="35">
        <v>0</v>
      </c>
      <c r="X743" s="35"/>
      <c r="Y743" s="769"/>
      <c r="AA743" s="962"/>
      <c r="AE743" s="949"/>
    </row>
    <row r="744" spans="1:46">
      <c r="B744" s="256"/>
      <c r="C744" s="512"/>
      <c r="D744" s="256"/>
      <c r="E744" s="742"/>
      <c r="F744" s="256"/>
      <c r="G744" s="35"/>
      <c r="H744" s="256"/>
      <c r="I744" s="256"/>
      <c r="J744" s="762"/>
      <c r="K744" s="762"/>
      <c r="L744" s="762"/>
      <c r="M744" s="762"/>
      <c r="N744" s="762"/>
      <c r="O744" s="762"/>
      <c r="P744" s="771"/>
      <c r="Q744" s="762"/>
      <c r="R744" s="762"/>
      <c r="S744" s="762"/>
      <c r="T744" s="771"/>
      <c r="U744" s="771"/>
      <c r="V744" s="771"/>
      <c r="W744" s="762"/>
      <c r="X744" s="666"/>
      <c r="AA744" s="782"/>
    </row>
    <row r="745" spans="1:46" ht="13.5" thickBot="1">
      <c r="A745" s="1">
        <v>329</v>
      </c>
      <c r="B745" s="256"/>
      <c r="C745" s="504" t="s">
        <v>860</v>
      </c>
      <c r="D745" s="256"/>
      <c r="E745" s="36"/>
      <c r="F745" s="256"/>
      <c r="G745" s="458">
        <f>G743</f>
        <v>1210000</v>
      </c>
      <c r="H745" s="256"/>
      <c r="I745" s="781">
        <v>0</v>
      </c>
      <c r="J745" s="799">
        <f>SUM(J743:J744)</f>
        <v>0</v>
      </c>
      <c r="K745" s="762"/>
      <c r="L745" s="799">
        <f>SUM(L743:L744)</f>
        <v>0</v>
      </c>
      <c r="M745" s="799">
        <f>SUM(M743:M744)</f>
        <v>0</v>
      </c>
      <c r="N745" s="799">
        <f>SUM(N743:N744)</f>
        <v>0</v>
      </c>
      <c r="O745" s="799">
        <f>SUM(O743:O744)</f>
        <v>0</v>
      </c>
      <c r="P745" s="762"/>
      <c r="Q745" s="781">
        <f>SUM(Q743:Q744)</f>
        <v>0</v>
      </c>
      <c r="R745" s="781">
        <f>SUM(R743:R744)</f>
        <v>0</v>
      </c>
      <c r="S745" s="781">
        <f>SUM(S743:S744)</f>
        <v>0</v>
      </c>
      <c r="T745" s="771"/>
      <c r="U745" s="781">
        <f>SUM(U743:U744)</f>
        <v>0</v>
      </c>
      <c r="V745" s="781">
        <f>V743</f>
        <v>0</v>
      </c>
      <c r="W745" s="799">
        <f>SUM(W743:W744)</f>
        <v>0</v>
      </c>
      <c r="X745" s="917"/>
      <c r="Y745" s="769"/>
      <c r="AA745" s="962"/>
    </row>
    <row r="746" spans="1:46" ht="13.5" thickTop="1">
      <c r="G746" s="135"/>
      <c r="J746" s="762"/>
      <c r="K746" s="762"/>
      <c r="L746" s="762"/>
      <c r="M746" s="762"/>
      <c r="N746" s="762"/>
      <c r="O746" s="762"/>
      <c r="P746" s="68"/>
      <c r="Q746" s="762"/>
      <c r="R746" s="762"/>
      <c r="S746" s="762"/>
      <c r="T746" s="68"/>
      <c r="U746" s="68"/>
      <c r="V746" s="68"/>
      <c r="W746" s="762"/>
      <c r="X746" s="666"/>
    </row>
    <row r="747" spans="1:46">
      <c r="B747" s="256"/>
      <c r="C747" s="736" t="s">
        <v>969</v>
      </c>
      <c r="D747" s="256"/>
      <c r="E747" s="36"/>
      <c r="F747" s="256"/>
      <c r="G747" s="35"/>
      <c r="H747" s="256"/>
      <c r="I747" s="256"/>
      <c r="J747" s="762"/>
      <c r="K747" s="762"/>
      <c r="L747" s="762"/>
      <c r="M747" s="762"/>
      <c r="N747" s="762"/>
      <c r="O747" s="762"/>
      <c r="P747" s="771"/>
      <c r="Q747" s="762"/>
      <c r="R747" s="762"/>
      <c r="S747" s="762"/>
      <c r="T747" s="771"/>
      <c r="U747" s="771"/>
      <c r="V747" s="771"/>
      <c r="W747" s="762"/>
      <c r="X747" s="666"/>
    </row>
    <row r="748" spans="1:46">
      <c r="A748" s="1">
        <v>330</v>
      </c>
      <c r="B748" s="256"/>
      <c r="C748" s="512" t="s">
        <v>862</v>
      </c>
      <c r="D748" s="256"/>
      <c r="E748" s="36"/>
      <c r="F748" s="256"/>
      <c r="G748" s="35"/>
      <c r="H748" s="256"/>
      <c r="I748" s="256"/>
      <c r="J748" s="35">
        <v>0</v>
      </c>
      <c r="K748" s="35"/>
      <c r="L748" s="762"/>
      <c r="M748" s="762"/>
      <c r="N748" s="762"/>
      <c r="O748" s="35">
        <v>0</v>
      </c>
      <c r="P748" s="771"/>
      <c r="Q748" s="762"/>
      <c r="R748" s="762"/>
      <c r="S748" s="762"/>
      <c r="T748" s="771"/>
      <c r="U748" s="35">
        <v>0</v>
      </c>
      <c r="V748" s="771"/>
      <c r="W748" s="762">
        <v>0</v>
      </c>
      <c r="X748" s="666"/>
      <c r="AA748" s="962"/>
    </row>
    <row r="749" spans="1:46">
      <c r="B749" s="256"/>
      <c r="C749" s="7"/>
      <c r="D749" s="256"/>
      <c r="E749" s="36"/>
      <c r="F749" s="256"/>
      <c r="G749" s="453"/>
      <c r="H749" s="256"/>
      <c r="I749" s="256"/>
      <c r="J749" s="762"/>
      <c r="K749" s="762"/>
      <c r="L749" s="762"/>
      <c r="M749" s="762"/>
      <c r="N749" s="762"/>
      <c r="O749" s="762"/>
      <c r="P749" s="771"/>
      <c r="Q749" s="762"/>
      <c r="R749" s="762"/>
      <c r="S749" s="762"/>
      <c r="T749" s="771"/>
      <c r="U749" s="771"/>
      <c r="V749" s="771"/>
      <c r="W749" s="762"/>
      <c r="X749" s="666"/>
    </row>
    <row r="750" spans="1:46">
      <c r="B750" s="256"/>
      <c r="C750" s="6" t="s">
        <v>863</v>
      </c>
      <c r="D750" s="256"/>
      <c r="E750" s="742"/>
      <c r="F750" s="256"/>
      <c r="G750" s="453"/>
      <c r="H750" s="256"/>
      <c r="I750" s="256"/>
      <c r="J750" s="762"/>
      <c r="K750" s="762"/>
      <c r="L750" s="762"/>
      <c r="M750" s="762"/>
      <c r="N750" s="762"/>
      <c r="O750" s="762"/>
      <c r="P750" s="771"/>
      <c r="Q750" s="762"/>
      <c r="R750" s="762"/>
      <c r="S750" s="762"/>
      <c r="T750" s="771"/>
      <c r="U750" s="771"/>
      <c r="V750" s="771"/>
      <c r="W750" s="762"/>
      <c r="X750" s="666"/>
    </row>
    <row r="751" spans="1:46">
      <c r="B751" s="256"/>
      <c r="C751" s="7" t="s">
        <v>864</v>
      </c>
      <c r="D751" s="256"/>
      <c r="E751" s="504"/>
      <c r="F751" s="256"/>
      <c r="G751" s="453"/>
      <c r="H751" s="256"/>
      <c r="I751" s="771"/>
      <c r="J751" s="762"/>
      <c r="K751" s="762"/>
      <c r="L751" s="762"/>
      <c r="M751" s="762"/>
      <c r="N751" s="762"/>
      <c r="O751" s="762"/>
      <c r="P751" s="771"/>
      <c r="Q751" s="762"/>
      <c r="R751" s="762"/>
      <c r="S751" s="762"/>
      <c r="T751" s="771"/>
      <c r="U751" s="771"/>
      <c r="V751" s="771"/>
      <c r="W751" s="762"/>
      <c r="X751" s="666"/>
    </row>
    <row r="752" spans="1:46">
      <c r="A752" s="1">
        <v>331</v>
      </c>
      <c r="B752" s="256"/>
      <c r="C752" s="519" t="s">
        <v>865</v>
      </c>
      <c r="D752" s="734"/>
      <c r="E752" s="513" t="s">
        <v>840</v>
      </c>
      <c r="F752" s="734"/>
      <c r="G752" s="35">
        <v>22020420</v>
      </c>
      <c r="H752" s="734"/>
      <c r="I752" s="35">
        <v>0</v>
      </c>
      <c r="J752" s="35">
        <v>0</v>
      </c>
      <c r="K752" s="762"/>
      <c r="L752" s="35">
        <v>0</v>
      </c>
      <c r="M752" s="35">
        <v>0</v>
      </c>
      <c r="N752" s="35">
        <v>0</v>
      </c>
      <c r="O752" s="35">
        <v>0</v>
      </c>
      <c r="P752" s="790"/>
      <c r="Q752" s="35">
        <v>0</v>
      </c>
      <c r="R752" s="35">
        <v>0</v>
      </c>
      <c r="S752" s="35">
        <v>0</v>
      </c>
      <c r="T752" s="762"/>
      <c r="U752" s="35">
        <v>0</v>
      </c>
      <c r="V752" s="35">
        <v>0</v>
      </c>
      <c r="W752" s="35">
        <v>0</v>
      </c>
      <c r="X752" s="834"/>
      <c r="AA752" s="268"/>
      <c r="AB752" s="268"/>
      <c r="AC752" s="268"/>
      <c r="AD752" s="268"/>
      <c r="AE752" s="268"/>
      <c r="AT752" s="833"/>
    </row>
    <row r="753" spans="1:46">
      <c r="A753" s="1">
        <v>332</v>
      </c>
      <c r="C753" s="743" t="s">
        <v>866</v>
      </c>
      <c r="D753" s="385"/>
      <c r="E753" s="513" t="s">
        <v>840</v>
      </c>
      <c r="F753" s="385"/>
      <c r="G753" s="35">
        <v>5417148</v>
      </c>
      <c r="H753" s="385"/>
      <c r="I753" s="35">
        <v>0</v>
      </c>
      <c r="J753" s="35">
        <v>0</v>
      </c>
      <c r="K753" s="762"/>
      <c r="L753" s="35">
        <v>0</v>
      </c>
      <c r="M753" s="35">
        <v>0</v>
      </c>
      <c r="N753" s="35">
        <v>0</v>
      </c>
      <c r="O753" s="35">
        <v>0</v>
      </c>
      <c r="P753" s="789"/>
      <c r="Q753" s="35">
        <v>0</v>
      </c>
      <c r="R753" s="35">
        <v>0</v>
      </c>
      <c r="S753" s="35">
        <v>0</v>
      </c>
      <c r="T753" s="762"/>
      <c r="U753" s="35">
        <v>0</v>
      </c>
      <c r="V753" s="35">
        <v>0</v>
      </c>
      <c r="W753" s="35">
        <v>0</v>
      </c>
      <c r="X753" s="834"/>
      <c r="AA753" s="268"/>
      <c r="AB753" s="268"/>
      <c r="AC753" s="268"/>
      <c r="AD753" s="268"/>
      <c r="AE753" s="268"/>
      <c r="AT753" s="833"/>
    </row>
    <row r="754" spans="1:46">
      <c r="A754" s="1">
        <v>333</v>
      </c>
      <c r="B754" s="734"/>
      <c r="C754" s="519" t="s">
        <v>867</v>
      </c>
      <c r="D754" s="256"/>
      <c r="E754" s="513" t="s">
        <v>840</v>
      </c>
      <c r="F754" s="256"/>
      <c r="G754" s="35">
        <v>594000</v>
      </c>
      <c r="H754" s="256"/>
      <c r="I754" s="35"/>
      <c r="J754" s="35"/>
      <c r="K754" s="762"/>
      <c r="L754" s="35">
        <v>0</v>
      </c>
      <c r="M754" s="35"/>
      <c r="N754" s="35">
        <v>0</v>
      </c>
      <c r="O754" s="35"/>
      <c r="P754" s="771"/>
      <c r="Q754" s="35">
        <v>0</v>
      </c>
      <c r="R754" s="35"/>
      <c r="S754" s="35">
        <v>0</v>
      </c>
      <c r="T754" s="762"/>
      <c r="U754" s="35"/>
      <c r="V754" s="35"/>
      <c r="W754" s="35"/>
      <c r="X754" s="504"/>
      <c r="Y754" s="769"/>
      <c r="AA754" s="938"/>
      <c r="AE754" s="941"/>
    </row>
    <row r="755" spans="1:46">
      <c r="A755" s="1">
        <v>334</v>
      </c>
      <c r="B755" s="385"/>
      <c r="C755" s="743" t="s">
        <v>866</v>
      </c>
      <c r="E755" s="513" t="s">
        <v>840</v>
      </c>
      <c r="G755" s="35">
        <v>594000</v>
      </c>
      <c r="I755" s="35">
        <v>0</v>
      </c>
      <c r="J755" s="35">
        <v>0</v>
      </c>
      <c r="K755" s="762"/>
      <c r="L755" s="35">
        <v>0</v>
      </c>
      <c r="M755" s="35">
        <v>0</v>
      </c>
      <c r="N755" s="35">
        <v>0</v>
      </c>
      <c r="O755" s="35">
        <v>0</v>
      </c>
      <c r="P755" s="68"/>
      <c r="Q755" s="35">
        <v>0</v>
      </c>
      <c r="R755" s="35">
        <v>0</v>
      </c>
      <c r="S755" s="35">
        <v>0</v>
      </c>
      <c r="T755" s="762"/>
      <c r="U755" s="35">
        <v>0</v>
      </c>
      <c r="V755" s="35">
        <v>0</v>
      </c>
      <c r="W755" s="35">
        <v>0</v>
      </c>
      <c r="X755" s="504"/>
      <c r="Y755" s="769"/>
      <c r="AA755" s="938"/>
      <c r="AE755" s="941"/>
    </row>
    <row r="756" spans="1:46">
      <c r="B756" s="254"/>
      <c r="C756" s="9" t="s">
        <v>869</v>
      </c>
      <c r="D756" s="256"/>
      <c r="E756" s="513" t="s">
        <v>840</v>
      </c>
      <c r="F756" s="256"/>
      <c r="J756" s="504"/>
      <c r="K756" s="504"/>
      <c r="L756" s="504"/>
      <c r="M756" s="504"/>
      <c r="N756" s="504"/>
      <c r="O756" s="504"/>
      <c r="Q756" s="504"/>
      <c r="R756" s="504"/>
      <c r="S756" s="504"/>
      <c r="W756" s="504"/>
      <c r="X756" s="513"/>
      <c r="AA756" s="268"/>
      <c r="AB756" s="268"/>
      <c r="AC756" s="268"/>
      <c r="AD756" s="268"/>
      <c r="AE756" s="268"/>
      <c r="AT756" s="833"/>
    </row>
    <row r="757" spans="1:46">
      <c r="A757" s="1">
        <v>335</v>
      </c>
      <c r="B757" s="256"/>
      <c r="C757" s="743" t="s">
        <v>870</v>
      </c>
      <c r="D757" s="254"/>
      <c r="E757" s="513" t="s">
        <v>840</v>
      </c>
      <c r="F757" s="254"/>
      <c r="G757" s="35">
        <v>654156</v>
      </c>
      <c r="H757" s="254"/>
      <c r="I757" s="35">
        <v>0</v>
      </c>
      <c r="J757" s="35">
        <v>0</v>
      </c>
      <c r="K757" s="762"/>
      <c r="L757" s="35">
        <v>0</v>
      </c>
      <c r="M757" s="35">
        <v>0</v>
      </c>
      <c r="N757" s="35">
        <v>0</v>
      </c>
      <c r="O757" s="35">
        <v>0</v>
      </c>
      <c r="P757" s="786"/>
      <c r="Q757" s="35">
        <v>0</v>
      </c>
      <c r="R757" s="35">
        <v>0</v>
      </c>
      <c r="S757" s="35">
        <v>0</v>
      </c>
      <c r="T757" s="762"/>
      <c r="U757" s="35">
        <v>0</v>
      </c>
      <c r="V757" s="35">
        <v>0</v>
      </c>
      <c r="W757" s="35">
        <v>0</v>
      </c>
      <c r="X757" s="504"/>
      <c r="AA757" s="268"/>
      <c r="AB757" s="268"/>
      <c r="AC757" s="268"/>
      <c r="AD757" s="268"/>
      <c r="AE757" s="268"/>
      <c r="AT757" s="833"/>
    </row>
    <row r="758" spans="1:46">
      <c r="A758" s="1">
        <v>336</v>
      </c>
      <c r="B758" s="256"/>
      <c r="C758" s="519" t="s">
        <v>868</v>
      </c>
      <c r="D758" s="256"/>
      <c r="E758" s="4"/>
      <c r="F758" s="256"/>
      <c r="G758" s="35">
        <v>4604866</v>
      </c>
      <c r="H758" s="256"/>
      <c r="I758" s="35">
        <v>0</v>
      </c>
      <c r="J758" s="35">
        <v>0</v>
      </c>
      <c r="K758" s="762"/>
      <c r="L758" s="35">
        <v>0</v>
      </c>
      <c r="M758" s="35">
        <v>0</v>
      </c>
      <c r="N758" s="35">
        <v>0</v>
      </c>
      <c r="O758" s="35">
        <v>0</v>
      </c>
      <c r="P758" s="771"/>
      <c r="Q758" s="35">
        <v>0</v>
      </c>
      <c r="R758" s="35">
        <v>0</v>
      </c>
      <c r="S758" s="35">
        <v>0</v>
      </c>
      <c r="T758" s="762"/>
      <c r="U758" s="35">
        <v>0</v>
      </c>
      <c r="V758" s="35">
        <v>0</v>
      </c>
      <c r="W758" s="35">
        <v>0</v>
      </c>
      <c r="X758" s="834"/>
      <c r="Y758" s="769"/>
      <c r="AA758" s="938"/>
      <c r="AE758" s="941"/>
    </row>
    <row r="759" spans="1:46">
      <c r="B759" s="256"/>
      <c r="C759" s="743"/>
      <c r="D759" s="256"/>
      <c r="E759" s="4"/>
      <c r="F759" s="256"/>
      <c r="G759" s="4"/>
      <c r="H759" s="256"/>
      <c r="I759" s="771"/>
      <c r="J759" s="771"/>
      <c r="K759" s="762"/>
      <c r="L759" s="771"/>
      <c r="M759" s="771"/>
      <c r="N759" s="771"/>
      <c r="O759" s="771"/>
      <c r="P759" s="771"/>
      <c r="Q759" s="771"/>
      <c r="R759" s="771"/>
      <c r="S759" s="771"/>
      <c r="T759" s="762"/>
      <c r="U759" s="771"/>
      <c r="V759" s="771"/>
      <c r="W759" s="771"/>
      <c r="X759" s="504"/>
      <c r="Y759" s="769"/>
      <c r="AA759" s="938"/>
      <c r="AE759" s="941"/>
    </row>
    <row r="760" spans="1:46">
      <c r="B760" s="256"/>
      <c r="C760" s="519"/>
      <c r="D760" s="256"/>
      <c r="E760" s="4"/>
      <c r="F760" s="256"/>
      <c r="G760" s="4"/>
      <c r="H760" s="256"/>
      <c r="I760" s="771"/>
      <c r="J760" s="771"/>
      <c r="K760" s="762"/>
      <c r="L760" s="771"/>
      <c r="M760" s="771"/>
      <c r="N760" s="771"/>
      <c r="O760" s="771"/>
      <c r="P760" s="771"/>
      <c r="Q760" s="771"/>
      <c r="R760" s="771"/>
      <c r="S760" s="771"/>
      <c r="T760" s="762"/>
      <c r="U760" s="771"/>
      <c r="V760" s="771"/>
      <c r="W760" s="771"/>
      <c r="X760" s="834"/>
      <c r="Y760" s="769"/>
      <c r="AA760" s="938"/>
      <c r="AE760" s="941"/>
    </row>
    <row r="761" spans="1:46">
      <c r="B761" s="256"/>
      <c r="C761" s="512" t="s">
        <v>871</v>
      </c>
      <c r="D761" s="256"/>
      <c r="E761" s="742"/>
      <c r="F761" s="256"/>
      <c r="G761" s="453"/>
      <c r="H761" s="256"/>
      <c r="I761" s="771"/>
      <c r="J761" s="771"/>
      <c r="K761" s="762"/>
      <c r="L761" s="771"/>
      <c r="M761" s="771"/>
      <c r="N761" s="771"/>
      <c r="O761" s="771"/>
      <c r="P761" s="771"/>
      <c r="Q761" s="771"/>
      <c r="R761" s="771"/>
      <c r="S761" s="771"/>
      <c r="T761" s="762"/>
      <c r="U761" s="771"/>
      <c r="V761" s="771"/>
      <c r="W761" s="771"/>
      <c r="X761" s="834"/>
      <c r="Y761" s="769"/>
      <c r="AA761" s="938"/>
      <c r="AE761" s="941"/>
    </row>
    <row r="762" spans="1:46">
      <c r="A762" s="1">
        <v>337</v>
      </c>
      <c r="B762" s="256"/>
      <c r="C762" s="519" t="s">
        <v>872</v>
      </c>
      <c r="D762" s="256"/>
      <c r="E762" s="513" t="s">
        <v>840</v>
      </c>
      <c r="F762" s="256"/>
      <c r="G762" s="35">
        <v>393912</v>
      </c>
      <c r="H762" s="256"/>
      <c r="I762" s="35">
        <v>0</v>
      </c>
      <c r="J762" s="35">
        <v>0</v>
      </c>
      <c r="K762" s="762"/>
      <c r="L762" s="35">
        <v>0</v>
      </c>
      <c r="M762" s="35">
        <v>0</v>
      </c>
      <c r="N762" s="35">
        <v>0</v>
      </c>
      <c r="O762" s="35">
        <v>0</v>
      </c>
      <c r="P762" s="771"/>
      <c r="Q762" s="35">
        <v>0</v>
      </c>
      <c r="R762" s="35">
        <v>0</v>
      </c>
      <c r="S762" s="35">
        <v>0</v>
      </c>
      <c r="T762" s="762"/>
      <c r="U762" s="35">
        <v>0</v>
      </c>
      <c r="V762" s="35">
        <v>0</v>
      </c>
      <c r="W762" s="35">
        <v>0</v>
      </c>
      <c r="X762" s="834"/>
      <c r="Y762" s="769"/>
      <c r="AA762" s="938"/>
      <c r="AE762" s="941"/>
    </row>
    <row r="763" spans="1:46">
      <c r="A763" s="1">
        <v>338</v>
      </c>
      <c r="B763" s="256"/>
      <c r="C763" s="519" t="s">
        <v>867</v>
      </c>
      <c r="D763" s="256"/>
      <c r="E763" s="513" t="s">
        <v>840</v>
      </c>
      <c r="F763" s="256"/>
      <c r="G763" s="35">
        <v>0</v>
      </c>
      <c r="H763" s="35"/>
      <c r="I763" s="35">
        <v>0</v>
      </c>
      <c r="J763" s="35">
        <v>0</v>
      </c>
      <c r="K763" s="762"/>
      <c r="L763" s="35">
        <v>0</v>
      </c>
      <c r="M763" s="35">
        <v>0</v>
      </c>
      <c r="N763" s="35">
        <v>0</v>
      </c>
      <c r="O763" s="35">
        <v>0</v>
      </c>
      <c r="P763" s="771"/>
      <c r="Q763" s="35">
        <v>0</v>
      </c>
      <c r="R763" s="35">
        <v>0</v>
      </c>
      <c r="S763" s="35">
        <v>0</v>
      </c>
      <c r="T763" s="762"/>
      <c r="U763" s="35">
        <v>0</v>
      </c>
      <c r="V763" s="35">
        <v>0</v>
      </c>
      <c r="W763" s="35">
        <v>0</v>
      </c>
      <c r="X763" s="834"/>
      <c r="Y763" s="769"/>
      <c r="AA763" s="938"/>
      <c r="AE763" s="941"/>
    </row>
    <row r="764" spans="1:46">
      <c r="A764" s="1">
        <v>339</v>
      </c>
      <c r="C764" s="519" t="s">
        <v>868</v>
      </c>
      <c r="E764" s="513" t="s">
        <v>840</v>
      </c>
      <c r="G764" s="35">
        <v>0</v>
      </c>
      <c r="I764" s="35">
        <v>0</v>
      </c>
      <c r="J764" s="35">
        <v>0</v>
      </c>
      <c r="K764" s="762"/>
      <c r="L764" s="35">
        <v>0</v>
      </c>
      <c r="M764" s="35">
        <v>0</v>
      </c>
      <c r="N764" s="35">
        <v>0</v>
      </c>
      <c r="O764" s="35">
        <v>0</v>
      </c>
      <c r="P764" s="771"/>
      <c r="Q764" s="35">
        <v>0</v>
      </c>
      <c r="R764" s="35">
        <v>0</v>
      </c>
      <c r="S764" s="35">
        <v>0</v>
      </c>
      <c r="T764" s="762"/>
      <c r="U764" s="35">
        <v>0</v>
      </c>
      <c r="V764" s="35">
        <v>0</v>
      </c>
      <c r="W764" s="35">
        <v>0</v>
      </c>
      <c r="X764" s="834"/>
      <c r="Y764" s="769"/>
      <c r="AA764" s="938"/>
      <c r="AE764" s="941"/>
    </row>
    <row r="765" spans="1:46">
      <c r="A765" s="1">
        <v>340</v>
      </c>
      <c r="B765" s="256"/>
      <c r="C765" s="519" t="s">
        <v>873</v>
      </c>
      <c r="D765" s="256"/>
      <c r="E765" s="513" t="s">
        <v>840</v>
      </c>
      <c r="F765" s="256"/>
      <c r="G765" s="35">
        <v>12566292</v>
      </c>
      <c r="H765" s="256"/>
      <c r="I765" s="35">
        <v>0</v>
      </c>
      <c r="J765" s="35">
        <v>0</v>
      </c>
      <c r="K765" s="762"/>
      <c r="L765" s="35">
        <v>0</v>
      </c>
      <c r="M765" s="35">
        <v>0</v>
      </c>
      <c r="N765" s="35">
        <v>0</v>
      </c>
      <c r="O765" s="35">
        <v>0</v>
      </c>
      <c r="P765" s="771"/>
      <c r="Q765" s="35">
        <v>0</v>
      </c>
      <c r="R765" s="35">
        <v>0</v>
      </c>
      <c r="S765" s="35">
        <v>0</v>
      </c>
      <c r="T765" s="762"/>
      <c r="U765" s="35">
        <v>0</v>
      </c>
      <c r="V765" s="35">
        <v>0</v>
      </c>
      <c r="W765" s="35">
        <v>0</v>
      </c>
      <c r="X765" s="834"/>
      <c r="Y765" s="769"/>
      <c r="AA765" s="938"/>
      <c r="AE765" s="941"/>
    </row>
    <row r="766" spans="1:46">
      <c r="A766" s="1">
        <v>341</v>
      </c>
      <c r="C766" s="519" t="s">
        <v>874</v>
      </c>
      <c r="E766" s="513" t="s">
        <v>840</v>
      </c>
      <c r="G766" s="35">
        <v>759948</v>
      </c>
      <c r="I766" s="35">
        <v>0</v>
      </c>
      <c r="J766" s="35">
        <v>0</v>
      </c>
      <c r="K766" s="762"/>
      <c r="L766" s="35">
        <v>0</v>
      </c>
      <c r="M766" s="35">
        <v>0</v>
      </c>
      <c r="N766" s="35">
        <v>0</v>
      </c>
      <c r="O766" s="35">
        <v>0</v>
      </c>
      <c r="P766" s="68"/>
      <c r="Q766" s="35">
        <v>0</v>
      </c>
      <c r="R766" s="35">
        <v>0</v>
      </c>
      <c r="S766" s="35">
        <v>0</v>
      </c>
      <c r="T766" s="762"/>
      <c r="U766" s="35">
        <v>0</v>
      </c>
      <c r="V766" s="35">
        <v>0</v>
      </c>
      <c r="W766" s="35">
        <v>0</v>
      </c>
      <c r="X766" s="834"/>
      <c r="Y766" s="769"/>
      <c r="AA766" s="938"/>
      <c r="AE766" s="941"/>
    </row>
    <row r="767" spans="1:46">
      <c r="A767" s="1">
        <v>342</v>
      </c>
      <c r="B767" s="256"/>
      <c r="C767" s="519" t="s">
        <v>868</v>
      </c>
      <c r="D767" s="504"/>
      <c r="E767" s="513" t="s">
        <v>840</v>
      </c>
      <c r="F767" s="504"/>
      <c r="G767" s="35">
        <v>0</v>
      </c>
      <c r="I767" s="35">
        <v>0</v>
      </c>
      <c r="J767" s="35">
        <v>0</v>
      </c>
      <c r="K767" s="762"/>
      <c r="L767" s="35">
        <v>0</v>
      </c>
      <c r="M767" s="35">
        <v>0</v>
      </c>
      <c r="N767" s="35">
        <v>0</v>
      </c>
      <c r="O767" s="35">
        <v>0</v>
      </c>
      <c r="P767" s="771"/>
      <c r="Q767" s="35">
        <v>0</v>
      </c>
      <c r="R767" s="35">
        <v>0</v>
      </c>
      <c r="S767" s="35">
        <v>0</v>
      </c>
      <c r="T767" s="762"/>
      <c r="U767" s="35">
        <v>0</v>
      </c>
      <c r="V767" s="35">
        <v>0</v>
      </c>
      <c r="W767" s="35">
        <v>0</v>
      </c>
      <c r="X767" s="834"/>
      <c r="Y767" s="769"/>
      <c r="AE767" s="941"/>
    </row>
    <row r="768" spans="1:46">
      <c r="C768" s="512" t="s">
        <v>875</v>
      </c>
      <c r="E768" s="36"/>
      <c r="G768" s="35"/>
      <c r="I768" s="68"/>
      <c r="J768" s="762"/>
      <c r="K768" s="762"/>
      <c r="L768" s="762"/>
      <c r="M768" s="762"/>
      <c r="N768" s="762"/>
      <c r="O768" s="762"/>
      <c r="P768" s="68"/>
      <c r="Q768" s="762"/>
      <c r="R768" s="762"/>
      <c r="S768" s="762"/>
      <c r="T768" s="68"/>
      <c r="U768" s="771"/>
      <c r="V768" s="947"/>
      <c r="W768" s="762"/>
      <c r="X768" s="666"/>
    </row>
    <row r="769" spans="1:29">
      <c r="A769" s="1">
        <v>343</v>
      </c>
      <c r="B769" s="256"/>
      <c r="C769" s="9" t="s">
        <v>876</v>
      </c>
      <c r="D769" s="256"/>
      <c r="E769" s="513" t="s">
        <v>777</v>
      </c>
      <c r="F769" s="256"/>
      <c r="G769" s="35">
        <v>349244186.82099998</v>
      </c>
      <c r="H769" s="256"/>
      <c r="I769" s="35">
        <v>0</v>
      </c>
      <c r="J769" s="35">
        <v>15561.312225236692</v>
      </c>
      <c r="K769" s="35"/>
      <c r="L769" s="35">
        <v>0</v>
      </c>
      <c r="M769" s="35">
        <v>3333.3135730441568</v>
      </c>
      <c r="N769" s="35">
        <v>12227.998652192535</v>
      </c>
      <c r="O769" s="35">
        <f>J769-L769-M769-N769</f>
        <v>0</v>
      </c>
      <c r="P769" s="771"/>
      <c r="Q769" s="35">
        <v>0</v>
      </c>
      <c r="R769" s="35">
        <v>4067.625434565964</v>
      </c>
      <c r="S769" s="35">
        <v>12160.969165938659</v>
      </c>
      <c r="T769" s="771"/>
      <c r="U769" s="771">
        <f>SUM(O769:S769)</f>
        <v>16228.594600504623</v>
      </c>
      <c r="V769" s="35">
        <v>0</v>
      </c>
      <c r="W769" s="762">
        <f>U769-J769</f>
        <v>667.28237526793055</v>
      </c>
      <c r="X769" s="35"/>
      <c r="Y769" s="35"/>
      <c r="AA769" s="938"/>
      <c r="AC769" s="938"/>
    </row>
    <row r="770" spans="1:29">
      <c r="A770" s="1">
        <v>344</v>
      </c>
      <c r="B770" s="256"/>
      <c r="C770" s="9" t="s">
        <v>877</v>
      </c>
      <c r="D770" s="256"/>
      <c r="E770" s="513" t="s">
        <v>777</v>
      </c>
      <c r="F770" s="256"/>
      <c r="G770" s="35">
        <v>17399687.223999999</v>
      </c>
      <c r="H770" s="256"/>
      <c r="I770" s="35">
        <v>0</v>
      </c>
      <c r="J770" s="35">
        <v>160.76437939710056</v>
      </c>
      <c r="K770" s="35"/>
      <c r="L770" s="35">
        <v>0</v>
      </c>
      <c r="M770" s="35">
        <v>34.436561656883327</v>
      </c>
      <c r="N770" s="35">
        <v>126.32781774021721</v>
      </c>
      <c r="O770" s="35">
        <f>J770-L770-M770-N770</f>
        <v>0</v>
      </c>
      <c r="P770" s="771"/>
      <c r="Q770" s="35">
        <v>0</v>
      </c>
      <c r="R770" s="35">
        <v>42.022759336924246</v>
      </c>
      <c r="S770" s="35">
        <v>125.63533412425102</v>
      </c>
      <c r="T770" s="771"/>
      <c r="U770" s="771">
        <f>SUM(O770:S770)</f>
        <v>167.65809346117527</v>
      </c>
      <c r="V770" s="35">
        <v>0</v>
      </c>
      <c r="W770" s="762">
        <f>U770-J770</f>
        <v>6.8937140640747145</v>
      </c>
      <c r="X770" s="35"/>
      <c r="Y770" s="35"/>
      <c r="AA770" s="938"/>
      <c r="AC770" s="938"/>
    </row>
    <row r="771" spans="1:29">
      <c r="B771" s="256"/>
      <c r="C771" s="512"/>
      <c r="D771" s="256"/>
      <c r="E771" s="742"/>
      <c r="F771" s="256"/>
      <c r="G771" s="35"/>
      <c r="H771" s="256"/>
      <c r="I771" s="771"/>
      <c r="J771" s="35"/>
      <c r="K771" s="35"/>
      <c r="L771" s="35"/>
      <c r="M771" s="35"/>
      <c r="N771" s="35"/>
      <c r="O771" s="35"/>
      <c r="P771" s="771"/>
      <c r="Q771" s="35"/>
      <c r="R771" s="35"/>
      <c r="S771" s="35"/>
      <c r="T771" s="771"/>
      <c r="U771" s="771"/>
      <c r="V771" s="771"/>
      <c r="W771" s="762"/>
      <c r="X771" s="666"/>
      <c r="AA771" s="938"/>
      <c r="AC771" s="938"/>
    </row>
    <row r="772" spans="1:29">
      <c r="B772" s="256"/>
      <c r="C772" s="512" t="s">
        <v>878</v>
      </c>
      <c r="D772" s="256"/>
      <c r="E772" s="36"/>
      <c r="F772" s="256"/>
      <c r="G772" s="453"/>
      <c r="H772" s="256"/>
      <c r="I772" s="771"/>
      <c r="J772" s="35"/>
      <c r="K772" s="35"/>
      <c r="L772" s="35"/>
      <c r="M772" s="35"/>
      <c r="N772" s="35"/>
      <c r="O772" s="35"/>
      <c r="P772" s="771"/>
      <c r="Q772" s="35"/>
      <c r="R772" s="35"/>
      <c r="S772" s="35"/>
      <c r="T772" s="771"/>
      <c r="U772" s="771"/>
      <c r="V772" s="771"/>
      <c r="W772" s="762"/>
      <c r="X772" s="666"/>
      <c r="AA772" s="938"/>
      <c r="AC772" s="938"/>
    </row>
    <row r="773" spans="1:29">
      <c r="A773" s="1">
        <v>345</v>
      </c>
      <c r="C773" s="9" t="s">
        <v>876</v>
      </c>
      <c r="E773" s="513" t="s">
        <v>777</v>
      </c>
      <c r="G773" s="35">
        <v>4834911.8473035097</v>
      </c>
      <c r="I773" s="35">
        <v>0</v>
      </c>
      <c r="J773" s="35">
        <v>225.86213270525406</v>
      </c>
      <c r="K773" s="35"/>
      <c r="L773" s="35">
        <v>0</v>
      </c>
      <c r="M773" s="35">
        <v>132.09169027347178</v>
      </c>
      <c r="N773" s="35">
        <v>93.770442431782286</v>
      </c>
      <c r="O773" s="35">
        <f>J773-L773-M773-N773</f>
        <v>0</v>
      </c>
      <c r="P773" s="68"/>
      <c r="Q773" s="35">
        <v>0</v>
      </c>
      <c r="R773" s="35">
        <v>161.19081126846794</v>
      </c>
      <c r="S773" s="35">
        <v>93.25642662586182</v>
      </c>
      <c r="T773" s="68"/>
      <c r="U773" s="771">
        <f>SUM(O773:S773)</f>
        <v>254.44723789432976</v>
      </c>
      <c r="V773" s="35">
        <v>0</v>
      </c>
      <c r="W773" s="762">
        <f>U773-J773</f>
        <v>28.585105189075705</v>
      </c>
      <c r="X773" s="35"/>
      <c r="Y773" s="35"/>
      <c r="AA773" s="938"/>
      <c r="AC773" s="938"/>
    </row>
    <row r="774" spans="1:29">
      <c r="A774" s="1">
        <v>346</v>
      </c>
      <c r="B774" s="256"/>
      <c r="C774" s="9" t="s">
        <v>877</v>
      </c>
      <c r="D774" s="256"/>
      <c r="E774" s="513" t="s">
        <v>777</v>
      </c>
      <c r="F774" s="256"/>
      <c r="G774" s="35">
        <v>204967728.36268201</v>
      </c>
      <c r="H774" s="256"/>
      <c r="I774" s="35">
        <v>0</v>
      </c>
      <c r="J774" s="35">
        <v>3043.347625504985</v>
      </c>
      <c r="K774" s="35"/>
      <c r="L774" s="35">
        <v>0</v>
      </c>
      <c r="M774" s="35">
        <v>1779.850952117388</v>
      </c>
      <c r="N774" s="35">
        <v>1263.4966733875974</v>
      </c>
      <c r="O774" s="35">
        <f>J774-L774-M774-N774</f>
        <v>0</v>
      </c>
      <c r="P774" s="771"/>
      <c r="Q774" s="35">
        <v>0</v>
      </c>
      <c r="R774" s="35">
        <v>2171.942976237126</v>
      </c>
      <c r="S774" s="35">
        <v>1256.5706395116067</v>
      </c>
      <c r="T774" s="771"/>
      <c r="U774" s="771">
        <f>SUM(O774:S774)</f>
        <v>3428.5136157487327</v>
      </c>
      <c r="V774" s="35">
        <v>0</v>
      </c>
      <c r="W774" s="762">
        <f>U774-J774</f>
        <v>385.16599024374773</v>
      </c>
      <c r="X774" s="35"/>
      <c r="Y774" s="35"/>
      <c r="AA774" s="938"/>
      <c r="AC774" s="938"/>
    </row>
    <row r="775" spans="1:29">
      <c r="B775" s="256"/>
      <c r="D775" s="256"/>
      <c r="E775" s="36"/>
      <c r="F775" s="256"/>
      <c r="G775" s="35"/>
      <c r="H775" s="256"/>
      <c r="I775" s="256"/>
      <c r="J775" s="762"/>
      <c r="K775" s="762"/>
      <c r="L775" s="762"/>
      <c r="M775" s="762"/>
      <c r="N775" s="762"/>
      <c r="O775" s="762"/>
      <c r="P775" s="771"/>
      <c r="Q775" s="762"/>
      <c r="R775" s="762"/>
      <c r="S775" s="762"/>
      <c r="T775" s="771"/>
      <c r="U775" s="771"/>
      <c r="V775" s="947"/>
      <c r="W775" s="762"/>
      <c r="X775" s="666"/>
    </row>
    <row r="776" spans="1:29" ht="13.5" thickBot="1">
      <c r="A776" s="1">
        <v>347</v>
      </c>
      <c r="B776" s="256"/>
      <c r="C776" s="12" t="s">
        <v>879</v>
      </c>
      <c r="D776" s="256"/>
      <c r="E776" s="36"/>
      <c r="F776" s="256"/>
      <c r="G776" s="458">
        <f>SUM(G752:G775)</f>
        <v>624051256.25498545</v>
      </c>
      <c r="H776" s="256"/>
      <c r="I776" s="901">
        <f>J776/G776*100</f>
        <v>3.0432254037614259E-3</v>
      </c>
      <c r="J776" s="781">
        <f>SUM(J752:J774)</f>
        <v>18991.286362844032</v>
      </c>
      <c r="K776" s="771"/>
      <c r="L776" s="781">
        <f>SUM(L752:L774)</f>
        <v>0</v>
      </c>
      <c r="M776" s="781">
        <f>SUM(M752:M774)</f>
        <v>5279.6927770919001</v>
      </c>
      <c r="N776" s="781">
        <f>SUM(N752:N774)</f>
        <v>13711.593585752131</v>
      </c>
      <c r="O776" s="781">
        <f>SUM(O752:O774)</f>
        <v>0</v>
      </c>
      <c r="P776" s="771"/>
      <c r="Q776" s="781">
        <f>SUM(Q752:Q774)</f>
        <v>0</v>
      </c>
      <c r="R776" s="781">
        <f>SUM(R752:R774)</f>
        <v>6442.7819814084814</v>
      </c>
      <c r="S776" s="781">
        <f>SUM(S752:S774)</f>
        <v>13636.431566200377</v>
      </c>
      <c r="T776" s="771"/>
      <c r="U776" s="781">
        <f>SUM(U752:U774)</f>
        <v>20079.213547608859</v>
      </c>
      <c r="V776" s="944">
        <f>U776/G776*100</f>
        <v>3.2175583890507466E-3</v>
      </c>
      <c r="W776" s="781">
        <f>SUM(W752:W774)</f>
        <v>1087.9271847648288</v>
      </c>
      <c r="X776" s="977">
        <f>IFERROR(V776/I776-1,"-")</f>
        <v>5.7285597403940347E-2</v>
      </c>
      <c r="Y776" s="779"/>
      <c r="AA776" s="938"/>
      <c r="AC776" s="938"/>
    </row>
    <row r="777" spans="1:29" ht="13.5" thickTop="1">
      <c r="A777" s="4"/>
      <c r="B777" s="256"/>
      <c r="C777" s="12"/>
      <c r="D777" s="256"/>
      <c r="E777" s="36"/>
      <c r="F777" s="256"/>
      <c r="G777" s="453"/>
      <c r="H777" s="256"/>
      <c r="I777" s="792"/>
      <c r="J777" s="771"/>
      <c r="K777" s="771"/>
      <c r="L777" s="771"/>
      <c r="M777" s="771"/>
      <c r="N777" s="771"/>
      <c r="O777" s="771"/>
      <c r="P777" s="771"/>
      <c r="Q777" s="771"/>
      <c r="R777" s="771"/>
      <c r="S777" s="771"/>
      <c r="T777" s="771"/>
      <c r="U777" s="771"/>
      <c r="V777" s="771"/>
      <c r="W777" s="771"/>
      <c r="X777" s="978"/>
      <c r="Y777" s="779"/>
    </row>
    <row r="778" spans="1:29">
      <c r="A778" s="4"/>
      <c r="B778" s="256"/>
      <c r="C778" s="12"/>
      <c r="D778" s="256"/>
      <c r="E778" s="36"/>
      <c r="F778" s="256"/>
      <c r="G778" s="453"/>
      <c r="H778" s="256"/>
      <c r="I778" s="792"/>
      <c r="J778" s="771"/>
      <c r="K778" s="771"/>
      <c r="L778" s="771"/>
      <c r="M778" s="771"/>
      <c r="N778" s="771"/>
      <c r="O778" s="771"/>
      <c r="P778" s="771"/>
      <c r="Q778" s="771"/>
      <c r="R778" s="771"/>
      <c r="S778" s="771"/>
      <c r="T778" s="771"/>
      <c r="U778" s="771"/>
      <c r="V778" s="771"/>
      <c r="W778" s="771"/>
      <c r="X778" s="978"/>
      <c r="Y778" s="779"/>
    </row>
    <row r="779" spans="1:29">
      <c r="J779" s="504"/>
      <c r="K779" s="504"/>
      <c r="L779" s="2"/>
      <c r="M779" s="2"/>
      <c r="N779" s="504"/>
      <c r="O779" s="504"/>
      <c r="Q779" s="504"/>
      <c r="R779" s="504"/>
      <c r="S779" s="504"/>
      <c r="W779" s="504"/>
      <c r="X779" s="513"/>
    </row>
    <row r="780" spans="1:29">
      <c r="J780" s="504"/>
      <c r="K780" s="504"/>
      <c r="L780" s="2"/>
      <c r="M780" s="2"/>
      <c r="N780" s="504"/>
      <c r="O780" s="504"/>
      <c r="Q780" s="504"/>
      <c r="R780" s="504"/>
      <c r="S780" s="504"/>
      <c r="W780" s="504"/>
      <c r="X780" s="513"/>
    </row>
    <row r="781" spans="1:29">
      <c r="J781" s="504"/>
      <c r="K781" s="504"/>
      <c r="L781" s="2"/>
      <c r="M781" s="2"/>
      <c r="N781" s="504"/>
      <c r="O781" s="504"/>
      <c r="Q781" s="504"/>
      <c r="R781" s="504"/>
      <c r="S781" s="504"/>
      <c r="W781" s="504"/>
      <c r="X781" s="513"/>
    </row>
    <row r="782" spans="1:29">
      <c r="A782" s="1324" t="s">
        <v>724</v>
      </c>
      <c r="B782" s="1324"/>
      <c r="C782" s="1324"/>
      <c r="D782" s="1324"/>
      <c r="E782" s="1324"/>
      <c r="F782" s="1324"/>
      <c r="G782" s="1324"/>
      <c r="H782" s="1324"/>
      <c r="I782" s="1324"/>
      <c r="J782" s="1324"/>
      <c r="K782" s="1324"/>
      <c r="L782" s="1324"/>
      <c r="M782" s="1324"/>
      <c r="N782" s="1324"/>
      <c r="O782" s="1324"/>
      <c r="P782" s="1324"/>
      <c r="Q782" s="1324"/>
      <c r="R782" s="1324"/>
      <c r="S782" s="1324"/>
      <c r="T782" s="1324"/>
      <c r="U782" s="1324"/>
      <c r="V782" s="1324"/>
      <c r="W782" s="1324"/>
      <c r="X782" s="1324"/>
      <c r="Y782" s="665"/>
    </row>
    <row r="783" spans="1:29">
      <c r="A783" s="1324" t="s">
        <v>963</v>
      </c>
      <c r="B783" s="1324"/>
      <c r="C783" s="1324"/>
      <c r="D783" s="1324"/>
      <c r="E783" s="1324"/>
      <c r="F783" s="1324"/>
      <c r="G783" s="1324"/>
      <c r="H783" s="1324"/>
      <c r="I783" s="1324"/>
      <c r="J783" s="1324"/>
      <c r="K783" s="1324"/>
      <c r="L783" s="1324"/>
      <c r="M783" s="1324"/>
      <c r="N783" s="1324"/>
      <c r="O783" s="1324"/>
      <c r="P783" s="1324"/>
      <c r="Q783" s="1324"/>
      <c r="R783" s="1324"/>
      <c r="S783" s="1324"/>
      <c r="T783" s="1324"/>
      <c r="U783" s="1324"/>
      <c r="V783" s="1324"/>
      <c r="W783" s="1324"/>
      <c r="X783" s="1324"/>
      <c r="Y783" s="644"/>
      <c r="Z783" s="644"/>
    </row>
    <row r="784" spans="1:29">
      <c r="A784" s="385"/>
      <c r="B784" s="385"/>
      <c r="C784" s="385"/>
      <c r="D784" s="385"/>
      <c r="E784" s="447"/>
      <c r="F784" s="385"/>
      <c r="G784" s="447"/>
      <c r="H784" s="385"/>
      <c r="I784" s="385"/>
      <c r="J784" s="504"/>
      <c r="K784" s="504"/>
      <c r="L784" s="3"/>
      <c r="M784" s="3"/>
      <c r="N784" s="504"/>
      <c r="O784" s="504"/>
      <c r="P784" s="385"/>
      <c r="Q784" s="504"/>
      <c r="R784" s="504"/>
      <c r="S784" s="504"/>
      <c r="T784" s="385"/>
      <c r="U784" s="385"/>
      <c r="V784" s="385"/>
      <c r="W784" s="504"/>
      <c r="X784" s="513"/>
    </row>
    <row r="785" spans="1:31">
      <c r="A785" s="447"/>
      <c r="B785" s="447"/>
      <c r="C785" s="447"/>
      <c r="D785" s="447"/>
      <c r="E785" s="256"/>
      <c r="F785" s="256"/>
      <c r="G785" s="1313" t="s">
        <v>682</v>
      </c>
      <c r="H785" s="1313"/>
      <c r="I785" s="1313"/>
      <c r="J785" s="1313"/>
      <c r="K785" s="256"/>
      <c r="L785" s="1313" t="s">
        <v>496</v>
      </c>
      <c r="M785" s="1313"/>
      <c r="N785" s="1313"/>
      <c r="O785" s="256"/>
      <c r="P785" s="447"/>
      <c r="Q785" s="1313" t="s">
        <v>497</v>
      </c>
      <c r="R785" s="1313"/>
      <c r="S785" s="1313"/>
      <c r="T785" s="447"/>
      <c r="U785" s="1313" t="s">
        <v>683</v>
      </c>
      <c r="V785" s="1313"/>
      <c r="W785" s="1313"/>
      <c r="X785" s="1313"/>
      <c r="Y785" s="4"/>
    </row>
    <row r="786" spans="1:31" ht="38.25">
      <c r="A786" s="254" t="s">
        <v>1</v>
      </c>
      <c r="B786" s="254"/>
      <c r="C786" s="254"/>
      <c r="D786" s="254"/>
      <c r="E786" s="4" t="s">
        <v>670</v>
      </c>
      <c r="F786" s="254"/>
      <c r="G786" s="13" t="s">
        <v>684</v>
      </c>
      <c r="H786" s="254"/>
      <c r="I786" s="13" t="s">
        <v>196</v>
      </c>
      <c r="J786" s="254" t="s">
        <v>503</v>
      </c>
      <c r="K786" s="254"/>
      <c r="L786" s="254" t="s">
        <v>955</v>
      </c>
      <c r="M786" s="254" t="s">
        <v>956</v>
      </c>
      <c r="N786" s="254" t="s">
        <v>957</v>
      </c>
      <c r="O786" s="254" t="s">
        <v>958</v>
      </c>
      <c r="P786" s="254"/>
      <c r="Q786" s="254" t="s">
        <v>955</v>
      </c>
      <c r="R786" s="254" t="s">
        <v>956</v>
      </c>
      <c r="S786" s="254" t="s">
        <v>957</v>
      </c>
      <c r="T786" s="254"/>
      <c r="U786" s="13" t="s">
        <v>512</v>
      </c>
      <c r="V786" s="13" t="s">
        <v>691</v>
      </c>
      <c r="W786" s="13" t="s">
        <v>692</v>
      </c>
      <c r="X786" s="254" t="s">
        <v>693</v>
      </c>
      <c r="Y786" s="254"/>
    </row>
    <row r="787" spans="1:31">
      <c r="A787" s="255" t="s">
        <v>2</v>
      </c>
      <c r="B787" s="256"/>
      <c r="C787" s="449" t="s">
        <v>3</v>
      </c>
      <c r="D787" s="256"/>
      <c r="E787" s="255" t="s">
        <v>4</v>
      </c>
      <c r="F787" s="256"/>
      <c r="G787" s="255" t="s">
        <v>694</v>
      </c>
      <c r="H787" s="256"/>
      <c r="I787" s="255" t="s">
        <v>131</v>
      </c>
      <c r="J787" s="255" t="s">
        <v>20</v>
      </c>
      <c r="K787" s="4"/>
      <c r="L787" s="255" t="s">
        <v>20</v>
      </c>
      <c r="M787" s="255" t="s">
        <v>20</v>
      </c>
      <c r="N787" s="255" t="s">
        <v>20</v>
      </c>
      <c r="O787" s="255" t="s">
        <v>20</v>
      </c>
      <c r="P787" s="256"/>
      <c r="Q787" s="255" t="s">
        <v>20</v>
      </c>
      <c r="R787" s="255" t="s">
        <v>20</v>
      </c>
      <c r="S787" s="255" t="s">
        <v>20</v>
      </c>
      <c r="T787" s="256"/>
      <c r="U787" s="255" t="s">
        <v>20</v>
      </c>
      <c r="V787" s="255" t="s">
        <v>131</v>
      </c>
      <c r="W787" s="255" t="s">
        <v>20</v>
      </c>
      <c r="X787" s="255" t="s">
        <v>76</v>
      </c>
      <c r="Y787" s="4"/>
    </row>
    <row r="788" spans="1:31">
      <c r="A788" s="4"/>
      <c r="B788" s="256"/>
      <c r="C788" s="256"/>
      <c r="D788" s="256"/>
      <c r="E788" s="4"/>
      <c r="F788" s="256"/>
      <c r="G788" s="4" t="s">
        <v>8</v>
      </c>
      <c r="H788" s="4"/>
      <c r="I788" s="4" t="s">
        <v>9</v>
      </c>
      <c r="J788" s="4" t="s">
        <v>370</v>
      </c>
      <c r="K788" s="4"/>
      <c r="L788" s="132" t="s">
        <v>79</v>
      </c>
      <c r="M788" s="132" t="s">
        <v>115</v>
      </c>
      <c r="N788" s="4" t="s">
        <v>81</v>
      </c>
      <c r="O788" s="4" t="s">
        <v>959</v>
      </c>
      <c r="P788" s="4"/>
      <c r="Q788" s="4" t="s">
        <v>118</v>
      </c>
      <c r="R788" s="4" t="s">
        <v>84</v>
      </c>
      <c r="S788" s="4" t="s">
        <v>516</v>
      </c>
      <c r="T788" s="4"/>
      <c r="U788" s="4" t="s">
        <v>960</v>
      </c>
      <c r="V788" s="4" t="s">
        <v>518</v>
      </c>
      <c r="W788" s="4" t="s">
        <v>961</v>
      </c>
      <c r="X788" s="4" t="s">
        <v>962</v>
      </c>
    </row>
    <row r="789" spans="1:31" ht="8.1" customHeight="1">
      <c r="A789" s="4"/>
      <c r="B789" s="256"/>
      <c r="C789" s="256"/>
      <c r="D789" s="256"/>
      <c r="E789" s="4"/>
      <c r="F789" s="256"/>
      <c r="G789" s="4"/>
      <c r="H789" s="4"/>
      <c r="I789" s="4"/>
      <c r="J789" s="4"/>
      <c r="K789" s="4"/>
      <c r="L789" s="132"/>
      <c r="M789" s="132"/>
      <c r="N789" s="4"/>
      <c r="O789" s="4"/>
      <c r="P789" s="4"/>
      <c r="Q789" s="4"/>
      <c r="R789" s="4"/>
      <c r="S789" s="4"/>
      <c r="T789" s="4"/>
      <c r="U789" s="4"/>
      <c r="V789" s="4"/>
      <c r="W789" s="4"/>
      <c r="X789" s="4"/>
    </row>
    <row r="790" spans="1:31">
      <c r="A790" s="4"/>
      <c r="B790" s="256"/>
      <c r="C790" s="6" t="s">
        <v>529</v>
      </c>
      <c r="D790" s="256"/>
      <c r="E790" s="134"/>
      <c r="F790" s="256"/>
      <c r="G790" s="749"/>
      <c r="H790" s="256"/>
      <c r="I790" s="256"/>
      <c r="J790" s="762"/>
      <c r="K790" s="762"/>
      <c r="L790" s="762"/>
      <c r="M790" s="762"/>
      <c r="N790" s="762"/>
      <c r="O790" s="762"/>
      <c r="P790" s="771"/>
      <c r="Q790" s="762"/>
      <c r="R790" s="762"/>
      <c r="S790" s="762"/>
      <c r="T790" s="771"/>
      <c r="U790" s="771"/>
      <c r="V790" s="771"/>
      <c r="W790" s="762"/>
      <c r="X790" s="513"/>
    </row>
    <row r="791" spans="1:31">
      <c r="A791" s="4"/>
      <c r="C791" s="7" t="s">
        <v>880</v>
      </c>
      <c r="E791" s="513"/>
      <c r="G791" s="35"/>
      <c r="J791" s="762"/>
      <c r="K791" s="762"/>
      <c r="L791" s="762"/>
      <c r="M791" s="762"/>
      <c r="N791" s="762"/>
      <c r="O791" s="762"/>
      <c r="P791" s="68"/>
      <c r="Q791" s="762"/>
      <c r="R791" s="762"/>
      <c r="S791" s="762"/>
      <c r="T791" s="68"/>
      <c r="U791" s="68"/>
      <c r="V791" s="68"/>
      <c r="W791" s="762"/>
      <c r="X791" s="513"/>
    </row>
    <row r="792" spans="1:31" ht="25.5">
      <c r="A792" s="1">
        <v>348</v>
      </c>
      <c r="C792" s="794" t="s">
        <v>881</v>
      </c>
      <c r="E792" s="513" t="s">
        <v>882</v>
      </c>
      <c r="G792" s="35">
        <v>443124</v>
      </c>
      <c r="I792" s="35">
        <v>0</v>
      </c>
      <c r="J792" s="35">
        <v>70.899839999999998</v>
      </c>
      <c r="K792" s="35"/>
      <c r="L792" s="35">
        <v>0</v>
      </c>
      <c r="M792" s="35">
        <v>0</v>
      </c>
      <c r="N792" s="35">
        <v>0</v>
      </c>
      <c r="O792" s="35">
        <v>70.899839999999998</v>
      </c>
      <c r="P792" s="68"/>
      <c r="Q792" s="35">
        <v>0</v>
      </c>
      <c r="R792" s="35">
        <v>0</v>
      </c>
      <c r="S792" s="35">
        <v>0</v>
      </c>
      <c r="T792" s="68"/>
      <c r="U792" s="35">
        <f>O792+Q792+R792+S792</f>
        <v>70.899839999999998</v>
      </c>
      <c r="V792" s="947">
        <f>U792/G792*1000</f>
        <v>0.15999999999999998</v>
      </c>
      <c r="W792" s="762">
        <f>U792-J792</f>
        <v>0</v>
      </c>
      <c r="X792" s="976"/>
      <c r="Y792" s="769"/>
      <c r="AA792" s="938"/>
      <c r="AC792" s="938"/>
      <c r="AE792" s="941"/>
    </row>
    <row r="793" spans="1:31">
      <c r="B793" s="256"/>
      <c r="C793" s="741"/>
      <c r="D793" s="256"/>
      <c r="E793" s="513"/>
      <c r="F793" s="256"/>
      <c r="G793" s="35"/>
      <c r="H793" s="256"/>
      <c r="I793" s="35"/>
      <c r="J793" s="68"/>
      <c r="K793" s="68"/>
      <c r="L793" s="35"/>
      <c r="M793" s="35"/>
      <c r="N793" s="35"/>
      <c r="O793" s="68"/>
      <c r="P793" s="771"/>
      <c r="Q793" s="35"/>
      <c r="R793" s="35"/>
      <c r="S793" s="35"/>
      <c r="T793" s="771"/>
      <c r="U793" s="35"/>
      <c r="V793" s="35"/>
      <c r="W793" s="762"/>
      <c r="X793" s="976"/>
      <c r="Y793" s="769"/>
      <c r="AA793" s="938"/>
      <c r="AE793" s="941"/>
    </row>
    <row r="794" spans="1:31">
      <c r="A794" s="1">
        <v>349</v>
      </c>
      <c r="B794" s="256"/>
      <c r="C794" s="9" t="s">
        <v>883</v>
      </c>
      <c r="D794" s="256"/>
      <c r="E794" s="513" t="s">
        <v>882</v>
      </c>
      <c r="F794" s="256"/>
      <c r="G794" s="35">
        <v>2443512</v>
      </c>
      <c r="H794" s="256"/>
      <c r="I794" s="35">
        <v>0</v>
      </c>
      <c r="J794" s="35">
        <v>0</v>
      </c>
      <c r="K794" s="68"/>
      <c r="L794" s="35">
        <v>0</v>
      </c>
      <c r="M794" s="35">
        <v>0</v>
      </c>
      <c r="N794" s="35">
        <v>0</v>
      </c>
      <c r="O794" s="35">
        <v>0</v>
      </c>
      <c r="P794" s="771"/>
      <c r="Q794" s="35">
        <v>0</v>
      </c>
      <c r="R794" s="35">
        <v>0</v>
      </c>
      <c r="S794" s="35">
        <v>0</v>
      </c>
      <c r="T794" s="771"/>
      <c r="U794" s="35">
        <v>0</v>
      </c>
      <c r="V794" s="35">
        <v>0</v>
      </c>
      <c r="W794" s="35">
        <v>0</v>
      </c>
      <c r="X794" s="976"/>
      <c r="Y794" s="769"/>
      <c r="AA794" s="938"/>
      <c r="AE794" s="941"/>
    </row>
    <row r="795" spans="1:31">
      <c r="A795" s="1">
        <v>350</v>
      </c>
      <c r="B795" s="256"/>
      <c r="C795" s="543" t="s">
        <v>866</v>
      </c>
      <c r="D795" s="256"/>
      <c r="E795" s="513" t="s">
        <v>882</v>
      </c>
      <c r="F795" s="256"/>
      <c r="G795" s="35">
        <v>1329372</v>
      </c>
      <c r="H795" s="256"/>
      <c r="I795" s="35">
        <v>0</v>
      </c>
      <c r="J795" s="35">
        <v>0</v>
      </c>
      <c r="K795" s="68"/>
      <c r="L795" s="35">
        <v>0</v>
      </c>
      <c r="M795" s="35">
        <v>0</v>
      </c>
      <c r="N795" s="35">
        <v>0</v>
      </c>
      <c r="O795" s="35">
        <v>0</v>
      </c>
      <c r="P795" s="771"/>
      <c r="Q795" s="35">
        <v>0</v>
      </c>
      <c r="R795" s="35">
        <v>0</v>
      </c>
      <c r="S795" s="35">
        <v>0</v>
      </c>
      <c r="T795" s="771"/>
      <c r="U795" s="35">
        <v>0</v>
      </c>
      <c r="V795" s="35">
        <v>0</v>
      </c>
      <c r="W795" s="35">
        <v>0</v>
      </c>
      <c r="X795" s="976"/>
      <c r="Y795" s="769"/>
      <c r="AA795" s="938"/>
      <c r="AE795" s="941"/>
    </row>
    <row r="796" spans="1:31">
      <c r="A796" s="1">
        <v>351</v>
      </c>
      <c r="B796" s="256"/>
      <c r="C796" s="9" t="s">
        <v>884</v>
      </c>
      <c r="D796" s="256"/>
      <c r="E796" s="513" t="s">
        <v>882</v>
      </c>
      <c r="F796" s="256"/>
      <c r="G796" s="35">
        <v>6000000</v>
      </c>
      <c r="H796" s="256"/>
      <c r="I796" s="35">
        <v>0</v>
      </c>
      <c r="J796" s="35">
        <v>0</v>
      </c>
      <c r="K796" s="68"/>
      <c r="L796" s="35">
        <v>0</v>
      </c>
      <c r="M796" s="35">
        <v>0</v>
      </c>
      <c r="N796" s="35">
        <v>0</v>
      </c>
      <c r="O796" s="35">
        <v>0</v>
      </c>
      <c r="P796" s="771"/>
      <c r="Q796" s="35">
        <v>0</v>
      </c>
      <c r="R796" s="35">
        <v>0</v>
      </c>
      <c r="S796" s="35">
        <v>0</v>
      </c>
      <c r="T796" s="771"/>
      <c r="U796" s="35">
        <v>0</v>
      </c>
      <c r="V796" s="35">
        <v>0</v>
      </c>
      <c r="W796" s="35">
        <v>0</v>
      </c>
      <c r="X796" s="976"/>
      <c r="Y796" s="769"/>
      <c r="AA796" s="938"/>
      <c r="AE796" s="941"/>
    </row>
    <row r="797" spans="1:31">
      <c r="A797" s="4"/>
      <c r="B797" s="256"/>
      <c r="D797" s="256"/>
      <c r="E797" s="742"/>
      <c r="F797" s="256"/>
      <c r="G797" s="35"/>
      <c r="H797" s="256"/>
      <c r="I797" s="774"/>
      <c r="J797" s="68"/>
      <c r="K797" s="68"/>
      <c r="L797" s="762"/>
      <c r="M797" s="762"/>
      <c r="N797" s="762"/>
      <c r="O797" s="68"/>
      <c r="P797" s="771"/>
      <c r="Q797" s="762"/>
      <c r="R797" s="762"/>
      <c r="S797" s="762"/>
      <c r="T797" s="771"/>
      <c r="U797" s="771"/>
      <c r="V797" s="946"/>
      <c r="W797" s="762"/>
      <c r="X797" s="513"/>
    </row>
    <row r="798" spans="1:31">
      <c r="A798" s="4"/>
      <c r="B798" s="256"/>
      <c r="C798" s="7" t="s">
        <v>885</v>
      </c>
      <c r="D798" s="256"/>
      <c r="E798" s="742"/>
      <c r="F798" s="256"/>
      <c r="G798" s="35"/>
      <c r="H798" s="256"/>
      <c r="I798" s="256"/>
      <c r="J798" s="68"/>
      <c r="K798" s="68"/>
      <c r="L798" s="762"/>
      <c r="M798" s="762"/>
      <c r="N798" s="762"/>
      <c r="O798" s="68"/>
      <c r="P798" s="771"/>
      <c r="Q798" s="762"/>
      <c r="R798" s="762"/>
      <c r="S798" s="762"/>
      <c r="T798" s="771"/>
      <c r="U798" s="771"/>
      <c r="V798" s="946"/>
      <c r="W798" s="762"/>
      <c r="X798" s="513"/>
    </row>
    <row r="799" spans="1:31">
      <c r="A799" s="4"/>
      <c r="B799" s="256"/>
      <c r="C799" s="519" t="s">
        <v>886</v>
      </c>
      <c r="D799" s="256"/>
      <c r="E799" s="36"/>
      <c r="F799" s="256"/>
      <c r="G799" s="35"/>
      <c r="H799" s="256"/>
      <c r="I799" s="256"/>
      <c r="J799" s="68"/>
      <c r="K799" s="68"/>
      <c r="L799" s="762"/>
      <c r="M799" s="762"/>
      <c r="N799" s="762"/>
      <c r="O799" s="68"/>
      <c r="P799" s="771"/>
      <c r="Q799" s="762"/>
      <c r="R799" s="762"/>
      <c r="S799" s="762"/>
      <c r="T799" s="771"/>
      <c r="U799" s="771"/>
      <c r="V799" s="946"/>
      <c r="W799" s="762"/>
      <c r="X799" s="513"/>
    </row>
    <row r="800" spans="1:31">
      <c r="A800" s="1">
        <v>352</v>
      </c>
      <c r="B800" s="256"/>
      <c r="C800" s="740" t="s">
        <v>887</v>
      </c>
      <c r="D800" s="256"/>
      <c r="E800" s="513" t="s">
        <v>777</v>
      </c>
      <c r="F800" s="256"/>
      <c r="G800" s="35">
        <v>182561.93109999999</v>
      </c>
      <c r="H800" s="256"/>
      <c r="I800" s="35">
        <v>0</v>
      </c>
      <c r="J800" s="35">
        <v>3.7415094940005567</v>
      </c>
      <c r="K800" s="35"/>
      <c r="L800" s="35">
        <v>0</v>
      </c>
      <c r="M800" s="35">
        <v>2.1881592426195975</v>
      </c>
      <c r="N800" s="35">
        <v>1.5533502513809598</v>
      </c>
      <c r="O800" s="35">
        <f>J800-L800-M800-N800</f>
        <v>0</v>
      </c>
      <c r="P800" s="771"/>
      <c r="Q800" s="35">
        <v>0</v>
      </c>
      <c r="R800" s="35">
        <v>2.6701994862222223</v>
      </c>
      <c r="S800" s="35">
        <v>1.5448353445442857</v>
      </c>
      <c r="T800" s="771"/>
      <c r="U800" s="771">
        <f>SUM(O800:S800)</f>
        <v>4.2150348307665082</v>
      </c>
      <c r="V800" s="35">
        <v>0</v>
      </c>
      <c r="W800" s="762">
        <f>U800-J800</f>
        <v>0.47352533676595154</v>
      </c>
      <c r="X800" s="36"/>
      <c r="Y800" s="35"/>
      <c r="AA800" s="938"/>
      <c r="AC800" s="938"/>
    </row>
    <row r="801" spans="1:29">
      <c r="A801" s="1">
        <v>353</v>
      </c>
      <c r="B801" s="256"/>
      <c r="C801" s="740" t="s">
        <v>888</v>
      </c>
      <c r="D801" s="256"/>
      <c r="E801" s="513" t="s">
        <v>777</v>
      </c>
      <c r="F801" s="256"/>
      <c r="G801" s="35">
        <v>36496498.858000003</v>
      </c>
      <c r="H801" s="256"/>
      <c r="I801" s="35">
        <v>0</v>
      </c>
      <c r="J801" s="35">
        <v>534.17159271005198</v>
      </c>
      <c r="K801" s="35"/>
      <c r="L801" s="35">
        <v>0</v>
      </c>
      <c r="M801" s="35">
        <v>312.40132080583129</v>
      </c>
      <c r="N801" s="35">
        <v>221.77027190422081</v>
      </c>
      <c r="O801" s="35">
        <f>J801-L801-M801-N801</f>
        <v>0</v>
      </c>
      <c r="P801" s="771"/>
      <c r="Q801" s="35">
        <v>0</v>
      </c>
      <c r="R801" s="35">
        <v>381.22172740601229</v>
      </c>
      <c r="S801" s="35">
        <v>220.5546071159803</v>
      </c>
      <c r="T801" s="771"/>
      <c r="U801" s="771">
        <f>SUM(O801:S801)</f>
        <v>601.77633452199257</v>
      </c>
      <c r="V801" s="35">
        <v>0</v>
      </c>
      <c r="W801" s="762">
        <f>U801-J801</f>
        <v>67.604741811940585</v>
      </c>
      <c r="X801" s="36"/>
      <c r="Y801" s="35"/>
      <c r="AA801" s="938"/>
      <c r="AC801" s="938"/>
    </row>
    <row r="802" spans="1:29">
      <c r="A802" s="1">
        <v>354</v>
      </c>
      <c r="B802" s="256"/>
      <c r="C802" s="740" t="s">
        <v>889</v>
      </c>
      <c r="D802" s="256"/>
      <c r="E802" s="513" t="s">
        <v>777</v>
      </c>
      <c r="F802" s="256"/>
      <c r="G802" s="35">
        <v>10101454.704</v>
      </c>
      <c r="H802" s="256"/>
      <c r="I802" s="35">
        <v>0</v>
      </c>
      <c r="J802" s="35">
        <v>222.75142613254567</v>
      </c>
      <c r="K802" s="35"/>
      <c r="L802" s="35">
        <v>0</v>
      </c>
      <c r="M802" s="35">
        <v>130.27244556780852</v>
      </c>
      <c r="N802" s="35">
        <v>92.478980564737185</v>
      </c>
      <c r="O802" s="35">
        <f>J802-L802-M802-N802</f>
        <v>0</v>
      </c>
      <c r="P802" s="771"/>
      <c r="Q802" s="35">
        <v>0</v>
      </c>
      <c r="R802" s="35">
        <v>158.97079629709</v>
      </c>
      <c r="S802" s="35">
        <v>91.972044087816229</v>
      </c>
      <c r="T802" s="771"/>
      <c r="U802" s="771">
        <f>SUM(O802:S802)</f>
        <v>250.94284038490622</v>
      </c>
      <c r="V802" s="35">
        <v>0</v>
      </c>
      <c r="W802" s="762">
        <f>U802-J802</f>
        <v>28.191414252360545</v>
      </c>
      <c r="X802" s="36"/>
      <c r="Y802" s="35"/>
      <c r="AA802" s="938"/>
      <c r="AC802" s="938"/>
    </row>
    <row r="803" spans="1:29">
      <c r="A803" s="1">
        <v>355</v>
      </c>
      <c r="C803" s="740" t="s">
        <v>890</v>
      </c>
      <c r="E803" s="513" t="s">
        <v>777</v>
      </c>
      <c r="G803" s="35">
        <f>0</f>
        <v>0</v>
      </c>
      <c r="I803" s="35">
        <v>0</v>
      </c>
      <c r="J803" s="762">
        <v>0</v>
      </c>
      <c r="K803" s="762"/>
      <c r="L803" s="762">
        <v>0</v>
      </c>
      <c r="M803" s="762">
        <v>0</v>
      </c>
      <c r="N803" s="762">
        <v>0</v>
      </c>
      <c r="O803" s="762">
        <v>0</v>
      </c>
      <c r="P803" s="68"/>
      <c r="Q803" s="762">
        <v>0</v>
      </c>
      <c r="R803" s="762">
        <v>0</v>
      </c>
      <c r="S803" s="762">
        <v>0</v>
      </c>
      <c r="T803" s="68"/>
      <c r="U803" s="771">
        <f>SUM(Q803:S803)</f>
        <v>0</v>
      </c>
      <c r="V803" s="68"/>
      <c r="W803" s="771">
        <f>SUM(S803:U803)</f>
        <v>0</v>
      </c>
      <c r="X803" s="36"/>
      <c r="Y803" s="35"/>
      <c r="AA803" s="938"/>
      <c r="AC803" s="938"/>
    </row>
    <row r="804" spans="1:29">
      <c r="A804" s="4"/>
      <c r="C804" s="504"/>
      <c r="E804" s="36"/>
      <c r="G804" s="35"/>
      <c r="J804" s="762"/>
      <c r="K804" s="762"/>
      <c r="L804" s="762"/>
      <c r="M804" s="762"/>
      <c r="N804" s="762"/>
      <c r="O804" s="762"/>
      <c r="P804" s="68"/>
      <c r="Q804" s="762"/>
      <c r="R804" s="762"/>
      <c r="S804" s="762"/>
      <c r="T804" s="68"/>
      <c r="U804" s="68"/>
      <c r="V804" s="68"/>
      <c r="W804" s="762"/>
      <c r="X804" s="513"/>
      <c r="AA804" s="938"/>
      <c r="AC804" s="938"/>
    </row>
    <row r="805" spans="1:29">
      <c r="A805" s="4"/>
      <c r="C805" s="512" t="s">
        <v>891</v>
      </c>
      <c r="E805" s="36"/>
      <c r="G805" s="35"/>
      <c r="J805" s="762"/>
      <c r="K805" s="762"/>
      <c r="L805" s="762"/>
      <c r="M805" s="762"/>
      <c r="N805" s="762"/>
      <c r="O805" s="762"/>
      <c r="P805" s="68"/>
      <c r="Q805" s="762"/>
      <c r="R805" s="762"/>
      <c r="S805" s="762"/>
      <c r="T805" s="68"/>
      <c r="U805" s="68"/>
      <c r="V805" s="68"/>
      <c r="W805" s="762"/>
      <c r="X805" s="513"/>
      <c r="AA805" s="938"/>
      <c r="AC805" s="938"/>
    </row>
    <row r="806" spans="1:29">
      <c r="A806" s="1">
        <v>356</v>
      </c>
      <c r="C806" s="740" t="s">
        <v>892</v>
      </c>
      <c r="E806" s="513" t="s">
        <v>777</v>
      </c>
      <c r="G806" s="35">
        <v>0</v>
      </c>
      <c r="I806" s="35">
        <v>0</v>
      </c>
      <c r="J806" s="35">
        <v>0</v>
      </c>
      <c r="K806" s="762"/>
      <c r="L806" s="35">
        <v>0</v>
      </c>
      <c r="M806" s="35">
        <v>0</v>
      </c>
      <c r="N806" s="35">
        <v>0</v>
      </c>
      <c r="O806" s="35">
        <v>0</v>
      </c>
      <c r="P806" s="68"/>
      <c r="Q806" s="35">
        <v>0</v>
      </c>
      <c r="R806" s="35">
        <v>0</v>
      </c>
      <c r="S806" s="35">
        <v>0</v>
      </c>
      <c r="T806" s="68"/>
      <c r="U806" s="35">
        <v>0</v>
      </c>
      <c r="V806" s="35">
        <v>0</v>
      </c>
      <c r="W806" s="35">
        <v>0</v>
      </c>
      <c r="X806" s="36"/>
      <c r="Y806" s="35"/>
      <c r="AA806" s="938"/>
      <c r="AC806" s="938"/>
    </row>
    <row r="807" spans="1:29">
      <c r="A807" s="1">
        <v>357</v>
      </c>
      <c r="C807" s="740" t="s">
        <v>893</v>
      </c>
      <c r="E807" s="513" t="s">
        <v>777</v>
      </c>
      <c r="G807" s="35">
        <v>0</v>
      </c>
      <c r="I807" s="35">
        <v>0</v>
      </c>
      <c r="J807" s="35">
        <v>0</v>
      </c>
      <c r="K807" s="762"/>
      <c r="L807" s="35">
        <v>0</v>
      </c>
      <c r="M807" s="35">
        <v>0</v>
      </c>
      <c r="N807" s="35">
        <v>0</v>
      </c>
      <c r="O807" s="35">
        <v>0</v>
      </c>
      <c r="P807" s="68"/>
      <c r="Q807" s="35">
        <v>0</v>
      </c>
      <c r="R807" s="35">
        <v>0</v>
      </c>
      <c r="S807" s="35">
        <v>0</v>
      </c>
      <c r="T807" s="68"/>
      <c r="U807" s="35">
        <v>0</v>
      </c>
      <c r="V807" s="35">
        <v>0</v>
      </c>
      <c r="W807" s="35">
        <v>0</v>
      </c>
      <c r="X807" s="36"/>
      <c r="Y807" s="35"/>
      <c r="AA807" s="938"/>
      <c r="AC807" s="938"/>
    </row>
    <row r="808" spans="1:29">
      <c r="A808" s="4"/>
      <c r="E808" s="36"/>
      <c r="G808" s="35"/>
      <c r="J808" s="762"/>
      <c r="K808" s="762"/>
      <c r="L808" s="762"/>
      <c r="M808" s="762"/>
      <c r="N808" s="762"/>
      <c r="O808" s="762"/>
      <c r="P808" s="68"/>
      <c r="Q808" s="762"/>
      <c r="R808" s="762"/>
      <c r="S808" s="762"/>
      <c r="T808" s="68"/>
      <c r="U808" s="68"/>
      <c r="V808" s="68"/>
      <c r="W808" s="35">
        <v>0</v>
      </c>
      <c r="X808" s="513"/>
      <c r="AA808" s="938"/>
      <c r="AC808" s="938"/>
    </row>
    <row r="809" spans="1:29">
      <c r="A809" s="1">
        <v>358</v>
      </c>
      <c r="C809" s="2" t="s">
        <v>894</v>
      </c>
      <c r="E809" s="513" t="s">
        <v>777</v>
      </c>
      <c r="G809" s="35">
        <v>45665000</v>
      </c>
      <c r="I809" s="35">
        <v>0</v>
      </c>
      <c r="J809" s="762">
        <v>0</v>
      </c>
      <c r="K809" s="762"/>
      <c r="L809" s="35"/>
      <c r="M809" s="35"/>
      <c r="N809" s="35"/>
      <c r="O809" s="762"/>
      <c r="P809" s="68"/>
      <c r="Q809" s="35"/>
      <c r="R809" s="35"/>
      <c r="S809" s="35"/>
      <c r="T809" s="68"/>
      <c r="U809" s="68">
        <f>O809</f>
        <v>0</v>
      </c>
      <c r="V809" s="35">
        <v>0</v>
      </c>
      <c r="W809" s="762">
        <v>0</v>
      </c>
      <c r="X809" s="36"/>
      <c r="Y809" s="35"/>
      <c r="AA809" s="938"/>
      <c r="AC809" s="938"/>
    </row>
    <row r="810" spans="1:29">
      <c r="A810" s="1">
        <v>359</v>
      </c>
      <c r="C810" s="2" t="s">
        <v>895</v>
      </c>
      <c r="E810" s="513" t="s">
        <v>777</v>
      </c>
      <c r="G810" s="35">
        <v>0</v>
      </c>
      <c r="I810" s="35">
        <v>0</v>
      </c>
      <c r="J810" s="35">
        <v>2388.3000000000002</v>
      </c>
      <c r="K810" s="35"/>
      <c r="L810" s="35">
        <v>0</v>
      </c>
      <c r="M810" s="35">
        <v>410.98500000000001</v>
      </c>
      <c r="N810" s="35">
        <v>1977.3150000000001</v>
      </c>
      <c r="O810" s="35">
        <f>J810-L810-M810-N810</f>
        <v>0</v>
      </c>
      <c r="P810" s="68"/>
      <c r="Q810" s="35">
        <v>0</v>
      </c>
      <c r="R810" s="35">
        <v>511.42336737272689</v>
      </c>
      <c r="S810" s="35">
        <v>1969.0537638875649</v>
      </c>
      <c r="T810" s="68"/>
      <c r="U810" s="68">
        <f>SUM(O810:S810)</f>
        <v>2480.4771312602916</v>
      </c>
      <c r="V810" s="35">
        <v>0</v>
      </c>
      <c r="W810" s="35">
        <f>U810-J810</f>
        <v>92.177131260291389</v>
      </c>
      <c r="X810" s="36"/>
      <c r="Y810" s="35"/>
      <c r="AA810" s="938"/>
      <c r="AC810" s="938"/>
    </row>
    <row r="811" spans="1:29">
      <c r="A811" s="4"/>
      <c r="E811" s="36"/>
      <c r="G811" s="35"/>
      <c r="J811" s="762"/>
      <c r="K811" s="762"/>
      <c r="L811" s="762"/>
      <c r="M811" s="762"/>
      <c r="N811" s="762"/>
      <c r="O811" s="762"/>
      <c r="P811" s="68"/>
      <c r="Q811" s="762"/>
      <c r="R811" s="762"/>
      <c r="S811" s="762"/>
      <c r="T811" s="68"/>
      <c r="U811" s="68"/>
      <c r="V811" s="68"/>
      <c r="W811" s="762"/>
      <c r="X811" s="513"/>
    </row>
    <row r="812" spans="1:29" ht="13.5" thickBot="1">
      <c r="A812" s="1">
        <v>360</v>
      </c>
      <c r="C812" s="2" t="str">
        <f>"Total " &amp;C790</f>
        <v>Total Rate C1</v>
      </c>
      <c r="E812" s="36"/>
      <c r="G812" s="768">
        <f>SUM(G792:G810)</f>
        <v>102661523.4931</v>
      </c>
      <c r="I812" s="940">
        <f>J812/G812*100</f>
        <v>3.1363886476446154E-3</v>
      </c>
      <c r="J812" s="760">
        <f>SUM(J792:J810)</f>
        <v>3219.8643683365985</v>
      </c>
      <c r="K812" s="68"/>
      <c r="L812" s="760">
        <f>SUM(L793:L810)</f>
        <v>0</v>
      </c>
      <c r="M812" s="760">
        <f>SUM(M793:M810)</f>
        <v>855.84692561625934</v>
      </c>
      <c r="N812" s="760">
        <f>SUM(N793:N810)</f>
        <v>2293.1176027203392</v>
      </c>
      <c r="O812" s="760">
        <f>SUM(O792:O810)</f>
        <v>70.899839999999998</v>
      </c>
      <c r="P812" s="68"/>
      <c r="Q812" s="760">
        <f>SUM(Q793:Q810)</f>
        <v>0</v>
      </c>
      <c r="R812" s="760">
        <f>SUM(R793:R810)</f>
        <v>1054.2860905620514</v>
      </c>
      <c r="S812" s="760">
        <f>SUM(S793:S810)</f>
        <v>2283.1252504359059</v>
      </c>
      <c r="T812" s="68"/>
      <c r="U812" s="760">
        <f>SUM(U792:U810)</f>
        <v>3408.3111809979569</v>
      </c>
      <c r="V812" s="939">
        <f>J812/G812*100</f>
        <v>3.1363886476446154E-3</v>
      </c>
      <c r="W812" s="760">
        <f>SUM(W792:W810)</f>
        <v>188.44681266135848</v>
      </c>
      <c r="X812" s="979">
        <f>V812/I812-1</f>
        <v>0</v>
      </c>
      <c r="Y812" s="764"/>
      <c r="AA812" s="938"/>
      <c r="AC812" s="938"/>
    </row>
    <row r="813" spans="1:29" ht="13.5" thickTop="1">
      <c r="A813" s="4"/>
      <c r="B813" s="256"/>
      <c r="C813" s="12"/>
      <c r="D813" s="256"/>
      <c r="E813" s="36"/>
      <c r="F813" s="256"/>
      <c r="G813" s="453"/>
      <c r="H813" s="256"/>
      <c r="I813" s="792"/>
      <c r="J813" s="771"/>
      <c r="K813" s="771"/>
      <c r="L813" s="771"/>
      <c r="M813" s="771"/>
      <c r="N813" s="771"/>
      <c r="O813" s="771"/>
      <c r="P813" s="771"/>
      <c r="Q813" s="771"/>
      <c r="R813" s="771"/>
      <c r="S813" s="771"/>
      <c r="T813" s="771"/>
      <c r="U813" s="771"/>
      <c r="V813" s="771"/>
      <c r="W813" s="771"/>
      <c r="X813" s="978"/>
      <c r="Y813" s="779"/>
      <c r="AA813" s="938"/>
      <c r="AC813" s="938"/>
    </row>
    <row r="814" spans="1:29">
      <c r="A814" s="4"/>
      <c r="B814" s="256"/>
      <c r="C814" s="12"/>
      <c r="D814" s="256"/>
      <c r="E814" s="36"/>
      <c r="F814" s="256"/>
      <c r="G814" s="453"/>
      <c r="H814" s="256"/>
      <c r="I814" s="792"/>
      <c r="J814" s="771"/>
      <c r="K814" s="771"/>
      <c r="L814" s="771"/>
      <c r="M814" s="771"/>
      <c r="N814" s="771"/>
      <c r="O814" s="771"/>
      <c r="P814" s="771"/>
      <c r="Q814" s="771"/>
      <c r="R814" s="771"/>
      <c r="S814" s="771"/>
      <c r="T814" s="771"/>
      <c r="U814" s="771"/>
      <c r="V814" s="771"/>
      <c r="W814" s="771"/>
      <c r="X814" s="978"/>
      <c r="Y814" s="779"/>
      <c r="AA814" s="938"/>
      <c r="AC814" s="938"/>
    </row>
    <row r="815" spans="1:29">
      <c r="J815" s="504"/>
      <c r="K815" s="504"/>
      <c r="L815" s="2"/>
      <c r="M815" s="2"/>
      <c r="N815" s="504"/>
      <c r="O815" s="504"/>
      <c r="Q815" s="504"/>
      <c r="R815" s="504"/>
      <c r="S815" s="504"/>
      <c r="W815" s="504"/>
      <c r="X815" s="513"/>
      <c r="AA815" s="938"/>
      <c r="AC815" s="938"/>
    </row>
    <row r="816" spans="1:29">
      <c r="J816" s="504"/>
      <c r="K816" s="504"/>
      <c r="L816" s="2"/>
      <c r="M816" s="2"/>
      <c r="N816" s="504"/>
      <c r="O816" s="504"/>
      <c r="Q816" s="504"/>
      <c r="R816" s="504"/>
      <c r="S816" s="504"/>
      <c r="W816" s="504"/>
      <c r="X816" s="513"/>
      <c r="AA816" s="938"/>
      <c r="AC816" s="938"/>
    </row>
    <row r="817" spans="1:31">
      <c r="J817" s="504"/>
      <c r="K817" s="504"/>
      <c r="L817" s="2"/>
      <c r="M817" s="2"/>
      <c r="N817" s="504"/>
      <c r="O817" s="504"/>
      <c r="Q817" s="504"/>
      <c r="R817" s="504"/>
      <c r="S817" s="504"/>
      <c r="W817" s="762"/>
      <c r="X817" s="513"/>
      <c r="AA817" s="938"/>
      <c r="AC817" s="938"/>
    </row>
    <row r="818" spans="1:31">
      <c r="A818" s="1324" t="s">
        <v>724</v>
      </c>
      <c r="B818" s="1324"/>
      <c r="C818" s="1324"/>
      <c r="D818" s="1324"/>
      <c r="E818" s="1324"/>
      <c r="F818" s="1324"/>
      <c r="G818" s="1324"/>
      <c r="H818" s="1324"/>
      <c r="I818" s="1324"/>
      <c r="J818" s="1324"/>
      <c r="K818" s="1324"/>
      <c r="L818" s="1324"/>
      <c r="M818" s="1324"/>
      <c r="N818" s="1324"/>
      <c r="O818" s="1324"/>
      <c r="P818" s="1324"/>
      <c r="Q818" s="1324"/>
      <c r="R818" s="1324"/>
      <c r="S818" s="1324"/>
      <c r="T818" s="1324"/>
      <c r="U818" s="1324"/>
      <c r="V818" s="1324"/>
      <c r="W818" s="1324"/>
      <c r="X818" s="1324"/>
      <c r="Y818" s="665"/>
      <c r="AA818" s="938"/>
      <c r="AC818" s="938"/>
    </row>
    <row r="819" spans="1:31">
      <c r="A819" s="1324" t="s">
        <v>963</v>
      </c>
      <c r="B819" s="1324"/>
      <c r="C819" s="1324"/>
      <c r="D819" s="1324"/>
      <c r="E819" s="1324"/>
      <c r="F819" s="1324"/>
      <c r="G819" s="1324"/>
      <c r="H819" s="1324"/>
      <c r="I819" s="1324"/>
      <c r="J819" s="1324"/>
      <c r="K819" s="1324"/>
      <c r="L819" s="1324"/>
      <c r="M819" s="1324"/>
      <c r="N819" s="1324"/>
      <c r="O819" s="1324"/>
      <c r="P819" s="1324"/>
      <c r="Q819" s="1324"/>
      <c r="R819" s="1324"/>
      <c r="S819" s="1324"/>
      <c r="T819" s="1324"/>
      <c r="U819" s="1324"/>
      <c r="V819" s="1324"/>
      <c r="W819" s="1324"/>
      <c r="X819" s="1324"/>
      <c r="Y819" s="644"/>
      <c r="Z819" s="644"/>
      <c r="AA819" s="938"/>
      <c r="AC819" s="938"/>
    </row>
    <row r="820" spans="1:31">
      <c r="A820" s="385"/>
      <c r="B820" s="385"/>
      <c r="C820" s="385"/>
      <c r="D820" s="385"/>
      <c r="E820" s="447"/>
      <c r="F820" s="385"/>
      <c r="G820" s="447"/>
      <c r="H820" s="385"/>
      <c r="I820" s="385"/>
      <c r="J820" s="504"/>
      <c r="K820" s="504"/>
      <c r="L820" s="3"/>
      <c r="M820" s="3"/>
      <c r="N820" s="504"/>
      <c r="O820" s="504"/>
      <c r="P820" s="385"/>
      <c r="Q820" s="504"/>
      <c r="R820" s="504"/>
      <c r="S820" s="504"/>
      <c r="T820" s="385"/>
      <c r="U820" s="385"/>
      <c r="V820" s="385"/>
      <c r="W820" s="504"/>
      <c r="X820" s="513"/>
      <c r="AA820" s="938"/>
      <c r="AC820" s="938"/>
    </row>
    <row r="821" spans="1:31">
      <c r="A821" s="447"/>
      <c r="B821" s="447"/>
      <c r="C821" s="447"/>
      <c r="D821" s="447"/>
      <c r="E821" s="256"/>
      <c r="F821" s="256"/>
      <c r="G821" s="1313" t="s">
        <v>682</v>
      </c>
      <c r="H821" s="1313"/>
      <c r="I821" s="1313"/>
      <c r="J821" s="1313"/>
      <c r="K821" s="256"/>
      <c r="L821" s="1313" t="s">
        <v>496</v>
      </c>
      <c r="M821" s="1313"/>
      <c r="N821" s="1313"/>
      <c r="O821" s="256"/>
      <c r="P821" s="447"/>
      <c r="Q821" s="1313" t="s">
        <v>497</v>
      </c>
      <c r="R821" s="1313"/>
      <c r="S821" s="1313"/>
      <c r="T821" s="447"/>
      <c r="U821" s="1313" t="s">
        <v>683</v>
      </c>
      <c r="V821" s="1313"/>
      <c r="W821" s="1313"/>
      <c r="X821" s="1313"/>
      <c r="Y821" s="4"/>
      <c r="AA821" s="938"/>
      <c r="AC821" s="938"/>
    </row>
    <row r="822" spans="1:31" ht="38.25">
      <c r="A822" s="254" t="s">
        <v>1</v>
      </c>
      <c r="B822" s="254"/>
      <c r="C822" s="254"/>
      <c r="D822" s="254"/>
      <c r="E822" s="4" t="s">
        <v>670</v>
      </c>
      <c r="F822" s="254"/>
      <c r="G822" s="13" t="s">
        <v>684</v>
      </c>
      <c r="H822" s="254"/>
      <c r="I822" s="13" t="s">
        <v>196</v>
      </c>
      <c r="J822" s="254" t="s">
        <v>503</v>
      </c>
      <c r="K822" s="254"/>
      <c r="L822" s="254" t="s">
        <v>955</v>
      </c>
      <c r="M822" s="254" t="s">
        <v>956</v>
      </c>
      <c r="N822" s="254" t="s">
        <v>957</v>
      </c>
      <c r="O822" s="254" t="s">
        <v>688</v>
      </c>
      <c r="P822" s="254"/>
      <c r="Q822" s="254" t="s">
        <v>955</v>
      </c>
      <c r="R822" s="254" t="s">
        <v>956</v>
      </c>
      <c r="S822" s="254" t="s">
        <v>957</v>
      </c>
      <c r="T822" s="254"/>
      <c r="U822" s="13" t="s">
        <v>512</v>
      </c>
      <c r="V822" s="13" t="s">
        <v>691</v>
      </c>
      <c r="W822" s="13" t="s">
        <v>692</v>
      </c>
      <c r="X822" s="254" t="s">
        <v>693</v>
      </c>
      <c r="Y822" s="254"/>
      <c r="AA822" s="938"/>
      <c r="AC822" s="938"/>
    </row>
    <row r="823" spans="1:31">
      <c r="A823" s="255" t="s">
        <v>2</v>
      </c>
      <c r="B823" s="256"/>
      <c r="C823" s="449" t="s">
        <v>3</v>
      </c>
      <c r="D823" s="256"/>
      <c r="E823" s="255" t="s">
        <v>4</v>
      </c>
      <c r="F823" s="256"/>
      <c r="G823" s="255" t="s">
        <v>694</v>
      </c>
      <c r="H823" s="256"/>
      <c r="I823" s="255" t="s">
        <v>131</v>
      </c>
      <c r="J823" s="255" t="s">
        <v>20</v>
      </c>
      <c r="K823" s="4"/>
      <c r="L823" s="255" t="s">
        <v>20</v>
      </c>
      <c r="M823" s="255" t="s">
        <v>20</v>
      </c>
      <c r="N823" s="255" t="s">
        <v>20</v>
      </c>
      <c r="O823" s="255" t="s">
        <v>20</v>
      </c>
      <c r="P823" s="256"/>
      <c r="Q823" s="255" t="s">
        <v>20</v>
      </c>
      <c r="R823" s="255" t="s">
        <v>20</v>
      </c>
      <c r="S823" s="255" t="s">
        <v>20</v>
      </c>
      <c r="T823" s="256"/>
      <c r="U823" s="255" t="s">
        <v>20</v>
      </c>
      <c r="V823" s="255" t="s">
        <v>131</v>
      </c>
      <c r="W823" s="255" t="s">
        <v>20</v>
      </c>
      <c r="X823" s="255" t="s">
        <v>76</v>
      </c>
      <c r="Y823" s="4"/>
      <c r="AA823" s="938"/>
      <c r="AC823" s="938"/>
    </row>
    <row r="824" spans="1:31">
      <c r="A824" s="4"/>
      <c r="B824" s="256"/>
      <c r="C824" s="256"/>
      <c r="D824" s="256"/>
      <c r="E824" s="4"/>
      <c r="F824" s="256"/>
      <c r="G824" s="4" t="s">
        <v>8</v>
      </c>
      <c r="H824" s="4"/>
      <c r="I824" s="4" t="s">
        <v>9</v>
      </c>
      <c r="J824" s="4" t="s">
        <v>370</v>
      </c>
      <c r="K824" s="4"/>
      <c r="L824" s="132" t="s">
        <v>79</v>
      </c>
      <c r="M824" s="132" t="s">
        <v>115</v>
      </c>
      <c r="N824" s="4" t="s">
        <v>81</v>
      </c>
      <c r="O824" s="4" t="s">
        <v>959</v>
      </c>
      <c r="P824" s="4"/>
      <c r="Q824" s="4" t="s">
        <v>118</v>
      </c>
      <c r="R824" s="4" t="s">
        <v>84</v>
      </c>
      <c r="S824" s="4" t="s">
        <v>516</v>
      </c>
      <c r="T824" s="4"/>
      <c r="U824" s="4" t="s">
        <v>960</v>
      </c>
      <c r="V824" s="4" t="s">
        <v>518</v>
      </c>
      <c r="W824" s="4" t="s">
        <v>961</v>
      </c>
      <c r="X824" s="4" t="s">
        <v>962</v>
      </c>
      <c r="AA824" s="938"/>
      <c r="AC824" s="938"/>
    </row>
    <row r="825" spans="1:31">
      <c r="C825" s="512"/>
      <c r="E825" s="36"/>
      <c r="G825" s="35"/>
      <c r="J825" s="762"/>
      <c r="K825" s="762"/>
      <c r="L825" s="762"/>
      <c r="M825" s="762"/>
      <c r="N825" s="762"/>
      <c r="O825" s="762"/>
      <c r="P825" s="68"/>
      <c r="Q825" s="762"/>
      <c r="R825" s="762"/>
      <c r="S825" s="762"/>
      <c r="T825" s="68"/>
      <c r="U825" s="68"/>
      <c r="V825" s="68"/>
      <c r="W825" s="762"/>
      <c r="X825" s="513"/>
    </row>
    <row r="826" spans="1:31">
      <c r="A826" s="4"/>
      <c r="B826" s="256"/>
      <c r="C826" s="553" t="s">
        <v>896</v>
      </c>
      <c r="D826" s="256"/>
      <c r="E826" s="742"/>
      <c r="F826" s="256"/>
      <c r="G826" s="35"/>
      <c r="H826" s="256"/>
      <c r="I826" s="256"/>
      <c r="J826" s="762"/>
      <c r="K826" s="762"/>
      <c r="L826" s="762"/>
      <c r="M826" s="762"/>
      <c r="N826" s="762"/>
      <c r="O826" s="762"/>
      <c r="P826" s="771"/>
      <c r="Q826" s="762"/>
      <c r="R826" s="762"/>
      <c r="S826" s="762"/>
      <c r="T826" s="771"/>
      <c r="U826" s="771"/>
      <c r="V826" s="771"/>
      <c r="W826" s="762"/>
      <c r="X826" s="513"/>
      <c r="AA826" s="938"/>
    </row>
    <row r="827" spans="1:31">
      <c r="A827" s="1">
        <v>361</v>
      </c>
      <c r="C827" s="512" t="s">
        <v>897</v>
      </c>
      <c r="E827" s="513" t="s">
        <v>704</v>
      </c>
      <c r="G827" s="35">
        <v>24</v>
      </c>
      <c r="I827" s="35">
        <v>0</v>
      </c>
      <c r="J827" s="35">
        <v>0</v>
      </c>
      <c r="K827" s="762"/>
      <c r="L827" s="35">
        <v>0</v>
      </c>
      <c r="M827" s="35">
        <v>0</v>
      </c>
      <c r="N827" s="35">
        <v>0</v>
      </c>
      <c r="O827" s="35">
        <v>0</v>
      </c>
      <c r="P827" s="68"/>
      <c r="Q827" s="35">
        <v>0</v>
      </c>
      <c r="R827" s="35">
        <v>0</v>
      </c>
      <c r="S827" s="35">
        <v>0</v>
      </c>
      <c r="T827" s="68"/>
      <c r="U827" s="35">
        <v>0</v>
      </c>
      <c r="V827" s="35">
        <f>U827/G827*1000</f>
        <v>0</v>
      </c>
      <c r="W827" s="762">
        <f>U827-O827</f>
        <v>0</v>
      </c>
      <c r="X827" s="834"/>
      <c r="Y827" s="769"/>
      <c r="AA827" s="938"/>
      <c r="AE827" s="943"/>
    </row>
    <row r="828" spans="1:31">
      <c r="A828" s="1">
        <v>362</v>
      </c>
      <c r="B828" s="256"/>
      <c r="C828" s="512" t="s">
        <v>898</v>
      </c>
      <c r="D828" s="256"/>
      <c r="E828" s="513" t="s">
        <v>777</v>
      </c>
      <c r="F828" s="256"/>
      <c r="G828" s="35">
        <v>4791112.166666666</v>
      </c>
      <c r="H828" s="256"/>
      <c r="I828" s="35">
        <v>0</v>
      </c>
      <c r="J828" s="35">
        <v>0</v>
      </c>
      <c r="K828" s="762"/>
      <c r="L828" s="35"/>
      <c r="M828" s="35"/>
      <c r="N828" s="35"/>
      <c r="O828" s="762"/>
      <c r="P828" s="771"/>
      <c r="Q828" s="35"/>
      <c r="R828" s="35"/>
      <c r="S828" s="35"/>
      <c r="T828" s="771"/>
      <c r="U828" s="35">
        <v>0</v>
      </c>
      <c r="V828" s="35">
        <f>U828/G828*1000</f>
        <v>0</v>
      </c>
      <c r="W828" s="762">
        <f>U828-O828</f>
        <v>0</v>
      </c>
      <c r="X828" s="834"/>
      <c r="Y828" s="769"/>
      <c r="AA828" s="938"/>
      <c r="AE828" s="941"/>
    </row>
    <row r="829" spans="1:31">
      <c r="A829" s="1">
        <v>363</v>
      </c>
      <c r="B829" s="256"/>
      <c r="C829" s="512" t="s">
        <v>899</v>
      </c>
      <c r="D829" s="256"/>
      <c r="E829" s="513" t="s">
        <v>777</v>
      </c>
      <c r="F829" s="256"/>
      <c r="G829" s="35">
        <v>4791112.166666666</v>
      </c>
      <c r="H829" s="256"/>
      <c r="I829" s="773">
        <v>8.9999999999999993E-3</v>
      </c>
      <c r="J829" s="35">
        <v>43.120009500000002</v>
      </c>
      <c r="K829" s="35"/>
      <c r="L829" s="35">
        <v>0</v>
      </c>
      <c r="M829" s="35">
        <v>43.120009500000002</v>
      </c>
      <c r="N829" s="35">
        <v>0</v>
      </c>
      <c r="O829" s="35">
        <f>J829-L829-M829-N829</f>
        <v>0</v>
      </c>
      <c r="P829" s="771"/>
      <c r="Q829" s="35">
        <v>0</v>
      </c>
      <c r="R829" s="35">
        <v>53.702699847298454</v>
      </c>
      <c r="S829" s="35">
        <v>0</v>
      </c>
      <c r="T829" s="771"/>
      <c r="U829" s="68">
        <f>SUM(O829:S829)</f>
        <v>53.702699847298454</v>
      </c>
      <c r="V829" s="773">
        <v>1.0999999999999999E-2</v>
      </c>
      <c r="W829" s="762">
        <f>U829-J829</f>
        <v>10.582690347298453</v>
      </c>
      <c r="X829" s="35">
        <v>0</v>
      </c>
      <c r="Y829" s="769"/>
      <c r="AA829" s="938"/>
      <c r="AE829" s="941"/>
    </row>
    <row r="830" spans="1:31">
      <c r="A830" s="1">
        <v>364</v>
      </c>
      <c r="B830" s="256"/>
      <c r="C830" s="512" t="s">
        <v>900</v>
      </c>
      <c r="D830" s="256"/>
      <c r="E830" s="513" t="s">
        <v>777</v>
      </c>
      <c r="F830" s="256"/>
      <c r="G830" s="504"/>
      <c r="H830" s="504"/>
      <c r="I830" s="504"/>
      <c r="J830" s="504"/>
      <c r="K830" s="504"/>
      <c r="L830" s="504"/>
      <c r="M830" s="504"/>
      <c r="N830" s="504"/>
      <c r="O830" s="504"/>
      <c r="P830" s="504"/>
      <c r="Q830" s="504"/>
      <c r="R830" s="504"/>
      <c r="S830" s="504"/>
      <c r="T830" s="504"/>
      <c r="U830" s="504"/>
      <c r="V830" s="504"/>
      <c r="W830" s="504"/>
      <c r="X830" s="504"/>
      <c r="Y830" s="35"/>
      <c r="AA830" s="938"/>
      <c r="AC830" s="938"/>
      <c r="AE830" s="941"/>
    </row>
    <row r="831" spans="1:31">
      <c r="A831" s="4"/>
      <c r="B831" s="256"/>
      <c r="C831" s="7"/>
      <c r="D831" s="256"/>
      <c r="E831" s="742"/>
      <c r="F831" s="256"/>
      <c r="G831" s="453"/>
      <c r="H831" s="256"/>
      <c r="I831" s="256"/>
      <c r="J831" s="762"/>
      <c r="K831" s="762"/>
      <c r="L831" s="762"/>
      <c r="M831" s="762"/>
      <c r="N831" s="762"/>
      <c r="O831" s="762"/>
      <c r="P831" s="771"/>
      <c r="Q831" s="762"/>
      <c r="R831" s="762"/>
      <c r="S831" s="762"/>
      <c r="T831" s="771"/>
      <c r="U831" s="771"/>
      <c r="V831" s="771"/>
      <c r="W831" s="762"/>
      <c r="X831" s="834"/>
      <c r="Y831" s="769"/>
      <c r="AA831" s="938"/>
    </row>
    <row r="832" spans="1:31" ht="13.5" thickBot="1">
      <c r="A832" s="1">
        <v>365</v>
      </c>
      <c r="C832" s="791" t="str">
        <f>"Total " &amp;C826</f>
        <v>Total Rate M13</v>
      </c>
      <c r="G832" s="760">
        <f>G829</f>
        <v>4791112.166666666</v>
      </c>
      <c r="I832" s="940">
        <f>J832/G832*100</f>
        <v>9.0000000000000019E-4</v>
      </c>
      <c r="J832" s="760">
        <f>SUM(J827:J829)</f>
        <v>43.120009500000002</v>
      </c>
      <c r="K832" s="68"/>
      <c r="L832" s="760">
        <f>SUM(L827:L829)</f>
        <v>0</v>
      </c>
      <c r="M832" s="760">
        <f>SUM(M827:M829)</f>
        <v>43.120009500000002</v>
      </c>
      <c r="N832" s="760">
        <f>SUM(N827:N829)</f>
        <v>0</v>
      </c>
      <c r="O832" s="760">
        <f>SUM(O827:O829)</f>
        <v>0</v>
      </c>
      <c r="P832" s="68"/>
      <c r="Q832" s="760">
        <f>SUM(Q827:Q829)</f>
        <v>0</v>
      </c>
      <c r="R832" s="760">
        <f>SUM(R827:R829)</f>
        <v>53.702699847298454</v>
      </c>
      <c r="S832" s="760">
        <f>SUM(S827:S829)</f>
        <v>0</v>
      </c>
      <c r="T832" s="68"/>
      <c r="U832" s="760">
        <f>SUM(U827:U829)</f>
        <v>53.702699847298454</v>
      </c>
      <c r="V832" s="940">
        <f>U832/G832*100</f>
        <v>1.1208817071937012E-3</v>
      </c>
      <c r="W832" s="760">
        <f>SUM(W827:W829)</f>
        <v>10.582690347298453</v>
      </c>
      <c r="X832" s="975">
        <f>V832/I832-1</f>
        <v>0.24542411910411221</v>
      </c>
      <c r="Y832" s="764"/>
      <c r="AA832" s="938"/>
      <c r="AC832" s="938"/>
    </row>
    <row r="833" spans="1:31" ht="13.5" thickTop="1">
      <c r="A833" s="4"/>
      <c r="B833" s="734"/>
      <c r="C833" s="7"/>
      <c r="D833" s="734"/>
      <c r="E833" s="734"/>
      <c r="F833" s="734"/>
      <c r="G833" s="734"/>
      <c r="H833" s="734"/>
      <c r="I833" s="734"/>
      <c r="J833" s="762"/>
      <c r="K833" s="762"/>
      <c r="L833" s="762"/>
      <c r="M833" s="762"/>
      <c r="N833" s="762"/>
      <c r="O833" s="762"/>
      <c r="P833" s="790"/>
      <c r="Q833" s="762"/>
      <c r="R833" s="762"/>
      <c r="S833" s="762"/>
      <c r="T833" s="790"/>
      <c r="U833" s="790"/>
      <c r="V833" s="790"/>
      <c r="W833" s="762"/>
      <c r="X833" s="666"/>
    </row>
    <row r="834" spans="1:31">
      <c r="A834" s="1">
        <v>366</v>
      </c>
      <c r="B834" s="385"/>
      <c r="C834" s="512" t="s">
        <v>901</v>
      </c>
      <c r="D834" s="385"/>
      <c r="E834" s="513" t="s">
        <v>704</v>
      </c>
      <c r="F834" s="385"/>
      <c r="G834" s="35">
        <v>768</v>
      </c>
      <c r="H834" s="385"/>
      <c r="I834" s="35">
        <v>0</v>
      </c>
      <c r="J834" s="762">
        <v>0</v>
      </c>
      <c r="K834" s="762"/>
      <c r="L834" s="762">
        <v>0</v>
      </c>
      <c r="M834" s="762">
        <v>0</v>
      </c>
      <c r="N834" s="762">
        <v>0</v>
      </c>
      <c r="O834" s="762">
        <v>0</v>
      </c>
      <c r="P834" s="789"/>
      <c r="Q834" s="762">
        <v>0</v>
      </c>
      <c r="R834" s="762">
        <v>0</v>
      </c>
      <c r="S834" s="762">
        <v>0</v>
      </c>
      <c r="T834" s="789"/>
      <c r="U834" s="453">
        <v>0</v>
      </c>
      <c r="V834" s="453">
        <v>0</v>
      </c>
      <c r="W834" s="762">
        <v>0</v>
      </c>
      <c r="X834" s="666"/>
      <c r="AA834" s="938"/>
    </row>
    <row r="835" spans="1:31">
      <c r="A835" s="4"/>
      <c r="B835" s="447"/>
      <c r="C835" s="447"/>
      <c r="D835" s="447"/>
      <c r="E835" s="385"/>
      <c r="F835" s="447"/>
      <c r="G835" s="385"/>
      <c r="H835" s="447"/>
      <c r="I835" s="447"/>
      <c r="J835" s="762"/>
      <c r="K835" s="762"/>
      <c r="L835" s="762"/>
      <c r="M835" s="762"/>
      <c r="N835" s="762"/>
      <c r="O835" s="762"/>
      <c r="P835" s="787"/>
      <c r="Q835" s="762"/>
      <c r="R835" s="762"/>
      <c r="S835" s="762"/>
      <c r="T835" s="787"/>
      <c r="U835" s="787"/>
      <c r="V835" s="787"/>
      <c r="W835" s="762"/>
      <c r="X835" s="666"/>
    </row>
    <row r="836" spans="1:31">
      <c r="A836" s="4"/>
      <c r="B836" s="254"/>
      <c r="C836" s="6" t="s">
        <v>531</v>
      </c>
      <c r="D836" s="254"/>
      <c r="E836" s="4"/>
      <c r="F836" s="254"/>
      <c r="G836" s="13"/>
      <c r="H836" s="254"/>
      <c r="I836" s="254"/>
      <c r="J836" s="762"/>
      <c r="K836" s="762"/>
      <c r="L836" s="762"/>
      <c r="M836" s="762"/>
      <c r="N836" s="762"/>
      <c r="O836" s="762"/>
      <c r="P836" s="786"/>
      <c r="Q836" s="762"/>
      <c r="R836" s="762"/>
      <c r="S836" s="762"/>
      <c r="T836" s="786"/>
      <c r="U836" s="786"/>
      <c r="V836" s="786"/>
      <c r="W836" s="762"/>
      <c r="X836" s="666"/>
    </row>
    <row r="837" spans="1:31">
      <c r="A837" s="1">
        <v>367</v>
      </c>
      <c r="B837" s="4"/>
      <c r="C837" s="512" t="s">
        <v>897</v>
      </c>
      <c r="D837" s="256"/>
      <c r="E837" s="513" t="s">
        <v>704</v>
      </c>
      <c r="F837" s="256"/>
      <c r="G837" s="35">
        <v>24</v>
      </c>
      <c r="H837" s="256"/>
      <c r="I837" s="35">
        <v>0</v>
      </c>
      <c r="J837" s="762">
        <v>0</v>
      </c>
      <c r="K837" s="762"/>
      <c r="L837" s="35">
        <v>0</v>
      </c>
      <c r="M837" s="35">
        <v>0</v>
      </c>
      <c r="N837" s="35">
        <v>0</v>
      </c>
      <c r="O837" s="762">
        <v>0</v>
      </c>
      <c r="P837" s="771"/>
      <c r="Q837" s="35">
        <v>0</v>
      </c>
      <c r="R837" s="35">
        <v>0</v>
      </c>
      <c r="S837" s="35">
        <v>0</v>
      </c>
      <c r="T837" s="771"/>
      <c r="U837" s="762">
        <v>0</v>
      </c>
      <c r="V837" s="35">
        <f>U837/G837*1000</f>
        <v>0</v>
      </c>
      <c r="W837" s="762">
        <v>0</v>
      </c>
      <c r="X837" s="834"/>
      <c r="Y837" s="769"/>
      <c r="AA837" s="938"/>
      <c r="AE837" s="943"/>
    </row>
    <row r="838" spans="1:31">
      <c r="A838" s="1">
        <v>368</v>
      </c>
      <c r="B838" s="4"/>
      <c r="C838" s="512" t="s">
        <v>898</v>
      </c>
      <c r="D838" s="256"/>
      <c r="E838" s="513" t="s">
        <v>777</v>
      </c>
      <c r="F838" s="256"/>
      <c r="G838" s="35">
        <v>5198226.8965517245</v>
      </c>
      <c r="H838" s="256"/>
      <c r="I838" s="35">
        <v>0</v>
      </c>
      <c r="J838" s="762">
        <v>0</v>
      </c>
      <c r="K838" s="762"/>
      <c r="L838" s="35">
        <v>0</v>
      </c>
      <c r="M838" s="35">
        <v>0</v>
      </c>
      <c r="N838" s="35">
        <v>0</v>
      </c>
      <c r="O838" s="762">
        <v>0</v>
      </c>
      <c r="P838" s="771"/>
      <c r="Q838" s="35">
        <v>0</v>
      </c>
      <c r="R838" s="35">
        <v>0</v>
      </c>
      <c r="S838" s="35">
        <v>0</v>
      </c>
      <c r="T838" s="771"/>
      <c r="U838" s="762">
        <v>0</v>
      </c>
      <c r="V838" s="35">
        <f>U838/G838*1000</f>
        <v>0</v>
      </c>
      <c r="W838" s="762">
        <v>0</v>
      </c>
      <c r="X838" s="834"/>
      <c r="Y838" s="769"/>
      <c r="AA838" s="938"/>
      <c r="AE838" s="941"/>
    </row>
    <row r="839" spans="1:31">
      <c r="B839" s="4"/>
      <c r="C839" s="512" t="s">
        <v>902</v>
      </c>
      <c r="D839" s="256"/>
      <c r="E839" s="513"/>
      <c r="F839" s="256"/>
      <c r="G839" s="35"/>
      <c r="H839" s="256"/>
      <c r="I839" s="778"/>
      <c r="J839" s="762"/>
      <c r="K839" s="762"/>
      <c r="L839" s="762"/>
      <c r="M839" s="762"/>
      <c r="N839" s="762"/>
      <c r="O839" s="762"/>
      <c r="P839" s="771"/>
      <c r="Q839" s="762"/>
      <c r="R839" s="762"/>
      <c r="S839" s="762"/>
      <c r="T839" s="771"/>
      <c r="U839" s="762"/>
      <c r="V839" s="35"/>
      <c r="W839" s="762"/>
      <c r="X839" s="834"/>
      <c r="Y839" s="769"/>
      <c r="AA839" s="938"/>
      <c r="AE839" s="941"/>
    </row>
    <row r="840" spans="1:31">
      <c r="A840" s="1">
        <v>369</v>
      </c>
      <c r="B840" s="4"/>
      <c r="C840" s="519" t="s">
        <v>903</v>
      </c>
      <c r="D840" s="256"/>
      <c r="E840" s="513" t="s">
        <v>775</v>
      </c>
      <c r="F840" s="256"/>
      <c r="G840" s="35">
        <v>7333.3333333333339</v>
      </c>
      <c r="H840" s="256"/>
      <c r="I840" s="35">
        <v>0</v>
      </c>
      <c r="J840" s="35">
        <v>14.08</v>
      </c>
      <c r="K840" s="35"/>
      <c r="L840" s="35">
        <v>0</v>
      </c>
      <c r="M840" s="35">
        <v>0</v>
      </c>
      <c r="N840" s="35">
        <v>0</v>
      </c>
      <c r="O840" s="35">
        <f>J840-L840-M840-N840</f>
        <v>14.08</v>
      </c>
      <c r="P840" s="35"/>
      <c r="Q840" s="35">
        <v>0</v>
      </c>
      <c r="R840" s="35">
        <v>0</v>
      </c>
      <c r="S840" s="35">
        <v>0</v>
      </c>
      <c r="T840" s="35"/>
      <c r="U840" s="35">
        <f>SUM(O840:S840)</f>
        <v>14.08</v>
      </c>
      <c r="V840" s="35">
        <v>0</v>
      </c>
      <c r="W840" s="762">
        <f>U840-J840</f>
        <v>0</v>
      </c>
      <c r="X840" s="834"/>
      <c r="Y840" s="769"/>
      <c r="AA840" s="938"/>
    </row>
    <row r="841" spans="1:31">
      <c r="A841" s="1">
        <v>370</v>
      </c>
      <c r="B841" s="4"/>
      <c r="C841" s="519" t="s">
        <v>904</v>
      </c>
      <c r="E841" s="513" t="s">
        <v>777</v>
      </c>
      <c r="G841" s="35">
        <v>655235.89655172406</v>
      </c>
      <c r="I841" s="784">
        <v>8.9999999999999993E-3</v>
      </c>
      <c r="J841" s="35">
        <v>5.8971230689655147</v>
      </c>
      <c r="K841" s="35"/>
      <c r="L841" s="35">
        <v>0</v>
      </c>
      <c r="M841" s="35">
        <v>5.8971230689655147</v>
      </c>
      <c r="N841" s="35">
        <v>0</v>
      </c>
      <c r="O841" s="35">
        <f>J841-L841-M841-N841</f>
        <v>0</v>
      </c>
      <c r="P841" s="35"/>
      <c r="Q841" s="35">
        <v>0</v>
      </c>
      <c r="R841" s="35">
        <v>7.2829167841791715</v>
      </c>
      <c r="S841" s="35">
        <v>0</v>
      </c>
      <c r="T841" s="68"/>
      <c r="U841" s="35">
        <f>SUM(O841:S841)</f>
        <v>7.2829167841791715</v>
      </c>
      <c r="V841" s="35">
        <v>0</v>
      </c>
      <c r="W841" s="762">
        <f>U841-J841</f>
        <v>1.3857937152136568</v>
      </c>
      <c r="X841" s="827"/>
      <c r="Y841" s="782"/>
      <c r="AA841" s="938"/>
      <c r="AC841" s="938"/>
    </row>
    <row r="842" spans="1:31">
      <c r="A842" s="1">
        <v>371</v>
      </c>
      <c r="B842" s="1"/>
      <c r="C842" s="519" t="s">
        <v>905</v>
      </c>
      <c r="E842" s="513" t="s">
        <v>777</v>
      </c>
      <c r="G842" s="35">
        <v>642043</v>
      </c>
      <c r="I842" s="784">
        <v>2.5999999999999999E-2</v>
      </c>
      <c r="J842" s="35">
        <v>16.693118000000002</v>
      </c>
      <c r="K842" s="35"/>
      <c r="L842" s="35">
        <v>0</v>
      </c>
      <c r="M842" s="35">
        <v>5.7783869999999995</v>
      </c>
      <c r="N842" s="35">
        <v>10.914731000000003</v>
      </c>
      <c r="O842" s="35">
        <f>J842-L842-M842-N842</f>
        <v>0</v>
      </c>
      <c r="P842" s="35"/>
      <c r="Q842" s="35">
        <v>0</v>
      </c>
      <c r="R842" s="35">
        <v>7.136278347191606</v>
      </c>
      <c r="S842" s="35">
        <v>10.721589673932364</v>
      </c>
      <c r="T842" s="68"/>
      <c r="U842" s="35">
        <f>SUM(O842:S842)</f>
        <v>17.85786802112397</v>
      </c>
      <c r="V842" s="35">
        <v>0</v>
      </c>
      <c r="W842" s="762">
        <f>U842-J842</f>
        <v>1.1647500211239681</v>
      </c>
      <c r="X842" s="827"/>
      <c r="Y842" s="782"/>
      <c r="AA842" s="938"/>
      <c r="AC842" s="938"/>
    </row>
    <row r="843" spans="1:31">
      <c r="A843" s="1">
        <v>372</v>
      </c>
      <c r="B843" s="4"/>
      <c r="C843" s="519" t="s">
        <v>906</v>
      </c>
      <c r="D843" s="256"/>
      <c r="E843" s="513" t="s">
        <v>777</v>
      </c>
      <c r="F843" s="256"/>
      <c r="G843" s="35">
        <v>4542991</v>
      </c>
      <c r="H843" s="256"/>
      <c r="I843" s="784">
        <v>1.7286803034389036E-3</v>
      </c>
      <c r="J843" s="35">
        <v>41.728935447364961</v>
      </c>
      <c r="K843" s="35"/>
      <c r="L843" s="35">
        <v>0</v>
      </c>
      <c r="M843" s="35">
        <v>41.728935447364961</v>
      </c>
      <c r="N843" s="35">
        <v>0</v>
      </c>
      <c r="O843" s="35">
        <f>J843-L843-M843-N843</f>
        <v>0</v>
      </c>
      <c r="P843" s="35"/>
      <c r="Q843" s="35">
        <v>0</v>
      </c>
      <c r="R843" s="35">
        <v>50.878473061179172</v>
      </c>
      <c r="S843" s="35">
        <v>0</v>
      </c>
      <c r="T843" s="771"/>
      <c r="U843" s="35">
        <f>SUM(O843:S843)</f>
        <v>50.878473061179172</v>
      </c>
      <c r="V843" s="35">
        <v>0</v>
      </c>
      <c r="W843" s="762">
        <f>U843-J843</f>
        <v>9.1495376138142106</v>
      </c>
      <c r="X843" s="827"/>
      <c r="Y843" s="782"/>
      <c r="AA843" s="938"/>
      <c r="AC843" s="938"/>
    </row>
    <row r="844" spans="1:31">
      <c r="A844" s="1">
        <v>373</v>
      </c>
      <c r="B844" s="4"/>
      <c r="C844" s="519" t="s">
        <v>907</v>
      </c>
      <c r="D844" s="256"/>
      <c r="E844" s="513" t="s">
        <v>777</v>
      </c>
      <c r="F844" s="256"/>
      <c r="G844" s="35">
        <v>5048908.75</v>
      </c>
      <c r="H844" s="256"/>
      <c r="I844" s="784">
        <v>4.9154748349439599E-3</v>
      </c>
      <c r="J844" s="35">
        <v>131.890024936407</v>
      </c>
      <c r="K844" s="35"/>
      <c r="L844" s="35">
        <v>0</v>
      </c>
      <c r="M844" s="35">
        <v>46.375964052842299</v>
      </c>
      <c r="N844" s="35">
        <v>85.514060883564696</v>
      </c>
      <c r="O844" s="35">
        <f>J844-L844-M844-N844</f>
        <v>0</v>
      </c>
      <c r="P844" s="35"/>
      <c r="Q844" s="35">
        <v>0</v>
      </c>
      <c r="R844" s="35">
        <v>56.54441486351763</v>
      </c>
      <c r="S844" s="35">
        <v>85.300245828337694</v>
      </c>
      <c r="T844" s="771"/>
      <c r="U844" s="35">
        <f>SUM(O844:S844)</f>
        <v>141.84466069185532</v>
      </c>
      <c r="V844" s="35">
        <v>0</v>
      </c>
      <c r="W844" s="762">
        <f>U844-J844</f>
        <v>9.9546357554483222</v>
      </c>
      <c r="X844" s="827"/>
      <c r="Y844" s="782"/>
      <c r="AA844" s="938"/>
      <c r="AC844" s="938"/>
    </row>
    <row r="845" spans="1:31">
      <c r="A845" s="4"/>
      <c r="B845" s="4"/>
      <c r="C845" s="512" t="s">
        <v>908</v>
      </c>
      <c r="D845" s="256"/>
      <c r="E845" s="513"/>
      <c r="F845" s="256"/>
      <c r="G845" s="35"/>
      <c r="H845" s="256"/>
      <c r="I845" s="256"/>
      <c r="J845" s="35"/>
      <c r="K845" s="35"/>
      <c r="L845" s="35"/>
      <c r="M845" s="35"/>
      <c r="N845" s="35"/>
      <c r="O845" s="35"/>
      <c r="P845" s="35"/>
      <c r="Q845" s="762"/>
      <c r="R845" s="762"/>
      <c r="S845" s="762"/>
      <c r="T845" s="771"/>
      <c r="U845" s="771"/>
      <c r="V845" s="771"/>
      <c r="W845" s="762"/>
      <c r="X845" s="834"/>
      <c r="Y845" s="769"/>
    </row>
    <row r="846" spans="1:31">
      <c r="A846" s="1">
        <v>374</v>
      </c>
      <c r="B846" s="4"/>
      <c r="C846" s="519" t="s">
        <v>903</v>
      </c>
      <c r="D846" s="256"/>
      <c r="E846" s="513" t="s">
        <v>775</v>
      </c>
      <c r="F846" s="256"/>
      <c r="G846" s="35">
        <v>0</v>
      </c>
      <c r="H846" s="256"/>
      <c r="I846" s="35">
        <v>0</v>
      </c>
      <c r="J846" s="35">
        <v>0</v>
      </c>
      <c r="K846" s="35"/>
      <c r="L846" s="35">
        <v>0</v>
      </c>
      <c r="M846" s="35">
        <v>0</v>
      </c>
      <c r="N846" s="35">
        <v>0</v>
      </c>
      <c r="O846" s="35">
        <v>0</v>
      </c>
      <c r="P846" s="771"/>
      <c r="Q846" s="35">
        <v>0</v>
      </c>
      <c r="R846" s="35">
        <v>0</v>
      </c>
      <c r="S846" s="35">
        <v>0</v>
      </c>
      <c r="T846" s="771"/>
      <c r="U846" s="35">
        <v>0</v>
      </c>
      <c r="V846" s="35">
        <v>0</v>
      </c>
      <c r="W846" s="762">
        <f>U846-J846</f>
        <v>0</v>
      </c>
      <c r="X846" s="827"/>
      <c r="Y846" s="782"/>
    </row>
    <row r="847" spans="1:31">
      <c r="A847" s="1">
        <v>375</v>
      </c>
      <c r="B847" s="4"/>
      <c r="C847" s="519" t="s">
        <v>904</v>
      </c>
      <c r="D847" s="256"/>
      <c r="E847" s="513" t="s">
        <v>777</v>
      </c>
      <c r="F847" s="256"/>
      <c r="G847" s="35">
        <v>0</v>
      </c>
      <c r="H847" s="256"/>
      <c r="I847" s="784">
        <v>8.9999999999999993E-3</v>
      </c>
      <c r="J847" s="35">
        <v>0</v>
      </c>
      <c r="K847" s="35"/>
      <c r="L847" s="35">
        <v>0</v>
      </c>
      <c r="M847" s="35">
        <v>0</v>
      </c>
      <c r="N847" s="35">
        <v>0</v>
      </c>
      <c r="O847" s="35">
        <v>0</v>
      </c>
      <c r="P847" s="771"/>
      <c r="Q847" s="35">
        <v>0</v>
      </c>
      <c r="R847" s="35">
        <v>0</v>
      </c>
      <c r="S847" s="35">
        <v>0</v>
      </c>
      <c r="T847" s="771"/>
      <c r="U847" s="35">
        <v>0</v>
      </c>
      <c r="V847" s="35">
        <v>0</v>
      </c>
      <c r="W847" s="762">
        <f>U847-J847</f>
        <v>0</v>
      </c>
      <c r="X847" s="827"/>
      <c r="Y847" s="782"/>
    </row>
    <row r="848" spans="1:31">
      <c r="A848" s="1">
        <v>376</v>
      </c>
      <c r="B848" s="4"/>
      <c r="C848" s="519" t="s">
        <v>905</v>
      </c>
      <c r="D848" s="256"/>
      <c r="E848" s="513" t="s">
        <v>777</v>
      </c>
      <c r="F848" s="256"/>
      <c r="G848" s="35">
        <v>0</v>
      </c>
      <c r="H848" s="256"/>
      <c r="I848" s="784">
        <v>1.0999999999999999E-2</v>
      </c>
      <c r="J848" s="35">
        <v>0</v>
      </c>
      <c r="K848" s="35"/>
      <c r="L848" s="35">
        <v>0</v>
      </c>
      <c r="M848" s="35">
        <v>0</v>
      </c>
      <c r="N848" s="35">
        <v>0</v>
      </c>
      <c r="O848" s="35">
        <v>0</v>
      </c>
      <c r="P848" s="771"/>
      <c r="Q848" s="35">
        <v>0</v>
      </c>
      <c r="R848" s="35">
        <v>0</v>
      </c>
      <c r="S848" s="35">
        <v>0</v>
      </c>
      <c r="T848" s="771"/>
      <c r="U848" s="35">
        <v>0</v>
      </c>
      <c r="V848" s="35">
        <v>0</v>
      </c>
      <c r="W848" s="762">
        <f>U848-J848</f>
        <v>0</v>
      </c>
      <c r="X848" s="827"/>
      <c r="Y848" s="782"/>
    </row>
    <row r="849" spans="1:29">
      <c r="A849" s="1">
        <v>377</v>
      </c>
      <c r="B849" s="4"/>
      <c r="C849" s="519" t="s">
        <v>906</v>
      </c>
      <c r="D849" s="256"/>
      <c r="E849" s="513" t="s">
        <v>777</v>
      </c>
      <c r="F849" s="256"/>
      <c r="G849" s="35">
        <v>0</v>
      </c>
      <c r="H849" s="256"/>
      <c r="I849" s="783">
        <v>1.7286803034389036E-3</v>
      </c>
      <c r="J849" s="35">
        <v>0</v>
      </c>
      <c r="K849" s="35"/>
      <c r="L849" s="35">
        <v>0</v>
      </c>
      <c r="M849" s="35">
        <v>0</v>
      </c>
      <c r="N849" s="35">
        <v>0</v>
      </c>
      <c r="O849" s="35">
        <v>0</v>
      </c>
      <c r="P849" s="771"/>
      <c r="Q849" s="35">
        <v>0</v>
      </c>
      <c r="R849" s="35">
        <v>0</v>
      </c>
      <c r="S849" s="35">
        <v>0</v>
      </c>
      <c r="T849" s="771"/>
      <c r="U849" s="35">
        <v>0</v>
      </c>
      <c r="V849" s="35">
        <v>0</v>
      </c>
      <c r="W849" s="762">
        <f>U849-J849</f>
        <v>0</v>
      </c>
      <c r="X849" s="834"/>
      <c r="Y849" s="769"/>
    </row>
    <row r="850" spans="1:29">
      <c r="A850" s="4">
        <v>378</v>
      </c>
      <c r="B850" s="4"/>
      <c r="C850" s="519" t="s">
        <v>907</v>
      </c>
      <c r="D850" s="256"/>
      <c r="E850" s="513" t="s">
        <v>777</v>
      </c>
      <c r="F850" s="256"/>
      <c r="G850" s="35">
        <v>0</v>
      </c>
      <c r="H850" s="256"/>
      <c r="I850" s="783">
        <v>1.9998532104164505E-3</v>
      </c>
      <c r="J850" s="35">
        <v>0</v>
      </c>
      <c r="K850" s="35"/>
      <c r="L850" s="35">
        <v>0</v>
      </c>
      <c r="M850" s="35">
        <v>0</v>
      </c>
      <c r="N850" s="35">
        <v>0</v>
      </c>
      <c r="O850" s="35">
        <v>0</v>
      </c>
      <c r="P850" s="771"/>
      <c r="Q850" s="35">
        <v>0</v>
      </c>
      <c r="R850" s="35">
        <v>0</v>
      </c>
      <c r="S850" s="35">
        <v>0</v>
      </c>
      <c r="T850" s="771"/>
      <c r="U850" s="35">
        <v>0</v>
      </c>
      <c r="V850" s="35">
        <v>0</v>
      </c>
      <c r="W850" s="762">
        <f>U850-J850</f>
        <v>0</v>
      </c>
      <c r="X850" s="827"/>
      <c r="Y850" s="782"/>
    </row>
    <row r="851" spans="1:29">
      <c r="A851" s="4"/>
      <c r="B851" s="4"/>
      <c r="C851" s="736"/>
      <c r="D851" s="256"/>
      <c r="E851" s="36"/>
      <c r="F851" s="256"/>
      <c r="G851" s="35"/>
      <c r="H851" s="256"/>
      <c r="I851" s="256"/>
      <c r="J851" s="762"/>
      <c r="K851" s="762"/>
      <c r="L851" s="762"/>
      <c r="M851" s="762"/>
      <c r="N851" s="762"/>
      <c r="O851" s="762"/>
      <c r="P851" s="771"/>
      <c r="Q851" s="762"/>
      <c r="R851" s="762"/>
      <c r="S851" s="762"/>
      <c r="T851" s="771"/>
      <c r="U851" s="771"/>
      <c r="V851" s="915"/>
      <c r="W851" s="762"/>
      <c r="X851" s="834"/>
      <c r="Y851" s="769"/>
    </row>
    <row r="852" spans="1:29" ht="13.5" thickBot="1">
      <c r="A852" s="4">
        <v>379</v>
      </c>
      <c r="B852" s="4"/>
      <c r="C852" s="2" t="str">
        <f>"Total " &amp;C836</f>
        <v>Total Rate M16</v>
      </c>
      <c r="D852" s="256"/>
      <c r="E852" s="742"/>
      <c r="F852" s="256"/>
      <c r="G852" s="768">
        <f>SUM(G841:G850)</f>
        <v>10889178.646551725</v>
      </c>
      <c r="H852" s="256"/>
      <c r="I852" s="766">
        <f>J852/G852*100</f>
        <v>1.9311759709198062E-3</v>
      </c>
      <c r="J852" s="781">
        <f>SUM(J837:J850)</f>
        <v>210.28920145273747</v>
      </c>
      <c r="K852" s="771"/>
      <c r="L852" s="781">
        <f>SUM(L837:L850)</f>
        <v>0</v>
      </c>
      <c r="M852" s="781">
        <f>SUM(M837:M850)</f>
        <v>99.780409569172775</v>
      </c>
      <c r="N852" s="781">
        <f>SUM(N837:N850)</f>
        <v>96.428791883564699</v>
      </c>
      <c r="O852" s="781">
        <f>SUM(O837:O850)</f>
        <v>14.08</v>
      </c>
      <c r="P852" s="771"/>
      <c r="Q852" s="781">
        <f>SUM(Q837:Q850)</f>
        <v>0</v>
      </c>
      <c r="R852" s="781">
        <f>SUM(R837:R850)</f>
        <v>121.84208305606758</v>
      </c>
      <c r="S852" s="781">
        <f>SUM(S837:S850)</f>
        <v>96.021835502270051</v>
      </c>
      <c r="T852" s="771"/>
      <c r="U852" s="781">
        <f>SUM(U837:U850)</f>
        <v>231.94391855833763</v>
      </c>
      <c r="V852" s="944">
        <f>U852/G852*100</f>
        <v>2.1300405300246155E-3</v>
      </c>
      <c r="W852" s="781">
        <f>SUM(W837:W850)</f>
        <v>21.654717105600156</v>
      </c>
      <c r="X852" s="977">
        <f>V852/I852-1</f>
        <v>0.10297588728286189</v>
      </c>
      <c r="Y852" s="779"/>
      <c r="AA852" s="938"/>
      <c r="AC852" s="938"/>
    </row>
    <row r="853" spans="1:29" ht="13.5" thickTop="1">
      <c r="A853" s="4"/>
      <c r="B853" s="4"/>
      <c r="C853" s="9"/>
      <c r="D853" s="256"/>
      <c r="E853" s="742"/>
      <c r="F853" s="256"/>
      <c r="G853" s="35"/>
      <c r="H853" s="256"/>
      <c r="I853" s="256"/>
      <c r="J853" s="762"/>
      <c r="K853" s="762"/>
      <c r="L853" s="762"/>
      <c r="M853" s="762"/>
      <c r="N853" s="762"/>
      <c r="O853" s="762"/>
      <c r="P853" s="771"/>
      <c r="Q853" s="762"/>
      <c r="R853" s="762"/>
      <c r="S853" s="762"/>
      <c r="T853" s="771"/>
      <c r="U853" s="771"/>
      <c r="V853" s="771"/>
      <c r="W853" s="762"/>
      <c r="X853" s="666"/>
    </row>
    <row r="854" spans="1:29">
      <c r="A854" s="4"/>
      <c r="B854" s="4"/>
      <c r="C854" s="9"/>
      <c r="D854" s="256"/>
      <c r="E854" s="742"/>
      <c r="F854" s="256"/>
      <c r="G854" s="35"/>
      <c r="H854" s="256"/>
      <c r="I854" s="256"/>
      <c r="J854" s="762"/>
      <c r="K854" s="762"/>
      <c r="L854" s="762"/>
      <c r="M854" s="762"/>
      <c r="N854" s="762"/>
      <c r="O854" s="762"/>
      <c r="P854" s="771"/>
      <c r="Q854" s="762"/>
      <c r="R854" s="762"/>
      <c r="S854" s="762"/>
      <c r="T854" s="771"/>
      <c r="U854" s="771"/>
      <c r="V854" s="771"/>
      <c r="W854" s="762"/>
      <c r="X854" s="666"/>
    </row>
    <row r="855" spans="1:29">
      <c r="J855" s="504"/>
      <c r="K855" s="504"/>
      <c r="L855" s="2"/>
      <c r="M855" s="2"/>
      <c r="N855" s="504"/>
      <c r="O855" s="504"/>
      <c r="Q855" s="504"/>
      <c r="R855" s="504"/>
      <c r="S855" s="504"/>
      <c r="W855" s="504"/>
      <c r="X855" s="666"/>
    </row>
    <row r="856" spans="1:29">
      <c r="J856" s="504"/>
      <c r="K856" s="504"/>
      <c r="L856" s="2"/>
      <c r="M856" s="2"/>
      <c r="N856" s="504"/>
      <c r="O856" s="504"/>
      <c r="Q856" s="504"/>
      <c r="R856" s="504"/>
      <c r="S856" s="504"/>
      <c r="W856" s="504"/>
      <c r="X856" s="666"/>
    </row>
    <row r="857" spans="1:29">
      <c r="J857" s="504"/>
      <c r="K857" s="504"/>
      <c r="L857" s="2"/>
      <c r="M857" s="2"/>
      <c r="N857" s="504"/>
      <c r="O857" s="504"/>
      <c r="Q857" s="504"/>
      <c r="R857" s="504"/>
      <c r="S857" s="504"/>
      <c r="W857" s="762"/>
      <c r="X857" s="513"/>
    </row>
    <row r="858" spans="1:29">
      <c r="A858" s="1324" t="s">
        <v>724</v>
      </c>
      <c r="B858" s="1324"/>
      <c r="C858" s="1324"/>
      <c r="D858" s="1324"/>
      <c r="E858" s="1324"/>
      <c r="F858" s="1324"/>
      <c r="G858" s="1324"/>
      <c r="H858" s="1324"/>
      <c r="I858" s="1324"/>
      <c r="J858" s="1324"/>
      <c r="K858" s="1324"/>
      <c r="L858" s="1324"/>
      <c r="M858" s="1324"/>
      <c r="N858" s="1324"/>
      <c r="O858" s="1324"/>
      <c r="P858" s="1324"/>
      <c r="Q858" s="1324"/>
      <c r="R858" s="1324"/>
      <c r="S858" s="1324"/>
      <c r="T858" s="1324"/>
      <c r="U858" s="1324"/>
      <c r="V858" s="1324"/>
      <c r="W858" s="1324"/>
      <c r="X858" s="1324"/>
      <c r="Y858" s="665"/>
    </row>
    <row r="859" spans="1:29">
      <c r="A859" s="1324" t="s">
        <v>963</v>
      </c>
      <c r="B859" s="1324"/>
      <c r="C859" s="1324"/>
      <c r="D859" s="1324"/>
      <c r="E859" s="1324"/>
      <c r="F859" s="1324"/>
      <c r="G859" s="1324"/>
      <c r="H859" s="1324"/>
      <c r="I859" s="1324"/>
      <c r="J859" s="1324"/>
      <c r="K859" s="1324"/>
      <c r="L859" s="1324"/>
      <c r="M859" s="1324"/>
      <c r="N859" s="1324"/>
      <c r="O859" s="1324"/>
      <c r="P859" s="1324"/>
      <c r="Q859" s="1324"/>
      <c r="R859" s="1324"/>
      <c r="S859" s="1324"/>
      <c r="T859" s="1324"/>
      <c r="U859" s="1324"/>
      <c r="V859" s="1324"/>
      <c r="W859" s="1324"/>
      <c r="X859" s="1324"/>
      <c r="Y859" s="644"/>
      <c r="Z859" s="644"/>
    </row>
    <row r="860" spans="1:29">
      <c r="A860" s="385"/>
      <c r="B860" s="385"/>
      <c r="C860" s="385"/>
      <c r="D860" s="385"/>
      <c r="E860" s="447"/>
      <c r="F860" s="385"/>
      <c r="G860" s="447"/>
      <c r="H860" s="385"/>
      <c r="I860" s="385"/>
      <c r="J860" s="504"/>
      <c r="K860" s="504"/>
      <c r="L860" s="3"/>
      <c r="M860" s="3"/>
      <c r="N860" s="504"/>
      <c r="O860" s="504"/>
      <c r="P860" s="385"/>
      <c r="Q860" s="504"/>
      <c r="R860" s="504"/>
      <c r="S860" s="504"/>
      <c r="T860" s="385"/>
      <c r="U860" s="385"/>
      <c r="V860" s="385"/>
      <c r="W860" s="504"/>
      <c r="X860" s="513"/>
    </row>
    <row r="861" spans="1:29">
      <c r="A861" s="447"/>
      <c r="B861" s="447"/>
      <c r="C861" s="447"/>
      <c r="D861" s="447"/>
      <c r="E861" s="256"/>
      <c r="F861" s="256"/>
      <c r="G861" s="1313" t="s">
        <v>682</v>
      </c>
      <c r="H861" s="1313"/>
      <c r="I861" s="1313"/>
      <c r="J861" s="1313"/>
      <c r="K861" s="256"/>
      <c r="L861" s="1313" t="s">
        <v>496</v>
      </c>
      <c r="M861" s="1313"/>
      <c r="N861" s="1313"/>
      <c r="O861" s="256"/>
      <c r="P861" s="447"/>
      <c r="Q861" s="1313" t="s">
        <v>497</v>
      </c>
      <c r="R861" s="1313"/>
      <c r="S861" s="1313"/>
      <c r="T861" s="447"/>
      <c r="U861" s="1313" t="s">
        <v>683</v>
      </c>
      <c r="V861" s="1313"/>
      <c r="W861" s="1313"/>
      <c r="X861" s="1313"/>
      <c r="Y861" s="4"/>
    </row>
    <row r="862" spans="1:29" ht="38.25">
      <c r="A862" s="254" t="s">
        <v>1</v>
      </c>
      <c r="B862" s="254"/>
      <c r="C862" s="254"/>
      <c r="D862" s="254"/>
      <c r="E862" s="4" t="s">
        <v>670</v>
      </c>
      <c r="F862" s="254"/>
      <c r="G862" s="13" t="s">
        <v>684</v>
      </c>
      <c r="H862" s="254"/>
      <c r="I862" s="13" t="s">
        <v>196</v>
      </c>
      <c r="J862" s="254" t="s">
        <v>503</v>
      </c>
      <c r="K862" s="254"/>
      <c r="L862" s="254" t="s">
        <v>955</v>
      </c>
      <c r="M862" s="254" t="s">
        <v>956</v>
      </c>
      <c r="N862" s="254" t="s">
        <v>957</v>
      </c>
      <c r="O862" s="254" t="s">
        <v>688</v>
      </c>
      <c r="P862" s="254"/>
      <c r="Q862" s="254" t="s">
        <v>955</v>
      </c>
      <c r="R862" s="254" t="s">
        <v>956</v>
      </c>
      <c r="S862" s="254" t="s">
        <v>957</v>
      </c>
      <c r="T862" s="254"/>
      <c r="U862" s="13" t="s">
        <v>512</v>
      </c>
      <c r="V862" s="13" t="s">
        <v>691</v>
      </c>
      <c r="W862" s="13" t="s">
        <v>692</v>
      </c>
      <c r="X862" s="254" t="s">
        <v>693</v>
      </c>
      <c r="Y862" s="254"/>
    </row>
    <row r="863" spans="1:29">
      <c r="A863" s="255" t="s">
        <v>2</v>
      </c>
      <c r="B863" s="256"/>
      <c r="C863" s="449" t="s">
        <v>3</v>
      </c>
      <c r="D863" s="256"/>
      <c r="E863" s="255" t="s">
        <v>4</v>
      </c>
      <c r="F863" s="256"/>
      <c r="G863" s="255" t="s">
        <v>694</v>
      </c>
      <c r="H863" s="256"/>
      <c r="I863" s="255" t="s">
        <v>131</v>
      </c>
      <c r="J863" s="255" t="s">
        <v>20</v>
      </c>
      <c r="K863" s="4"/>
      <c r="L863" s="255" t="s">
        <v>20</v>
      </c>
      <c r="M863" s="255" t="s">
        <v>20</v>
      </c>
      <c r="N863" s="255" t="s">
        <v>20</v>
      </c>
      <c r="O863" s="255" t="s">
        <v>20</v>
      </c>
      <c r="P863" s="256"/>
      <c r="Q863" s="255" t="s">
        <v>20</v>
      </c>
      <c r="R863" s="255" t="s">
        <v>20</v>
      </c>
      <c r="S863" s="255" t="s">
        <v>20</v>
      </c>
      <c r="T863" s="256"/>
      <c r="U863" s="255" t="s">
        <v>20</v>
      </c>
      <c r="V863" s="255" t="s">
        <v>131</v>
      </c>
      <c r="W863" s="255" t="s">
        <v>20</v>
      </c>
      <c r="X863" s="255" t="s">
        <v>76</v>
      </c>
      <c r="Y863" s="4"/>
    </row>
    <row r="864" spans="1:29">
      <c r="A864" s="4"/>
      <c r="B864" s="256"/>
      <c r="C864" s="256"/>
      <c r="D864" s="256"/>
      <c r="E864" s="4"/>
      <c r="F864" s="256"/>
      <c r="G864" s="4" t="s">
        <v>8</v>
      </c>
      <c r="H864" s="4"/>
      <c r="I864" s="4" t="s">
        <v>9</v>
      </c>
      <c r="J864" s="4" t="s">
        <v>370</v>
      </c>
      <c r="K864" s="4"/>
      <c r="L864" s="132" t="s">
        <v>79</v>
      </c>
      <c r="M864" s="132" t="s">
        <v>115</v>
      </c>
      <c r="N864" s="4" t="s">
        <v>81</v>
      </c>
      <c r="O864" s="4" t="s">
        <v>959</v>
      </c>
      <c r="P864" s="4"/>
      <c r="Q864" s="4" t="s">
        <v>118</v>
      </c>
      <c r="R864" s="4" t="s">
        <v>84</v>
      </c>
      <c r="S864" s="4" t="s">
        <v>516</v>
      </c>
      <c r="T864" s="4"/>
      <c r="U864" s="4" t="s">
        <v>960</v>
      </c>
      <c r="V864" s="4" t="s">
        <v>518</v>
      </c>
      <c r="W864" s="4" t="s">
        <v>961</v>
      </c>
      <c r="X864" s="4" t="s">
        <v>962</v>
      </c>
    </row>
    <row r="865" spans="1:31">
      <c r="A865" s="4"/>
      <c r="B865" s="4"/>
      <c r="C865" s="9"/>
      <c r="D865" s="256"/>
      <c r="E865" s="742"/>
      <c r="F865" s="256"/>
      <c r="G865" s="35"/>
      <c r="H865" s="256"/>
      <c r="I865" s="256"/>
      <c r="J865" s="762"/>
      <c r="K865" s="762"/>
      <c r="L865" s="762"/>
      <c r="M865" s="762"/>
      <c r="N865" s="762"/>
      <c r="O865" s="762"/>
      <c r="P865" s="771"/>
      <c r="Q865" s="762"/>
      <c r="R865" s="762"/>
      <c r="S865" s="762"/>
      <c r="T865" s="771"/>
      <c r="U865" s="771"/>
      <c r="V865" s="771"/>
      <c r="W865" s="762"/>
      <c r="X865" s="513"/>
    </row>
    <row r="866" spans="1:31">
      <c r="A866" s="4"/>
      <c r="B866" s="4"/>
      <c r="C866" s="6" t="s">
        <v>909</v>
      </c>
      <c r="D866" s="256"/>
      <c r="E866" s="36"/>
      <c r="F866" s="256"/>
      <c r="G866" s="35"/>
      <c r="H866" s="256"/>
      <c r="I866" s="256"/>
      <c r="J866" s="762"/>
      <c r="K866" s="762"/>
      <c r="L866" s="762"/>
      <c r="M866" s="762"/>
      <c r="N866" s="762"/>
      <c r="O866" s="762"/>
      <c r="P866" s="771"/>
      <c r="Q866" s="762"/>
      <c r="R866" s="762"/>
      <c r="S866" s="762"/>
      <c r="T866" s="771"/>
      <c r="U866" s="771"/>
      <c r="V866" s="771"/>
      <c r="W866" s="762"/>
      <c r="X866" s="513"/>
    </row>
    <row r="867" spans="1:31">
      <c r="A867" s="4">
        <v>380</v>
      </c>
      <c r="B867" s="4"/>
      <c r="C867" s="512" t="s">
        <v>897</v>
      </c>
      <c r="D867" s="256"/>
      <c r="E867" s="513" t="s">
        <v>704</v>
      </c>
      <c r="F867" s="256"/>
      <c r="G867" s="35">
        <v>12</v>
      </c>
      <c r="H867" s="256"/>
      <c r="I867" s="35">
        <v>0</v>
      </c>
      <c r="J867" s="762">
        <v>0</v>
      </c>
      <c r="K867" s="762"/>
      <c r="L867" s="35">
        <v>0</v>
      </c>
      <c r="M867" s="35">
        <v>0</v>
      </c>
      <c r="N867" s="35">
        <v>0</v>
      </c>
      <c r="O867" s="762">
        <v>0</v>
      </c>
      <c r="P867" s="771"/>
      <c r="Q867" s="35">
        <v>0</v>
      </c>
      <c r="R867" s="35">
        <v>0</v>
      </c>
      <c r="S867" s="35">
        <v>0</v>
      </c>
      <c r="T867" s="771"/>
      <c r="U867" s="771">
        <v>0</v>
      </c>
      <c r="V867" s="35">
        <f>U867/G867*1000</f>
        <v>0</v>
      </c>
      <c r="W867" s="762">
        <v>0</v>
      </c>
      <c r="X867" s="976"/>
      <c r="Y867" s="769"/>
      <c r="AA867" s="938"/>
      <c r="AE867" s="943"/>
    </row>
    <row r="868" spans="1:31">
      <c r="A868" s="4"/>
      <c r="B868" s="4"/>
      <c r="C868" s="512" t="s">
        <v>880</v>
      </c>
      <c r="D868" s="256"/>
      <c r="E868" s="36"/>
      <c r="F868" s="256"/>
      <c r="G868" s="35"/>
      <c r="H868" s="256"/>
      <c r="I868" s="35"/>
      <c r="J868" s="762"/>
      <c r="K868" s="762"/>
      <c r="L868" s="35"/>
      <c r="M868" s="35"/>
      <c r="N868" s="35"/>
      <c r="O868" s="762"/>
      <c r="P868" s="771"/>
      <c r="Q868" s="35"/>
      <c r="R868" s="35"/>
      <c r="S868" s="35"/>
      <c r="T868" s="771"/>
      <c r="U868" s="771"/>
      <c r="V868" s="35"/>
      <c r="W868" s="762"/>
      <c r="X868" s="976"/>
      <c r="Y868" s="769"/>
      <c r="AA868" s="938"/>
    </row>
    <row r="869" spans="1:31">
      <c r="A869" s="4">
        <v>381</v>
      </c>
      <c r="B869" s="4"/>
      <c r="C869" s="775" t="s">
        <v>910</v>
      </c>
      <c r="D869" s="256"/>
      <c r="E869" s="513" t="s">
        <v>840</v>
      </c>
      <c r="F869" s="256"/>
      <c r="G869" s="35">
        <v>8863</v>
      </c>
      <c r="H869" s="256"/>
      <c r="I869" s="35">
        <v>0</v>
      </c>
      <c r="J869" s="762">
        <v>0</v>
      </c>
      <c r="K869" s="762"/>
      <c r="L869" s="35">
        <v>0</v>
      </c>
      <c r="M869" s="35">
        <v>0</v>
      </c>
      <c r="N869" s="35">
        <v>0</v>
      </c>
      <c r="O869" s="762">
        <v>0</v>
      </c>
      <c r="P869" s="771"/>
      <c r="Q869" s="35">
        <v>0</v>
      </c>
      <c r="R869" s="35">
        <v>0</v>
      </c>
      <c r="S869" s="35">
        <v>0</v>
      </c>
      <c r="T869" s="771"/>
      <c r="U869" s="771">
        <v>0</v>
      </c>
      <c r="V869" s="35">
        <f>U869/G869*1000</f>
        <v>0</v>
      </c>
      <c r="W869" s="762">
        <v>0</v>
      </c>
      <c r="X869" s="976"/>
      <c r="Y869" s="769"/>
      <c r="AA869" s="938"/>
      <c r="AE869" s="941"/>
    </row>
    <row r="870" spans="1:31">
      <c r="A870" s="4">
        <v>382</v>
      </c>
      <c r="B870" s="1"/>
      <c r="C870" s="775" t="s">
        <v>911</v>
      </c>
      <c r="E870" s="513" t="s">
        <v>840</v>
      </c>
      <c r="G870" s="35">
        <v>0</v>
      </c>
      <c r="I870" s="35">
        <v>0</v>
      </c>
      <c r="J870" s="35">
        <v>0</v>
      </c>
      <c r="K870" s="35"/>
      <c r="L870" s="35">
        <v>0</v>
      </c>
      <c r="M870" s="35">
        <v>0</v>
      </c>
      <c r="N870" s="35">
        <v>0</v>
      </c>
      <c r="O870" s="35">
        <v>0</v>
      </c>
      <c r="P870" s="68"/>
      <c r="Q870" s="35">
        <v>0</v>
      </c>
      <c r="R870" s="35">
        <v>0</v>
      </c>
      <c r="S870" s="35">
        <v>0</v>
      </c>
      <c r="T870" s="68"/>
      <c r="U870" s="771">
        <v>0</v>
      </c>
      <c r="V870" s="35">
        <f>I870</f>
        <v>0</v>
      </c>
      <c r="W870" s="762">
        <v>0</v>
      </c>
      <c r="X870" s="976"/>
      <c r="Y870" s="769"/>
      <c r="AA870" s="938"/>
      <c r="AE870" s="941"/>
    </row>
    <row r="871" spans="1:31">
      <c r="A871" s="4">
        <v>383</v>
      </c>
      <c r="B871" s="1"/>
      <c r="C871" s="775" t="s">
        <v>912</v>
      </c>
      <c r="E871" s="513" t="s">
        <v>840</v>
      </c>
      <c r="G871" s="35">
        <v>0</v>
      </c>
      <c r="I871" s="35">
        <v>0</v>
      </c>
      <c r="J871" s="35">
        <v>0</v>
      </c>
      <c r="K871" s="35"/>
      <c r="L871" s="35">
        <v>0</v>
      </c>
      <c r="M871" s="35">
        <v>0</v>
      </c>
      <c r="N871" s="35">
        <v>0</v>
      </c>
      <c r="O871" s="35">
        <v>0</v>
      </c>
      <c r="P871" s="68"/>
      <c r="Q871" s="35">
        <v>0</v>
      </c>
      <c r="R871" s="35">
        <v>0</v>
      </c>
      <c r="S871" s="35">
        <v>0</v>
      </c>
      <c r="T871" s="68"/>
      <c r="U871" s="771">
        <v>0</v>
      </c>
      <c r="V871" s="35">
        <f>I871</f>
        <v>0</v>
      </c>
      <c r="W871" s="762">
        <v>0</v>
      </c>
      <c r="X871" s="976"/>
      <c r="Y871" s="769"/>
      <c r="AA871" s="938"/>
      <c r="AE871" s="941"/>
    </row>
    <row r="872" spans="1:31">
      <c r="A872" s="4"/>
      <c r="B872" s="1"/>
      <c r="C872" s="512" t="s">
        <v>913</v>
      </c>
      <c r="E872" s="504"/>
      <c r="G872" s="35"/>
      <c r="J872" s="762"/>
      <c r="K872" s="762"/>
      <c r="L872" s="35"/>
      <c r="M872" s="762"/>
      <c r="N872" s="762"/>
      <c r="O872" s="762"/>
      <c r="P872" s="68"/>
      <c r="Q872" s="762"/>
      <c r="R872" s="762"/>
      <c r="S872" s="762"/>
      <c r="T872" s="68"/>
      <c r="U872" s="771"/>
      <c r="V872" s="35"/>
      <c r="W872" s="762"/>
      <c r="X872" s="976"/>
      <c r="Y872" s="769"/>
      <c r="AA872" s="938"/>
      <c r="AE872" s="941"/>
    </row>
    <row r="873" spans="1:31">
      <c r="A873" s="4">
        <v>384</v>
      </c>
      <c r="B873" s="4"/>
      <c r="C873" s="519" t="s">
        <v>914</v>
      </c>
      <c r="E873" s="513" t="s">
        <v>777</v>
      </c>
      <c r="G873" s="35">
        <v>1303506.0105505299</v>
      </c>
      <c r="I873" s="35">
        <v>0</v>
      </c>
      <c r="J873" s="762">
        <v>41.171305514776698</v>
      </c>
      <c r="K873" s="762"/>
      <c r="L873" s="35">
        <v>0</v>
      </c>
      <c r="M873" s="35">
        <v>11.973151205783873</v>
      </c>
      <c r="N873" s="35">
        <v>29.198154308992827</v>
      </c>
      <c r="O873" s="762">
        <f>J873-L873-M873-N873</f>
        <v>0</v>
      </c>
      <c r="P873" s="68"/>
      <c r="Q873" s="35">
        <v>0</v>
      </c>
      <c r="R873" s="35">
        <v>14.61077492690648</v>
      </c>
      <c r="S873" s="35">
        <v>29.038100539070125</v>
      </c>
      <c r="T873" s="68"/>
      <c r="U873" s="771">
        <f>SUM(O873:S873)</f>
        <v>43.648875465976602</v>
      </c>
      <c r="V873" s="35">
        <f>U873/G873*1000</f>
        <v>3.3485749288982333E-2</v>
      </c>
      <c r="W873" s="762">
        <f>U873-J873</f>
        <v>2.4775699511999036</v>
      </c>
      <c r="X873" s="976"/>
      <c r="Y873" s="769"/>
      <c r="AA873" s="938"/>
      <c r="AC873" s="938"/>
      <c r="AE873" s="941"/>
    </row>
    <row r="874" spans="1:31">
      <c r="A874" s="4"/>
      <c r="B874" s="1"/>
      <c r="C874" s="504"/>
      <c r="E874" s="36"/>
      <c r="G874" s="35"/>
      <c r="J874" s="762"/>
      <c r="K874" s="762"/>
      <c r="L874" s="762"/>
      <c r="M874" s="762"/>
      <c r="N874" s="762"/>
      <c r="O874" s="762"/>
      <c r="P874" s="68"/>
      <c r="Q874" s="762"/>
      <c r="R874" s="762"/>
      <c r="S874" s="762"/>
      <c r="T874" s="68"/>
      <c r="U874" s="68"/>
      <c r="V874" s="911"/>
      <c r="W874" s="762"/>
      <c r="X874" s="976"/>
      <c r="Y874" s="769"/>
      <c r="AA874" s="938"/>
    </row>
    <row r="875" spans="1:31" ht="13.5" thickBot="1">
      <c r="A875" s="4">
        <v>385</v>
      </c>
      <c r="B875" s="4"/>
      <c r="C875" s="504" t="s">
        <v>915</v>
      </c>
      <c r="E875" s="36"/>
      <c r="G875" s="768">
        <v>1303506.0105505299</v>
      </c>
      <c r="I875" s="940">
        <f>J875/G875*1000</f>
        <v>3.1585052298599058E-2</v>
      </c>
      <c r="J875" s="760">
        <f>SUM(J867:J873)</f>
        <v>41.171305514776698</v>
      </c>
      <c r="K875" s="68"/>
      <c r="L875" s="760">
        <f>SUM(L867:L873)</f>
        <v>0</v>
      </c>
      <c r="M875" s="760">
        <f>SUM(M867:M873)</f>
        <v>11.973151205783873</v>
      </c>
      <c r="N875" s="760">
        <f>SUM(N867:N873)</f>
        <v>29.198154308992827</v>
      </c>
      <c r="O875" s="760">
        <f>SUM(O867:O873)</f>
        <v>0</v>
      </c>
      <c r="P875" s="68"/>
      <c r="Q875" s="760">
        <f>SUM(Q867:Q873)</f>
        <v>0</v>
      </c>
      <c r="R875" s="760">
        <f>SUM(R867:R873)</f>
        <v>14.61077492690648</v>
      </c>
      <c r="S875" s="760">
        <f>SUM(S867:S873)</f>
        <v>29.038100539070125</v>
      </c>
      <c r="T875" s="68"/>
      <c r="U875" s="760">
        <f>SUM(U867:U873)</f>
        <v>43.648875465976602</v>
      </c>
      <c r="V875" s="939">
        <f>U875/G875*1000</f>
        <v>3.3485749288982333E-2</v>
      </c>
      <c r="W875" s="760">
        <f>SUM(W867:W873)</f>
        <v>2.4775699511999036</v>
      </c>
      <c r="X875" s="975">
        <f>V875/I875-1</f>
        <v>6.0177104423144501E-2</v>
      </c>
      <c r="Y875" s="764"/>
      <c r="AA875" s="938"/>
      <c r="AC875" s="938"/>
    </row>
    <row r="876" spans="1:31" ht="13.5" thickTop="1">
      <c r="A876" s="4"/>
      <c r="B876" s="4"/>
      <c r="C876" s="504"/>
      <c r="E876" s="36"/>
      <c r="G876" s="35"/>
      <c r="J876" s="504"/>
      <c r="K876" s="504"/>
      <c r="L876" s="504"/>
      <c r="M876" s="504"/>
      <c r="N876" s="504"/>
      <c r="O876" s="504"/>
      <c r="Q876" s="504"/>
      <c r="R876" s="504"/>
      <c r="S876" s="504"/>
      <c r="W876" s="762"/>
      <c r="X876" s="513"/>
      <c r="AA876" s="938"/>
      <c r="AB876" s="938"/>
      <c r="AC876" s="938"/>
    </row>
    <row r="877" spans="1:31">
      <c r="A877" s="4">
        <v>386</v>
      </c>
      <c r="B877" s="4"/>
      <c r="C877" s="730" t="s">
        <v>970</v>
      </c>
      <c r="E877" s="36"/>
      <c r="G877" s="35"/>
      <c r="J877" s="762">
        <v>0</v>
      </c>
      <c r="K877" s="762"/>
      <c r="L877" s="504"/>
      <c r="M877" s="504"/>
      <c r="N877" s="504"/>
      <c r="O877" s="762">
        <v>0</v>
      </c>
      <c r="Q877" s="504"/>
      <c r="R877" s="504"/>
      <c r="S877" s="504"/>
      <c r="U877" s="68">
        <v>0</v>
      </c>
      <c r="W877" s="504"/>
      <c r="X877" s="513"/>
    </row>
    <row r="878" spans="1:31">
      <c r="A878" s="4"/>
      <c r="B878" s="4"/>
      <c r="C878" s="757" t="s">
        <v>917</v>
      </c>
      <c r="E878" s="36"/>
      <c r="G878" s="35"/>
      <c r="J878" s="504"/>
      <c r="K878" s="504"/>
      <c r="L878" s="504"/>
      <c r="M878" s="504"/>
      <c r="N878" s="504"/>
      <c r="O878" s="504"/>
      <c r="Q878" s="504"/>
      <c r="R878" s="504"/>
      <c r="S878" s="504"/>
      <c r="W878" s="504"/>
      <c r="X878" s="513"/>
    </row>
    <row r="879" spans="1:31" ht="13.5" thickBot="1">
      <c r="A879" s="4">
        <v>387</v>
      </c>
      <c r="B879" s="1"/>
      <c r="C879" s="504" t="s">
        <v>533</v>
      </c>
      <c r="E879" s="36"/>
      <c r="G879" s="35"/>
      <c r="J879" s="758">
        <f>J740+J745+J748+J776+J812+J832+J834+J852+J875+J877</f>
        <v>22505.731247648146</v>
      </c>
      <c r="K879" s="752"/>
      <c r="L879" s="760">
        <f>L740+L745+L748+L776+L812+L832+L834+L852+L875+L877</f>
        <v>0</v>
      </c>
      <c r="M879" s="758">
        <f>M740+M745+M748+M776+M812+M832+M834+M852+M875+M877</f>
        <v>6290.4132729831172</v>
      </c>
      <c r="N879" s="758">
        <f>N740+N745+N748+N776+N812+N832+N834+N852+N875+N877</f>
        <v>16130.338134665028</v>
      </c>
      <c r="O879" s="758">
        <f>O740+O745+O748+O776+O812+O832+O834+O852+O875+O877</f>
        <v>84.979839999999996</v>
      </c>
      <c r="P879" s="752"/>
      <c r="Q879" s="760">
        <f>Q740+Q745+Q748+Q776+Q812+Q832+Q834+Q852+Q875+Q877</f>
        <v>0</v>
      </c>
      <c r="R879" s="758">
        <f>R740+R745+R748+R776+R812+R832+R834+R852+R875+R877</f>
        <v>7687.2236298008047</v>
      </c>
      <c r="S879" s="758">
        <f>S740+S745+S748+S776+S812+S832+S834+S852+S875+S877</f>
        <v>16044.616752677623</v>
      </c>
      <c r="T879" s="752"/>
      <c r="U879" s="758">
        <f>U740+U745+U748+U776+U812+U832+U834+U852+U875+U877</f>
        <v>23816.820222478425</v>
      </c>
      <c r="V879" s="752"/>
      <c r="W879" s="758">
        <f>W740+W745+W748+W776+W812+W832+W834+W852+W875+W877</f>
        <v>1311.0889748302859</v>
      </c>
      <c r="X879" s="513"/>
    </row>
    <row r="880" spans="1:31" ht="13.5" thickTop="1">
      <c r="A880" s="4"/>
      <c r="B880" s="4"/>
      <c r="E880" s="36"/>
      <c r="G880" s="35"/>
      <c r="J880" s="504"/>
      <c r="K880" s="504"/>
      <c r="L880" s="504"/>
      <c r="M880" s="504"/>
      <c r="N880" s="504"/>
      <c r="O880" s="504"/>
      <c r="Q880" s="504"/>
      <c r="R880" s="504"/>
      <c r="S880" s="504"/>
      <c r="W880" s="504"/>
      <c r="X880" s="929"/>
      <c r="Y880" s="728"/>
    </row>
    <row r="881" spans="1:25" ht="13.5" thickBot="1">
      <c r="A881" s="4">
        <v>388</v>
      </c>
      <c r="B881" s="1"/>
      <c r="C881" s="757" t="s">
        <v>971</v>
      </c>
      <c r="E881" s="36"/>
      <c r="G881" s="35"/>
      <c r="J881" s="756">
        <f>J721+J879</f>
        <v>3137862.8553524385</v>
      </c>
      <c r="K881" s="750"/>
      <c r="L881" s="756">
        <f>L721+L879</f>
        <v>4279.0945088308627</v>
      </c>
      <c r="M881" s="756">
        <f>M721+M879</f>
        <v>44447.217232064511</v>
      </c>
      <c r="N881" s="756">
        <f>N721+N879</f>
        <v>36592.89998631717</v>
      </c>
      <c r="O881" s="756">
        <f>O721+O879</f>
        <v>3052543.6436252259</v>
      </c>
      <c r="P881" s="750"/>
      <c r="Q881" s="756">
        <f>Q721+Q879</f>
        <v>3884.1941707516062</v>
      </c>
      <c r="R881" s="756">
        <f>R721+R879</f>
        <v>50562.222007935474</v>
      </c>
      <c r="S881" s="756">
        <f>S721+S879</f>
        <v>35305.778577559577</v>
      </c>
      <c r="T881" s="750"/>
      <c r="U881" s="756">
        <f>U721+U879</f>
        <v>3142295.8383814725</v>
      </c>
      <c r="V881" s="750"/>
      <c r="W881" s="756">
        <f>W721+W879</f>
        <v>4432.9830290342634</v>
      </c>
      <c r="X881" s="513"/>
      <c r="Y881" s="728"/>
    </row>
    <row r="882" spans="1:25" ht="13.5" thickTop="1">
      <c r="A882" s="4"/>
      <c r="B882" s="256"/>
      <c r="C882" s="9"/>
      <c r="D882" s="256"/>
      <c r="E882" s="742"/>
      <c r="F882" s="256"/>
      <c r="G882" s="35"/>
      <c r="H882" s="256"/>
      <c r="I882" s="256"/>
      <c r="J882" s="522"/>
      <c r="K882" s="531"/>
      <c r="L882" s="522"/>
      <c r="M882" s="522"/>
      <c r="N882" s="522"/>
      <c r="O882" s="522"/>
      <c r="P882" s="522"/>
      <c r="Q882" s="522"/>
      <c r="R882" s="522"/>
      <c r="S882" s="522"/>
      <c r="T882" s="522"/>
      <c r="U882" s="522"/>
      <c r="V882" s="522"/>
      <c r="W882" s="522"/>
      <c r="X882" s="929"/>
    </row>
    <row r="883" spans="1:25">
      <c r="G883" s="135"/>
      <c r="J883" s="522"/>
      <c r="K883" s="531"/>
      <c r="L883" s="522"/>
      <c r="M883" s="522"/>
      <c r="N883" s="522"/>
      <c r="O883" s="522"/>
      <c r="P883" s="522"/>
      <c r="Q883" s="522"/>
      <c r="R883" s="522"/>
      <c r="S883" s="522"/>
      <c r="T883" s="522"/>
      <c r="U883" s="522"/>
      <c r="V883" s="522"/>
      <c r="W883" s="522"/>
      <c r="X883" s="513"/>
    </row>
    <row r="884" spans="1:25">
      <c r="A884" s="6" t="s">
        <v>39</v>
      </c>
      <c r="B884" s="256"/>
      <c r="D884" s="256"/>
      <c r="E884" s="36"/>
      <c r="F884" s="256"/>
      <c r="G884" s="453"/>
      <c r="H884" s="256"/>
      <c r="I884" s="256"/>
      <c r="J884" s="504"/>
      <c r="K884" s="504"/>
      <c r="L884" s="504"/>
      <c r="M884" s="504"/>
      <c r="N884" s="504"/>
      <c r="O884" s="504"/>
      <c r="P884" s="256"/>
      <c r="Q884" s="504"/>
      <c r="R884" s="504"/>
      <c r="S884" s="504"/>
      <c r="T884" s="256"/>
      <c r="U884" s="256"/>
      <c r="V884" s="256"/>
      <c r="W884" s="504"/>
      <c r="X884" s="513"/>
    </row>
    <row r="885" spans="1:25">
      <c r="A885" s="5" t="s">
        <v>40</v>
      </c>
      <c r="C885" s="2" t="s">
        <v>972</v>
      </c>
      <c r="D885" s="256"/>
      <c r="E885" s="36"/>
      <c r="F885" s="256"/>
      <c r="G885" s="35"/>
      <c r="H885" s="256"/>
      <c r="I885" s="256"/>
      <c r="J885" s="974"/>
      <c r="K885" s="974"/>
      <c r="L885" s="504"/>
      <c r="M885" s="504"/>
      <c r="N885" s="504"/>
      <c r="O885" s="974"/>
      <c r="P885" s="256"/>
      <c r="Q885" s="504"/>
      <c r="R885" s="504"/>
      <c r="S885" s="504"/>
      <c r="T885" s="256"/>
      <c r="U885" s="256"/>
      <c r="V885" s="256"/>
      <c r="W885" s="504"/>
      <c r="X885" s="513"/>
    </row>
    <row r="886" spans="1:25">
      <c r="A886" s="5" t="s">
        <v>42</v>
      </c>
      <c r="B886" s="504"/>
      <c r="C886" s="2" t="s">
        <v>973</v>
      </c>
      <c r="D886" s="256"/>
      <c r="E886" s="36"/>
      <c r="F886" s="256"/>
      <c r="G886" s="35"/>
      <c r="H886" s="256"/>
      <c r="I886" s="256"/>
      <c r="J886" s="974"/>
      <c r="K886" s="974"/>
      <c r="L886" s="504"/>
      <c r="M886" s="504"/>
      <c r="N886" s="504"/>
      <c r="O886" s="974"/>
      <c r="P886" s="256"/>
      <c r="Q886" s="504"/>
      <c r="R886" s="504"/>
      <c r="S886" s="504"/>
      <c r="T886" s="256"/>
      <c r="U886" s="256"/>
      <c r="V886" s="256"/>
      <c r="W886" s="504"/>
      <c r="X886" s="513"/>
    </row>
    <row r="887" spans="1:25">
      <c r="A887" s="5" t="s">
        <v>44</v>
      </c>
      <c r="B887" s="504"/>
      <c r="C887" s="2" t="s">
        <v>921</v>
      </c>
      <c r="D887" s="256"/>
      <c r="E887" s="36"/>
      <c r="F887" s="256"/>
      <c r="G887" s="35"/>
      <c r="H887" s="256"/>
      <c r="I887" s="256"/>
      <c r="J887" s="974"/>
      <c r="K887" s="974"/>
      <c r="L887" s="504"/>
      <c r="M887" s="504"/>
      <c r="N887" s="504"/>
      <c r="O887" s="974"/>
      <c r="P887" s="256"/>
      <c r="Q887" s="504"/>
      <c r="R887" s="504"/>
      <c r="S887" s="504"/>
      <c r="T887" s="256"/>
      <c r="U887" s="256"/>
      <c r="V887" s="256"/>
      <c r="W887" s="504"/>
      <c r="X887" s="513"/>
    </row>
    <row r="888" spans="1:25">
      <c r="A888" s="5" t="s">
        <v>46</v>
      </c>
      <c r="B888" s="504"/>
      <c r="C888" s="2" t="s">
        <v>922</v>
      </c>
      <c r="D888" s="256"/>
      <c r="E888" s="36"/>
      <c r="F888" s="256"/>
      <c r="G888" s="35"/>
      <c r="H888" s="256"/>
      <c r="I888" s="256"/>
      <c r="J888" s="974"/>
      <c r="K888" s="974"/>
      <c r="L888" s="504"/>
      <c r="M888" s="504"/>
      <c r="N888" s="504"/>
      <c r="O888" s="974"/>
      <c r="P888" s="256"/>
      <c r="Q888" s="504"/>
      <c r="R888" s="504"/>
      <c r="S888" s="504"/>
      <c r="T888" s="256"/>
      <c r="U888" s="256"/>
      <c r="V888" s="256"/>
      <c r="W888" s="504"/>
      <c r="X888" s="513"/>
    </row>
    <row r="889" spans="1:25">
      <c r="A889" s="5" t="s">
        <v>48</v>
      </c>
      <c r="C889" s="2" t="s">
        <v>974</v>
      </c>
      <c r="D889" s="256"/>
      <c r="E889" s="742"/>
      <c r="F889" s="256"/>
      <c r="G889" s="453"/>
      <c r="H889" s="256"/>
      <c r="I889" s="256"/>
      <c r="J889" s="753"/>
      <c r="K889" s="753"/>
      <c r="L889" s="925"/>
      <c r="M889" s="504"/>
      <c r="N889" s="504"/>
      <c r="O889" s="753"/>
      <c r="P889" s="256"/>
      <c r="Q889" s="504"/>
      <c r="R889" s="504"/>
      <c r="S889" s="504"/>
      <c r="T889" s="256"/>
      <c r="U889" s="256"/>
      <c r="V889" s="256"/>
      <c r="W889" s="504"/>
      <c r="X889" s="513"/>
    </row>
    <row r="890" spans="1:25">
      <c r="A890" s="5" t="s">
        <v>50</v>
      </c>
      <c r="B890" s="11"/>
      <c r="C890" s="12" t="s">
        <v>975</v>
      </c>
      <c r="E890" s="513"/>
      <c r="G890" s="35"/>
      <c r="J890" s="753"/>
      <c r="K890" s="753"/>
      <c r="L890" s="925"/>
      <c r="M890" s="504"/>
      <c r="N890" s="504"/>
      <c r="O890" s="753"/>
      <c r="Q890" s="504"/>
      <c r="R890" s="504"/>
      <c r="S890" s="504"/>
      <c r="W890" s="504"/>
      <c r="X890" s="513"/>
    </row>
    <row r="891" spans="1:25">
      <c r="A891" s="11"/>
      <c r="C891" s="7"/>
      <c r="E891" s="36"/>
      <c r="G891" s="35"/>
      <c r="J891" s="753"/>
      <c r="K891" s="753"/>
      <c r="L891" s="925"/>
      <c r="M891" s="504"/>
      <c r="N891" s="504"/>
      <c r="O891" s="753"/>
      <c r="Q891" s="504"/>
      <c r="R891" s="504"/>
      <c r="S891" s="504"/>
      <c r="W891" s="504"/>
      <c r="X891" s="513"/>
    </row>
    <row r="892" spans="1:25">
      <c r="A892" s="4"/>
      <c r="B892" s="256"/>
      <c r="C892" s="9"/>
      <c r="D892" s="256"/>
      <c r="E892" s="513"/>
      <c r="F892" s="256"/>
      <c r="G892" s="35"/>
      <c r="H892" s="256"/>
      <c r="I892" s="256"/>
      <c r="J892" s="753"/>
      <c r="K892" s="753"/>
      <c r="L892" s="666"/>
      <c r="M892" s="504"/>
      <c r="N892" s="504"/>
      <c r="O892" s="753"/>
      <c r="P892" s="256"/>
      <c r="Q892" s="504"/>
      <c r="R892" s="504"/>
      <c r="S892" s="504"/>
      <c r="T892" s="256"/>
      <c r="U892" s="256"/>
      <c r="V892" s="256"/>
      <c r="W892" s="504"/>
      <c r="X892" s="513"/>
    </row>
    <row r="893" spans="1:25">
      <c r="A893" s="4"/>
      <c r="B893" s="256"/>
      <c r="C893" s="9"/>
      <c r="D893" s="256"/>
      <c r="E893" s="742"/>
      <c r="F893" s="256"/>
      <c r="G893" s="24"/>
      <c r="H893" s="256"/>
      <c r="I893" s="256"/>
      <c r="J893" s="728"/>
      <c r="K893" s="728"/>
      <c r="L893" s="326"/>
      <c r="O893" s="728"/>
      <c r="P893" s="256"/>
      <c r="T893" s="256"/>
      <c r="U893" s="256"/>
      <c r="V893" s="256"/>
    </row>
    <row r="894" spans="1:25">
      <c r="A894" s="4"/>
      <c r="B894" s="256"/>
      <c r="C894" s="9"/>
      <c r="D894" s="256"/>
      <c r="E894" s="318"/>
      <c r="F894" s="256"/>
      <c r="G894" s="24"/>
      <c r="H894" s="256"/>
      <c r="I894" s="256"/>
      <c r="J894" s="728"/>
      <c r="K894" s="728"/>
      <c r="L894" s="746"/>
      <c r="O894" s="728"/>
      <c r="P894" s="256"/>
      <c r="T894" s="256"/>
      <c r="U894" s="256"/>
      <c r="V894" s="256"/>
    </row>
    <row r="895" spans="1:25">
      <c r="A895" s="4"/>
      <c r="B895" s="256"/>
      <c r="C895" s="7"/>
      <c r="D895" s="256"/>
      <c r="E895" s="36"/>
      <c r="F895" s="256"/>
      <c r="G895" s="453"/>
      <c r="H895" s="256"/>
      <c r="I895" s="256"/>
      <c r="J895" s="728"/>
      <c r="K895" s="728"/>
      <c r="L895" s="746"/>
      <c r="O895" s="728"/>
      <c r="P895" s="256"/>
      <c r="T895" s="256"/>
      <c r="U895" s="256"/>
      <c r="V895" s="256"/>
    </row>
    <row r="896" spans="1:25">
      <c r="E896" s="36"/>
      <c r="G896" s="24"/>
      <c r="L896" s="746"/>
      <c r="M896" s="644"/>
      <c r="P896" s="268"/>
      <c r="T896" s="268"/>
    </row>
    <row r="897" spans="1:22">
      <c r="C897" s="733"/>
      <c r="E897" s="36"/>
      <c r="G897" s="24"/>
      <c r="L897" s="746"/>
      <c r="M897" s="644"/>
      <c r="P897" s="268"/>
      <c r="T897" s="268"/>
    </row>
    <row r="898" spans="1:22">
      <c r="C898" s="320"/>
      <c r="E898" s="36"/>
      <c r="G898" s="24"/>
      <c r="J898" s="728"/>
      <c r="K898" s="728"/>
      <c r="L898" s="326"/>
      <c r="N898" s="728"/>
      <c r="O898" s="728"/>
      <c r="P898" s="268"/>
      <c r="R898" s="728"/>
      <c r="S898" s="728"/>
      <c r="T898" s="268"/>
      <c r="U898" s="256"/>
      <c r="V898" s="750"/>
    </row>
    <row r="899" spans="1:22">
      <c r="A899" s="4"/>
      <c r="C899" s="747"/>
      <c r="E899" s="36"/>
      <c r="G899" s="24"/>
      <c r="J899" s="728"/>
      <c r="K899" s="728"/>
      <c r="L899" s="326"/>
      <c r="N899" s="728"/>
      <c r="O899" s="728"/>
      <c r="P899" s="268"/>
      <c r="T899" s="268"/>
      <c r="U899" s="256"/>
      <c r="V899" s="256"/>
    </row>
    <row r="900" spans="1:22">
      <c r="C900" s="320"/>
      <c r="E900" s="36"/>
      <c r="G900" s="24"/>
      <c r="J900" s="728"/>
      <c r="K900" s="728"/>
      <c r="L900" s="746"/>
      <c r="N900" s="728"/>
      <c r="O900" s="728"/>
      <c r="P900" s="268"/>
      <c r="T900" s="268"/>
      <c r="U900" s="256"/>
      <c r="V900" s="256"/>
    </row>
    <row r="901" spans="1:22">
      <c r="A901" s="4"/>
      <c r="C901" s="747"/>
      <c r="E901" s="36"/>
      <c r="G901" s="24"/>
      <c r="J901" s="728"/>
      <c r="K901" s="728"/>
      <c r="L901" s="746"/>
      <c r="N901" s="728"/>
      <c r="O901" s="728"/>
      <c r="P901" s="268"/>
      <c r="T901" s="268"/>
      <c r="U901" s="256"/>
      <c r="V901" s="256"/>
    </row>
    <row r="902" spans="1:22">
      <c r="A902" s="4"/>
      <c r="C902" s="747"/>
      <c r="E902" s="36"/>
      <c r="G902" s="24"/>
      <c r="L902" s="746"/>
      <c r="P902" s="268"/>
      <c r="T902" s="268"/>
    </row>
    <row r="903" spans="1:22">
      <c r="A903" s="4"/>
      <c r="C903" s="747"/>
      <c r="E903" s="36"/>
      <c r="G903" s="24"/>
      <c r="L903" s="746"/>
      <c r="M903" s="644"/>
      <c r="N903" s="644"/>
      <c r="P903" s="268"/>
      <c r="T903" s="268"/>
    </row>
    <row r="904" spans="1:22">
      <c r="A904" s="4"/>
      <c r="C904" s="747"/>
      <c r="E904" s="36"/>
      <c r="G904" s="24"/>
      <c r="J904" s="728"/>
      <c r="K904" s="728"/>
      <c r="L904" s="326"/>
      <c r="N904" s="728"/>
      <c r="O904" s="728"/>
      <c r="P904" s="268"/>
      <c r="R904" s="728"/>
      <c r="S904" s="728"/>
      <c r="T904" s="268"/>
      <c r="V904" s="752"/>
    </row>
    <row r="905" spans="1:22">
      <c r="C905" s="320"/>
      <c r="E905" s="36"/>
      <c r="G905" s="24"/>
      <c r="J905" s="728"/>
      <c r="K905" s="728"/>
      <c r="L905" s="326"/>
      <c r="N905" s="728"/>
      <c r="O905" s="728"/>
      <c r="P905" s="268"/>
      <c r="T905" s="268"/>
    </row>
    <row r="906" spans="1:22">
      <c r="A906" s="4"/>
      <c r="C906" s="747"/>
      <c r="E906" s="36"/>
      <c r="G906" s="24"/>
      <c r="J906" s="728"/>
      <c r="K906" s="728"/>
      <c r="L906" s="746"/>
      <c r="N906" s="728"/>
      <c r="O906" s="728"/>
      <c r="P906" s="268"/>
      <c r="T906" s="268"/>
    </row>
    <row r="907" spans="1:22">
      <c r="C907" s="733"/>
      <c r="E907" s="36"/>
      <c r="G907" s="24"/>
      <c r="J907" s="728"/>
      <c r="K907" s="728"/>
      <c r="L907" s="746"/>
      <c r="N907" s="728"/>
      <c r="O907" s="728"/>
      <c r="P907" s="268"/>
      <c r="T907" s="268"/>
    </row>
    <row r="908" spans="1:22">
      <c r="A908" s="4"/>
      <c r="B908" s="256"/>
      <c r="C908" s="9"/>
      <c r="D908" s="256"/>
      <c r="E908" s="742"/>
      <c r="F908" s="256"/>
      <c r="G908" s="24"/>
      <c r="H908" s="256"/>
      <c r="I908" s="256"/>
      <c r="L908" s="746"/>
      <c r="P908" s="268"/>
      <c r="T908" s="268"/>
    </row>
    <row r="909" spans="1:22">
      <c r="G909" s="135"/>
      <c r="M909" s="644"/>
      <c r="P909" s="268"/>
      <c r="T909" s="268"/>
    </row>
    <row r="910" spans="1:22">
      <c r="A910" s="4"/>
      <c r="B910" s="256"/>
      <c r="C910" s="7"/>
      <c r="D910" s="256"/>
      <c r="E910" s="36"/>
      <c r="F910" s="256"/>
      <c r="G910" s="453"/>
      <c r="H910" s="256"/>
      <c r="I910" s="256"/>
      <c r="J910" s="728"/>
      <c r="K910" s="728"/>
      <c r="N910" s="728"/>
      <c r="O910" s="728"/>
      <c r="P910" s="268"/>
      <c r="R910" s="728"/>
      <c r="S910" s="728"/>
      <c r="T910" s="268"/>
      <c r="V910" s="752"/>
    </row>
    <row r="911" spans="1:22">
      <c r="A911" s="4"/>
      <c r="B911" s="256"/>
      <c r="C911" s="7"/>
      <c r="D911" s="256"/>
      <c r="E911" s="36"/>
      <c r="F911" s="256"/>
      <c r="G911" s="24"/>
      <c r="H911" s="256"/>
      <c r="I911" s="256"/>
      <c r="J911" s="728"/>
      <c r="K911" s="728"/>
      <c r="N911" s="728"/>
      <c r="O911" s="728"/>
      <c r="P911" s="268"/>
      <c r="T911" s="268"/>
    </row>
    <row r="912" spans="1:22">
      <c r="A912" s="4"/>
      <c r="B912" s="256"/>
      <c r="C912" s="7"/>
      <c r="D912" s="256"/>
      <c r="E912" s="36"/>
      <c r="F912" s="256"/>
      <c r="G912" s="453"/>
      <c r="H912" s="256"/>
      <c r="I912" s="256"/>
      <c r="N912" s="728"/>
      <c r="P912" s="268"/>
      <c r="Q912" s="728"/>
      <c r="T912" s="268"/>
    </row>
    <row r="913" spans="1:22">
      <c r="A913" s="4"/>
      <c r="B913" s="256"/>
      <c r="C913" s="7"/>
      <c r="D913" s="256"/>
      <c r="E913" s="36"/>
      <c r="F913" s="256"/>
      <c r="G913" s="453"/>
      <c r="H913" s="256"/>
      <c r="I913" s="256"/>
      <c r="N913" s="728"/>
      <c r="P913" s="268"/>
      <c r="Q913" s="728"/>
      <c r="T913" s="268"/>
    </row>
    <row r="914" spans="1:22">
      <c r="A914" s="4"/>
      <c r="B914" s="256"/>
      <c r="C914" s="268"/>
      <c r="D914" s="256"/>
      <c r="F914" s="256"/>
      <c r="G914" s="135"/>
      <c r="H914" s="256"/>
      <c r="I914" s="256"/>
      <c r="P914" s="268"/>
      <c r="T914" s="268"/>
      <c r="U914" s="256"/>
      <c r="V914" s="256"/>
    </row>
    <row r="915" spans="1:22">
      <c r="A915" s="4"/>
      <c r="B915" s="256"/>
      <c r="D915" s="256"/>
      <c r="E915" s="742"/>
      <c r="F915" s="256"/>
      <c r="G915" s="453"/>
      <c r="H915" s="256"/>
      <c r="I915" s="256"/>
      <c r="M915" s="644"/>
      <c r="P915" s="268"/>
      <c r="T915" s="268"/>
    </row>
    <row r="916" spans="1:22">
      <c r="A916" s="4"/>
      <c r="B916" s="256"/>
      <c r="D916" s="256"/>
      <c r="E916" s="742"/>
      <c r="F916" s="256"/>
      <c r="G916" s="453"/>
      <c r="H916" s="256"/>
      <c r="I916" s="256"/>
      <c r="N916" s="728"/>
      <c r="P916" s="268"/>
      <c r="T916" s="268"/>
      <c r="U916" s="256"/>
      <c r="V916" s="256"/>
    </row>
    <row r="917" spans="1:22">
      <c r="A917" s="734"/>
      <c r="B917" s="3"/>
      <c r="C917" s="3"/>
      <c r="D917" s="3"/>
      <c r="E917" s="3"/>
      <c r="F917" s="3"/>
      <c r="G917" s="3"/>
      <c r="H917" s="3"/>
      <c r="I917" s="3"/>
      <c r="N917" s="728"/>
      <c r="P917" s="268"/>
      <c r="T917" s="268"/>
      <c r="U917" s="256"/>
      <c r="V917" s="256"/>
    </row>
    <row r="918" spans="1:22">
      <c r="A918" s="735"/>
      <c r="B918" s="734"/>
      <c r="C918" s="734"/>
      <c r="D918" s="734"/>
      <c r="E918" s="734"/>
      <c r="F918" s="734"/>
      <c r="G918" s="734"/>
      <c r="H918" s="734"/>
      <c r="I918" s="734"/>
      <c r="N918" s="728"/>
      <c r="P918" s="268"/>
      <c r="T918" s="268"/>
      <c r="U918" s="256"/>
      <c r="V918" s="256"/>
    </row>
    <row r="919" spans="1:22">
      <c r="B919" s="385"/>
      <c r="D919" s="385"/>
      <c r="E919" s="447"/>
      <c r="F919" s="385"/>
      <c r="H919" s="385"/>
      <c r="I919" s="385"/>
      <c r="P919" s="385"/>
      <c r="T919" s="385"/>
      <c r="U919" s="385"/>
      <c r="V919" s="385"/>
    </row>
    <row r="920" spans="1:22">
      <c r="A920" s="447"/>
      <c r="B920" s="447"/>
      <c r="C920" s="447"/>
      <c r="D920" s="447"/>
      <c r="E920" s="385"/>
      <c r="F920" s="447"/>
      <c r="G920" s="385"/>
      <c r="H920" s="447"/>
      <c r="I920" s="447"/>
      <c r="P920" s="447"/>
      <c r="T920" s="447"/>
      <c r="U920" s="447"/>
      <c r="V920" s="447"/>
    </row>
    <row r="921" spans="1:22">
      <c r="A921" s="254"/>
      <c r="B921" s="254"/>
      <c r="C921" s="254"/>
      <c r="D921" s="254"/>
      <c r="E921" s="4"/>
      <c r="F921" s="254"/>
      <c r="G921" s="13"/>
      <c r="H921" s="254"/>
      <c r="I921" s="254"/>
      <c r="P921" s="254"/>
      <c r="T921" s="254"/>
      <c r="U921" s="254"/>
      <c r="V921" s="254"/>
    </row>
    <row r="922" spans="1:22">
      <c r="A922" s="4"/>
      <c r="B922" s="256"/>
      <c r="C922" s="256"/>
      <c r="D922" s="256"/>
      <c r="E922" s="4"/>
      <c r="F922" s="256"/>
      <c r="G922" s="4"/>
      <c r="H922" s="256"/>
      <c r="I922" s="256"/>
      <c r="P922" s="256"/>
      <c r="T922" s="256"/>
      <c r="U922" s="256"/>
      <c r="V922" s="256"/>
    </row>
    <row r="923" spans="1:22">
      <c r="A923" s="4"/>
      <c r="B923" s="256"/>
      <c r="C923" s="256"/>
      <c r="D923" s="256"/>
      <c r="E923" s="4"/>
      <c r="F923" s="256"/>
      <c r="G923" s="4"/>
      <c r="H923" s="256"/>
      <c r="I923" s="256"/>
      <c r="P923" s="256"/>
      <c r="T923" s="256"/>
      <c r="U923" s="256"/>
      <c r="V923" s="256"/>
    </row>
    <row r="924" spans="1:22">
      <c r="C924" s="671"/>
      <c r="G924" s="135"/>
    </row>
    <row r="925" spans="1:22">
      <c r="C925" s="6"/>
      <c r="G925" s="135"/>
    </row>
    <row r="926" spans="1:22">
      <c r="A926" s="4"/>
      <c r="C926" s="733"/>
      <c r="G926" s="135"/>
    </row>
    <row r="927" spans="1:22">
      <c r="A927" s="4"/>
      <c r="C927" s="732"/>
      <c r="E927" s="513"/>
      <c r="G927" s="24"/>
    </row>
    <row r="928" spans="1:22">
      <c r="A928" s="4"/>
      <c r="C928" s="732"/>
      <c r="E928" s="318"/>
      <c r="G928" s="24"/>
    </row>
    <row r="929" spans="1:7">
      <c r="G929" s="135"/>
    </row>
    <row r="930" spans="1:7">
      <c r="A930" s="4"/>
      <c r="C930" s="504"/>
      <c r="E930" s="268"/>
      <c r="G930" s="453"/>
    </row>
    <row r="931" spans="1:7">
      <c r="C931" s="525"/>
      <c r="G931" s="135"/>
    </row>
    <row r="932" spans="1:7">
      <c r="C932" s="6"/>
      <c r="G932" s="135"/>
    </row>
    <row r="933" spans="1:7">
      <c r="A933" s="4"/>
      <c r="C933" s="733"/>
      <c r="G933" s="135"/>
    </row>
    <row r="934" spans="1:7">
      <c r="A934" s="4"/>
      <c r="C934" s="745"/>
      <c r="E934" s="513"/>
      <c r="G934" s="744"/>
    </row>
    <row r="935" spans="1:7">
      <c r="A935" s="4"/>
      <c r="C935" s="512"/>
      <c r="E935" s="513"/>
      <c r="G935" s="135"/>
    </row>
    <row r="936" spans="1:7">
      <c r="A936" s="4"/>
      <c r="C936" s="512"/>
      <c r="E936" s="318"/>
      <c r="G936" s="744"/>
    </row>
    <row r="937" spans="1:7">
      <c r="A937" s="4"/>
      <c r="C937" s="504"/>
      <c r="G937" s="135"/>
    </row>
    <row r="938" spans="1:7">
      <c r="A938" s="4"/>
      <c r="C938" s="504"/>
      <c r="G938" s="453"/>
    </row>
    <row r="939" spans="1:7">
      <c r="A939" s="4"/>
      <c r="C939" s="504"/>
      <c r="G939" s="453"/>
    </row>
    <row r="940" spans="1:7">
      <c r="A940" s="4"/>
      <c r="C940" s="736"/>
      <c r="G940" s="453"/>
    </row>
    <row r="941" spans="1:7">
      <c r="A941" s="4"/>
      <c r="C941" s="512"/>
      <c r="E941" s="268"/>
      <c r="G941" s="24"/>
    </row>
    <row r="943" spans="1:7">
      <c r="C943" s="6"/>
      <c r="G943" s="135"/>
    </row>
    <row r="944" spans="1:7">
      <c r="C944" s="7"/>
      <c r="G944" s="135"/>
    </row>
    <row r="945" spans="1:7">
      <c r="A945" s="4"/>
      <c r="C945" s="9"/>
      <c r="E945" s="513"/>
      <c r="G945" s="24"/>
    </row>
    <row r="946" spans="1:7">
      <c r="A946" s="4"/>
      <c r="C946" s="743"/>
      <c r="E946" s="513"/>
      <c r="G946" s="24"/>
    </row>
    <row r="947" spans="1:7">
      <c r="A947" s="4"/>
      <c r="C947" s="9"/>
      <c r="E947" s="513"/>
      <c r="G947" s="24"/>
    </row>
    <row r="948" spans="1:7">
      <c r="A948" s="4"/>
      <c r="C948" s="743"/>
      <c r="E948" s="513"/>
      <c r="G948" s="24"/>
    </row>
    <row r="949" spans="1:7">
      <c r="A949" s="4"/>
      <c r="C949" s="519"/>
      <c r="E949" s="513"/>
      <c r="G949" s="24"/>
    </row>
    <row r="950" spans="1:7">
      <c r="A950" s="4"/>
      <c r="C950" s="9"/>
    </row>
    <row r="951" spans="1:7">
      <c r="A951" s="4"/>
      <c r="C951" s="743"/>
      <c r="E951" s="513"/>
      <c r="G951" s="24"/>
    </row>
    <row r="952" spans="1:7">
      <c r="A952" s="4"/>
      <c r="C952" s="7"/>
      <c r="G952" s="135"/>
    </row>
    <row r="953" spans="1:7">
      <c r="A953" s="4"/>
      <c r="C953" s="512"/>
      <c r="G953" s="135"/>
    </row>
    <row r="954" spans="1:7">
      <c r="A954" s="4"/>
      <c r="C954" s="9"/>
      <c r="E954" s="513"/>
      <c r="G954" s="24"/>
    </row>
    <row r="955" spans="1:7">
      <c r="A955" s="4"/>
      <c r="C955" s="9"/>
      <c r="E955" s="513"/>
      <c r="G955" s="24"/>
    </row>
    <row r="956" spans="1:7">
      <c r="A956" s="4"/>
      <c r="C956" s="9"/>
      <c r="E956" s="513"/>
      <c r="G956" s="24"/>
    </row>
    <row r="957" spans="1:7">
      <c r="A957" s="4"/>
      <c r="C957" s="9"/>
      <c r="E957" s="513"/>
      <c r="G957" s="24"/>
    </row>
    <row r="958" spans="1:7">
      <c r="A958" s="4"/>
      <c r="C958" s="9"/>
      <c r="E958" s="513"/>
      <c r="G958" s="24"/>
    </row>
    <row r="959" spans="1:7">
      <c r="A959" s="4"/>
      <c r="C959" s="543"/>
      <c r="E959" s="513"/>
      <c r="G959" s="24"/>
    </row>
    <row r="960" spans="1:7">
      <c r="C960" s="512"/>
      <c r="G960" s="135"/>
    </row>
    <row r="961" spans="1:22">
      <c r="A961" s="4"/>
      <c r="C961" s="9"/>
      <c r="E961" s="513"/>
      <c r="G961" s="24"/>
    </row>
    <row r="962" spans="1:22">
      <c r="A962" s="4"/>
      <c r="C962" s="9"/>
      <c r="E962" s="513"/>
      <c r="G962" s="24"/>
    </row>
    <row r="963" spans="1:22">
      <c r="C963" s="733"/>
      <c r="E963" s="268"/>
      <c r="G963" s="135"/>
    </row>
    <row r="964" spans="1:22">
      <c r="C964" s="512"/>
      <c r="E964" s="268"/>
      <c r="G964" s="135"/>
    </row>
    <row r="965" spans="1:22">
      <c r="A965" s="4"/>
      <c r="C965" s="9"/>
      <c r="E965" s="513"/>
      <c r="G965" s="24"/>
    </row>
    <row r="966" spans="1:22">
      <c r="A966" s="4"/>
      <c r="C966" s="9"/>
      <c r="E966" s="513"/>
      <c r="G966" s="24"/>
    </row>
    <row r="967" spans="1:22">
      <c r="G967" s="135"/>
    </row>
    <row r="968" spans="1:22">
      <c r="A968" s="4"/>
      <c r="C968" s="12"/>
      <c r="E968" s="13"/>
      <c r="G968" s="453"/>
    </row>
    <row r="969" spans="1:22">
      <c r="G969" s="135"/>
    </row>
    <row r="970" spans="1:22">
      <c r="A970" s="4"/>
      <c r="B970" s="256"/>
      <c r="D970" s="256"/>
      <c r="E970" s="742"/>
      <c r="F970" s="256"/>
      <c r="G970" s="453"/>
      <c r="H970" s="256"/>
      <c r="I970" s="256"/>
      <c r="P970" s="256"/>
      <c r="T970" s="256"/>
      <c r="U970" s="256"/>
      <c r="V970" s="256"/>
    </row>
    <row r="971" spans="1:22">
      <c r="A971" s="4"/>
      <c r="B971" s="256"/>
      <c r="D971" s="256"/>
      <c r="E971" s="742"/>
      <c r="F971" s="256"/>
      <c r="G971" s="453"/>
      <c r="H971" s="256"/>
      <c r="I971" s="256"/>
      <c r="P971" s="256"/>
      <c r="T971" s="256"/>
      <c r="U971" s="256"/>
      <c r="V971" s="256"/>
    </row>
    <row r="972" spans="1:22">
      <c r="A972" s="734"/>
      <c r="B972" s="3"/>
      <c r="C972" s="3"/>
      <c r="D972" s="3"/>
      <c r="E972" s="3"/>
      <c r="F972" s="3"/>
      <c r="G972" s="3"/>
      <c r="H972" s="3"/>
      <c r="I972" s="3"/>
      <c r="P972" s="3"/>
      <c r="T972" s="3"/>
      <c r="U972" s="3"/>
      <c r="V972" s="3"/>
    </row>
    <row r="973" spans="1:22">
      <c r="A973" s="735"/>
      <c r="B973" s="734"/>
      <c r="C973" s="734"/>
      <c r="D973" s="734"/>
      <c r="E973" s="734"/>
      <c r="F973" s="734"/>
      <c r="G973" s="734"/>
      <c r="H973" s="734"/>
      <c r="I973" s="734"/>
      <c r="P973" s="734"/>
      <c r="T973" s="734"/>
      <c r="U973" s="734"/>
      <c r="V973" s="734"/>
    </row>
    <row r="974" spans="1:22">
      <c r="B974" s="4"/>
      <c r="C974" s="4"/>
      <c r="D974" s="4"/>
      <c r="E974" s="447"/>
      <c r="F974" s="4"/>
      <c r="G974" s="447"/>
      <c r="H974" s="4"/>
      <c r="I974" s="4"/>
      <c r="P974" s="4"/>
      <c r="T974" s="4"/>
      <c r="U974" s="4"/>
      <c r="V974" s="4"/>
    </row>
    <row r="975" spans="1:22">
      <c r="A975" s="447"/>
      <c r="B975" s="447"/>
      <c r="C975" s="447"/>
      <c r="D975" s="447"/>
      <c r="E975" s="4"/>
      <c r="F975" s="447"/>
      <c r="G975" s="4"/>
      <c r="H975" s="447"/>
      <c r="I975" s="447"/>
      <c r="P975" s="447"/>
      <c r="T975" s="447"/>
      <c r="U975" s="447"/>
      <c r="V975" s="447"/>
    </row>
    <row r="976" spans="1:22">
      <c r="A976" s="254"/>
      <c r="B976" s="254"/>
      <c r="C976" s="254"/>
      <c r="D976" s="254"/>
      <c r="E976" s="4"/>
      <c r="F976" s="254"/>
      <c r="G976" s="13"/>
      <c r="H976" s="254"/>
      <c r="I976" s="254"/>
      <c r="P976" s="254"/>
      <c r="T976" s="254"/>
      <c r="U976" s="254"/>
      <c r="V976" s="254"/>
    </row>
    <row r="977" spans="1:22">
      <c r="A977" s="4"/>
      <c r="B977" s="256"/>
      <c r="C977" s="256"/>
      <c r="D977" s="256"/>
      <c r="E977" s="4"/>
      <c r="F977" s="256"/>
      <c r="G977" s="4"/>
      <c r="H977" s="256"/>
      <c r="I977" s="256"/>
      <c r="P977" s="256"/>
      <c r="T977" s="256"/>
      <c r="U977" s="256"/>
      <c r="V977" s="256"/>
    </row>
    <row r="978" spans="1:22">
      <c r="A978" s="4"/>
      <c r="B978" s="256"/>
      <c r="C978" s="256"/>
      <c r="D978" s="256"/>
      <c r="E978" s="4"/>
      <c r="F978" s="256"/>
      <c r="G978" s="4"/>
      <c r="H978" s="256"/>
      <c r="I978" s="256"/>
      <c r="P978" s="256"/>
      <c r="T978" s="256"/>
      <c r="U978" s="256"/>
      <c r="V978" s="256"/>
    </row>
    <row r="979" spans="1:22">
      <c r="G979" s="135"/>
    </row>
    <row r="980" spans="1:22">
      <c r="C980" s="6"/>
      <c r="G980" s="135"/>
    </row>
    <row r="981" spans="1:22">
      <c r="C981" s="7"/>
      <c r="G981" s="135"/>
    </row>
    <row r="982" spans="1:22">
      <c r="A982" s="4"/>
      <c r="C982" s="741"/>
      <c r="E982" s="513"/>
      <c r="G982" s="35"/>
    </row>
    <row r="983" spans="1:22">
      <c r="A983" s="4"/>
      <c r="C983" s="741"/>
      <c r="E983" s="513"/>
      <c r="G983" s="24"/>
    </row>
    <row r="984" spans="1:22">
      <c r="A984" s="4"/>
      <c r="C984" s="9"/>
      <c r="E984" s="513"/>
      <c r="G984" s="24"/>
    </row>
    <row r="985" spans="1:22">
      <c r="A985" s="4"/>
      <c r="C985" s="543"/>
      <c r="E985" s="513"/>
      <c r="G985" s="24"/>
    </row>
    <row r="986" spans="1:22">
      <c r="A986" s="4"/>
      <c r="C986" s="9"/>
      <c r="E986" s="513"/>
      <c r="G986" s="24"/>
    </row>
    <row r="987" spans="1:22">
      <c r="G987" s="135"/>
    </row>
    <row r="988" spans="1:22">
      <c r="C988" s="7"/>
      <c r="G988" s="135"/>
    </row>
    <row r="989" spans="1:22">
      <c r="C989" s="519"/>
      <c r="G989" s="135"/>
    </row>
    <row r="990" spans="1:22">
      <c r="C990" s="731"/>
      <c r="G990" s="135"/>
    </row>
    <row r="991" spans="1:22">
      <c r="A991" s="4"/>
      <c r="C991" s="740"/>
      <c r="E991" s="513"/>
      <c r="G991" s="24"/>
    </row>
    <row r="992" spans="1:22">
      <c r="C992" s="731"/>
      <c r="E992" s="268"/>
      <c r="G992" s="135"/>
    </row>
    <row r="993" spans="1:7">
      <c r="A993" s="4"/>
      <c r="C993" s="740"/>
      <c r="E993" s="513"/>
      <c r="G993" s="24"/>
    </row>
    <row r="994" spans="1:7">
      <c r="A994" s="4"/>
      <c r="C994" s="740"/>
      <c r="E994" s="513"/>
      <c r="G994" s="24"/>
    </row>
    <row r="995" spans="1:7">
      <c r="A995" s="4"/>
      <c r="C995" s="740"/>
      <c r="E995" s="513"/>
      <c r="G995" s="24"/>
    </row>
    <row r="996" spans="1:7">
      <c r="A996" s="4"/>
      <c r="C996" s="740"/>
      <c r="E996" s="513"/>
      <c r="G996" s="24"/>
    </row>
    <row r="997" spans="1:7">
      <c r="C997" s="268"/>
      <c r="E997" s="268"/>
      <c r="G997" s="135"/>
    </row>
    <row r="998" spans="1:7">
      <c r="C998" s="519"/>
      <c r="E998" s="513"/>
      <c r="G998" s="135"/>
    </row>
    <row r="999" spans="1:7">
      <c r="C999" s="731"/>
      <c r="E999" s="268"/>
      <c r="G999" s="135"/>
    </row>
    <row r="1000" spans="1:7">
      <c r="A1000" s="4"/>
      <c r="C1000" s="740"/>
      <c r="E1000" s="513"/>
      <c r="G1000" s="24"/>
    </row>
    <row r="1001" spans="1:7">
      <c r="A1001" s="4"/>
      <c r="C1001" s="740"/>
      <c r="E1001" s="513"/>
      <c r="G1001" s="24"/>
    </row>
    <row r="1002" spans="1:7">
      <c r="G1002" s="135"/>
    </row>
    <row r="1003" spans="1:7">
      <c r="A1003" s="4"/>
      <c r="E1003" s="513"/>
      <c r="G1003" s="24"/>
    </row>
    <row r="1004" spans="1:7">
      <c r="A1004" s="4"/>
      <c r="G1004" s="135"/>
    </row>
    <row r="1005" spans="1:7">
      <c r="G1005" s="135"/>
    </row>
    <row r="1006" spans="1:7">
      <c r="A1006" s="4"/>
      <c r="G1006" s="739"/>
    </row>
    <row r="1007" spans="1:7">
      <c r="G1007" s="135"/>
    </row>
    <row r="1008" spans="1:7">
      <c r="G1008" s="135"/>
    </row>
    <row r="1009" spans="1:22">
      <c r="G1009" s="135"/>
    </row>
    <row r="1010" spans="1:22">
      <c r="A1010" s="734"/>
      <c r="B1010" s="3"/>
      <c r="C1010" s="3"/>
      <c r="D1010" s="3"/>
      <c r="E1010" s="3"/>
      <c r="F1010" s="3"/>
      <c r="G1010" s="3"/>
      <c r="H1010" s="3"/>
      <c r="I1010" s="3"/>
      <c r="P1010" s="3"/>
      <c r="T1010" s="3"/>
      <c r="U1010" s="3"/>
      <c r="V1010" s="3"/>
    </row>
    <row r="1011" spans="1:22">
      <c r="A1011" s="735"/>
      <c r="B1011" s="734"/>
      <c r="C1011" s="734"/>
      <c r="D1011" s="734"/>
      <c r="E1011" s="734"/>
      <c r="F1011" s="734"/>
      <c r="G1011" s="734"/>
      <c r="H1011" s="734"/>
      <c r="I1011" s="734"/>
      <c r="P1011" s="734"/>
      <c r="T1011" s="734"/>
      <c r="U1011" s="734"/>
      <c r="V1011" s="734"/>
    </row>
    <row r="1012" spans="1:22">
      <c r="A1012" s="4"/>
      <c r="B1012" s="4"/>
      <c r="C1012" s="4"/>
      <c r="D1012" s="4"/>
      <c r="E1012" s="447"/>
      <c r="F1012" s="4"/>
      <c r="G1012" s="447"/>
      <c r="H1012" s="4"/>
      <c r="I1012" s="4"/>
      <c r="P1012" s="4"/>
      <c r="T1012" s="4"/>
      <c r="U1012" s="4"/>
      <c r="V1012" s="4"/>
    </row>
    <row r="1013" spans="1:22">
      <c r="A1013" s="447"/>
      <c r="B1013" s="447"/>
      <c r="C1013" s="447"/>
      <c r="D1013" s="447"/>
      <c r="E1013" s="4"/>
      <c r="F1013" s="447"/>
      <c r="G1013" s="4"/>
      <c r="H1013" s="447"/>
      <c r="I1013" s="447"/>
      <c r="P1013" s="447"/>
      <c r="T1013" s="447"/>
      <c r="U1013" s="447"/>
      <c r="V1013" s="447"/>
    </row>
    <row r="1014" spans="1:22">
      <c r="A1014" s="254"/>
      <c r="B1014" s="254"/>
      <c r="C1014" s="254"/>
      <c r="D1014" s="254"/>
      <c r="E1014" s="4"/>
      <c r="F1014" s="254"/>
      <c r="G1014" s="13"/>
      <c r="H1014" s="254"/>
      <c r="I1014" s="254"/>
      <c r="P1014" s="254"/>
      <c r="T1014" s="254"/>
      <c r="U1014" s="254"/>
      <c r="V1014" s="254"/>
    </row>
    <row r="1015" spans="1:22">
      <c r="A1015" s="4"/>
      <c r="B1015" s="256"/>
      <c r="C1015" s="256"/>
      <c r="D1015" s="256"/>
      <c r="E1015" s="4"/>
      <c r="F1015" s="256"/>
      <c r="G1015" s="4"/>
      <c r="H1015" s="256"/>
      <c r="I1015" s="256"/>
      <c r="P1015" s="256"/>
      <c r="T1015" s="256"/>
      <c r="U1015" s="256"/>
      <c r="V1015" s="256"/>
    </row>
    <row r="1016" spans="1:22">
      <c r="A1016" s="4"/>
      <c r="B1016" s="256"/>
      <c r="C1016" s="256"/>
      <c r="D1016" s="256"/>
      <c r="E1016" s="4"/>
      <c r="F1016" s="256"/>
      <c r="G1016" s="4"/>
      <c r="H1016" s="256"/>
      <c r="I1016" s="256"/>
      <c r="P1016" s="256"/>
      <c r="T1016" s="256"/>
      <c r="U1016" s="256"/>
      <c r="V1016" s="256"/>
    </row>
    <row r="1017" spans="1:22">
      <c r="G1017" s="135"/>
    </row>
    <row r="1018" spans="1:22">
      <c r="C1018" s="553"/>
      <c r="E1018" s="738"/>
      <c r="G1018" s="135"/>
    </row>
    <row r="1019" spans="1:22">
      <c r="A1019" s="4"/>
      <c r="C1019" s="512"/>
      <c r="E1019" s="36"/>
      <c r="G1019" s="24"/>
    </row>
    <row r="1020" spans="1:22">
      <c r="A1020" s="4"/>
      <c r="C1020" s="512"/>
      <c r="E1020" s="36"/>
      <c r="G1020" s="24"/>
    </row>
    <row r="1021" spans="1:22">
      <c r="A1021" s="4"/>
      <c r="C1021" s="512"/>
      <c r="E1021" s="36"/>
      <c r="G1021" s="24"/>
    </row>
    <row r="1022" spans="1:22">
      <c r="A1022" s="4"/>
      <c r="C1022" s="512"/>
      <c r="E1022" s="1"/>
      <c r="G1022" s="24"/>
    </row>
    <row r="1023" spans="1:22">
      <c r="A1023" s="4"/>
      <c r="C1023" s="512"/>
      <c r="E1023" s="1"/>
      <c r="G1023" s="24"/>
    </row>
    <row r="1024" spans="1:22">
      <c r="A1024" s="4"/>
      <c r="C1024" s="512"/>
      <c r="E1024" s="1"/>
      <c r="G1024" s="24"/>
    </row>
    <row r="1025" spans="1:7">
      <c r="C1025" s="7"/>
    </row>
    <row r="1026" spans="1:7">
      <c r="A1026" s="4"/>
      <c r="C1026" s="737"/>
      <c r="E1026" s="558"/>
      <c r="G1026" s="453"/>
    </row>
    <row r="1027" spans="1:7">
      <c r="C1027" s="7"/>
      <c r="G1027" s="135"/>
    </row>
    <row r="1028" spans="1:7">
      <c r="A1028" s="4"/>
      <c r="C1028" s="512"/>
      <c r="E1028" s="36"/>
      <c r="G1028" s="24"/>
    </row>
    <row r="1029" spans="1:7">
      <c r="A1029" s="4"/>
    </row>
    <row r="1030" spans="1:7">
      <c r="G1030" s="135"/>
    </row>
    <row r="1031" spans="1:7">
      <c r="G1031" s="135"/>
    </row>
    <row r="1032" spans="1:7">
      <c r="C1032" s="6"/>
      <c r="G1032" s="135"/>
    </row>
    <row r="1033" spans="1:7">
      <c r="A1033" s="4"/>
      <c r="C1033" s="512"/>
      <c r="E1033" s="36"/>
      <c r="G1033" s="24"/>
    </row>
    <row r="1034" spans="1:7">
      <c r="A1034" s="4"/>
      <c r="C1034" s="512"/>
      <c r="E1034" s="1"/>
      <c r="G1034" s="24"/>
    </row>
    <row r="1035" spans="1:7">
      <c r="C1035" s="512"/>
      <c r="G1035" s="135"/>
    </row>
    <row r="1036" spans="1:7">
      <c r="A1036" s="4"/>
      <c r="C1036" s="519"/>
      <c r="E1036" s="513"/>
      <c r="G1036" s="24"/>
    </row>
    <row r="1037" spans="1:7">
      <c r="A1037" s="4"/>
      <c r="C1037" s="519"/>
      <c r="E1037" s="1"/>
      <c r="G1037" s="24"/>
    </row>
    <row r="1038" spans="1:7">
      <c r="A1038" s="4"/>
      <c r="C1038" s="519"/>
      <c r="E1038" s="1"/>
      <c r="G1038" s="24"/>
    </row>
    <row r="1039" spans="1:7">
      <c r="A1039" s="4"/>
      <c r="C1039" s="519"/>
      <c r="E1039" s="1"/>
      <c r="G1039" s="24"/>
    </row>
    <row r="1040" spans="1:7">
      <c r="A1040" s="4"/>
      <c r="C1040" s="519"/>
      <c r="E1040" s="1"/>
      <c r="G1040" s="24"/>
    </row>
    <row r="1041" spans="1:22">
      <c r="C1041" s="512"/>
      <c r="G1041" s="135"/>
    </row>
    <row r="1042" spans="1:22">
      <c r="A1042" s="4"/>
      <c r="C1042" s="519"/>
      <c r="E1042" s="513"/>
      <c r="G1042" s="24"/>
    </row>
    <row r="1043" spans="1:22">
      <c r="A1043" s="4"/>
      <c r="C1043" s="519"/>
      <c r="E1043" s="1"/>
      <c r="G1043" s="24"/>
    </row>
    <row r="1044" spans="1:22">
      <c r="A1044" s="4"/>
      <c r="C1044" s="519"/>
      <c r="E1044" s="1"/>
      <c r="G1044" s="24"/>
    </row>
    <row r="1045" spans="1:22">
      <c r="C1045" s="736"/>
      <c r="G1045" s="135"/>
    </row>
    <row r="1046" spans="1:22">
      <c r="A1046" s="4"/>
      <c r="G1046" s="453"/>
    </row>
    <row r="1047" spans="1:22">
      <c r="A1047" s="4"/>
      <c r="C1047" s="504"/>
      <c r="G1047" s="24"/>
    </row>
    <row r="1048" spans="1:22">
      <c r="A1048" s="2"/>
    </row>
    <row r="1049" spans="1:22">
      <c r="G1049" s="135"/>
    </row>
    <row r="1050" spans="1:22">
      <c r="G1050" s="135"/>
    </row>
    <row r="1051" spans="1:22">
      <c r="G1051" s="135"/>
    </row>
    <row r="1052" spans="1:22">
      <c r="A1052" s="734"/>
      <c r="B1052" s="3"/>
      <c r="C1052" s="3"/>
      <c r="D1052" s="3"/>
      <c r="E1052" s="3"/>
      <c r="F1052" s="3"/>
      <c r="G1052" s="3"/>
      <c r="H1052" s="3"/>
      <c r="I1052" s="3"/>
      <c r="P1052" s="3"/>
      <c r="T1052" s="3"/>
      <c r="U1052" s="3"/>
      <c r="V1052" s="3"/>
    </row>
    <row r="1053" spans="1:22">
      <c r="A1053" s="735"/>
      <c r="B1053" s="734"/>
      <c r="C1053" s="734"/>
      <c r="D1053" s="734"/>
      <c r="E1053" s="734"/>
      <c r="F1053" s="734"/>
      <c r="G1053" s="734"/>
      <c r="H1053" s="734"/>
      <c r="I1053" s="734"/>
      <c r="P1053" s="734"/>
      <c r="T1053" s="734"/>
      <c r="U1053" s="734"/>
      <c r="V1053" s="734"/>
    </row>
    <row r="1054" spans="1:22">
      <c r="A1054" s="4"/>
      <c r="B1054" s="4"/>
      <c r="C1054" s="4"/>
      <c r="D1054" s="4"/>
      <c r="E1054" s="447"/>
      <c r="F1054" s="4"/>
      <c r="G1054" s="447"/>
      <c r="H1054" s="4"/>
      <c r="I1054" s="4"/>
      <c r="P1054" s="4"/>
      <c r="T1054" s="4"/>
      <c r="U1054" s="4"/>
      <c r="V1054" s="4"/>
    </row>
    <row r="1055" spans="1:22">
      <c r="A1055" s="447"/>
      <c r="B1055" s="447"/>
      <c r="C1055" s="447"/>
      <c r="D1055" s="447"/>
      <c r="E1055" s="4"/>
      <c r="F1055" s="447"/>
      <c r="G1055" s="4"/>
      <c r="H1055" s="447"/>
      <c r="I1055" s="447"/>
      <c r="P1055" s="447"/>
      <c r="T1055" s="447"/>
      <c r="U1055" s="447"/>
      <c r="V1055" s="447"/>
    </row>
    <row r="1056" spans="1:22">
      <c r="A1056" s="254"/>
      <c r="B1056" s="254"/>
      <c r="C1056" s="254"/>
      <c r="D1056" s="254"/>
      <c r="E1056" s="4"/>
      <c r="F1056" s="254"/>
      <c r="G1056" s="13"/>
      <c r="H1056" s="254"/>
      <c r="I1056" s="254"/>
      <c r="P1056" s="254"/>
      <c r="T1056" s="254"/>
      <c r="U1056" s="254"/>
      <c r="V1056" s="254"/>
    </row>
    <row r="1057" spans="1:22">
      <c r="A1057" s="4"/>
      <c r="B1057" s="256"/>
      <c r="C1057" s="256"/>
      <c r="D1057" s="256"/>
      <c r="E1057" s="4"/>
      <c r="F1057" s="256"/>
      <c r="G1057" s="4"/>
      <c r="H1057" s="256"/>
      <c r="I1057" s="256"/>
      <c r="P1057" s="256"/>
      <c r="T1057" s="256"/>
      <c r="U1057" s="256"/>
      <c r="V1057" s="256"/>
    </row>
    <row r="1058" spans="1:22">
      <c r="A1058" s="4"/>
      <c r="B1058" s="256"/>
      <c r="C1058" s="256"/>
      <c r="D1058" s="256"/>
      <c r="E1058" s="4"/>
      <c r="F1058" s="256"/>
      <c r="G1058" s="4"/>
      <c r="H1058" s="256"/>
      <c r="I1058" s="256"/>
      <c r="P1058" s="256"/>
      <c r="T1058" s="256"/>
      <c r="U1058" s="256"/>
      <c r="V1058" s="256"/>
    </row>
    <row r="1059" spans="1:22">
      <c r="G1059" s="135"/>
    </row>
    <row r="1060" spans="1:22">
      <c r="C1060" s="6"/>
      <c r="G1060" s="135"/>
    </row>
    <row r="1061" spans="1:22">
      <c r="A1061" s="4"/>
      <c r="C1061" s="512"/>
      <c r="E1061" s="513"/>
      <c r="G1061" s="24"/>
    </row>
    <row r="1062" spans="1:22">
      <c r="A1062" s="4"/>
      <c r="C1062" s="733"/>
      <c r="E1062" s="268"/>
      <c r="G1062" s="24"/>
    </row>
    <row r="1063" spans="1:22">
      <c r="A1063" s="4"/>
      <c r="C1063" s="732"/>
      <c r="E1063" s="513"/>
      <c r="G1063" s="24"/>
    </row>
    <row r="1064" spans="1:22">
      <c r="A1064" s="4"/>
      <c r="C1064" s="732"/>
      <c r="E1064" s="513"/>
      <c r="G1064" s="24"/>
    </row>
    <row r="1065" spans="1:22">
      <c r="A1065" s="4"/>
      <c r="C1065" s="732"/>
      <c r="E1065" s="513"/>
      <c r="G1065" s="24"/>
    </row>
    <row r="1066" spans="1:22">
      <c r="A1066" s="4"/>
      <c r="C1066" s="512"/>
      <c r="E1066" s="268"/>
      <c r="G1066" s="24"/>
    </row>
    <row r="1067" spans="1:22">
      <c r="A1067" s="4"/>
      <c r="C1067" s="731"/>
      <c r="E1067" s="513"/>
      <c r="G1067" s="24"/>
    </row>
    <row r="1068" spans="1:22">
      <c r="A1068" s="4"/>
      <c r="C1068" s="268"/>
      <c r="G1068" s="24"/>
    </row>
    <row r="1069" spans="1:22">
      <c r="A1069" s="4"/>
      <c r="C1069" s="504"/>
      <c r="G1069" s="453"/>
    </row>
    <row r="1070" spans="1:22">
      <c r="A1070" s="4"/>
      <c r="C1070" s="268"/>
      <c r="G1070" s="135"/>
    </row>
    <row r="1071" spans="1:22">
      <c r="A1071" s="4"/>
      <c r="C1071" s="730"/>
      <c r="G1071" s="135"/>
    </row>
    <row r="1072" spans="1:22">
      <c r="A1072" s="4"/>
      <c r="C1072" s="647"/>
      <c r="G1072" s="135"/>
    </row>
    <row r="1073" spans="1:22">
      <c r="A1073" s="4"/>
      <c r="C1073" s="268"/>
      <c r="G1073" s="135"/>
    </row>
    <row r="1074" spans="1:22">
      <c r="A1074" s="4"/>
    </row>
    <row r="1075" spans="1:22">
      <c r="A1075" s="4"/>
      <c r="C1075" s="647"/>
      <c r="G1075" s="729"/>
    </row>
    <row r="1076" spans="1:22">
      <c r="A1076" s="4"/>
    </row>
    <row r="1077" spans="1:22">
      <c r="A1077" s="4"/>
    </row>
    <row r="1078" spans="1:22">
      <c r="B1078" s="6"/>
      <c r="D1078" s="6"/>
      <c r="F1078" s="6"/>
      <c r="H1078" s="6"/>
      <c r="I1078" s="6"/>
      <c r="P1078" s="6"/>
      <c r="T1078" s="6"/>
      <c r="U1078" s="6"/>
      <c r="V1078" s="6"/>
    </row>
    <row r="1079" spans="1:22">
      <c r="B1079" s="11"/>
      <c r="C1079" s="11"/>
      <c r="D1079" s="11"/>
      <c r="F1079" s="11"/>
      <c r="H1079" s="11"/>
      <c r="I1079" s="11"/>
      <c r="P1079" s="11"/>
      <c r="T1079" s="11"/>
      <c r="U1079" s="11"/>
      <c r="V1079" s="11"/>
    </row>
    <row r="1080" spans="1:22">
      <c r="C1080" s="11"/>
    </row>
    <row r="1081" spans="1:22">
      <c r="C1081" s="11"/>
    </row>
    <row r="1082" spans="1:22">
      <c r="C1082" s="11"/>
    </row>
    <row r="1083" spans="1:22">
      <c r="C1083" s="11"/>
    </row>
    <row r="1091" spans="7:7">
      <c r="G1091" s="326"/>
    </row>
    <row r="1092" spans="7:7">
      <c r="G1092" s="268"/>
    </row>
    <row r="1093" spans="7:7">
      <c r="G1093" s="268"/>
    </row>
    <row r="1094" spans="7:7">
      <c r="G1094" s="268"/>
    </row>
  </sheetData>
  <mergeCells count="104">
    <mergeCell ref="AA663:AF663"/>
    <mergeCell ref="A530:X530"/>
    <mergeCell ref="A581:X581"/>
    <mergeCell ref="A531:X531"/>
    <mergeCell ref="L533:N533"/>
    <mergeCell ref="L584:N584"/>
    <mergeCell ref="U584:X584"/>
    <mergeCell ref="A639:X639"/>
    <mergeCell ref="A640:X640"/>
    <mergeCell ref="U642:X642"/>
    <mergeCell ref="Q533:S533"/>
    <mergeCell ref="U533:X533"/>
    <mergeCell ref="Q352:S352"/>
    <mergeCell ref="A115:X115"/>
    <mergeCell ref="A156:X156"/>
    <mergeCell ref="A349:X349"/>
    <mergeCell ref="A350:X350"/>
    <mergeCell ref="U352:X352"/>
    <mergeCell ref="L352:N352"/>
    <mergeCell ref="A473:X473"/>
    <mergeCell ref="L227:N227"/>
    <mergeCell ref="U227:X227"/>
    <mergeCell ref="A279:X279"/>
    <mergeCell ref="U420:X420"/>
    <mergeCell ref="A417:X417"/>
    <mergeCell ref="A418:X418"/>
    <mergeCell ref="Q281:S281"/>
    <mergeCell ref="U281:X281"/>
    <mergeCell ref="L281:N281"/>
    <mergeCell ref="AA11:AB11"/>
    <mergeCell ref="A6:X6"/>
    <mergeCell ref="A7:X7"/>
    <mergeCell ref="U9:X9"/>
    <mergeCell ref="L9:N9"/>
    <mergeCell ref="Q9:S9"/>
    <mergeCell ref="A157:X157"/>
    <mergeCell ref="U159:X159"/>
    <mergeCell ref="Q475:S475"/>
    <mergeCell ref="U475:X475"/>
    <mergeCell ref="L420:N420"/>
    <mergeCell ref="G420:J420"/>
    <mergeCell ref="L475:N475"/>
    <mergeCell ref="A116:X116"/>
    <mergeCell ref="A65:X65"/>
    <mergeCell ref="L118:N118"/>
    <mergeCell ref="Q118:S118"/>
    <mergeCell ref="U118:X118"/>
    <mergeCell ref="A66:X66"/>
    <mergeCell ref="U68:X68"/>
    <mergeCell ref="Q420:S420"/>
    <mergeCell ref="Q227:S227"/>
    <mergeCell ref="A278:X278"/>
    <mergeCell ref="G9:J9"/>
    <mergeCell ref="G68:J68"/>
    <mergeCell ref="G118:J118"/>
    <mergeCell ref="G159:J159"/>
    <mergeCell ref="G227:J227"/>
    <mergeCell ref="G281:J281"/>
    <mergeCell ref="G352:J352"/>
    <mergeCell ref="A728:X728"/>
    <mergeCell ref="A727:X727"/>
    <mergeCell ref="L68:N68"/>
    <mergeCell ref="Q68:S68"/>
    <mergeCell ref="G475:J475"/>
    <mergeCell ref="G533:J533"/>
    <mergeCell ref="G584:J584"/>
    <mergeCell ref="G642:J642"/>
    <mergeCell ref="A582:X582"/>
    <mergeCell ref="Q584:S584"/>
    <mergeCell ref="L642:N642"/>
    <mergeCell ref="Q642:S642"/>
    <mergeCell ref="L159:N159"/>
    <mergeCell ref="A472:X472"/>
    <mergeCell ref="Q159:S159"/>
    <mergeCell ref="A224:X224"/>
    <mergeCell ref="A225:X225"/>
    <mergeCell ref="A685:X685"/>
    <mergeCell ref="A686:X686"/>
    <mergeCell ref="G688:J688"/>
    <mergeCell ref="L688:N688"/>
    <mergeCell ref="Q688:S688"/>
    <mergeCell ref="U688:X688"/>
    <mergeCell ref="L785:N785"/>
    <mergeCell ref="L730:N730"/>
    <mergeCell ref="Q730:S730"/>
    <mergeCell ref="U730:X730"/>
    <mergeCell ref="G730:J730"/>
    <mergeCell ref="Q861:S861"/>
    <mergeCell ref="U861:X861"/>
    <mergeCell ref="Q785:S785"/>
    <mergeCell ref="A782:X782"/>
    <mergeCell ref="A783:X783"/>
    <mergeCell ref="U785:X785"/>
    <mergeCell ref="A818:X818"/>
    <mergeCell ref="A819:X819"/>
    <mergeCell ref="G785:J785"/>
    <mergeCell ref="G821:J821"/>
    <mergeCell ref="G861:J861"/>
    <mergeCell ref="L821:N821"/>
    <mergeCell ref="Q821:S821"/>
    <mergeCell ref="U821:X821"/>
    <mergeCell ref="A858:X858"/>
    <mergeCell ref="A859:X859"/>
    <mergeCell ref="L861:N861"/>
  </mergeCells>
  <printOptions horizontalCentered="1"/>
  <pageMargins left="0.25" right="0.25" top="0.75" bottom="0.75" header="0.3" footer="0.3"/>
  <pageSetup scale="50" firstPageNumber="35" fitToHeight="0" orientation="landscape" useFirstPageNumber="1" r:id="rId1"/>
  <headerFooter>
    <oddHeader>&amp;R&amp;10Updated: 2024-03-15
EB-2022-0200
Rate Order
Working Papers
Schedule 19
Page &amp;P of 51</oddHeader>
  </headerFooter>
  <rowBreaks count="17" manualBreakCount="17">
    <brk id="59" max="23" man="1"/>
    <brk id="109" max="23" man="1"/>
    <brk id="150" max="23" man="1"/>
    <brk id="218" max="23" man="1"/>
    <brk id="272" max="23" man="1"/>
    <brk id="343" max="23" man="1"/>
    <brk id="411" max="23" man="1"/>
    <brk id="466" max="23" man="1"/>
    <brk id="524" max="23" man="1"/>
    <brk id="575" max="23" man="1"/>
    <brk id="633" max="23" man="1"/>
    <brk id="679" max="23" man="1"/>
    <brk id="721" max="23" man="1"/>
    <brk id="776" max="23" man="1"/>
    <brk id="812" max="23" man="1"/>
    <brk id="852" max="23" man="1"/>
    <brk id="892" max="25" man="1"/>
  </rowBreaks>
  <colBreaks count="1" manualBreakCount="1">
    <brk id="26" max="1044"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75D51-3D33-4BCF-AC1A-F9907DB754A3}">
  <dimension ref="A1:AC55"/>
  <sheetViews>
    <sheetView view="pageLayout" topLeftCell="A15" zoomScaleNormal="90" zoomScaleSheetLayoutView="70" workbookViewId="0">
      <selection activeCell="J36" sqref="J36"/>
    </sheetView>
  </sheetViews>
  <sheetFormatPr defaultColWidth="8.125" defaultRowHeight="12"/>
  <cols>
    <col min="1" max="1" width="5" style="96" customWidth="1"/>
    <col min="2" max="2" width="1.5" style="96" customWidth="1"/>
    <col min="3" max="3" width="33.125" style="96" customWidth="1"/>
    <col min="4" max="4" width="9" style="96" customWidth="1"/>
    <col min="5" max="5" width="8.125" style="96" customWidth="1"/>
    <col min="6" max="6" width="10.125" style="96" customWidth="1"/>
    <col min="7" max="7" width="1.5" style="96" customWidth="1"/>
    <col min="8" max="8" width="7.625" style="96" customWidth="1"/>
    <col min="9" max="9" width="4.625" style="96" customWidth="1"/>
    <col min="10" max="10" width="8.5" style="96" customWidth="1"/>
    <col min="11" max="11" width="3.5" style="96" customWidth="1"/>
    <col min="12" max="12" width="8.875" style="96" customWidth="1"/>
    <col min="13" max="13" width="1.5" style="96" customWidth="1"/>
    <col min="14" max="14" width="10.625" style="96" customWidth="1"/>
    <col min="15" max="15" width="10" style="96" customWidth="1"/>
    <col min="16" max="16" width="9.625" style="97" customWidth="1"/>
    <col min="17" max="17" width="9.5" style="97" customWidth="1"/>
    <col min="18" max="18" width="10.5" style="97" bestFit="1" customWidth="1"/>
    <col min="19" max="19" width="14.875" style="97" customWidth="1"/>
    <col min="20" max="20" width="9" style="97" bestFit="1" customWidth="1"/>
    <col min="21" max="21" width="8.125" style="97"/>
    <col min="22" max="22" width="9.625" style="97" bestFit="1" customWidth="1"/>
    <col min="23" max="23" width="9.125" style="97" bestFit="1" customWidth="1"/>
    <col min="24" max="25" width="8.125" style="97"/>
    <col min="26" max="26" width="10" style="97" bestFit="1" customWidth="1"/>
    <col min="27" max="27" width="8.125" style="97"/>
    <col min="28" max="28" width="9" style="97" bestFit="1" customWidth="1"/>
    <col min="29" max="16384" width="8.125" style="97"/>
  </cols>
  <sheetData>
    <row r="1" spans="1:29" ht="12.75">
      <c r="P1" s="98"/>
    </row>
    <row r="2" spans="1:29" ht="12.75">
      <c r="P2" s="98"/>
    </row>
    <row r="3" spans="1:29" ht="12.75">
      <c r="P3" s="98"/>
    </row>
    <row r="4" spans="1:29" ht="12.75">
      <c r="P4" s="98"/>
    </row>
    <row r="5" spans="1:29" ht="12.75">
      <c r="P5" s="75"/>
    </row>
    <row r="6" spans="1:29" ht="12.75">
      <c r="P6" s="75"/>
    </row>
    <row r="7" spans="1:29" ht="12.75" customHeight="1">
      <c r="A7" s="1328" t="s">
        <v>976</v>
      </c>
      <c r="B7" s="1328"/>
      <c r="C7" s="1328"/>
      <c r="D7" s="1328"/>
      <c r="E7" s="1328"/>
      <c r="F7" s="1328"/>
      <c r="G7" s="1328"/>
      <c r="H7" s="1328"/>
      <c r="I7" s="1328"/>
      <c r="J7" s="1328"/>
      <c r="K7" s="1328"/>
      <c r="L7" s="1328"/>
      <c r="M7" s="1328"/>
      <c r="N7" s="1328"/>
      <c r="O7" s="1328"/>
      <c r="P7" s="1328"/>
    </row>
    <row r="8" spans="1:29" ht="12.75" customHeight="1">
      <c r="A8" s="1023"/>
      <c r="B8" s="1023"/>
      <c r="C8" s="1023"/>
      <c r="D8" s="1023"/>
      <c r="E8" s="1023"/>
      <c r="F8" s="1023"/>
      <c r="G8" s="1023"/>
      <c r="H8" s="1023"/>
      <c r="I8" s="1023"/>
      <c r="J8" s="1023"/>
      <c r="K8" s="1023"/>
      <c r="L8" s="1023"/>
      <c r="M8" s="1023"/>
      <c r="N8" s="1023"/>
      <c r="O8" s="1023"/>
      <c r="P8" s="1023"/>
    </row>
    <row r="9" spans="1:29" ht="12.75" customHeight="1">
      <c r="D9" s="1329" t="s">
        <v>977</v>
      </c>
      <c r="E9" s="1329"/>
      <c r="F9" s="1329"/>
      <c r="H9" s="1329" t="s">
        <v>978</v>
      </c>
      <c r="I9" s="1329"/>
      <c r="J9" s="1329"/>
      <c r="K9" s="1329"/>
      <c r="L9" s="1329"/>
      <c r="N9" s="1329" t="s">
        <v>979</v>
      </c>
      <c r="O9" s="1329"/>
      <c r="P9" s="1329"/>
    </row>
    <row r="10" spans="1:29" ht="24">
      <c r="A10" s="99" t="s">
        <v>606</v>
      </c>
      <c r="B10" s="100"/>
      <c r="C10" s="101" t="s">
        <v>557</v>
      </c>
      <c r="D10" s="99" t="s">
        <v>980</v>
      </c>
      <c r="E10" s="99" t="s">
        <v>981</v>
      </c>
      <c r="F10" s="99" t="s">
        <v>100</v>
      </c>
      <c r="G10" s="100"/>
      <c r="H10" s="99" t="s">
        <v>980</v>
      </c>
      <c r="I10" s="100"/>
      <c r="J10" s="99" t="s">
        <v>981</v>
      </c>
      <c r="K10" s="100"/>
      <c r="L10" s="99" t="s">
        <v>100</v>
      </c>
      <c r="M10" s="100"/>
      <c r="N10" s="99" t="s">
        <v>980</v>
      </c>
      <c r="O10" s="99" t="s">
        <v>981</v>
      </c>
      <c r="P10" s="99" t="s">
        <v>100</v>
      </c>
    </row>
    <row r="11" spans="1:29" ht="12.75" customHeight="1">
      <c r="A11" s="100"/>
      <c r="B11" s="100"/>
      <c r="C11" s="102"/>
      <c r="D11" s="103" t="s">
        <v>8</v>
      </c>
      <c r="E11" s="103" t="s">
        <v>9</v>
      </c>
      <c r="F11" s="103" t="s">
        <v>563</v>
      </c>
      <c r="G11" s="103"/>
      <c r="H11" s="103" t="s">
        <v>79</v>
      </c>
      <c r="I11" s="103"/>
      <c r="J11" s="103" t="s">
        <v>115</v>
      </c>
      <c r="K11" s="103"/>
      <c r="L11" s="103" t="s">
        <v>982</v>
      </c>
      <c r="M11" s="103"/>
      <c r="N11" s="103" t="s">
        <v>983</v>
      </c>
      <c r="O11" s="103" t="s">
        <v>984</v>
      </c>
      <c r="P11" s="103" t="s">
        <v>985</v>
      </c>
      <c r="U11" s="104"/>
      <c r="Z11" s="1023"/>
      <c r="AA11" s="1001"/>
      <c r="AB11" s="1001"/>
      <c r="AC11" s="1001"/>
    </row>
    <row r="12" spans="1:29" ht="12.75" customHeight="1">
      <c r="Z12" s="1001"/>
      <c r="AA12" s="1001"/>
      <c r="AB12" s="1001"/>
      <c r="AC12" s="1001"/>
    </row>
    <row r="13" spans="1:29" ht="12.75" customHeight="1">
      <c r="A13" s="97"/>
      <c r="B13" s="97"/>
      <c r="C13" s="104" t="s">
        <v>986</v>
      </c>
      <c r="P13" s="104"/>
      <c r="Z13" s="1001"/>
      <c r="AA13" s="1001"/>
      <c r="AB13" s="1001"/>
      <c r="AC13" s="1001"/>
    </row>
    <row r="14" spans="1:29" ht="12.75" customHeight="1">
      <c r="A14" s="97"/>
      <c r="B14" s="97"/>
      <c r="C14" s="97"/>
      <c r="D14" s="105"/>
      <c r="E14" s="106"/>
      <c r="F14" s="105"/>
      <c r="G14" s="107"/>
      <c r="H14" s="106"/>
      <c r="I14" s="106"/>
      <c r="J14" s="106"/>
      <c r="K14" s="107"/>
      <c r="L14" s="106"/>
      <c r="M14" s="107"/>
      <c r="N14" s="108"/>
      <c r="O14" s="108"/>
      <c r="P14" s="109"/>
      <c r="Z14" s="1001"/>
      <c r="AA14" s="1001"/>
      <c r="AB14" s="1001"/>
      <c r="AC14" s="1001"/>
    </row>
    <row r="15" spans="1:29" ht="12.75" customHeight="1">
      <c r="A15" s="96">
        <v>1</v>
      </c>
      <c r="B15" s="97"/>
      <c r="C15" s="97" t="s">
        <v>987</v>
      </c>
      <c r="D15" s="108">
        <v>2670.1097329999998</v>
      </c>
      <c r="E15" s="108">
        <v>3110.0512610000001</v>
      </c>
      <c r="F15" s="108">
        <v>5780.1609939999998</v>
      </c>
      <c r="G15" s="110"/>
      <c r="H15" s="108">
        <v>-2.9975801668116584</v>
      </c>
      <c r="I15" s="111" t="s">
        <v>42</v>
      </c>
      <c r="J15" s="108">
        <v>5.3082511639303602</v>
      </c>
      <c r="K15" s="112" t="s">
        <v>44</v>
      </c>
      <c r="L15" s="108">
        <v>2.3106709971187018</v>
      </c>
      <c r="M15" s="110"/>
      <c r="N15" s="108">
        <v>2667.1121528331882</v>
      </c>
      <c r="O15" s="108">
        <v>3115.3595121639305</v>
      </c>
      <c r="P15" s="108">
        <v>5782.4716649971188</v>
      </c>
      <c r="R15" s="1024"/>
      <c r="S15" s="1025"/>
      <c r="Z15" s="1001"/>
      <c r="AA15" s="1001"/>
      <c r="AB15" s="1001"/>
      <c r="AC15" s="1001"/>
    </row>
    <row r="16" spans="1:29" ht="12.75" customHeight="1">
      <c r="A16" s="96">
        <v>2</v>
      </c>
      <c r="B16" s="97"/>
      <c r="C16" s="97" t="s">
        <v>988</v>
      </c>
      <c r="D16" s="108">
        <v>162.64238709</v>
      </c>
      <c r="E16" s="108">
        <v>2.53899009</v>
      </c>
      <c r="F16" s="108">
        <v>165.18137718</v>
      </c>
      <c r="G16" s="110"/>
      <c r="H16" s="108">
        <v>-18.356181772118468</v>
      </c>
      <c r="I16" s="111" t="s">
        <v>989</v>
      </c>
      <c r="J16" s="108">
        <v>19.966741140277019</v>
      </c>
      <c r="K16" s="112" t="s">
        <v>44</v>
      </c>
      <c r="L16" s="108">
        <v>1.6105593681585511</v>
      </c>
      <c r="M16" s="110"/>
      <c r="N16" s="108">
        <v>144.28620531788152</v>
      </c>
      <c r="O16" s="108">
        <v>22.505731230277018</v>
      </c>
      <c r="P16" s="108">
        <v>166.79193654815853</v>
      </c>
      <c r="R16" s="114"/>
      <c r="S16" s="1025"/>
      <c r="Z16" s="1001"/>
      <c r="AA16" s="1001"/>
      <c r="AB16" s="1001"/>
      <c r="AC16" s="1001"/>
    </row>
    <row r="17" spans="1:29" ht="12.75" customHeight="1">
      <c r="A17" s="96">
        <v>3</v>
      </c>
      <c r="B17" s="97"/>
      <c r="C17" s="97" t="s">
        <v>990</v>
      </c>
      <c r="D17" s="108">
        <v>64.279665700703788</v>
      </c>
      <c r="E17" s="108">
        <v>0</v>
      </c>
      <c r="F17" s="108">
        <v>64.279665700703788</v>
      </c>
      <c r="G17" s="110"/>
      <c r="H17" s="115">
        <v>21.353761938930127</v>
      </c>
      <c r="I17" s="112" t="s">
        <v>989</v>
      </c>
      <c r="J17" s="108">
        <v>0</v>
      </c>
      <c r="K17" s="112"/>
      <c r="L17" s="108">
        <v>21.353761938930127</v>
      </c>
      <c r="M17" s="110"/>
      <c r="N17" s="108">
        <v>85.633427639633908</v>
      </c>
      <c r="O17" s="108">
        <v>0</v>
      </c>
      <c r="P17" s="108">
        <v>85.633427639633908</v>
      </c>
      <c r="Z17" s="1001"/>
      <c r="AA17" s="1001"/>
      <c r="AB17" s="1001"/>
      <c r="AC17" s="1001"/>
    </row>
    <row r="18" spans="1:29" ht="12.75" customHeight="1">
      <c r="A18" s="96">
        <v>4</v>
      </c>
      <c r="B18" s="97"/>
      <c r="C18" s="97" t="s">
        <v>991</v>
      </c>
      <c r="D18" s="113">
        <v>2897.0317857907035</v>
      </c>
      <c r="E18" s="113">
        <v>3112.59025109</v>
      </c>
      <c r="F18" s="113">
        <v>6009.6220368807035</v>
      </c>
      <c r="G18" s="110"/>
      <c r="H18" s="108">
        <v>0</v>
      </c>
      <c r="I18" s="110"/>
      <c r="J18" s="113">
        <v>25.27499230420738</v>
      </c>
      <c r="K18" s="110"/>
      <c r="L18" s="113">
        <v>25.27499230420738</v>
      </c>
      <c r="M18" s="110"/>
      <c r="N18" s="113">
        <v>2897.0317857907035</v>
      </c>
      <c r="O18" s="113">
        <v>3137.8652433942075</v>
      </c>
      <c r="P18" s="113">
        <v>6034.8970291849109</v>
      </c>
      <c r="S18" s="1026"/>
      <c r="Z18" s="1001"/>
      <c r="AA18" s="1001"/>
      <c r="AB18" s="1001"/>
      <c r="AC18" s="1001"/>
    </row>
    <row r="19" spans="1:29" ht="12.75" customHeight="1">
      <c r="B19" s="97"/>
      <c r="C19" s="97"/>
      <c r="D19" s="108"/>
      <c r="E19" s="108"/>
      <c r="F19" s="108"/>
      <c r="G19" s="110"/>
      <c r="H19" s="108"/>
      <c r="I19" s="110"/>
      <c r="J19" s="108"/>
      <c r="K19" s="110"/>
      <c r="L19" s="108"/>
      <c r="M19" s="110"/>
      <c r="N19" s="108"/>
      <c r="O19" s="108"/>
      <c r="P19" s="108"/>
      <c r="Z19" s="1001"/>
      <c r="AA19" s="1001"/>
      <c r="AB19" s="1001"/>
      <c r="AC19" s="1001"/>
    </row>
    <row r="20" spans="1:29" ht="12.75" customHeight="1">
      <c r="B20" s="97"/>
      <c r="C20" s="104" t="s">
        <v>992</v>
      </c>
      <c r="D20" s="108"/>
      <c r="E20" s="108"/>
      <c r="F20" s="108"/>
      <c r="G20" s="110"/>
      <c r="H20" s="108"/>
      <c r="I20" s="110"/>
      <c r="J20" s="108"/>
      <c r="K20" s="110"/>
      <c r="L20" s="108"/>
      <c r="M20" s="110"/>
      <c r="N20" s="108"/>
      <c r="O20" s="108"/>
      <c r="P20" s="108"/>
      <c r="Z20" s="1001"/>
      <c r="AA20" s="1001"/>
      <c r="AB20" s="1001"/>
      <c r="AC20" s="1001"/>
    </row>
    <row r="21" spans="1:29" ht="12.75" customHeight="1">
      <c r="B21" s="97"/>
      <c r="C21" s="97"/>
      <c r="D21" s="108"/>
      <c r="E21" s="108"/>
      <c r="F21" s="108"/>
      <c r="G21" s="110"/>
      <c r="H21" s="108"/>
      <c r="I21" s="110"/>
      <c r="J21" s="108"/>
      <c r="K21" s="110"/>
      <c r="L21" s="108"/>
      <c r="M21" s="110"/>
      <c r="N21" s="108"/>
      <c r="O21" s="108"/>
      <c r="P21" s="108"/>
      <c r="R21" s="104"/>
      <c r="S21" s="104"/>
      <c r="Z21" s="1001"/>
      <c r="AA21" s="1001"/>
      <c r="AB21" s="1001"/>
      <c r="AC21" s="1001"/>
    </row>
    <row r="22" spans="1:29" ht="12.75" customHeight="1">
      <c r="A22" s="96">
        <v>5</v>
      </c>
      <c r="B22" s="97"/>
      <c r="C22" s="97" t="s">
        <v>993</v>
      </c>
      <c r="D22" s="108">
        <v>14.701929</v>
      </c>
      <c r="E22" s="108">
        <v>3117.0240076999999</v>
      </c>
      <c r="F22" s="108">
        <v>3131.7259366999997</v>
      </c>
      <c r="G22" s="110"/>
      <c r="H22" s="108">
        <v>-0.55168399056645856</v>
      </c>
      <c r="I22" s="112" t="s">
        <v>46</v>
      </c>
      <c r="J22" s="108">
        <v>25.27499230420738</v>
      </c>
      <c r="K22" s="112" t="s">
        <v>44</v>
      </c>
      <c r="L22" s="108">
        <v>24.723308313640921</v>
      </c>
      <c r="M22" s="110"/>
      <c r="N22" s="108">
        <v>14.150245009433542</v>
      </c>
      <c r="O22" s="108">
        <v>3142.2990000042073</v>
      </c>
      <c r="P22" s="108">
        <v>3156.4492450136408</v>
      </c>
      <c r="R22" s="1001"/>
      <c r="S22" s="1026"/>
      <c r="Z22" s="1001"/>
      <c r="AA22" s="1001"/>
      <c r="AB22" s="1001"/>
      <c r="AC22" s="1001"/>
    </row>
    <row r="23" spans="1:29" ht="12.75" customHeight="1">
      <c r="A23" s="96">
        <v>6</v>
      </c>
      <c r="B23" s="97"/>
      <c r="C23" s="97" t="s">
        <v>994</v>
      </c>
      <c r="D23" s="108">
        <v>1053.9917479600003</v>
      </c>
      <c r="E23" s="108">
        <v>0</v>
      </c>
      <c r="F23" s="108">
        <v>1053.9917479600003</v>
      </c>
      <c r="G23" s="110"/>
      <c r="H23" s="108">
        <v>0</v>
      </c>
      <c r="I23" s="110"/>
      <c r="J23" s="108">
        <v>0</v>
      </c>
      <c r="K23" s="110"/>
      <c r="L23" s="108">
        <v>0</v>
      </c>
      <c r="M23" s="110"/>
      <c r="N23" s="108">
        <v>1053.9917479600003</v>
      </c>
      <c r="O23" s="108">
        <v>0</v>
      </c>
      <c r="P23" s="108">
        <v>1053.9917479600003</v>
      </c>
      <c r="S23" s="1027"/>
      <c r="Z23" s="1001"/>
      <c r="AB23" s="1001"/>
      <c r="AC23" s="1001"/>
    </row>
    <row r="24" spans="1:29" ht="12.75" customHeight="1">
      <c r="A24" s="96">
        <v>7</v>
      </c>
      <c r="B24" s="97"/>
      <c r="C24" s="97" t="s">
        <v>995</v>
      </c>
      <c r="D24" s="108">
        <v>730.15800000000002</v>
      </c>
      <c r="E24" s="108">
        <v>0</v>
      </c>
      <c r="F24" s="108">
        <v>730.15800000000002</v>
      </c>
      <c r="G24" s="110"/>
      <c r="H24" s="108">
        <v>0</v>
      </c>
      <c r="I24" s="110"/>
      <c r="J24" s="108">
        <v>0</v>
      </c>
      <c r="K24" s="110"/>
      <c r="L24" s="108">
        <v>0</v>
      </c>
      <c r="M24" s="110"/>
      <c r="N24" s="108">
        <v>730.15800000000002</v>
      </c>
      <c r="O24" s="108">
        <v>0</v>
      </c>
      <c r="P24" s="108">
        <v>730.15800000000002</v>
      </c>
      <c r="S24" s="1025"/>
      <c r="Z24" s="1001"/>
      <c r="AA24" s="1001"/>
      <c r="AB24" s="1001"/>
      <c r="AC24" s="1001"/>
    </row>
    <row r="25" spans="1:29" ht="12.75" customHeight="1">
      <c r="A25" s="96">
        <v>8</v>
      </c>
      <c r="B25" s="97"/>
      <c r="C25" s="97" t="s">
        <v>996</v>
      </c>
      <c r="D25" s="108">
        <v>4</v>
      </c>
      <c r="E25" s="108">
        <v>0</v>
      </c>
      <c r="F25" s="108">
        <v>4</v>
      </c>
      <c r="G25" s="110"/>
      <c r="H25" s="108">
        <v>0</v>
      </c>
      <c r="I25" s="110"/>
      <c r="J25" s="108">
        <v>0</v>
      </c>
      <c r="K25" s="110"/>
      <c r="L25" s="108">
        <v>0</v>
      </c>
      <c r="M25" s="110"/>
      <c r="N25" s="108">
        <v>4</v>
      </c>
      <c r="O25" s="108">
        <v>0</v>
      </c>
      <c r="P25" s="108">
        <v>4</v>
      </c>
      <c r="Z25" s="114"/>
      <c r="AB25" s="1028"/>
    </row>
    <row r="26" spans="1:29" ht="12.75" customHeight="1">
      <c r="A26" s="96">
        <v>9</v>
      </c>
      <c r="B26" s="97"/>
      <c r="C26" s="97" t="s">
        <v>997</v>
      </c>
      <c r="D26" s="108">
        <v>125.583</v>
      </c>
      <c r="E26" s="108">
        <v>0</v>
      </c>
      <c r="F26" s="108">
        <v>125.583</v>
      </c>
      <c r="G26" s="110"/>
      <c r="H26" s="108">
        <v>0</v>
      </c>
      <c r="I26" s="110"/>
      <c r="J26" s="108">
        <v>0</v>
      </c>
      <c r="K26" s="110"/>
      <c r="L26" s="108">
        <v>0</v>
      </c>
      <c r="M26" s="110"/>
      <c r="N26" s="108">
        <v>125.583</v>
      </c>
      <c r="O26" s="108">
        <v>0</v>
      </c>
      <c r="P26" s="108">
        <v>125.583</v>
      </c>
    </row>
    <row r="27" spans="1:29" ht="12.75" customHeight="1">
      <c r="A27" s="96">
        <v>10</v>
      </c>
      <c r="B27" s="97"/>
      <c r="C27" s="97" t="s">
        <v>998</v>
      </c>
      <c r="D27" s="113">
        <v>1928.4346769600006</v>
      </c>
      <c r="E27" s="113">
        <v>3117.0240076999999</v>
      </c>
      <c r="F27" s="113">
        <v>5045.4586846599996</v>
      </c>
      <c r="G27" s="110"/>
      <c r="H27" s="113">
        <v>-0.55168399056645856</v>
      </c>
      <c r="I27" s="110"/>
      <c r="J27" s="113">
        <v>25.27499230420738</v>
      </c>
      <c r="K27" s="110"/>
      <c r="L27" s="113">
        <v>24.723308313640921</v>
      </c>
      <c r="M27" s="110"/>
      <c r="N27" s="113">
        <v>1927.8829929694339</v>
      </c>
      <c r="O27" s="113">
        <v>3142.2990000042073</v>
      </c>
      <c r="P27" s="113">
        <v>5070.1819929736412</v>
      </c>
      <c r="Z27" s="1004"/>
      <c r="AA27" s="1005"/>
    </row>
    <row r="28" spans="1:29" ht="12.75" customHeight="1">
      <c r="B28" s="97"/>
      <c r="C28" s="97"/>
      <c r="D28" s="108"/>
      <c r="E28" s="108"/>
      <c r="F28" s="108"/>
      <c r="G28" s="110"/>
      <c r="H28" s="108"/>
      <c r="I28" s="110"/>
      <c r="J28" s="108"/>
      <c r="K28" s="110"/>
      <c r="L28" s="108"/>
      <c r="M28" s="110"/>
      <c r="N28" s="108"/>
      <c r="O28" s="108"/>
      <c r="P28" s="108"/>
      <c r="Q28" s="1025"/>
      <c r="Z28" s="1001"/>
      <c r="AA28" s="1001"/>
    </row>
    <row r="29" spans="1:29" ht="12.75" customHeight="1">
      <c r="A29" s="96">
        <v>11</v>
      </c>
      <c r="B29" s="97"/>
      <c r="C29" s="97" t="s">
        <v>999</v>
      </c>
      <c r="D29" s="108">
        <v>955.9</v>
      </c>
      <c r="E29" s="108">
        <v>0</v>
      </c>
      <c r="F29" s="108">
        <v>955.9</v>
      </c>
      <c r="G29" s="110"/>
      <c r="H29" s="108">
        <v>0</v>
      </c>
      <c r="I29" s="110"/>
      <c r="J29" s="108">
        <v>0</v>
      </c>
      <c r="K29" s="110"/>
      <c r="L29" s="108">
        <v>0</v>
      </c>
      <c r="M29" s="110"/>
      <c r="N29" s="108">
        <v>955.9</v>
      </c>
      <c r="O29" s="108">
        <v>0</v>
      </c>
      <c r="P29" s="108">
        <v>955.9</v>
      </c>
      <c r="Q29" s="1025"/>
      <c r="Z29" s="1005"/>
      <c r="AA29" s="1006"/>
    </row>
    <row r="30" spans="1:29" ht="12.75" customHeight="1">
      <c r="A30" s="96">
        <v>12</v>
      </c>
      <c r="B30" s="97"/>
      <c r="C30" s="97" t="s">
        <v>1000</v>
      </c>
      <c r="D30" s="108">
        <v>94.699999999999989</v>
      </c>
      <c r="E30" s="108">
        <v>-4.5</v>
      </c>
      <c r="F30" s="108">
        <v>90.199999999999989</v>
      </c>
      <c r="G30" s="110"/>
      <c r="H30" s="108">
        <v>0</v>
      </c>
      <c r="I30" s="110"/>
      <c r="J30" s="108">
        <v>0</v>
      </c>
      <c r="K30" s="110"/>
      <c r="L30" s="108">
        <v>0</v>
      </c>
      <c r="M30" s="110"/>
      <c r="N30" s="108">
        <v>94.699999999999989</v>
      </c>
      <c r="O30" s="108">
        <v>-4.5</v>
      </c>
      <c r="P30" s="108">
        <v>90.199999999999989</v>
      </c>
      <c r="Q30" s="1025"/>
    </row>
    <row r="31" spans="1:29" ht="12.75" customHeight="1">
      <c r="A31" s="96">
        <v>13</v>
      </c>
      <c r="B31" s="97"/>
      <c r="C31" s="97" t="s">
        <v>1001</v>
      </c>
      <c r="D31" s="115">
        <v>29.539454079932653</v>
      </c>
      <c r="E31" s="115">
        <v>4.5050000000000008</v>
      </c>
      <c r="F31" s="108">
        <v>34.044454079932656</v>
      </c>
      <c r="G31" s="110"/>
      <c r="H31" s="115">
        <v>0</v>
      </c>
      <c r="I31" s="110"/>
      <c r="J31" s="115">
        <v>0</v>
      </c>
      <c r="K31" s="110"/>
      <c r="L31" s="108">
        <v>0</v>
      </c>
      <c r="M31" s="110"/>
      <c r="N31" s="108">
        <v>29.539454079932653</v>
      </c>
      <c r="O31" s="108">
        <v>4.5050000000000008</v>
      </c>
      <c r="P31" s="108">
        <v>34.044454079932656</v>
      </c>
      <c r="R31" s="1002"/>
      <c r="S31" s="1028"/>
      <c r="Z31" s="1005"/>
      <c r="AA31" s="1006"/>
    </row>
    <row r="32" spans="1:29" ht="12.75" customHeight="1">
      <c r="A32" s="96">
        <v>14</v>
      </c>
      <c r="B32" s="97"/>
      <c r="C32" s="97" t="s">
        <v>1002</v>
      </c>
      <c r="D32" s="113">
        <v>3008.574131039933</v>
      </c>
      <c r="E32" s="113">
        <v>3117.0290077</v>
      </c>
      <c r="F32" s="113">
        <v>6125.6031387399316</v>
      </c>
      <c r="G32" s="110"/>
      <c r="H32" s="113">
        <v>-0.55168399056645856</v>
      </c>
      <c r="I32" s="110"/>
      <c r="J32" s="113">
        <v>25.27499230420738</v>
      </c>
      <c r="K32" s="110"/>
      <c r="L32" s="113">
        <v>24.723308313640921</v>
      </c>
      <c r="M32" s="110"/>
      <c r="N32" s="113">
        <v>3008.0224470493663</v>
      </c>
      <c r="O32" s="113">
        <v>3142.3040000042074</v>
      </c>
      <c r="P32" s="113">
        <v>6150.3264470535732</v>
      </c>
      <c r="R32" s="1001"/>
      <c r="S32" s="1028"/>
      <c r="Z32" s="1005"/>
      <c r="AA32" s="1006"/>
    </row>
    <row r="33" spans="1:27" ht="12.75" customHeight="1">
      <c r="B33" s="97"/>
      <c r="C33" s="104"/>
      <c r="D33" s="108"/>
      <c r="E33" s="108"/>
      <c r="F33" s="108"/>
      <c r="G33" s="116"/>
      <c r="H33" s="116"/>
      <c r="I33" s="116"/>
      <c r="J33" s="116"/>
      <c r="K33" s="116"/>
      <c r="L33" s="116"/>
      <c r="M33" s="116"/>
      <c r="N33" s="108"/>
      <c r="O33" s="108"/>
      <c r="P33" s="108"/>
      <c r="S33" s="1028"/>
      <c r="Z33" s="1005"/>
      <c r="AA33" s="1006"/>
    </row>
    <row r="34" spans="1:27" ht="12.75" customHeight="1" thickBot="1">
      <c r="A34" s="96">
        <v>15</v>
      </c>
      <c r="B34" s="97"/>
      <c r="C34" s="97" t="s">
        <v>1003</v>
      </c>
      <c r="D34" s="117">
        <v>-111.64234524922958</v>
      </c>
      <c r="E34" s="117">
        <v>-4.4387566099999276</v>
      </c>
      <c r="F34" s="117">
        <v>-115.98110185922815</v>
      </c>
      <c r="G34" s="110"/>
      <c r="H34" s="117">
        <v>0.55168399056645856</v>
      </c>
      <c r="I34" s="108"/>
      <c r="J34" s="117">
        <v>0</v>
      </c>
      <c r="K34" s="110"/>
      <c r="L34" s="117">
        <v>0.55168399056645967</v>
      </c>
      <c r="M34" s="110"/>
      <c r="N34" s="117">
        <v>-110.99066125866284</v>
      </c>
      <c r="O34" s="117">
        <v>-4.4387566099999276</v>
      </c>
      <c r="P34" s="117">
        <v>-115.42941786866231</v>
      </c>
      <c r="R34" s="114"/>
      <c r="S34" s="1026"/>
    </row>
    <row r="35" spans="1:27" ht="12.75" customHeight="1" thickTop="1">
      <c r="D35" s="105"/>
      <c r="F35" s="118"/>
      <c r="P35" s="109"/>
      <c r="Z35" s="1005"/>
      <c r="AA35" s="1006"/>
    </row>
    <row r="36" spans="1:27" ht="12.75" customHeight="1">
      <c r="F36" s="105"/>
      <c r="Q36" s="1029"/>
      <c r="R36" s="1029"/>
      <c r="S36" s="1028"/>
    </row>
    <row r="37" spans="1:27" ht="12.75" customHeight="1">
      <c r="A37" s="119" t="s">
        <v>1004</v>
      </c>
      <c r="Q37" s="1029"/>
      <c r="R37" s="1029"/>
      <c r="S37" s="1028"/>
      <c r="Z37" s="114"/>
    </row>
    <row r="38" spans="1:27" ht="12.75" customHeight="1">
      <c r="A38" s="1030" t="s">
        <v>40</v>
      </c>
      <c r="B38" s="120"/>
      <c r="C38" s="72" t="s">
        <v>1005</v>
      </c>
      <c r="D38" s="122"/>
      <c r="E38" s="122"/>
      <c r="F38" s="122"/>
      <c r="G38" s="122"/>
      <c r="I38" s="1031" t="s">
        <v>46</v>
      </c>
      <c r="J38" s="97" t="s">
        <v>1006</v>
      </c>
      <c r="Q38" s="446"/>
      <c r="R38" s="1003"/>
      <c r="S38" s="1003"/>
      <c r="T38" s="1032"/>
    </row>
    <row r="39" spans="1:27" ht="12.75" customHeight="1">
      <c r="A39" s="1030"/>
      <c r="B39" s="120"/>
      <c r="C39" s="123" t="s">
        <v>1007</v>
      </c>
      <c r="D39" s="120"/>
      <c r="E39" s="120"/>
      <c r="F39" s="124">
        <v>-15.3365926054518</v>
      </c>
      <c r="G39" s="122"/>
      <c r="J39" s="1033" t="s">
        <v>1008</v>
      </c>
      <c r="O39" s="116"/>
    </row>
    <row r="40" spans="1:27" ht="12.75" customHeight="1">
      <c r="A40" s="120"/>
      <c r="B40" s="120"/>
      <c r="C40" s="123" t="s">
        <v>1009</v>
      </c>
      <c r="D40" s="120"/>
      <c r="E40" s="120"/>
      <c r="F40" s="124">
        <v>15.3365926054518</v>
      </c>
      <c r="G40" s="120"/>
      <c r="J40" s="72" t="s">
        <v>1010</v>
      </c>
      <c r="L40" s="97"/>
      <c r="O40" s="322"/>
    </row>
    <row r="41" spans="1:27" ht="12.75" customHeight="1">
      <c r="A41" s="120"/>
      <c r="B41" s="120"/>
      <c r="C41" s="120"/>
      <c r="D41" s="120"/>
      <c r="E41" s="120"/>
      <c r="F41" s="126">
        <v>0</v>
      </c>
      <c r="G41" s="120"/>
      <c r="L41" s="97"/>
      <c r="O41" s="322"/>
      <c r="V41" s="1028"/>
    </row>
    <row r="42" spans="1:27" ht="12.75" customHeight="1">
      <c r="A42" s="1030"/>
      <c r="B42" s="120"/>
      <c r="C42"/>
      <c r="D42"/>
      <c r="E42"/>
      <c r="F42"/>
      <c r="G42" s="120"/>
      <c r="O42"/>
      <c r="W42" s="1007"/>
    </row>
    <row r="43" spans="1:27" ht="12.75" customHeight="1">
      <c r="A43" s="1031" t="s">
        <v>42</v>
      </c>
      <c r="C43" s="72" t="s">
        <v>1011</v>
      </c>
      <c r="F43" s="121"/>
      <c r="Q43"/>
      <c r="R43"/>
    </row>
    <row r="44" spans="1:27" ht="12.75" customHeight="1">
      <c r="B44" s="123" t="s">
        <v>1012</v>
      </c>
      <c r="C44" s="123" t="s">
        <v>1012</v>
      </c>
      <c r="D44" s="120"/>
      <c r="F44" s="124">
        <v>-2.9975801668116584</v>
      </c>
      <c r="Q44"/>
      <c r="R44" s="1029"/>
      <c r="S44" s="1034"/>
    </row>
    <row r="45" spans="1:27" ht="12.75" customHeight="1">
      <c r="B45" s="125" t="s">
        <v>1013</v>
      </c>
      <c r="C45" s="123" t="s">
        <v>1013</v>
      </c>
      <c r="D45" s="120"/>
      <c r="F45" s="124">
        <v>-3.0195891666666665</v>
      </c>
      <c r="Q45"/>
      <c r="R45" s="116"/>
      <c r="S45" s="1029"/>
    </row>
    <row r="46" spans="1:27" ht="12.75" customHeight="1">
      <c r="B46" s="123"/>
      <c r="C46" s="123" t="s">
        <v>1014</v>
      </c>
      <c r="D46" s="120"/>
      <c r="F46" s="114">
        <v>6.0171693334783249</v>
      </c>
      <c r="Q46"/>
      <c r="R46" s="96"/>
      <c r="S46" s="96"/>
      <c r="T46" s="96"/>
      <c r="W46" s="1035"/>
    </row>
    <row r="47" spans="1:27" ht="12.75" customHeight="1">
      <c r="F47" s="126">
        <v>0</v>
      </c>
      <c r="Q47"/>
      <c r="R47" s="96"/>
      <c r="S47" s="1008"/>
      <c r="W47" s="1036"/>
    </row>
    <row r="48" spans="1:27" ht="12.75" customHeight="1">
      <c r="F48" s="1037"/>
      <c r="Q48"/>
      <c r="R48" s="96"/>
      <c r="S48" s="1029"/>
      <c r="W48" s="1036"/>
    </row>
    <row r="49" spans="1:22" ht="12.75" customHeight="1">
      <c r="A49" s="1031" t="s">
        <v>44</v>
      </c>
      <c r="C49" s="72" t="s">
        <v>1015</v>
      </c>
      <c r="H49"/>
      <c r="I49"/>
      <c r="J49"/>
      <c r="K49"/>
      <c r="L49"/>
      <c r="M49"/>
      <c r="N49"/>
      <c r="O49"/>
      <c r="R49" s="96"/>
      <c r="S49" s="96"/>
    </row>
    <row r="50" spans="1:22" ht="12.75" customHeight="1">
      <c r="B50" s="123" t="s">
        <v>1016</v>
      </c>
      <c r="C50" s="123" t="s">
        <v>1016</v>
      </c>
      <c r="F50" s="116">
        <v>5.3082511639303602</v>
      </c>
      <c r="I50" s="72"/>
      <c r="O50" s="97"/>
    </row>
    <row r="51" spans="1:22" ht="12.75" customHeight="1">
      <c r="B51" s="123"/>
      <c r="C51" s="123" t="s">
        <v>1017</v>
      </c>
      <c r="D51" s="120"/>
      <c r="E51" s="120"/>
      <c r="F51" s="124">
        <v>19.966741140277019</v>
      </c>
      <c r="O51" s="97"/>
    </row>
    <row r="52" spans="1:22" ht="12.75" customHeight="1">
      <c r="B52" s="123" t="s">
        <v>1018</v>
      </c>
      <c r="C52" s="123" t="s">
        <v>1018</v>
      </c>
      <c r="D52" s="120"/>
      <c r="E52" s="120"/>
      <c r="F52" s="124">
        <v>25.27499230420738</v>
      </c>
      <c r="O52" s="97"/>
    </row>
    <row r="53" spans="1:22" ht="12.75" customHeight="1">
      <c r="C53" s="120"/>
      <c r="D53" s="120"/>
      <c r="E53" s="120"/>
      <c r="F53" s="127">
        <v>0</v>
      </c>
      <c r="O53" s="97"/>
    </row>
    <row r="54" spans="1:22">
      <c r="C54" s="120"/>
      <c r="D54" s="120"/>
      <c r="E54" s="120"/>
      <c r="F54" s="124"/>
      <c r="O54" s="97"/>
    </row>
    <row r="55" spans="1:22" ht="15">
      <c r="A55" s="1031"/>
      <c r="B55" s="72"/>
      <c r="O55" s="97"/>
      <c r="V55" s="1038"/>
    </row>
  </sheetData>
  <mergeCells count="4">
    <mergeCell ref="A7:P7"/>
    <mergeCell ref="D9:F9"/>
    <mergeCell ref="H9:L9"/>
    <mergeCell ref="N9:P9"/>
  </mergeCells>
  <printOptions horizontalCentered="1"/>
  <pageMargins left="0.7" right="0.7" top="0.75" bottom="0.75" header="0.3" footer="0.3"/>
  <pageSetup scale="70" fitToHeight="0" orientation="landscape" horizontalDpi="1200" verticalDpi="1200" r:id="rId1"/>
  <headerFooter>
    <oddHeader>&amp;R&amp;10Updated: 2024-03-15
EB-2022-0200
Rate Order
Working Papers
Schedule 16
Page &amp;P of 1</oddHeader>
    <oddFooter>&amp;C&amp;"Calibri"&amp;11&amp;K000000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2AAC-303B-40B8-BE0E-06E0B0F1A8A4}">
  <dimension ref="A1:S52"/>
  <sheetViews>
    <sheetView view="pageLayout" zoomScaleNormal="90" zoomScaleSheetLayoutView="85" workbookViewId="0">
      <selection activeCell="C10" sqref="C10"/>
    </sheetView>
  </sheetViews>
  <sheetFormatPr defaultColWidth="8.625" defaultRowHeight="12.75"/>
  <cols>
    <col min="1" max="1" width="5.125" style="193" customWidth="1"/>
    <col min="2" max="2" width="1.5" style="155" customWidth="1"/>
    <col min="3" max="3" width="47.5" style="155" customWidth="1"/>
    <col min="4" max="4" width="1.5" style="155" customWidth="1"/>
    <col min="5" max="5" width="12.125" style="153" customWidth="1"/>
    <col min="6" max="6" width="1.5" style="153" customWidth="1"/>
    <col min="7" max="7" width="12.125" style="153" customWidth="1"/>
    <col min="8" max="8" width="1.5" style="154" customWidth="1"/>
    <col min="9" max="9" width="13.375" style="153" customWidth="1"/>
    <col min="10" max="10" width="1.625" style="155" customWidth="1"/>
    <col min="11" max="11" width="10.125" style="155" customWidth="1"/>
    <col min="12" max="12" width="14.625" style="155" customWidth="1"/>
    <col min="13" max="14" width="10.625" style="155" bestFit="1" customWidth="1"/>
    <col min="15" max="15" width="8.625" style="155"/>
    <col min="16" max="16" width="23.125" style="155" customWidth="1"/>
    <col min="17" max="17" width="17.625" style="155" customWidth="1"/>
    <col min="18" max="16384" width="8.625" style="155"/>
  </cols>
  <sheetData>
    <row r="1" spans="1:19" ht="65.25" customHeight="1">
      <c r="E1" s="410"/>
      <c r="F1" s="410"/>
      <c r="G1" s="410"/>
      <c r="H1" s="411"/>
      <c r="I1" s="410"/>
    </row>
    <row r="2" spans="1:19">
      <c r="A2" s="1330" t="s">
        <v>1019</v>
      </c>
      <c r="B2" s="1330"/>
      <c r="C2" s="1330"/>
      <c r="D2" s="1330"/>
      <c r="E2" s="1330"/>
      <c r="F2" s="1330"/>
      <c r="G2" s="1330"/>
      <c r="H2" s="1330"/>
      <c r="I2" s="1330"/>
    </row>
    <row r="4" spans="1:19">
      <c r="A4" s="193" t="s">
        <v>1</v>
      </c>
    </row>
    <row r="5" spans="1:19">
      <c r="A5" s="194" t="s">
        <v>2</v>
      </c>
      <c r="C5" s="192" t="s">
        <v>557</v>
      </c>
      <c r="E5" s="150" t="s">
        <v>980</v>
      </c>
      <c r="F5" s="151"/>
      <c r="G5" s="150" t="s">
        <v>981</v>
      </c>
      <c r="H5" s="152"/>
      <c r="I5" s="150" t="s">
        <v>100</v>
      </c>
    </row>
    <row r="6" spans="1:19">
      <c r="E6" s="151" t="s">
        <v>8</v>
      </c>
      <c r="F6" s="151"/>
      <c r="G6" s="151" t="s">
        <v>9</v>
      </c>
      <c r="H6" s="152"/>
      <c r="I6" s="151" t="s">
        <v>370</v>
      </c>
    </row>
    <row r="7" spans="1:19">
      <c r="E7" s="151"/>
      <c r="F7" s="151"/>
      <c r="G7" s="151"/>
      <c r="H7" s="152"/>
      <c r="I7" s="151"/>
    </row>
    <row r="8" spans="1:19">
      <c r="C8" s="157" t="s">
        <v>1020</v>
      </c>
      <c r="E8" s="151"/>
      <c r="F8" s="151"/>
      <c r="G8" s="151"/>
      <c r="H8" s="152"/>
      <c r="I8" s="151"/>
    </row>
    <row r="9" spans="1:19">
      <c r="C9" s="330" t="s">
        <v>1021</v>
      </c>
    </row>
    <row r="10" spans="1:19">
      <c r="A10" s="193">
        <v>1</v>
      </c>
      <c r="C10" s="331" t="s">
        <v>987</v>
      </c>
      <c r="E10" s="235">
        <v>2667.1121528331882</v>
      </c>
      <c r="F10" s="235"/>
      <c r="G10" s="235">
        <v>3115.3595121639305</v>
      </c>
      <c r="H10" s="236"/>
      <c r="I10" s="235">
        <f>E10+G10</f>
        <v>5782.4716649971188</v>
      </c>
      <c r="J10" s="195"/>
    </row>
    <row r="11" spans="1:19">
      <c r="A11" s="193">
        <f>A10+1</f>
        <v>2</v>
      </c>
      <c r="C11" s="331" t="s">
        <v>988</v>
      </c>
      <c r="E11" s="235">
        <v>144.28620531788152</v>
      </c>
      <c r="F11" s="235"/>
      <c r="G11" s="235">
        <v>22.505731230277018</v>
      </c>
      <c r="H11" s="236"/>
      <c r="I11" s="235">
        <f t="shared" ref="I11:I12" si="0">E11+G11</f>
        <v>166.79193654815853</v>
      </c>
      <c r="J11" s="195"/>
      <c r="K11" s="195"/>
    </row>
    <row r="12" spans="1:19">
      <c r="A12" s="193">
        <f>A11+1</f>
        <v>3</v>
      </c>
      <c r="C12" s="331" t="s">
        <v>1022</v>
      </c>
      <c r="E12" s="237">
        <v>85.633427639633908</v>
      </c>
      <c r="F12" s="235"/>
      <c r="G12" s="237">
        <v>0</v>
      </c>
      <c r="H12" s="236"/>
      <c r="I12" s="237">
        <f t="shared" si="0"/>
        <v>85.633427639633908</v>
      </c>
      <c r="J12" s="195"/>
    </row>
    <row r="13" spans="1:19">
      <c r="A13" s="193">
        <f>A12+1</f>
        <v>4</v>
      </c>
      <c r="C13" s="330" t="s">
        <v>1023</v>
      </c>
      <c r="E13" s="235">
        <f>SUM(E10:E12)</f>
        <v>2897.0317857907035</v>
      </c>
      <c r="F13" s="235"/>
      <c r="G13" s="235">
        <f>SUM(G10:G12)</f>
        <v>3137.8652433942075</v>
      </c>
      <c r="H13" s="236"/>
      <c r="I13" s="235">
        <f>SUM(I10:I12)</f>
        <v>6034.8970291849109</v>
      </c>
    </row>
    <row r="14" spans="1:19">
      <c r="C14" s="156"/>
      <c r="E14" s="235"/>
      <c r="F14" s="235"/>
      <c r="G14" s="235"/>
      <c r="H14" s="236"/>
      <c r="I14" s="235"/>
    </row>
    <row r="15" spans="1:19" ht="14.25">
      <c r="C15" s="330" t="s">
        <v>1024</v>
      </c>
      <c r="E15" s="235"/>
      <c r="F15" s="235"/>
      <c r="G15" s="235"/>
      <c r="H15" s="236"/>
      <c r="I15" s="235"/>
      <c r="P15"/>
      <c r="Q15"/>
      <c r="R15"/>
      <c r="S15"/>
    </row>
    <row r="16" spans="1:19" ht="14.25">
      <c r="A16" s="193">
        <f>A13+1</f>
        <v>5</v>
      </c>
      <c r="C16" s="331" t="s">
        <v>1025</v>
      </c>
      <c r="E16" s="235">
        <v>-85.633427639633908</v>
      </c>
      <c r="F16" s="235"/>
      <c r="G16" s="235">
        <v>0</v>
      </c>
      <c r="H16" s="236"/>
      <c r="I16" s="235">
        <f t="shared" ref="I16:I22" si="1">E16+G16</f>
        <v>-85.633427639633908</v>
      </c>
      <c r="P16"/>
      <c r="Q16"/>
      <c r="R16"/>
      <c r="S16"/>
    </row>
    <row r="17" spans="1:19" ht="14.25">
      <c r="A17" s="193">
        <f t="shared" ref="A17:A21" si="2">A16+1</f>
        <v>6</v>
      </c>
      <c r="C17" s="331" t="s">
        <v>1026</v>
      </c>
      <c r="E17" s="235">
        <v>-0.19885137</v>
      </c>
      <c r="F17" s="235"/>
      <c r="G17" s="235">
        <v>0</v>
      </c>
      <c r="H17" s="236"/>
      <c r="I17" s="235">
        <f t="shared" si="1"/>
        <v>-0.19885137</v>
      </c>
      <c r="P17"/>
      <c r="Q17"/>
      <c r="R17"/>
      <c r="S17"/>
    </row>
    <row r="18" spans="1:19" ht="14.25">
      <c r="A18" s="193">
        <f t="shared" si="2"/>
        <v>7</v>
      </c>
      <c r="C18" s="331" t="s">
        <v>1027</v>
      </c>
      <c r="E18" s="235">
        <v>-3.560977942268019</v>
      </c>
      <c r="F18" s="235"/>
      <c r="G18" s="235">
        <v>0</v>
      </c>
      <c r="H18" s="236"/>
      <c r="I18" s="235">
        <f t="shared" si="1"/>
        <v>-3.560977942268019</v>
      </c>
      <c r="P18"/>
      <c r="Q18"/>
      <c r="R18"/>
      <c r="S18"/>
    </row>
    <row r="19" spans="1:19" ht="14.25">
      <c r="A19" s="193">
        <f t="shared" si="2"/>
        <v>8</v>
      </c>
      <c r="C19" s="331" t="s">
        <v>1028</v>
      </c>
      <c r="E19" s="235">
        <v>-12.138692302499877</v>
      </c>
      <c r="F19" s="238"/>
      <c r="G19" s="235">
        <v>0</v>
      </c>
      <c r="H19" s="239"/>
      <c r="I19" s="235">
        <f t="shared" si="1"/>
        <v>-12.138692302499877</v>
      </c>
      <c r="P19"/>
      <c r="Q19"/>
      <c r="R19"/>
      <c r="S19"/>
    </row>
    <row r="20" spans="1:19" ht="14.25">
      <c r="A20" s="193">
        <f t="shared" si="2"/>
        <v>9</v>
      </c>
      <c r="C20" s="331" t="s">
        <v>1029</v>
      </c>
      <c r="E20" s="235">
        <v>-143.87146378346617</v>
      </c>
      <c r="F20" s="235"/>
      <c r="G20" s="235">
        <v>0</v>
      </c>
      <c r="H20" s="236"/>
      <c r="I20" s="235">
        <f t="shared" si="1"/>
        <v>-143.87146378346617</v>
      </c>
      <c r="P20"/>
      <c r="Q20"/>
      <c r="R20"/>
      <c r="S20"/>
    </row>
    <row r="21" spans="1:19" ht="14.25">
      <c r="A21" s="193">
        <f t="shared" si="2"/>
        <v>10</v>
      </c>
      <c r="C21" s="331" t="s">
        <v>1030</v>
      </c>
      <c r="E21" s="235">
        <v>-46.925204694014006</v>
      </c>
      <c r="F21" s="235"/>
      <c r="G21" s="235">
        <v>0</v>
      </c>
      <c r="H21" s="236"/>
      <c r="I21" s="235">
        <f t="shared" si="1"/>
        <v>-46.925204694014006</v>
      </c>
      <c r="P21"/>
      <c r="Q21"/>
      <c r="R21"/>
      <c r="S21"/>
    </row>
    <row r="22" spans="1:19" ht="14.25">
      <c r="A22" s="193">
        <v>11</v>
      </c>
      <c r="C22" s="331" t="s">
        <v>1031</v>
      </c>
      <c r="E22" s="236">
        <v>-2.042397085602373</v>
      </c>
      <c r="F22" s="235"/>
      <c r="G22" s="236">
        <v>0</v>
      </c>
      <c r="H22" s="236"/>
      <c r="I22" s="236">
        <f t="shared" si="1"/>
        <v>-2.042397085602373</v>
      </c>
      <c r="P22"/>
      <c r="Q22"/>
      <c r="R22"/>
      <c r="S22"/>
    </row>
    <row r="23" spans="1:19" ht="14.25">
      <c r="A23" s="193">
        <v>12</v>
      </c>
      <c r="C23" s="331" t="s">
        <v>1032</v>
      </c>
      <c r="E23" s="236">
        <v>-1.1969395495536583</v>
      </c>
      <c r="F23" s="235"/>
      <c r="G23" s="236">
        <v>0</v>
      </c>
      <c r="H23" s="236"/>
      <c r="I23" s="236">
        <f>E23+G23</f>
        <v>-1.1969395495536583</v>
      </c>
      <c r="P23"/>
      <c r="Q23"/>
      <c r="R23"/>
      <c r="S23"/>
    </row>
    <row r="24" spans="1:19" ht="14.25">
      <c r="A24" s="193">
        <v>13</v>
      </c>
      <c r="C24" s="330" t="s">
        <v>1033</v>
      </c>
      <c r="E24" s="240">
        <f>SUM(E16:E23)</f>
        <v>-295.567954367038</v>
      </c>
      <c r="F24" s="235"/>
      <c r="G24" s="240">
        <f>SUM(G16:G23)</f>
        <v>0</v>
      </c>
      <c r="H24" s="236"/>
      <c r="I24" s="240">
        <f>SUM(I16:I23)</f>
        <v>-295.567954367038</v>
      </c>
      <c r="P24"/>
      <c r="Q24"/>
      <c r="R24"/>
      <c r="S24"/>
    </row>
    <row r="25" spans="1:19" ht="14.25">
      <c r="E25" s="235"/>
      <c r="F25" s="235"/>
      <c r="G25" s="235"/>
      <c r="H25" s="236"/>
      <c r="I25" s="235"/>
      <c r="P25"/>
      <c r="Q25"/>
      <c r="R25"/>
      <c r="S25"/>
    </row>
    <row r="26" spans="1:19" ht="14.25">
      <c r="A26" s="193">
        <f>A24+1</f>
        <v>14</v>
      </c>
      <c r="C26" s="155" t="s">
        <v>1034</v>
      </c>
      <c r="E26" s="237">
        <f>E13+E24</f>
        <v>2601.4638314236654</v>
      </c>
      <c r="F26" s="235"/>
      <c r="G26" s="237">
        <f>G13+G24</f>
        <v>3137.8652433942075</v>
      </c>
      <c r="H26" s="236"/>
      <c r="I26" s="237">
        <f>I13+I24</f>
        <v>5739.3290748178733</v>
      </c>
      <c r="P26"/>
      <c r="Q26"/>
      <c r="R26"/>
      <c r="S26"/>
    </row>
    <row r="27" spans="1:19" ht="14.25">
      <c r="E27" s="235"/>
      <c r="F27" s="235"/>
      <c r="G27" s="235"/>
      <c r="H27" s="236"/>
      <c r="I27" s="235"/>
      <c r="P27"/>
      <c r="Q27"/>
      <c r="R27"/>
      <c r="S27"/>
    </row>
    <row r="28" spans="1:19" ht="14.25">
      <c r="C28" s="157" t="s">
        <v>1035</v>
      </c>
      <c r="E28" s="235"/>
      <c r="F28" s="235"/>
      <c r="G28" s="235"/>
      <c r="H28" s="236"/>
      <c r="I28" s="235"/>
      <c r="P28"/>
      <c r="Q28"/>
      <c r="R28"/>
      <c r="S28"/>
    </row>
    <row r="29" spans="1:19">
      <c r="A29" s="193">
        <f>A26+1</f>
        <v>15</v>
      </c>
      <c r="C29" s="330" t="s">
        <v>1036</v>
      </c>
      <c r="E29" s="235">
        <f>-'Schedule 16'!N34</f>
        <v>110.99066125866284</v>
      </c>
      <c r="F29" s="235"/>
      <c r="G29" s="238">
        <f>-'Schedule 16'!O34</f>
        <v>4.4387566099999276</v>
      </c>
      <c r="H29" s="236"/>
      <c r="I29" s="235">
        <f>SUM(E29:G29)</f>
        <v>115.42941786866277</v>
      </c>
    </row>
    <row r="30" spans="1:19">
      <c r="E30" s="284"/>
      <c r="F30" s="235"/>
      <c r="G30" s="235"/>
      <c r="H30" s="236"/>
      <c r="I30" s="235"/>
    </row>
    <row r="31" spans="1:19">
      <c r="C31" s="330" t="s">
        <v>1037</v>
      </c>
      <c r="E31" s="284"/>
      <c r="F31" s="235"/>
      <c r="G31" s="235"/>
      <c r="H31" s="236"/>
      <c r="I31" s="235"/>
    </row>
    <row r="32" spans="1:19">
      <c r="A32" s="193">
        <f>A29+1</f>
        <v>16</v>
      </c>
      <c r="C32" s="331" t="s">
        <v>1029</v>
      </c>
      <c r="E32" s="235">
        <v>39.210463416297195</v>
      </c>
      <c r="F32" s="235"/>
      <c r="G32" s="235">
        <v>0</v>
      </c>
      <c r="H32" s="236"/>
      <c r="I32" s="235">
        <f t="shared" ref="I32:I35" si="3">SUM(E32:G32)</f>
        <v>39.210463416297195</v>
      </c>
    </row>
    <row r="33" spans="1:16" ht="14.25">
      <c r="A33" s="193">
        <f>A32+1</f>
        <v>17</v>
      </c>
      <c r="C33" s="331" t="s">
        <v>1030</v>
      </c>
      <c r="E33" s="236">
        <v>-0.53451185206761143</v>
      </c>
      <c r="F33" s="235"/>
      <c r="G33" s="239">
        <f>G29</f>
        <v>4.4387566099999276</v>
      </c>
      <c r="H33" s="236"/>
      <c r="I33" s="235">
        <f>SUM(E33:G33)</f>
        <v>3.9042447579323163</v>
      </c>
      <c r="L33"/>
      <c r="M33"/>
      <c r="N33"/>
      <c r="O33"/>
      <c r="P33"/>
    </row>
    <row r="34" spans="1:16" ht="14.25">
      <c r="A34" s="193">
        <f t="shared" ref="A34:A36" si="4">A33+1</f>
        <v>18</v>
      </c>
      <c r="C34" s="331" t="s">
        <v>1031</v>
      </c>
      <c r="E34" s="239">
        <f>E22*-1</f>
        <v>2.042397085602373</v>
      </c>
      <c r="F34" s="235"/>
      <c r="G34" s="235"/>
      <c r="H34" s="236"/>
      <c r="I34" s="236">
        <f t="shared" si="3"/>
        <v>2.042397085602373</v>
      </c>
      <c r="L34"/>
      <c r="M34"/>
      <c r="N34"/>
      <c r="O34"/>
      <c r="P34"/>
    </row>
    <row r="35" spans="1:16">
      <c r="A35" s="193">
        <f t="shared" si="4"/>
        <v>19</v>
      </c>
      <c r="C35" s="331" t="s">
        <v>1032</v>
      </c>
      <c r="E35" s="241">
        <v>-1.32341350763404E-2</v>
      </c>
      <c r="F35" s="235"/>
      <c r="G35" s="241">
        <v>0</v>
      </c>
      <c r="H35" s="236"/>
      <c r="I35" s="237">
        <f t="shared" si="3"/>
        <v>-1.32341350763404E-2</v>
      </c>
      <c r="K35" s="195"/>
      <c r="L35" s="234"/>
    </row>
    <row r="36" spans="1:16">
      <c r="A36" s="193">
        <f t="shared" si="4"/>
        <v>20</v>
      </c>
      <c r="C36" s="330" t="s">
        <v>1038</v>
      </c>
      <c r="E36" s="239">
        <f>SUM(E32:E35)</f>
        <v>40.705114514755621</v>
      </c>
      <c r="F36" s="235"/>
      <c r="G36" s="239">
        <f>SUM(G32:G35)</f>
        <v>4.4387566099999276</v>
      </c>
      <c r="H36" s="236"/>
      <c r="I36" s="239">
        <f>SUM(I32:I35)</f>
        <v>45.143871124755549</v>
      </c>
      <c r="K36" s="195"/>
    </row>
    <row r="37" spans="1:16">
      <c r="C37" s="198"/>
      <c r="E37" s="239"/>
      <c r="F37" s="235"/>
      <c r="G37" s="239"/>
      <c r="H37" s="236"/>
      <c r="I37" s="236"/>
      <c r="K37" s="195"/>
    </row>
    <row r="38" spans="1:16">
      <c r="A38" s="193">
        <f>A36+1</f>
        <v>21</v>
      </c>
      <c r="C38" s="330" t="s">
        <v>1039</v>
      </c>
      <c r="E38" s="237">
        <f>E29-E36</f>
        <v>70.285546743907219</v>
      </c>
      <c r="F38" s="235"/>
      <c r="G38" s="237">
        <f>G29-G36</f>
        <v>0</v>
      </c>
      <c r="H38" s="236"/>
      <c r="I38" s="237">
        <f>I29-I36</f>
        <v>70.285546743907219</v>
      </c>
      <c r="K38" s="195"/>
    </row>
    <row r="39" spans="1:16">
      <c r="E39" s="235"/>
      <c r="F39" s="235"/>
      <c r="G39" s="235"/>
      <c r="H39" s="236"/>
      <c r="I39" s="235"/>
      <c r="M39" s="196"/>
    </row>
    <row r="40" spans="1:16" ht="13.5" thickBot="1">
      <c r="A40" s="193">
        <f>A38+1</f>
        <v>22</v>
      </c>
      <c r="C40" s="155" t="s">
        <v>1040</v>
      </c>
      <c r="E40" s="242">
        <f>E38/E26</f>
        <v>2.7017691307068093E-2</v>
      </c>
      <c r="F40" s="243"/>
      <c r="G40" s="403"/>
      <c r="H40" s="243"/>
      <c r="I40" s="243"/>
      <c r="M40" s="197"/>
    </row>
    <row r="41" spans="1:16" ht="13.5" thickTop="1">
      <c r="M41" s="196"/>
    </row>
    <row r="42" spans="1:16">
      <c r="A42" s="191" t="s">
        <v>39</v>
      </c>
      <c r="E42" s="410"/>
      <c r="F42" s="410"/>
      <c r="G42" s="410"/>
      <c r="H42" s="411"/>
      <c r="I42" s="410"/>
    </row>
    <row r="43" spans="1:16">
      <c r="A43" s="199" t="s">
        <v>40</v>
      </c>
      <c r="C43" s="155" t="s">
        <v>1041</v>
      </c>
      <c r="E43" s="410"/>
      <c r="F43" s="410"/>
      <c r="G43" s="410"/>
      <c r="H43" s="411"/>
      <c r="I43" s="410"/>
    </row>
    <row r="44" spans="1:16">
      <c r="A44" s="199" t="s">
        <v>42</v>
      </c>
      <c r="C44" s="155" t="s">
        <v>1042</v>
      </c>
      <c r="E44" s="410"/>
      <c r="F44" s="410"/>
      <c r="G44" s="410"/>
      <c r="H44" s="411"/>
      <c r="I44" s="410"/>
      <c r="J44" s="195"/>
    </row>
    <row r="45" spans="1:16">
      <c r="A45" s="199" t="s">
        <v>44</v>
      </c>
      <c r="C45" s="1331" t="s">
        <v>1043</v>
      </c>
      <c r="D45" s="1331"/>
      <c r="E45" s="1331"/>
      <c r="F45" s="1331"/>
      <c r="G45" s="1331"/>
      <c r="H45" s="1331"/>
      <c r="I45" s="1331"/>
      <c r="J45" s="195"/>
    </row>
    <row r="46" spans="1:16" ht="24.75" customHeight="1">
      <c r="A46" s="199"/>
      <c r="C46" s="1331"/>
      <c r="D46" s="1331"/>
      <c r="E46" s="1331"/>
      <c r="F46" s="1331"/>
      <c r="G46" s="1331"/>
      <c r="H46" s="1331"/>
      <c r="I46" s="1331"/>
      <c r="J46" s="195"/>
    </row>
    <row r="47" spans="1:16">
      <c r="A47" s="199" t="s">
        <v>46</v>
      </c>
      <c r="C47" s="1331" t="s">
        <v>1044</v>
      </c>
      <c r="D47" s="1331"/>
      <c r="E47" s="1331"/>
      <c r="F47" s="1331"/>
      <c r="G47" s="1331"/>
      <c r="H47" s="1331"/>
      <c r="I47" s="1331"/>
      <c r="J47" s="195"/>
    </row>
    <row r="48" spans="1:16">
      <c r="A48" s="199"/>
      <c r="C48" s="1331"/>
      <c r="D48" s="1331"/>
      <c r="E48" s="1331"/>
      <c r="F48" s="1331"/>
      <c r="G48" s="1331"/>
      <c r="H48" s="1331"/>
      <c r="I48" s="1331"/>
      <c r="J48" s="195"/>
    </row>
    <row r="49" spans="1:9">
      <c r="A49" s="199" t="s">
        <v>48</v>
      </c>
      <c r="C49" s="155" t="s">
        <v>1045</v>
      </c>
      <c r="E49" s="410"/>
      <c r="F49" s="410"/>
      <c r="G49" s="410"/>
      <c r="H49" s="411"/>
      <c r="I49" s="410"/>
    </row>
    <row r="50" spans="1:9">
      <c r="A50" s="199" t="s">
        <v>50</v>
      </c>
      <c r="C50" s="155" t="s">
        <v>1046</v>
      </c>
      <c r="E50" s="410"/>
      <c r="F50" s="410"/>
      <c r="G50" s="410"/>
      <c r="H50" s="411"/>
      <c r="I50" s="410"/>
    </row>
    <row r="51" spans="1:9">
      <c r="A51" s="199" t="s">
        <v>52</v>
      </c>
      <c r="C51" s="155" t="s">
        <v>1047</v>
      </c>
      <c r="E51" s="410"/>
      <c r="F51" s="410"/>
      <c r="G51" s="410"/>
      <c r="H51" s="411"/>
      <c r="I51" s="410"/>
    </row>
    <row r="52" spans="1:9">
      <c r="A52" s="199"/>
    </row>
  </sheetData>
  <mergeCells count="3">
    <mergeCell ref="A2:I2"/>
    <mergeCell ref="C45:I46"/>
    <mergeCell ref="C47:I48"/>
  </mergeCells>
  <pageMargins left="0.7" right="0.7" top="0.75" bottom="0.75" header="0.3" footer="0.3"/>
  <pageSetup scale="80" orientation="portrait" useFirstPageNumber="1" horizontalDpi="1200" verticalDpi="1200" r:id="rId1"/>
  <headerFooter>
    <oddHeader>&amp;R&amp;10Updated: 2024-03-15
EB-2022-0200
Rate Order
Working Papers
Schedule 17
Page &amp;P of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67F6-0971-4FC3-9B70-DE790E398ECE}">
  <dimension ref="A4:Q145"/>
  <sheetViews>
    <sheetView view="pageLayout" zoomScale="85" zoomScaleNormal="100" zoomScaleSheetLayoutView="100" zoomScalePageLayoutView="85" workbookViewId="0">
      <selection activeCell="C296" sqref="C296"/>
    </sheetView>
  </sheetViews>
  <sheetFormatPr defaultColWidth="8.625" defaultRowHeight="15"/>
  <cols>
    <col min="1" max="1" width="5.125" style="1283" customWidth="1"/>
    <col min="2" max="2" width="1.125" style="1283" customWidth="1"/>
    <col min="3" max="3" width="32.125" style="1283" customWidth="1"/>
    <col min="4" max="4" width="1.125" style="1283" customWidth="1"/>
    <col min="5" max="5" width="14.125" style="1283" customWidth="1"/>
    <col min="6" max="6" width="1.125" style="1283" customWidth="1"/>
    <col min="7" max="7" width="14.125" style="1283" customWidth="1"/>
    <col min="8" max="8" width="1.125" style="1283" customWidth="1"/>
    <col min="9" max="9" width="14.125" style="1283" customWidth="1"/>
    <col min="10" max="10" width="1.125" style="1283" customWidth="1"/>
    <col min="11" max="11" width="14.125" style="1283" customWidth="1"/>
    <col min="12" max="12" width="1.125" style="1283" customWidth="1"/>
    <col min="13" max="13" width="14.125" style="1283" customWidth="1"/>
    <col min="14" max="14" width="1.125" style="1283" customWidth="1"/>
    <col min="15" max="15" width="14.125" style="1283" customWidth="1"/>
    <col min="16" max="16" width="1.125" style="1283" customWidth="1"/>
    <col min="17" max="17" width="14.125" style="1283" customWidth="1"/>
    <col min="18" max="16384" width="8.625" style="1256"/>
  </cols>
  <sheetData>
    <row r="4" spans="1:17">
      <c r="A4" s="1289" t="s">
        <v>395</v>
      </c>
      <c r="B4" s="1289"/>
      <c r="C4" s="1289"/>
      <c r="D4" s="1289"/>
      <c r="E4" s="1289"/>
      <c r="F4" s="1289"/>
      <c r="G4" s="1289"/>
      <c r="H4" s="1289"/>
      <c r="I4" s="1289"/>
      <c r="J4" s="1289"/>
      <c r="K4" s="1289"/>
      <c r="L4" s="1289"/>
      <c r="M4" s="1289"/>
      <c r="N4" s="1289"/>
      <c r="O4" s="1289"/>
      <c r="P4" s="1289"/>
      <c r="Q4" s="1289"/>
    </row>
    <row r="5" spans="1:17">
      <c r="A5" s="1289" t="s">
        <v>425</v>
      </c>
      <c r="B5" s="1289"/>
      <c r="C5" s="1289"/>
      <c r="D5" s="1289"/>
      <c r="E5" s="1289"/>
      <c r="F5" s="1289"/>
      <c r="G5" s="1289"/>
      <c r="H5" s="1289"/>
      <c r="I5" s="1289"/>
      <c r="J5" s="1289"/>
      <c r="K5" s="1289"/>
      <c r="L5" s="1289"/>
      <c r="M5" s="1289"/>
      <c r="N5" s="1289"/>
      <c r="O5" s="1289"/>
      <c r="P5" s="1289"/>
      <c r="Q5" s="1289"/>
    </row>
    <row r="6" spans="1:17">
      <c r="A6" s="1257"/>
      <c r="B6" s="1257"/>
      <c r="C6" s="1257"/>
      <c r="D6" s="1257"/>
      <c r="E6" s="1257"/>
      <c r="F6" s="1257"/>
      <c r="G6" s="1257"/>
      <c r="H6" s="1257"/>
      <c r="I6" s="1257"/>
      <c r="J6" s="1257"/>
      <c r="K6" s="1257"/>
      <c r="L6" s="1257"/>
      <c r="M6" s="1257"/>
      <c r="N6" s="1257"/>
      <c r="O6" s="1257"/>
      <c r="P6" s="1257"/>
      <c r="Q6" s="1257"/>
    </row>
    <row r="7" spans="1:17">
      <c r="A7" s="1258"/>
      <c r="B7" s="1259"/>
      <c r="C7" s="1259"/>
      <c r="D7" s="1259"/>
      <c r="E7" s="93"/>
      <c r="F7" s="93"/>
      <c r="G7" s="93"/>
      <c r="H7" s="93"/>
      <c r="I7" s="93"/>
      <c r="J7" s="93"/>
      <c r="K7" s="93"/>
      <c r="L7" s="93"/>
      <c r="M7" s="93"/>
      <c r="N7" s="93"/>
      <c r="O7" s="93"/>
      <c r="P7" s="94"/>
      <c r="Q7" s="94"/>
    </row>
    <row r="8" spans="1:17">
      <c r="A8" s="1258"/>
      <c r="B8" s="1259"/>
      <c r="C8" s="1259"/>
      <c r="D8" s="1259"/>
      <c r="E8" s="1290" t="s">
        <v>361</v>
      </c>
      <c r="F8" s="1290"/>
      <c r="G8" s="1290"/>
      <c r="H8" s="1259"/>
      <c r="I8" s="1290" t="s">
        <v>362</v>
      </c>
      <c r="J8" s="1290"/>
      <c r="K8" s="1290"/>
      <c r="L8" s="1290"/>
      <c r="M8" s="1290"/>
      <c r="N8" s="1259"/>
      <c r="O8" s="1290" t="s">
        <v>363</v>
      </c>
      <c r="P8" s="1290"/>
      <c r="Q8" s="1290"/>
    </row>
    <row r="9" spans="1:17">
      <c r="A9" s="1258"/>
      <c r="B9" s="1259"/>
      <c r="C9" s="1259"/>
      <c r="D9" s="1259"/>
      <c r="E9" s="1258"/>
      <c r="F9" s="1258"/>
      <c r="G9" s="1258"/>
      <c r="H9" s="1259"/>
      <c r="I9" s="1258"/>
      <c r="J9" s="1258"/>
      <c r="K9" s="1258"/>
      <c r="L9" s="1258"/>
      <c r="M9" s="1258" t="s">
        <v>364</v>
      </c>
      <c r="N9" s="1259"/>
      <c r="O9" s="1258" t="s">
        <v>365</v>
      </c>
      <c r="P9" s="1258"/>
      <c r="Q9" s="1258" t="s">
        <v>366</v>
      </c>
    </row>
    <row r="10" spans="1:17">
      <c r="A10" s="1258" t="s">
        <v>1</v>
      </c>
      <c r="B10" s="1259"/>
      <c r="C10" s="1259"/>
      <c r="D10" s="1259"/>
      <c r="E10" s="1258" t="s">
        <v>364</v>
      </c>
      <c r="F10" s="1258"/>
      <c r="G10" s="1258" t="s">
        <v>109</v>
      </c>
      <c r="H10" s="1259"/>
      <c r="I10" s="1258" t="s">
        <v>364</v>
      </c>
      <c r="J10" s="1258"/>
      <c r="K10" s="1258" t="s">
        <v>109</v>
      </c>
      <c r="L10" s="1258"/>
      <c r="M10" s="1258" t="s">
        <v>367</v>
      </c>
      <c r="N10" s="1259"/>
      <c r="O10" s="1258" t="s">
        <v>368</v>
      </c>
      <c r="P10" s="1259"/>
      <c r="Q10" s="1258" t="s">
        <v>368</v>
      </c>
    </row>
    <row r="11" spans="1:17">
      <c r="A11" s="1260" t="s">
        <v>2</v>
      </c>
      <c r="B11" s="1259"/>
      <c r="C11" s="1261" t="s">
        <v>3</v>
      </c>
      <c r="D11" s="1259"/>
      <c r="E11" s="1260" t="s">
        <v>369</v>
      </c>
      <c r="F11" s="1258"/>
      <c r="G11" s="1260" t="s">
        <v>77</v>
      </c>
      <c r="H11" s="1259"/>
      <c r="I11" s="1260" t="s">
        <v>369</v>
      </c>
      <c r="J11" s="1258"/>
      <c r="K11" s="1260" t="s">
        <v>77</v>
      </c>
      <c r="L11" s="1258"/>
      <c r="M11" s="1260" t="s">
        <v>369</v>
      </c>
      <c r="N11" s="1259"/>
      <c r="O11" s="1260" t="s">
        <v>76</v>
      </c>
      <c r="P11" s="1258"/>
      <c r="Q11" s="1260" t="s">
        <v>76</v>
      </c>
    </row>
    <row r="12" spans="1:17">
      <c r="A12" s="1258"/>
      <c r="B12" s="1259"/>
      <c r="C12" s="1259"/>
      <c r="D12" s="1259"/>
      <c r="E12" s="1258" t="s">
        <v>8</v>
      </c>
      <c r="F12" s="1258"/>
      <c r="G12" s="1258" t="s">
        <v>9</v>
      </c>
      <c r="H12" s="1258"/>
      <c r="I12" s="1258" t="s">
        <v>370</v>
      </c>
      <c r="J12" s="1258"/>
      <c r="K12" s="1258" t="s">
        <v>79</v>
      </c>
      <c r="L12" s="1258"/>
      <c r="M12" s="1258" t="s">
        <v>371</v>
      </c>
      <c r="N12" s="1258"/>
      <c r="O12" s="1258" t="s">
        <v>372</v>
      </c>
      <c r="P12" s="1258"/>
      <c r="Q12" s="1258" t="s">
        <v>82</v>
      </c>
    </row>
    <row r="13" spans="1:17">
      <c r="A13" s="1258"/>
      <c r="B13" s="1259"/>
      <c r="C13" s="1259"/>
      <c r="D13" s="1259"/>
      <c r="E13" s="1258"/>
      <c r="F13" s="1258"/>
      <c r="G13" s="1258"/>
      <c r="H13" s="1258"/>
      <c r="I13" s="1258"/>
      <c r="J13" s="1258"/>
      <c r="K13" s="1258"/>
      <c r="L13" s="1258"/>
      <c r="M13" s="1258"/>
      <c r="N13" s="1258"/>
      <c r="O13" s="1258"/>
      <c r="P13" s="1258"/>
      <c r="Q13" s="1258"/>
    </row>
    <row r="14" spans="1:17">
      <c r="A14" s="1258"/>
      <c r="B14" s="1259"/>
      <c r="C14" s="1262" t="s">
        <v>426</v>
      </c>
      <c r="D14" s="1259"/>
      <c r="E14" s="1293" t="s">
        <v>427</v>
      </c>
      <c r="F14" s="1293"/>
      <c r="G14" s="1293"/>
      <c r="H14" s="1258"/>
      <c r="I14" s="1258"/>
      <c r="J14" s="1258"/>
      <c r="K14" s="1258"/>
      <c r="L14" s="1258"/>
      <c r="M14" s="1263"/>
      <c r="N14" s="1258"/>
      <c r="O14" s="1258"/>
      <c r="P14" s="1258"/>
      <c r="Q14" s="1258"/>
    </row>
    <row r="15" spans="1:17">
      <c r="A15" s="1258">
        <f>1</f>
        <v>1</v>
      </c>
      <c r="B15" s="1259"/>
      <c r="C15" s="1259" t="s">
        <v>375</v>
      </c>
      <c r="D15" s="1259"/>
      <c r="E15" s="1264">
        <v>523.42339580000009</v>
      </c>
      <c r="F15" s="1265"/>
      <c r="G15" s="1266">
        <v>23.791972536363641</v>
      </c>
      <c r="H15" s="1266"/>
      <c r="I15" s="1264">
        <v>554.85347780000006</v>
      </c>
      <c r="J15" s="1258"/>
      <c r="K15" s="1266">
        <v>25.220612627272732</v>
      </c>
      <c r="L15" s="1266"/>
      <c r="M15" s="1267">
        <f>I15-E15</f>
        <v>31.43008199999997</v>
      </c>
      <c r="N15" s="1266"/>
      <c r="O15" s="332">
        <f>M15/E15</f>
        <v>6.0047147781696397E-2</v>
      </c>
      <c r="P15" s="84"/>
      <c r="Q15" s="332">
        <f>O15</f>
        <v>6.0047147781696397E-2</v>
      </c>
    </row>
    <row r="16" spans="1:17">
      <c r="A16" s="1258">
        <f>A15+1</f>
        <v>2</v>
      </c>
      <c r="B16" s="1259"/>
      <c r="C16" s="1259" t="s">
        <v>376</v>
      </c>
      <c r="D16" s="1259"/>
      <c r="E16" s="1264">
        <v>335.5</v>
      </c>
      <c r="F16" s="1265"/>
      <c r="G16" s="1266">
        <v>15.25</v>
      </c>
      <c r="H16" s="1266"/>
      <c r="I16" s="1264">
        <v>335.5</v>
      </c>
      <c r="J16" s="1265"/>
      <c r="K16" s="1266">
        <v>15.25</v>
      </c>
      <c r="L16" s="1266"/>
      <c r="M16" s="1267">
        <f>I16-E16</f>
        <v>0</v>
      </c>
      <c r="N16" s="1266"/>
      <c r="O16" s="333">
        <f>IFERROR(M16/E16,"100.0%")</f>
        <v>0</v>
      </c>
      <c r="P16" s="84"/>
      <c r="Q16" s="333">
        <v>0</v>
      </c>
    </row>
    <row r="17" spans="1:17">
      <c r="A17" s="1258">
        <f>A16+1</f>
        <v>3</v>
      </c>
      <c r="B17" s="1259"/>
      <c r="C17" s="1259" t="s">
        <v>377</v>
      </c>
      <c r="D17" s="1259"/>
      <c r="E17" s="1264">
        <v>171.50319999999999</v>
      </c>
      <c r="F17" s="1265"/>
      <c r="G17" s="1266">
        <v>7.7955999999999994</v>
      </c>
      <c r="H17" s="1266"/>
      <c r="I17" s="1264">
        <v>172.91559999999998</v>
      </c>
      <c r="J17" s="1265"/>
      <c r="K17" s="1266">
        <v>7.859799999999999</v>
      </c>
      <c r="L17" s="1266"/>
      <c r="M17" s="1267">
        <f>I17-E17</f>
        <v>1.412399999999991</v>
      </c>
      <c r="N17" s="1259"/>
      <c r="O17" s="332">
        <f>M17/E17</f>
        <v>8.2354148494021753E-3</v>
      </c>
      <c r="P17" s="84"/>
      <c r="Q17" s="332">
        <f>O17</f>
        <v>8.2354148494021753E-3</v>
      </c>
    </row>
    <row r="18" spans="1:17">
      <c r="A18" s="1258">
        <f>A17+1</f>
        <v>4</v>
      </c>
      <c r="B18" s="1259"/>
      <c r="C18" s="1259" t="s">
        <v>378</v>
      </c>
      <c r="D18" s="1259"/>
      <c r="E18" s="1264">
        <v>276.89640000000003</v>
      </c>
      <c r="F18" s="1265"/>
      <c r="G18" s="1266">
        <v>12.5862</v>
      </c>
      <c r="H18" s="1259"/>
      <c r="I18" s="1264">
        <v>277.01960000000008</v>
      </c>
      <c r="J18" s="1258"/>
      <c r="K18" s="1266">
        <v>12.591800000000003</v>
      </c>
      <c r="L18" s="1266"/>
      <c r="M18" s="1267">
        <f>I18-E18</f>
        <v>0.12320000000005393</v>
      </c>
      <c r="N18" s="1259"/>
      <c r="O18" s="332">
        <f>M18/E18</f>
        <v>4.4493175064772933E-4</v>
      </c>
      <c r="P18" s="84"/>
      <c r="Q18" s="332">
        <f>O18</f>
        <v>4.4493175064772933E-4</v>
      </c>
    </row>
    <row r="19" spans="1:17">
      <c r="A19" s="1258">
        <f>A18+1</f>
        <v>5</v>
      </c>
      <c r="B19" s="1259"/>
      <c r="C19" s="1259" t="s">
        <v>379</v>
      </c>
      <c r="D19" s="1259"/>
      <c r="E19" s="1268">
        <f>SUM(E15:E18)</f>
        <v>1307.3229958000002</v>
      </c>
      <c r="F19" s="1258"/>
      <c r="G19" s="1269">
        <v>59.423772536363643</v>
      </c>
      <c r="H19" s="1258"/>
      <c r="I19" s="1268">
        <f>SUM(I15:I18)</f>
        <v>1340.2886778000002</v>
      </c>
      <c r="J19" s="1258"/>
      <c r="K19" s="1269">
        <v>60.922212627272728</v>
      </c>
      <c r="L19" s="1266"/>
      <c r="M19" s="1270">
        <f>SUM(M15:M18)</f>
        <v>32.965682000000015</v>
      </c>
      <c r="N19" s="1259"/>
      <c r="O19" s="1271">
        <f>M19/E19</f>
        <v>2.5216172365901873E-2</v>
      </c>
      <c r="P19" s="1063"/>
      <c r="Q19" s="1271">
        <f>(M15+M18+M17)/(E15+E18+E17)</f>
        <v>3.3921487907232345E-2</v>
      </c>
    </row>
    <row r="20" spans="1:17">
      <c r="A20" s="1258"/>
      <c r="B20" s="1259"/>
      <c r="C20" s="1259"/>
      <c r="D20" s="1259"/>
      <c r="E20" s="1264"/>
      <c r="F20" s="1258"/>
      <c r="G20" s="1266"/>
      <c r="H20" s="1258"/>
      <c r="I20" s="1264"/>
      <c r="J20" s="1258"/>
      <c r="K20" s="1266"/>
      <c r="L20" s="1266"/>
      <c r="M20" s="1267"/>
      <c r="N20" s="1259"/>
      <c r="O20" s="1062"/>
      <c r="P20" s="1063"/>
      <c r="Q20" s="1062"/>
    </row>
    <row r="21" spans="1:17">
      <c r="A21" s="1258">
        <f>A19+1</f>
        <v>6</v>
      </c>
      <c r="B21" s="1259"/>
      <c r="C21" s="1259" t="s">
        <v>410</v>
      </c>
      <c r="D21" s="1259"/>
      <c r="E21" s="1268">
        <f>SUM(E15:E17)+I18</f>
        <v>1307.4461958000002</v>
      </c>
      <c r="F21" s="1258"/>
      <c r="G21" s="1269">
        <v>59.429372536363644</v>
      </c>
      <c r="H21" s="1258"/>
      <c r="I21" s="1268">
        <f>SUM(I15:I18)</f>
        <v>1340.2886778000002</v>
      </c>
      <c r="J21" s="1265"/>
      <c r="K21" s="1269">
        <v>60.922212627272728</v>
      </c>
      <c r="L21" s="1266"/>
      <c r="M21" s="1270">
        <f>M15+M16+M17</f>
        <v>32.842481999999961</v>
      </c>
      <c r="N21" s="1259"/>
      <c r="O21" s="1271">
        <f>M21/E21</f>
        <v>2.5119566759612851E-2</v>
      </c>
      <c r="P21" s="1063"/>
      <c r="Q21" s="1271">
        <f>(M21-M16)/(E21-E16)</f>
        <v>3.3790432167870782E-2</v>
      </c>
    </row>
    <row r="22" spans="1:17">
      <c r="A22" s="1258">
        <f>A21+1</f>
        <v>7</v>
      </c>
      <c r="B22" s="1259"/>
      <c r="C22" s="1259" t="s">
        <v>411</v>
      </c>
      <c r="D22" s="1259"/>
      <c r="E22" s="1063"/>
      <c r="F22" s="1063"/>
      <c r="G22" s="1063"/>
      <c r="H22" s="1063"/>
      <c r="I22" s="1063"/>
      <c r="J22" s="1063"/>
      <c r="K22" s="1063"/>
      <c r="L22" s="1063"/>
      <c r="M22" s="1267"/>
      <c r="N22" s="1259"/>
      <c r="O22" s="334">
        <v>3.1872704114844601E-2</v>
      </c>
      <c r="P22" s="1063"/>
      <c r="Q22" s="334">
        <v>4.7260361307933083E-2</v>
      </c>
    </row>
    <row r="23" spans="1:17">
      <c r="A23" s="1258"/>
      <c r="B23" s="1259"/>
      <c r="C23" s="1259"/>
      <c r="D23" s="1259"/>
      <c r="E23" s="1258"/>
      <c r="F23" s="1258"/>
      <c r="G23" s="1258"/>
      <c r="H23" s="1258"/>
      <c r="I23" s="1258"/>
      <c r="J23" s="1258"/>
      <c r="K23" s="1258"/>
      <c r="L23" s="1258"/>
      <c r="M23" s="1263"/>
      <c r="N23" s="1258"/>
      <c r="O23" s="1272"/>
      <c r="P23" s="1258"/>
      <c r="Q23" s="1062"/>
    </row>
    <row r="24" spans="1:17">
      <c r="A24" s="1258"/>
      <c r="B24" s="1259"/>
      <c r="C24" s="1262" t="s">
        <v>428</v>
      </c>
      <c r="D24" s="1259"/>
      <c r="E24" s="1293" t="s">
        <v>429</v>
      </c>
      <c r="F24" s="1293"/>
      <c r="G24" s="1293"/>
      <c r="H24" s="1258"/>
      <c r="I24" s="1258"/>
      <c r="J24" s="1258"/>
      <c r="K24" s="1258"/>
      <c r="L24" s="1258"/>
      <c r="M24" s="1263"/>
      <c r="N24" s="1258"/>
      <c r="O24" s="1272"/>
      <c r="P24" s="1258"/>
      <c r="Q24" s="1272"/>
    </row>
    <row r="25" spans="1:17">
      <c r="A25" s="1258">
        <f>A22+1</f>
        <v>8</v>
      </c>
      <c r="B25" s="1259"/>
      <c r="C25" s="1259" t="s">
        <v>375</v>
      </c>
      <c r="D25" s="1259"/>
      <c r="E25" s="1264">
        <v>4152.1067999999996</v>
      </c>
      <c r="F25" s="1265"/>
      <c r="G25" s="1266">
        <v>10.380266999999998</v>
      </c>
      <c r="H25" s="1266"/>
      <c r="I25" s="1264">
        <v>4144.1916000000001</v>
      </c>
      <c r="J25" s="1258"/>
      <c r="K25" s="1266">
        <v>10.360479</v>
      </c>
      <c r="L25" s="1266"/>
      <c r="M25" s="1267">
        <f>I25-E25</f>
        <v>-7.9151999999994587</v>
      </c>
      <c r="N25" s="1266"/>
      <c r="O25" s="332">
        <f>M25/E25</f>
        <v>-1.9063093463779542E-3</v>
      </c>
      <c r="P25" s="84"/>
      <c r="Q25" s="332">
        <f>O25</f>
        <v>-1.9063093463779542E-3</v>
      </c>
    </row>
    <row r="26" spans="1:17">
      <c r="A26" s="1258">
        <f>A25+1</f>
        <v>9</v>
      </c>
      <c r="B26" s="1259"/>
      <c r="C26" s="1259" t="s">
        <v>376</v>
      </c>
      <c r="D26" s="1259"/>
      <c r="E26" s="1264">
        <v>6100</v>
      </c>
      <c r="F26" s="1265"/>
      <c r="G26" s="1266">
        <v>15.25</v>
      </c>
      <c r="H26" s="1266"/>
      <c r="I26" s="1264">
        <v>6100</v>
      </c>
      <c r="J26" s="1265"/>
      <c r="K26" s="1266">
        <v>15.25</v>
      </c>
      <c r="L26" s="1266"/>
      <c r="M26" s="1267">
        <f>I26-E26</f>
        <v>0</v>
      </c>
      <c r="N26" s="1266"/>
      <c r="O26" s="333">
        <f>IFERROR(M26/E26,"100.0%")</f>
        <v>0</v>
      </c>
      <c r="P26" s="84"/>
      <c r="Q26" s="333">
        <v>0</v>
      </c>
    </row>
    <row r="27" spans="1:17">
      <c r="A27" s="1258">
        <f>A26+1</f>
        <v>10</v>
      </c>
      <c r="B27" s="1259"/>
      <c r="C27" s="1259" t="s">
        <v>377</v>
      </c>
      <c r="D27" s="1259"/>
      <c r="E27" s="1264">
        <v>3118.2400000000002</v>
      </c>
      <c r="F27" s="1265"/>
      <c r="G27" s="1266">
        <v>7.7956000000000012</v>
      </c>
      <c r="H27" s="1266"/>
      <c r="I27" s="1264">
        <v>3143.92</v>
      </c>
      <c r="J27" s="1265"/>
      <c r="K27" s="1266">
        <v>7.8597999999999999</v>
      </c>
      <c r="L27" s="1266"/>
      <c r="M27" s="1267">
        <f>I27-E27</f>
        <v>25.679999999999836</v>
      </c>
      <c r="N27" s="1259"/>
      <c r="O27" s="332">
        <f>M27/E27</f>
        <v>8.2354148494021735E-3</v>
      </c>
      <c r="P27" s="84"/>
      <c r="Q27" s="332">
        <f>O27</f>
        <v>8.2354148494021735E-3</v>
      </c>
    </row>
    <row r="28" spans="1:17">
      <c r="A28" s="1258">
        <f>A27+1</f>
        <v>11</v>
      </c>
      <c r="B28" s="1259"/>
      <c r="C28" s="1259" t="s">
        <v>378</v>
      </c>
      <c r="D28" s="1259"/>
      <c r="E28" s="1264">
        <v>5034.4800000000005</v>
      </c>
      <c r="F28" s="1265"/>
      <c r="G28" s="1266">
        <v>12.5862</v>
      </c>
      <c r="H28" s="1259"/>
      <c r="I28" s="1264">
        <v>5036.7200000000012</v>
      </c>
      <c r="J28" s="1258"/>
      <c r="K28" s="1266">
        <v>12.591800000000003</v>
      </c>
      <c r="L28" s="1266"/>
      <c r="M28" s="1267">
        <f>I28-E28</f>
        <v>2.2400000000006912</v>
      </c>
      <c r="N28" s="1259"/>
      <c r="O28" s="332">
        <f>M28/E28</f>
        <v>4.4493175064767187E-4</v>
      </c>
      <c r="P28" s="84"/>
      <c r="Q28" s="332">
        <f>O28</f>
        <v>4.4493175064767187E-4</v>
      </c>
    </row>
    <row r="29" spans="1:17">
      <c r="A29" s="1258">
        <f>A28+1</f>
        <v>12</v>
      </c>
      <c r="B29" s="1259"/>
      <c r="C29" s="1259" t="s">
        <v>379</v>
      </c>
      <c r="D29" s="1259"/>
      <c r="E29" s="1268">
        <f>SUM(E25:E28)</f>
        <v>18404.826799999999</v>
      </c>
      <c r="F29" s="1258"/>
      <c r="G29" s="1269">
        <v>46.012066999999995</v>
      </c>
      <c r="H29" s="1258"/>
      <c r="I29" s="1268">
        <f>SUM(I25:I28)</f>
        <v>18424.831600000001</v>
      </c>
      <c r="J29" s="1258"/>
      <c r="K29" s="1269">
        <v>46.062079000000004</v>
      </c>
      <c r="L29" s="1266"/>
      <c r="M29" s="1270">
        <f>SUM(M25:M28)</f>
        <v>20.004800000001069</v>
      </c>
      <c r="N29" s="1259"/>
      <c r="O29" s="1271">
        <f>M29/E29</f>
        <v>1.0869322606176914E-3</v>
      </c>
      <c r="P29" s="1063"/>
      <c r="Q29" s="1271">
        <f>(M25+M28+M27)/(E25+E28+E27)</f>
        <v>1.6257685154902844E-3</v>
      </c>
    </row>
    <row r="30" spans="1:17">
      <c r="A30" s="1258"/>
      <c r="B30" s="1259"/>
      <c r="C30" s="1259"/>
      <c r="D30" s="1259"/>
      <c r="E30" s="1264"/>
      <c r="F30" s="1258"/>
      <c r="G30" s="1266"/>
      <c r="H30" s="1258"/>
      <c r="I30" s="1264"/>
      <c r="J30" s="1258"/>
      <c r="K30" s="1266"/>
      <c r="L30" s="1266"/>
      <c r="M30" s="1267"/>
      <c r="N30" s="1259"/>
      <c r="O30" s="1062"/>
      <c r="P30" s="1063"/>
      <c r="Q30" s="1062"/>
    </row>
    <row r="31" spans="1:17">
      <c r="A31" s="1258">
        <f>A29+1</f>
        <v>13</v>
      </c>
      <c r="B31" s="1259"/>
      <c r="C31" s="1259" t="s">
        <v>410</v>
      </c>
      <c r="D31" s="1259"/>
      <c r="E31" s="1268">
        <f>SUM(E25:E27)+I28</f>
        <v>18407.066800000001</v>
      </c>
      <c r="F31" s="1258"/>
      <c r="G31" s="1269">
        <v>46.017667000000003</v>
      </c>
      <c r="H31" s="1258"/>
      <c r="I31" s="1268">
        <f>SUM(I25:I28)</f>
        <v>18424.831600000001</v>
      </c>
      <c r="J31" s="1265"/>
      <c r="K31" s="1269">
        <v>46.062079000000004</v>
      </c>
      <c r="L31" s="1266"/>
      <c r="M31" s="1270">
        <f>M25+M26+M27</f>
        <v>17.764800000000378</v>
      </c>
      <c r="N31" s="1259"/>
      <c r="O31" s="1271">
        <f>M31/E31</f>
        <v>9.6510759661068738E-4</v>
      </c>
      <c r="P31" s="1063"/>
      <c r="Q31" s="1271">
        <f>(M31-M26)/(E31-E26)</f>
        <v>1.4434633604166653E-3</v>
      </c>
    </row>
    <row r="32" spans="1:17">
      <c r="A32" s="1258">
        <f>A31+1</f>
        <v>14</v>
      </c>
      <c r="B32" s="1259"/>
      <c r="C32" s="1259" t="s">
        <v>411</v>
      </c>
      <c r="D32" s="1259"/>
      <c r="E32" s="1063"/>
      <c r="F32" s="1063"/>
      <c r="G32" s="1063"/>
      <c r="H32" s="1063"/>
      <c r="I32" s="1063"/>
      <c r="J32" s="1063"/>
      <c r="K32" s="1063"/>
      <c r="L32" s="1063"/>
      <c r="M32" s="1267"/>
      <c r="N32" s="1259"/>
      <c r="O32" s="334">
        <v>1.3286715943673488E-3</v>
      </c>
      <c r="P32" s="1063"/>
      <c r="Q32" s="334">
        <v>2.4434597810382825E-3</v>
      </c>
    </row>
    <row r="33" spans="1:17">
      <c r="A33" s="1258"/>
      <c r="B33" s="1259"/>
      <c r="C33" s="1259"/>
      <c r="D33" s="1259"/>
      <c r="E33" s="1258"/>
      <c r="F33" s="1258"/>
      <c r="G33" s="1258"/>
      <c r="H33" s="1258"/>
      <c r="I33" s="1258"/>
      <c r="J33" s="1258"/>
      <c r="K33" s="1258"/>
      <c r="L33" s="1258"/>
      <c r="M33" s="1263"/>
      <c r="N33" s="1258"/>
      <c r="O33" s="1272"/>
      <c r="P33" s="1258"/>
      <c r="Q33" s="1062"/>
    </row>
    <row r="34" spans="1:17">
      <c r="A34" s="1258"/>
      <c r="B34" s="1259"/>
      <c r="C34" s="1262" t="s">
        <v>430</v>
      </c>
      <c r="D34" s="1259"/>
      <c r="E34" s="1293" t="s">
        <v>431</v>
      </c>
      <c r="F34" s="1293"/>
      <c r="G34" s="1293"/>
      <c r="H34" s="1259"/>
      <c r="I34" s="1259"/>
      <c r="J34" s="1259"/>
      <c r="K34" s="1259"/>
      <c r="L34" s="1259"/>
      <c r="M34" s="1267"/>
      <c r="N34" s="1259"/>
      <c r="O34" s="1062"/>
      <c r="P34" s="1259"/>
      <c r="Q34" s="1062"/>
    </row>
    <row r="35" spans="1:17">
      <c r="A35" s="1258">
        <f>A32+1</f>
        <v>15</v>
      </c>
      <c r="B35" s="1259"/>
      <c r="C35" s="1259" t="s">
        <v>375</v>
      </c>
      <c r="D35" s="1259"/>
      <c r="E35" s="1264">
        <v>6022.3303801799984</v>
      </c>
      <c r="F35" s="1265"/>
      <c r="G35" s="1266">
        <v>10.037217300299996</v>
      </c>
      <c r="H35" s="1266"/>
      <c r="I35" s="1264">
        <v>5859.0344402599985</v>
      </c>
      <c r="J35" s="1258"/>
      <c r="K35" s="1266">
        <v>9.7650574004333315</v>
      </c>
      <c r="L35" s="1266"/>
      <c r="M35" s="1267">
        <f>I35-E35</f>
        <v>-163.29593991999991</v>
      </c>
      <c r="N35" s="1266"/>
      <c r="O35" s="332">
        <f>M35/E35</f>
        <v>-2.7115074997781711E-2</v>
      </c>
      <c r="P35" s="84"/>
      <c r="Q35" s="332">
        <f>O35</f>
        <v>-2.7115074997781711E-2</v>
      </c>
    </row>
    <row r="36" spans="1:17">
      <c r="A36" s="1258">
        <f>A35+1</f>
        <v>16</v>
      </c>
      <c r="B36" s="1259"/>
      <c r="C36" s="1259" t="s">
        <v>376</v>
      </c>
      <c r="D36" s="1259"/>
      <c r="E36" s="1264">
        <v>9150</v>
      </c>
      <c r="F36" s="1265"/>
      <c r="G36" s="1266">
        <v>15.25</v>
      </c>
      <c r="H36" s="1266"/>
      <c r="I36" s="1264">
        <v>9150</v>
      </c>
      <c r="J36" s="1265"/>
      <c r="K36" s="1266">
        <v>15.25</v>
      </c>
      <c r="L36" s="1266"/>
      <c r="M36" s="1267">
        <f>I36-E36</f>
        <v>0</v>
      </c>
      <c r="N36" s="1266"/>
      <c r="O36" s="333">
        <f>IFERROR(M36/E36,"100.0%")</f>
        <v>0</v>
      </c>
      <c r="P36" s="84"/>
      <c r="Q36" s="333">
        <v>0</v>
      </c>
    </row>
    <row r="37" spans="1:17">
      <c r="A37" s="1258">
        <f>A36+1</f>
        <v>17</v>
      </c>
      <c r="B37" s="1259"/>
      <c r="C37" s="1259" t="s">
        <v>377</v>
      </c>
      <c r="D37" s="1259"/>
      <c r="E37" s="1264">
        <v>3691.2000000000003</v>
      </c>
      <c r="F37" s="1265"/>
      <c r="G37" s="1266">
        <v>6.1520000000000001</v>
      </c>
      <c r="H37" s="1266"/>
      <c r="I37" s="1264">
        <v>3720.7799999999997</v>
      </c>
      <c r="J37" s="1265"/>
      <c r="K37" s="1266">
        <v>6.2012999999999998</v>
      </c>
      <c r="L37" s="1266"/>
      <c r="M37" s="1267">
        <f>I37-E37</f>
        <v>29.579999999999472</v>
      </c>
      <c r="N37" s="1259"/>
      <c r="O37" s="332">
        <f>M37/E37</f>
        <v>8.0136540962287249E-3</v>
      </c>
      <c r="P37" s="84"/>
      <c r="Q37" s="332">
        <f>O37</f>
        <v>8.0136540962287249E-3</v>
      </c>
    </row>
    <row r="38" spans="1:17">
      <c r="A38" s="1258">
        <f>A37+1</f>
        <v>18</v>
      </c>
      <c r="B38" s="1259"/>
      <c r="C38" s="1259" t="s">
        <v>378</v>
      </c>
      <c r="D38" s="1259"/>
      <c r="E38" s="1264">
        <v>7551.7200000000012</v>
      </c>
      <c r="F38" s="1265"/>
      <c r="G38" s="1266">
        <v>12.586200000000003</v>
      </c>
      <c r="H38" s="1259"/>
      <c r="I38" s="1264">
        <v>7555.0800000000008</v>
      </c>
      <c r="J38" s="1258"/>
      <c r="K38" s="1266">
        <v>12.591800000000001</v>
      </c>
      <c r="L38" s="1266"/>
      <c r="M38" s="1267">
        <f>I38-E38</f>
        <v>3.3599999999996726</v>
      </c>
      <c r="N38" s="1259"/>
      <c r="O38" s="332">
        <f>M38/E38</f>
        <v>4.4493175064749119E-4</v>
      </c>
      <c r="P38" s="84"/>
      <c r="Q38" s="332">
        <f>O38</f>
        <v>4.4493175064749119E-4</v>
      </c>
    </row>
    <row r="39" spans="1:17">
      <c r="A39" s="1258">
        <f>A38+1</f>
        <v>19</v>
      </c>
      <c r="B39" s="1259"/>
      <c r="C39" s="1259" t="s">
        <v>379</v>
      </c>
      <c r="D39" s="1259"/>
      <c r="E39" s="1268">
        <f>SUM(E35:E38)</f>
        <v>26415.250380180001</v>
      </c>
      <c r="F39" s="1258"/>
      <c r="G39" s="1269">
        <v>44.025417300299999</v>
      </c>
      <c r="H39" s="1258"/>
      <c r="I39" s="1268">
        <f>SUM(I35:I38)</f>
        <v>26284.894440259999</v>
      </c>
      <c r="J39" s="1258"/>
      <c r="K39" s="1269">
        <v>43.808157400433331</v>
      </c>
      <c r="L39" s="1266"/>
      <c r="M39" s="1270">
        <f>SUM(M35:M38)</f>
        <v>-130.35593992000076</v>
      </c>
      <c r="N39" s="1259"/>
      <c r="O39" s="1271">
        <f>M39/E39</f>
        <v>-4.9348742882940819E-3</v>
      </c>
      <c r="P39" s="1063"/>
      <c r="Q39" s="1271">
        <f>(M35+M38+M37)/(E35+E38+E37)</f>
        <v>-7.5501911092842036E-3</v>
      </c>
    </row>
    <row r="40" spans="1:17">
      <c r="A40" s="1258"/>
      <c r="B40" s="1259"/>
      <c r="C40" s="1259"/>
      <c r="D40" s="1259"/>
      <c r="E40" s="1264"/>
      <c r="F40" s="1258"/>
      <c r="G40" s="1266"/>
      <c r="H40" s="1258"/>
      <c r="I40" s="1264"/>
      <c r="J40" s="1258"/>
      <c r="K40" s="1266"/>
      <c r="L40" s="1266"/>
      <c r="M40" s="1267"/>
      <c r="N40" s="1259"/>
      <c r="O40" s="1062"/>
      <c r="P40" s="1063"/>
      <c r="Q40" s="1062"/>
    </row>
    <row r="41" spans="1:17">
      <c r="A41" s="1258">
        <f>A39+1</f>
        <v>20</v>
      </c>
      <c r="B41" s="1259"/>
      <c r="C41" s="1259" t="s">
        <v>410</v>
      </c>
      <c r="D41" s="1259"/>
      <c r="E41" s="1268">
        <f>SUM(E35:E37)+I38</f>
        <v>26418.610380180002</v>
      </c>
      <c r="F41" s="1258"/>
      <c r="G41" s="1269">
        <v>44.0310173003</v>
      </c>
      <c r="H41" s="1258"/>
      <c r="I41" s="1268">
        <f>SUM(I35:I38)</f>
        <v>26284.894440259999</v>
      </c>
      <c r="J41" s="1265"/>
      <c r="K41" s="1269">
        <v>43.808157400433331</v>
      </c>
      <c r="L41" s="1266"/>
      <c r="M41" s="1270">
        <f>M35+M36+M37</f>
        <v>-133.71593992000044</v>
      </c>
      <c r="N41" s="1259"/>
      <c r="O41" s="1271">
        <f>M41/E41</f>
        <v>-5.0614297268382433E-3</v>
      </c>
      <c r="P41" s="1063"/>
      <c r="Q41" s="1271">
        <f>(M41-M36)/(E41-E36)</f>
        <v>-7.7432947397708691E-3</v>
      </c>
    </row>
    <row r="42" spans="1:17">
      <c r="A42" s="1258">
        <f>A41+1</f>
        <v>21</v>
      </c>
      <c r="B42" s="1259"/>
      <c r="C42" s="1259" t="s">
        <v>411</v>
      </c>
      <c r="D42" s="1259"/>
      <c r="E42" s="1063"/>
      <c r="F42" s="1063"/>
      <c r="G42" s="1063"/>
      <c r="H42" s="1063"/>
      <c r="I42" s="1063"/>
      <c r="J42" s="1063"/>
      <c r="K42" s="1063"/>
      <c r="L42" s="1063"/>
      <c r="M42" s="1267"/>
      <c r="N42" s="1259"/>
      <c r="O42" s="334">
        <v>-7.0885956777473735E-3</v>
      </c>
      <c r="P42" s="1063"/>
      <c r="Q42" s="334">
        <v>-1.3765946539153395E-2</v>
      </c>
    </row>
    <row r="43" spans="1:17">
      <c r="A43" s="1258"/>
      <c r="B43" s="1259"/>
      <c r="C43" s="1259"/>
      <c r="D43" s="1259"/>
      <c r="E43" s="1259"/>
      <c r="F43" s="1259"/>
      <c r="G43" s="1259"/>
      <c r="H43" s="1258"/>
      <c r="I43" s="1258"/>
      <c r="J43" s="1258"/>
      <c r="K43" s="1258"/>
      <c r="L43" s="1259"/>
      <c r="M43" s="1267"/>
      <c r="N43" s="1259"/>
      <c r="O43" s="1062"/>
      <c r="P43" s="1259"/>
      <c r="Q43" s="1062"/>
    </row>
    <row r="44" spans="1:17">
      <c r="A44" s="1258"/>
      <c r="B44" s="1259"/>
      <c r="C44" s="1262" t="s">
        <v>432</v>
      </c>
      <c r="D44" s="1259"/>
      <c r="E44" s="1293" t="s">
        <v>433</v>
      </c>
      <c r="F44" s="1293"/>
      <c r="G44" s="1293"/>
      <c r="H44" s="1259"/>
      <c r="I44" s="1259"/>
      <c r="J44" s="1259"/>
      <c r="K44" s="1259"/>
      <c r="L44" s="1259"/>
      <c r="M44" s="1267"/>
      <c r="N44" s="1259"/>
      <c r="O44" s="1062"/>
      <c r="P44" s="1259"/>
      <c r="Q44" s="332"/>
    </row>
    <row r="45" spans="1:17">
      <c r="A45" s="1258">
        <v>22</v>
      </c>
      <c r="B45" s="1259"/>
      <c r="C45" s="1259" t="s">
        <v>375</v>
      </c>
      <c r="D45" s="1259"/>
      <c r="E45" s="1264">
        <v>8573.1663445499998</v>
      </c>
      <c r="F45" s="1265"/>
      <c r="G45" s="1266">
        <v>9.2184584350000005</v>
      </c>
      <c r="H45" s="1266"/>
      <c r="I45" s="1264">
        <v>8314.9630153100006</v>
      </c>
      <c r="J45" s="1258"/>
      <c r="K45" s="1266">
        <v>8.9408204465698926</v>
      </c>
      <c r="L45" s="1266"/>
      <c r="M45" s="1267">
        <f>I45-E45</f>
        <v>-258.20332923999922</v>
      </c>
      <c r="N45" s="1266"/>
      <c r="O45" s="332">
        <f>M45/E45</f>
        <v>-3.0117615693312685E-2</v>
      </c>
      <c r="P45" s="84"/>
      <c r="Q45" s="332">
        <f>O45</f>
        <v>-3.0117615693312685E-2</v>
      </c>
    </row>
    <row r="46" spans="1:17">
      <c r="A46" s="1258">
        <f>A45+1</f>
        <v>23</v>
      </c>
      <c r="B46" s="1259"/>
      <c r="C46" s="1259" t="s">
        <v>376</v>
      </c>
      <c r="D46" s="1259"/>
      <c r="E46" s="1264">
        <v>14182.5</v>
      </c>
      <c r="F46" s="1265"/>
      <c r="G46" s="1266">
        <v>15.25</v>
      </c>
      <c r="H46" s="1266"/>
      <c r="I46" s="1264">
        <v>14182.5</v>
      </c>
      <c r="J46" s="1265"/>
      <c r="K46" s="1266">
        <v>15.25</v>
      </c>
      <c r="L46" s="1266"/>
      <c r="M46" s="1267">
        <f>I46-E46</f>
        <v>0</v>
      </c>
      <c r="N46" s="1266"/>
      <c r="O46" s="333">
        <f>IFERROR(M46/E46,"100.0%")</f>
        <v>0</v>
      </c>
      <c r="P46" s="84"/>
      <c r="Q46" s="333">
        <v>0</v>
      </c>
    </row>
    <row r="47" spans="1:17">
      <c r="A47" s="1258">
        <f>A46+1</f>
        <v>24</v>
      </c>
      <c r="B47" s="1259"/>
      <c r="C47" s="1259" t="s">
        <v>377</v>
      </c>
      <c r="D47" s="1259"/>
      <c r="E47" s="1264">
        <v>5721.3600000000006</v>
      </c>
      <c r="F47" s="1265"/>
      <c r="G47" s="1266">
        <v>6.1520000000000001</v>
      </c>
      <c r="H47" s="1266"/>
      <c r="I47" s="1264">
        <v>5767.2090000000007</v>
      </c>
      <c r="J47" s="1265"/>
      <c r="K47" s="1266">
        <v>6.2013000000000007</v>
      </c>
      <c r="L47" s="1266"/>
      <c r="M47" s="1267">
        <f>I47-E47</f>
        <v>45.84900000000016</v>
      </c>
      <c r="N47" s="1259"/>
      <c r="O47" s="332">
        <f>M47/E47</f>
        <v>8.0136540962288966E-3</v>
      </c>
      <c r="P47" s="84"/>
      <c r="Q47" s="332">
        <f>O47</f>
        <v>8.0136540962288966E-3</v>
      </c>
    </row>
    <row r="48" spans="1:17">
      <c r="A48" s="1258">
        <f>A47+1</f>
        <v>25</v>
      </c>
      <c r="B48" s="1259"/>
      <c r="C48" s="1259" t="s">
        <v>378</v>
      </c>
      <c r="D48" s="1259"/>
      <c r="E48" s="1264">
        <v>11705.166000000001</v>
      </c>
      <c r="F48" s="1265"/>
      <c r="G48" s="1266">
        <v>12.5862</v>
      </c>
      <c r="H48" s="1259"/>
      <c r="I48" s="1264">
        <v>11710.374000000003</v>
      </c>
      <c r="J48" s="1258"/>
      <c r="K48" s="1266">
        <v>12.591800000000003</v>
      </c>
      <c r="L48" s="1266"/>
      <c r="M48" s="1267">
        <f>I48-E48</f>
        <v>5.2080000000023574</v>
      </c>
      <c r="N48" s="1259"/>
      <c r="O48" s="332">
        <f>M48/E48</f>
        <v>4.4493175064773595E-4</v>
      </c>
      <c r="P48" s="84"/>
      <c r="Q48" s="332">
        <f>O48</f>
        <v>4.4493175064773595E-4</v>
      </c>
    </row>
    <row r="49" spans="1:17">
      <c r="A49" s="1258">
        <f>A48+1</f>
        <v>26</v>
      </c>
      <c r="B49" s="1259"/>
      <c r="C49" s="1259" t="s">
        <v>379</v>
      </c>
      <c r="D49" s="1259"/>
      <c r="E49" s="1268">
        <f>SUM(E45:E48)</f>
        <v>40182.19234455</v>
      </c>
      <c r="F49" s="1258"/>
      <c r="G49" s="1269">
        <v>43.206658435000001</v>
      </c>
      <c r="H49" s="1258"/>
      <c r="I49" s="1268">
        <f>SUM(I45:I48)</f>
        <v>39975.046015310007</v>
      </c>
      <c r="J49" s="1258"/>
      <c r="K49" s="1269">
        <v>42.983920446569904</v>
      </c>
      <c r="L49" s="1266"/>
      <c r="M49" s="1270">
        <f>SUM(M45:M48)</f>
        <v>-207.1463292399967</v>
      </c>
      <c r="N49" s="1259"/>
      <c r="O49" s="1271">
        <f>M49/E49</f>
        <v>-5.1551773846429368E-3</v>
      </c>
      <c r="P49" s="1063"/>
      <c r="Q49" s="1271">
        <f>(M45+M48+M47)/(E45+E48+E47)</f>
        <v>-7.9672607850461083E-3</v>
      </c>
    </row>
    <row r="50" spans="1:17">
      <c r="A50" s="1258"/>
      <c r="B50" s="1259"/>
      <c r="C50" s="1259"/>
      <c r="D50" s="1259"/>
      <c r="E50" s="1264"/>
      <c r="F50" s="1258"/>
      <c r="G50" s="1266"/>
      <c r="H50" s="1258"/>
      <c r="I50" s="1264"/>
      <c r="J50" s="1258"/>
      <c r="K50" s="1266"/>
      <c r="L50" s="1266"/>
      <c r="M50" s="1267"/>
      <c r="N50" s="1259"/>
      <c r="O50" s="1062"/>
      <c r="P50" s="1063"/>
      <c r="Q50" s="1062"/>
    </row>
    <row r="51" spans="1:17">
      <c r="A51" s="1258">
        <f>A49+1</f>
        <v>27</v>
      </c>
      <c r="B51" s="1259"/>
      <c r="C51" s="1259" t="s">
        <v>410</v>
      </c>
      <c r="D51" s="1259"/>
      <c r="E51" s="1268">
        <f>SUM(E45:E47)+I48</f>
        <v>40187.400344550006</v>
      </c>
      <c r="F51" s="1258"/>
      <c r="G51" s="1269">
        <v>43.21225843500001</v>
      </c>
      <c r="H51" s="1258"/>
      <c r="I51" s="1268">
        <f>SUM(I45:I48)</f>
        <v>39975.046015310007</v>
      </c>
      <c r="J51" s="1265"/>
      <c r="K51" s="1269">
        <v>42.983920446569904</v>
      </c>
      <c r="L51" s="1266"/>
      <c r="M51" s="1270">
        <f>M45+M46+M47</f>
        <v>-212.35432923999906</v>
      </c>
      <c r="N51" s="1259"/>
      <c r="O51" s="1271">
        <f>M51/E51</f>
        <v>-5.2841021668324304E-3</v>
      </c>
      <c r="P51" s="1063"/>
      <c r="Q51" s="1271">
        <f>(M51-M46)/(E51-E46)</f>
        <v>-8.1659351286267612E-3</v>
      </c>
    </row>
    <row r="52" spans="1:17">
      <c r="A52" s="1258">
        <f>A51+1</f>
        <v>28</v>
      </c>
      <c r="B52" s="1259"/>
      <c r="C52" s="1259" t="s">
        <v>411</v>
      </c>
      <c r="D52" s="1259"/>
      <c r="E52" s="1063"/>
      <c r="F52" s="1063"/>
      <c r="G52" s="1063"/>
      <c r="H52" s="1063"/>
      <c r="I52" s="1063"/>
      <c r="J52" s="1063"/>
      <c r="K52" s="1063"/>
      <c r="L52" s="1063"/>
      <c r="M52" s="1267"/>
      <c r="N52" s="1259"/>
      <c r="O52" s="334">
        <v>-7.4570401653134936E-3</v>
      </c>
      <c r="P52" s="1063"/>
      <c r="Q52" s="334">
        <v>-1.4855639432989193E-2</v>
      </c>
    </row>
    <row r="53" spans="1:17">
      <c r="A53" s="1258"/>
      <c r="B53" s="1259"/>
      <c r="C53" s="1259"/>
      <c r="D53" s="1259"/>
      <c r="E53" s="1259"/>
      <c r="F53" s="1259"/>
      <c r="G53" s="1259"/>
      <c r="H53" s="1259"/>
      <c r="I53" s="1259"/>
      <c r="J53" s="1259"/>
      <c r="K53" s="1259"/>
      <c r="L53" s="1259"/>
      <c r="M53" s="1267"/>
      <c r="N53" s="1259"/>
      <c r="O53" s="1062"/>
      <c r="P53" s="1259"/>
      <c r="Q53" s="1062"/>
    </row>
    <row r="54" spans="1:17">
      <c r="A54" s="1258"/>
      <c r="B54" s="1259"/>
      <c r="C54" s="1262" t="s">
        <v>434</v>
      </c>
      <c r="D54" s="1259"/>
      <c r="E54" s="1293" t="s">
        <v>435</v>
      </c>
      <c r="F54" s="1293"/>
      <c r="G54" s="1293"/>
      <c r="H54" s="1259"/>
      <c r="I54" s="1259"/>
      <c r="J54" s="1259"/>
      <c r="K54" s="1259"/>
      <c r="L54" s="1259"/>
      <c r="M54" s="1267"/>
      <c r="N54" s="1259"/>
      <c r="O54" s="1062"/>
      <c r="P54" s="1259"/>
      <c r="Q54" s="332"/>
    </row>
    <row r="55" spans="1:17">
      <c r="A55" s="1258">
        <v>29</v>
      </c>
      <c r="B55" s="1259"/>
      <c r="C55" s="1259" t="s">
        <v>375</v>
      </c>
      <c r="D55" s="1259"/>
      <c r="E55" s="1264">
        <v>19869.858037139998</v>
      </c>
      <c r="F55" s="1265"/>
      <c r="G55" s="1266">
        <v>7.9479432148560001</v>
      </c>
      <c r="H55" s="1266"/>
      <c r="I55" s="1264">
        <v>19188.359221900002</v>
      </c>
      <c r="J55" s="1258"/>
      <c r="K55" s="1266">
        <v>7.6753436887599999</v>
      </c>
      <c r="L55" s="1266"/>
      <c r="M55" s="1267">
        <f>I55-E55</f>
        <v>-681.49881523999647</v>
      </c>
      <c r="N55" s="1266"/>
      <c r="O55" s="332">
        <f>M55/E55</f>
        <v>-3.4298122008026642E-2</v>
      </c>
      <c r="P55" s="84"/>
      <c r="Q55" s="332">
        <f>O55</f>
        <v>-3.4298122008026642E-2</v>
      </c>
    </row>
    <row r="56" spans="1:17">
      <c r="A56" s="1258">
        <f>A55+1</f>
        <v>30</v>
      </c>
      <c r="B56" s="1259"/>
      <c r="C56" s="1259" t="s">
        <v>376</v>
      </c>
      <c r="D56" s="1259"/>
      <c r="E56" s="1264">
        <v>38125</v>
      </c>
      <c r="F56" s="1265"/>
      <c r="G56" s="1266">
        <v>15.25</v>
      </c>
      <c r="H56" s="1266"/>
      <c r="I56" s="1264">
        <v>38125</v>
      </c>
      <c r="J56" s="1265"/>
      <c r="K56" s="1266">
        <v>15.25</v>
      </c>
      <c r="L56" s="1266"/>
      <c r="M56" s="1267">
        <f>I56-E56</f>
        <v>0</v>
      </c>
      <c r="N56" s="1266"/>
      <c r="O56" s="333">
        <f>IFERROR(M56/E56,"100.0%")</f>
        <v>0</v>
      </c>
      <c r="P56" s="84"/>
      <c r="Q56" s="333">
        <v>0</v>
      </c>
    </row>
    <row r="57" spans="1:17">
      <c r="A57" s="1258">
        <f>A56+1</f>
        <v>31</v>
      </c>
      <c r="B57" s="1259"/>
      <c r="C57" s="1259" t="s">
        <v>377</v>
      </c>
      <c r="D57" s="1259"/>
      <c r="E57" s="1264">
        <v>15380</v>
      </c>
      <c r="F57" s="1265"/>
      <c r="G57" s="1266">
        <v>6.1520000000000001</v>
      </c>
      <c r="H57" s="1266"/>
      <c r="I57" s="1264">
        <v>15503.25</v>
      </c>
      <c r="J57" s="1265"/>
      <c r="K57" s="1266">
        <v>6.2012999999999998</v>
      </c>
      <c r="L57" s="1266"/>
      <c r="M57" s="1267">
        <f>I57-E57</f>
        <v>123.25</v>
      </c>
      <c r="N57" s="1259"/>
      <c r="O57" s="332">
        <f>M57/E57</f>
        <v>8.0136540962288689E-3</v>
      </c>
      <c r="P57" s="84"/>
      <c r="Q57" s="332">
        <f>O57</f>
        <v>8.0136540962288689E-3</v>
      </c>
    </row>
    <row r="58" spans="1:17">
      <c r="A58" s="1258">
        <f>A57+1</f>
        <v>32</v>
      </c>
      <c r="B58" s="1259"/>
      <c r="C58" s="1259" t="s">
        <v>378</v>
      </c>
      <c r="D58" s="1259"/>
      <c r="E58" s="1264">
        <v>31465.500000000004</v>
      </c>
      <c r="F58" s="1265"/>
      <c r="G58" s="1266">
        <v>12.5862</v>
      </c>
      <c r="H58" s="1259"/>
      <c r="I58" s="1264">
        <v>31479.500000000004</v>
      </c>
      <c r="J58" s="1258"/>
      <c r="K58" s="1266">
        <v>12.591800000000001</v>
      </c>
      <c r="L58" s="1266"/>
      <c r="M58" s="1267">
        <f>I58-E58</f>
        <v>14</v>
      </c>
      <c r="N58" s="1259"/>
      <c r="O58" s="332">
        <f>M58/E58</f>
        <v>4.4493175064753455E-4</v>
      </c>
      <c r="P58" s="84"/>
      <c r="Q58" s="332">
        <f>O58</f>
        <v>4.4493175064753455E-4</v>
      </c>
    </row>
    <row r="59" spans="1:17">
      <c r="A59" s="1258">
        <f>A58+1</f>
        <v>33</v>
      </c>
      <c r="B59" s="1259"/>
      <c r="C59" s="1259" t="s">
        <v>379</v>
      </c>
      <c r="D59" s="1259"/>
      <c r="E59" s="1268">
        <f>SUM(E55:E58)</f>
        <v>104840.35803714</v>
      </c>
      <c r="F59" s="1258"/>
      <c r="G59" s="1269">
        <v>41.936143214856003</v>
      </c>
      <c r="H59" s="1258"/>
      <c r="I59" s="1268">
        <f>SUM(I55:I58)</f>
        <v>104296.1092219</v>
      </c>
      <c r="J59" s="1258"/>
      <c r="K59" s="1269">
        <v>41.718443688759997</v>
      </c>
      <c r="L59" s="1266"/>
      <c r="M59" s="1270">
        <f>SUM(M55:M58)</f>
        <v>-544.24881523999647</v>
      </c>
      <c r="N59" s="1259"/>
      <c r="O59" s="1271">
        <f>M59/E59</f>
        <v>-5.1912147710063599E-3</v>
      </c>
      <c r="P59" s="1063"/>
      <c r="Q59" s="1271">
        <f>(M55+M58+M57)/(E55+E58+E57)</f>
        <v>-8.1577740306364947E-3</v>
      </c>
    </row>
    <row r="60" spans="1:17">
      <c r="A60" s="1258"/>
      <c r="B60" s="1259"/>
      <c r="C60" s="1259"/>
      <c r="D60" s="1259"/>
      <c r="E60" s="1264"/>
      <c r="F60" s="1258"/>
      <c r="G60" s="1266"/>
      <c r="H60" s="1258"/>
      <c r="I60" s="1264"/>
      <c r="J60" s="1258"/>
      <c r="K60" s="1266"/>
      <c r="L60" s="1266"/>
      <c r="M60" s="1267"/>
      <c r="N60" s="1259"/>
      <c r="O60" s="1062"/>
      <c r="P60" s="1063"/>
      <c r="Q60" s="1062"/>
    </row>
    <row r="61" spans="1:17">
      <c r="A61" s="1258">
        <f>A59+1</f>
        <v>34</v>
      </c>
      <c r="B61" s="1259"/>
      <c r="C61" s="1259" t="s">
        <v>410</v>
      </c>
      <c r="D61" s="1259"/>
      <c r="E61" s="1268">
        <f>SUM(E55:E57)+I58</f>
        <v>104854.35803714</v>
      </c>
      <c r="F61" s="1258"/>
      <c r="G61" s="1269">
        <v>41.941743214856004</v>
      </c>
      <c r="H61" s="1258"/>
      <c r="I61" s="1268">
        <f>SUM(I55:I58)</f>
        <v>104296.1092219</v>
      </c>
      <c r="J61" s="1265"/>
      <c r="K61" s="1269">
        <v>41.718443688759997</v>
      </c>
      <c r="L61" s="1266"/>
      <c r="M61" s="1270">
        <f>M55+M56+M57</f>
        <v>-558.24881523999647</v>
      </c>
      <c r="N61" s="1259"/>
      <c r="O61" s="1271">
        <f>M61/E61</f>
        <v>-5.3240401800205726E-3</v>
      </c>
      <c r="P61" s="1063"/>
      <c r="Q61" s="1271">
        <f>(M61-M56)/(E61-E56)</f>
        <v>-8.3658652152668427E-3</v>
      </c>
    </row>
    <row r="62" spans="1:17">
      <c r="A62" s="1258">
        <f>A61+1</f>
        <v>35</v>
      </c>
      <c r="B62" s="1259"/>
      <c r="C62" s="1259" t="s">
        <v>411</v>
      </c>
      <c r="D62" s="1259"/>
      <c r="E62" s="1063"/>
      <c r="F62" s="1063"/>
      <c r="G62" s="1063"/>
      <c r="H62" s="1063"/>
      <c r="I62" s="1063"/>
      <c r="J62" s="1063"/>
      <c r="K62" s="1063"/>
      <c r="L62" s="1063"/>
      <c r="M62" s="1267"/>
      <c r="N62" s="1259"/>
      <c r="O62" s="334">
        <v>-7.6081757453954311E-3</v>
      </c>
      <c r="P62" s="1063"/>
      <c r="Q62" s="334">
        <v>-1.5836909602637797E-2</v>
      </c>
    </row>
    <row r="63" spans="1:17">
      <c r="A63" s="1258"/>
      <c r="B63" s="1259"/>
      <c r="C63" s="1259"/>
      <c r="D63" s="1259"/>
      <c r="E63" s="1259"/>
      <c r="F63" s="1259"/>
      <c r="G63" s="1259"/>
      <c r="H63" s="1259"/>
      <c r="I63" s="1259"/>
      <c r="J63" s="1259"/>
      <c r="K63" s="1259"/>
      <c r="L63" s="1259"/>
      <c r="M63" s="1267"/>
      <c r="N63" s="1259"/>
      <c r="O63" s="1062"/>
      <c r="P63" s="1259"/>
      <c r="Q63" s="1062"/>
    </row>
    <row r="64" spans="1:17">
      <c r="A64" s="1258"/>
      <c r="B64" s="1259"/>
      <c r="C64" s="1262" t="s">
        <v>436</v>
      </c>
      <c r="D64" s="1259"/>
      <c r="E64" s="1259" t="s">
        <v>437</v>
      </c>
      <c r="F64" s="1259"/>
      <c r="G64" s="1259"/>
      <c r="H64" s="1259"/>
      <c r="I64" s="1259"/>
      <c r="J64" s="1259"/>
      <c r="K64" s="1259"/>
      <c r="L64" s="1259"/>
      <c r="M64" s="1267"/>
      <c r="N64" s="1259"/>
      <c r="O64" s="1062"/>
      <c r="P64" s="1259"/>
      <c r="Q64" s="1062"/>
    </row>
    <row r="65" spans="1:17">
      <c r="A65" s="1258">
        <v>36</v>
      </c>
      <c r="B65" s="1259"/>
      <c r="C65" s="1259" t="s">
        <v>375</v>
      </c>
      <c r="D65" s="1259"/>
      <c r="E65" s="1264">
        <v>94134.744000000006</v>
      </c>
      <c r="F65" s="1265"/>
      <c r="G65" s="1266">
        <v>3.1378248000000006</v>
      </c>
      <c r="H65" s="1266"/>
      <c r="I65" s="1264">
        <v>94570.638000000021</v>
      </c>
      <c r="J65" s="1258"/>
      <c r="K65" s="1266">
        <v>3.1523546000000007</v>
      </c>
      <c r="L65" s="1266"/>
      <c r="M65" s="1267">
        <f>I65-E65</f>
        <v>435.89400000001478</v>
      </c>
      <c r="N65" s="1266"/>
      <c r="O65" s="332">
        <f>M65/E65</f>
        <v>4.6305325906024113E-3</v>
      </c>
      <c r="P65" s="84"/>
      <c r="Q65" s="332">
        <f>O65</f>
        <v>4.6305325906024113E-3</v>
      </c>
    </row>
    <row r="66" spans="1:17">
      <c r="A66" s="1258">
        <f>A65+1</f>
        <v>37</v>
      </c>
      <c r="B66" s="1259"/>
      <c r="C66" s="1259" t="s">
        <v>376</v>
      </c>
      <c r="D66" s="1259"/>
      <c r="E66" s="1264">
        <v>457500</v>
      </c>
      <c r="F66" s="1265"/>
      <c r="G66" s="1266">
        <v>15.25</v>
      </c>
      <c r="H66" s="1266"/>
      <c r="I66" s="1264">
        <v>457500</v>
      </c>
      <c r="J66" s="1265"/>
      <c r="K66" s="1266">
        <v>15.25</v>
      </c>
      <c r="L66" s="1266"/>
      <c r="M66" s="1267">
        <f>I66-E66</f>
        <v>0</v>
      </c>
      <c r="N66" s="1266"/>
      <c r="O66" s="333">
        <f>IFERROR(M66/E66,"100.0%")</f>
        <v>0</v>
      </c>
      <c r="P66" s="84"/>
      <c r="Q66" s="333">
        <v>0</v>
      </c>
    </row>
    <row r="67" spans="1:17">
      <c r="A67" s="1258">
        <f>A66+1</f>
        <v>38</v>
      </c>
      <c r="B67" s="1259"/>
      <c r="C67" s="1259" t="s">
        <v>377</v>
      </c>
      <c r="D67" s="1259"/>
      <c r="E67" s="1264">
        <v>67530.539999999994</v>
      </c>
      <c r="F67" s="1265"/>
      <c r="G67" s="1266">
        <v>2.2510179999999997</v>
      </c>
      <c r="H67" s="1266"/>
      <c r="I67" s="1264">
        <v>67736.4856</v>
      </c>
      <c r="J67" s="1265"/>
      <c r="K67" s="1266">
        <v>2.2578828533333333</v>
      </c>
      <c r="L67" s="1266"/>
      <c r="M67" s="1267">
        <f>I67-E67</f>
        <v>205.94560000000638</v>
      </c>
      <c r="N67" s="1259"/>
      <c r="O67" s="332">
        <f>M67/E67</f>
        <v>3.0496661214319686E-3</v>
      </c>
      <c r="P67" s="84"/>
      <c r="Q67" s="332">
        <f>O67</f>
        <v>3.0496661214319686E-3</v>
      </c>
    </row>
    <row r="68" spans="1:17">
      <c r="A68" s="1258">
        <f>A67+1</f>
        <v>39</v>
      </c>
      <c r="B68" s="1259"/>
      <c r="C68" s="1259" t="s">
        <v>378</v>
      </c>
      <c r="D68" s="1259"/>
      <c r="E68" s="1264">
        <v>365451</v>
      </c>
      <c r="F68" s="1265"/>
      <c r="G68" s="1266">
        <v>12.181699999999999</v>
      </c>
      <c r="H68" s="1259"/>
      <c r="I68" s="1264">
        <v>365619.00000000006</v>
      </c>
      <c r="J68" s="1258"/>
      <c r="K68" s="1266">
        <v>12.187300000000002</v>
      </c>
      <c r="L68" s="1266"/>
      <c r="M68" s="1267">
        <f>I68-E68</f>
        <v>168.00000000005821</v>
      </c>
      <c r="N68" s="1259"/>
      <c r="O68" s="332">
        <f>M68/E68</f>
        <v>4.5970595237133899E-4</v>
      </c>
      <c r="P68" s="84"/>
      <c r="Q68" s="332">
        <f>O68</f>
        <v>4.5970595237133899E-4</v>
      </c>
    </row>
    <row r="69" spans="1:17">
      <c r="A69" s="1258">
        <f>A68+1</f>
        <v>40</v>
      </c>
      <c r="B69" s="1259"/>
      <c r="C69" s="1259" t="s">
        <v>379</v>
      </c>
      <c r="D69" s="1259"/>
      <c r="E69" s="1268">
        <f>SUM(E65:E68)</f>
        <v>984616.28399999999</v>
      </c>
      <c r="F69" s="1258"/>
      <c r="G69" s="1269">
        <v>32.820542800000005</v>
      </c>
      <c r="H69" s="1258"/>
      <c r="I69" s="1268">
        <f>SUM(I65:I68)</f>
        <v>985426.12360000005</v>
      </c>
      <c r="J69" s="1258"/>
      <c r="K69" s="1269">
        <v>32.847537453333338</v>
      </c>
      <c r="L69" s="1266"/>
      <c r="M69" s="1270">
        <f>SUM(M65:M68)</f>
        <v>809.83960000007937</v>
      </c>
      <c r="N69" s="1259"/>
      <c r="O69" s="1271">
        <f>M69/E69</f>
        <v>8.2249259245450318E-4</v>
      </c>
      <c r="P69" s="1063"/>
      <c r="Q69" s="1271">
        <f>(M65+M68+M67)/(E65+E68+E67)</f>
        <v>1.5363585314698406E-3</v>
      </c>
    </row>
    <row r="70" spans="1:17">
      <c r="A70" s="1258"/>
      <c r="B70" s="1259"/>
      <c r="C70" s="1259"/>
      <c r="D70" s="1259"/>
      <c r="E70" s="1264"/>
      <c r="F70" s="1258"/>
      <c r="G70" s="1266"/>
      <c r="H70" s="1258"/>
      <c r="I70" s="1264"/>
      <c r="J70" s="1258"/>
      <c r="K70" s="1266"/>
      <c r="L70" s="1266"/>
      <c r="M70" s="1267"/>
      <c r="N70" s="1259"/>
      <c r="O70" s="1062"/>
      <c r="P70" s="1063"/>
      <c r="Q70" s="1062"/>
    </row>
    <row r="71" spans="1:17">
      <c r="A71" s="1258">
        <f>A69+1</f>
        <v>41</v>
      </c>
      <c r="B71" s="1259"/>
      <c r="C71" s="1259" t="s">
        <v>410</v>
      </c>
      <c r="D71" s="1259"/>
      <c r="E71" s="1268">
        <f>SUM(E65:E67)+I68</f>
        <v>984784.28399999999</v>
      </c>
      <c r="F71" s="1258"/>
      <c r="G71" s="1269">
        <v>32.8261428</v>
      </c>
      <c r="H71" s="1258"/>
      <c r="I71" s="1268">
        <f>SUM(I65:I68)</f>
        <v>985426.12360000005</v>
      </c>
      <c r="J71" s="1265"/>
      <c r="K71" s="1269">
        <v>32.847537453333338</v>
      </c>
      <c r="L71" s="1266"/>
      <c r="M71" s="1270">
        <f>M65+M66+M67</f>
        <v>641.83960000002116</v>
      </c>
      <c r="N71" s="1259"/>
      <c r="O71" s="1271">
        <f>M71/E71</f>
        <v>6.5175654245109909E-4</v>
      </c>
      <c r="P71" s="1063"/>
      <c r="Q71" s="1271">
        <f>(M71-M66)/(E71-E66)</f>
        <v>1.2172553202818789E-3</v>
      </c>
    </row>
    <row r="72" spans="1:17">
      <c r="A72" s="1258">
        <f>A71+1</f>
        <v>42</v>
      </c>
      <c r="B72" s="1259"/>
      <c r="C72" s="1259" t="s">
        <v>411</v>
      </c>
      <c r="D72" s="1259"/>
      <c r="E72" s="1063"/>
      <c r="F72" s="1063"/>
      <c r="G72" s="1063"/>
      <c r="H72" s="1063"/>
      <c r="I72" s="1063"/>
      <c r="J72" s="1063"/>
      <c r="K72" s="1063"/>
      <c r="L72" s="1063"/>
      <c r="M72" s="1267"/>
      <c r="N72" s="1259"/>
      <c r="O72" s="334">
        <v>1.0366207805668991E-3</v>
      </c>
      <c r="P72" s="1063"/>
      <c r="Q72" s="334">
        <v>3.9701758109057335E-3</v>
      </c>
    </row>
    <row r="73" spans="1:17">
      <c r="A73" s="1258"/>
      <c r="B73" s="1259"/>
      <c r="C73" s="1259"/>
      <c r="D73" s="1259"/>
      <c r="E73" s="1259"/>
      <c r="F73" s="1259"/>
      <c r="G73" s="1259"/>
      <c r="H73" s="1259"/>
      <c r="I73" s="1259"/>
      <c r="J73" s="1259"/>
      <c r="K73" s="1259"/>
      <c r="L73" s="1259"/>
      <c r="M73" s="1267"/>
      <c r="N73" s="1259"/>
      <c r="O73" s="1062"/>
      <c r="P73" s="1259"/>
      <c r="Q73" s="1062"/>
    </row>
    <row r="77" spans="1:17">
      <c r="A77" s="1289" t="s">
        <v>438</v>
      </c>
      <c r="B77" s="1289"/>
      <c r="C77" s="1289"/>
      <c r="D77" s="1289"/>
      <c r="E77" s="1289"/>
      <c r="F77" s="1289"/>
      <c r="G77" s="1289"/>
      <c r="H77" s="1289"/>
      <c r="I77" s="1289"/>
      <c r="J77" s="1289"/>
      <c r="K77" s="1289"/>
      <c r="L77" s="1289"/>
      <c r="M77" s="1289"/>
      <c r="N77" s="1289"/>
      <c r="O77" s="1289"/>
      <c r="P77" s="1289"/>
      <c r="Q77" s="1289"/>
    </row>
    <row r="78" spans="1:17">
      <c r="A78" s="1289" t="s">
        <v>425</v>
      </c>
      <c r="B78" s="1289"/>
      <c r="C78" s="1289"/>
      <c r="D78" s="1289"/>
      <c r="E78" s="1289"/>
      <c r="F78" s="1289"/>
      <c r="G78" s="1289"/>
      <c r="H78" s="1289"/>
      <c r="I78" s="1289"/>
      <c r="J78" s="1289"/>
      <c r="K78" s="1289"/>
      <c r="L78" s="1289"/>
      <c r="M78" s="1289"/>
      <c r="N78" s="1289"/>
      <c r="O78" s="1289"/>
      <c r="P78" s="1289"/>
      <c r="Q78" s="1289"/>
    </row>
    <row r="79" spans="1:17">
      <c r="A79" s="1257"/>
      <c r="B79" s="1257"/>
      <c r="C79" s="1257"/>
      <c r="D79" s="1257"/>
      <c r="E79" s="1257"/>
      <c r="F79" s="1257"/>
      <c r="G79" s="1257"/>
      <c r="H79" s="1257"/>
      <c r="I79" s="1257"/>
      <c r="J79" s="1257"/>
      <c r="K79" s="1257"/>
      <c r="L79" s="1257"/>
      <c r="M79" s="1257"/>
      <c r="N79" s="1257"/>
      <c r="O79" s="1257"/>
      <c r="P79" s="1257"/>
      <c r="Q79" s="1257"/>
    </row>
    <row r="80" spans="1:17">
      <c r="A80" s="1258"/>
      <c r="B80" s="1259"/>
      <c r="C80" s="1259"/>
      <c r="D80" s="1259"/>
      <c r="E80" s="93"/>
      <c r="F80" s="93"/>
      <c r="G80" s="93"/>
      <c r="H80" s="93"/>
      <c r="I80" s="93"/>
      <c r="J80" s="93"/>
      <c r="K80" s="93"/>
      <c r="L80" s="93"/>
      <c r="M80" s="93"/>
      <c r="N80" s="93"/>
      <c r="O80" s="93"/>
      <c r="P80" s="94"/>
      <c r="Q80" s="94"/>
    </row>
    <row r="81" spans="1:17">
      <c r="A81" s="1258"/>
      <c r="B81" s="1259"/>
      <c r="C81" s="1259"/>
      <c r="D81" s="1259"/>
      <c r="E81" s="1290" t="s">
        <v>361</v>
      </c>
      <c r="F81" s="1290"/>
      <c r="G81" s="1290"/>
      <c r="H81" s="1259"/>
      <c r="I81" s="1290" t="s">
        <v>362</v>
      </c>
      <c r="J81" s="1290"/>
      <c r="K81" s="1290"/>
      <c r="L81" s="1290"/>
      <c r="M81" s="1290"/>
      <c r="N81" s="1259"/>
      <c r="O81" s="1290" t="s">
        <v>363</v>
      </c>
      <c r="P81" s="1290"/>
      <c r="Q81" s="1290"/>
    </row>
    <row r="82" spans="1:17">
      <c r="A82" s="1258"/>
      <c r="B82" s="1259"/>
      <c r="C82" s="1259"/>
      <c r="D82" s="1259"/>
      <c r="E82" s="1258"/>
      <c r="F82" s="1258"/>
      <c r="G82" s="1258"/>
      <c r="H82" s="1259"/>
      <c r="I82" s="1258"/>
      <c r="J82" s="1258"/>
      <c r="K82" s="1258"/>
      <c r="L82" s="1258"/>
      <c r="M82" s="1258" t="s">
        <v>364</v>
      </c>
      <c r="N82" s="1259"/>
      <c r="O82" s="1258" t="s">
        <v>365</v>
      </c>
      <c r="P82" s="1258"/>
      <c r="Q82" s="1258" t="s">
        <v>366</v>
      </c>
    </row>
    <row r="83" spans="1:17">
      <c r="A83" s="1258" t="s">
        <v>1</v>
      </c>
      <c r="B83" s="1259"/>
      <c r="C83" s="1259"/>
      <c r="D83" s="1259"/>
      <c r="E83" s="1258" t="s">
        <v>364</v>
      </c>
      <c r="F83" s="1258"/>
      <c r="G83" s="1258" t="s">
        <v>109</v>
      </c>
      <c r="H83" s="1259"/>
      <c r="I83" s="1258" t="s">
        <v>364</v>
      </c>
      <c r="J83" s="1258"/>
      <c r="K83" s="1258" t="s">
        <v>109</v>
      </c>
      <c r="L83" s="1258"/>
      <c r="M83" s="1258" t="s">
        <v>367</v>
      </c>
      <c r="N83" s="1259"/>
      <c r="O83" s="1258" t="s">
        <v>368</v>
      </c>
      <c r="P83" s="1259"/>
      <c r="Q83" s="1258" t="s">
        <v>368</v>
      </c>
    </row>
    <row r="84" spans="1:17">
      <c r="A84" s="1260" t="s">
        <v>2</v>
      </c>
      <c r="B84" s="1259"/>
      <c r="C84" s="1261" t="s">
        <v>3</v>
      </c>
      <c r="D84" s="1259"/>
      <c r="E84" s="1260" t="s">
        <v>369</v>
      </c>
      <c r="F84" s="1258"/>
      <c r="G84" s="1260" t="s">
        <v>77</v>
      </c>
      <c r="H84" s="1259"/>
      <c r="I84" s="1260" t="s">
        <v>369</v>
      </c>
      <c r="J84" s="1258"/>
      <c r="K84" s="1260" t="s">
        <v>77</v>
      </c>
      <c r="L84" s="1258"/>
      <c r="M84" s="1260" t="s">
        <v>369</v>
      </c>
      <c r="N84" s="1259"/>
      <c r="O84" s="1260" t="s">
        <v>76</v>
      </c>
      <c r="P84" s="1258"/>
      <c r="Q84" s="1260" t="s">
        <v>76</v>
      </c>
    </row>
    <row r="85" spans="1:17">
      <c r="A85" s="1258"/>
      <c r="B85" s="1259"/>
      <c r="C85" s="1259"/>
      <c r="D85" s="1259"/>
      <c r="E85" s="1258" t="s">
        <v>8</v>
      </c>
      <c r="F85" s="1258"/>
      <c r="G85" s="1258" t="s">
        <v>9</v>
      </c>
      <c r="H85" s="1258"/>
      <c r="I85" s="1258" t="s">
        <v>370</v>
      </c>
      <c r="J85" s="1258"/>
      <c r="K85" s="1258" t="s">
        <v>79</v>
      </c>
      <c r="L85" s="1258"/>
      <c r="M85" s="1258" t="s">
        <v>371</v>
      </c>
      <c r="N85" s="1258"/>
      <c r="O85" s="1258" t="s">
        <v>372</v>
      </c>
      <c r="P85" s="1258"/>
      <c r="Q85" s="1258" t="s">
        <v>82</v>
      </c>
    </row>
    <row r="86" spans="1:17">
      <c r="A86" s="1258"/>
      <c r="B86" s="1259"/>
      <c r="C86" s="1259"/>
      <c r="D86" s="1259"/>
      <c r="E86" s="1258"/>
      <c r="F86" s="1258"/>
      <c r="G86" s="1258"/>
      <c r="H86" s="1258"/>
      <c r="I86" s="1258"/>
      <c r="J86" s="1258"/>
      <c r="K86" s="1258"/>
      <c r="L86" s="1258"/>
      <c r="M86" s="1258"/>
      <c r="N86" s="1258"/>
      <c r="O86" s="1258"/>
      <c r="P86" s="1258"/>
      <c r="Q86" s="1258"/>
    </row>
    <row r="87" spans="1:17">
      <c r="A87" s="1258"/>
      <c r="B87" s="1259"/>
      <c r="C87" s="1262" t="s">
        <v>439</v>
      </c>
      <c r="D87" s="1259"/>
      <c r="E87" s="1259" t="s">
        <v>440</v>
      </c>
      <c r="F87" s="1259"/>
      <c r="G87" s="1259"/>
      <c r="H87" s="1259"/>
      <c r="I87" s="1259"/>
      <c r="J87" s="1259"/>
      <c r="K87" s="1259"/>
      <c r="L87" s="1259"/>
      <c r="M87" s="1267"/>
      <c r="N87" s="1259"/>
      <c r="O87" s="1062"/>
      <c r="P87" s="1259"/>
      <c r="Q87" s="1062"/>
    </row>
    <row r="88" spans="1:17">
      <c r="A88" s="1258">
        <f>A72+1</f>
        <v>43</v>
      </c>
      <c r="B88" s="1259"/>
      <c r="C88" s="1259" t="s">
        <v>375</v>
      </c>
      <c r="D88" s="1259"/>
      <c r="E88" s="1264">
        <v>366512.13600000006</v>
      </c>
      <c r="F88" s="1265"/>
      <c r="G88" s="1266">
        <v>2.4434142400000005</v>
      </c>
      <c r="H88" s="1266"/>
      <c r="I88" s="1264">
        <v>367084.54200000007</v>
      </c>
      <c r="J88" s="1258"/>
      <c r="K88" s="1266">
        <v>2.4472302800000003</v>
      </c>
      <c r="L88" s="1266"/>
      <c r="M88" s="1267">
        <f>I88-E88</f>
        <v>572.40600000001723</v>
      </c>
      <c r="N88" s="1266"/>
      <c r="O88" s="332">
        <f>M88/E88</f>
        <v>1.5617654745271987E-3</v>
      </c>
      <c r="P88" s="84"/>
      <c r="Q88" s="332">
        <f>O88</f>
        <v>1.5617654745271987E-3</v>
      </c>
    </row>
    <row r="89" spans="1:17">
      <c r="A89" s="1258">
        <f>A88+1</f>
        <v>44</v>
      </c>
      <c r="B89" s="1259"/>
      <c r="C89" s="1259" t="s">
        <v>376</v>
      </c>
      <c r="D89" s="1259"/>
      <c r="E89" s="1264">
        <v>2287500</v>
      </c>
      <c r="F89" s="1265"/>
      <c r="G89" s="1266">
        <v>15.25</v>
      </c>
      <c r="H89" s="1266"/>
      <c r="I89" s="1264">
        <v>2287500</v>
      </c>
      <c r="J89" s="1265"/>
      <c r="K89" s="1266">
        <v>15.25</v>
      </c>
      <c r="L89" s="1266"/>
      <c r="M89" s="1267">
        <f>I89-E89</f>
        <v>0</v>
      </c>
      <c r="N89" s="1266"/>
      <c r="O89" s="333">
        <f>IFERROR(M89/E89,"100.0%")</f>
        <v>0</v>
      </c>
      <c r="P89" s="84"/>
      <c r="Q89" s="333">
        <v>0</v>
      </c>
    </row>
    <row r="90" spans="1:17">
      <c r="A90" s="1258">
        <f>A89+1</f>
        <v>45</v>
      </c>
      <c r="B90" s="1259"/>
      <c r="C90" s="1259" t="s">
        <v>377</v>
      </c>
      <c r="D90" s="1259"/>
      <c r="E90" s="1264">
        <v>289416.59999999998</v>
      </c>
      <c r="F90" s="1265"/>
      <c r="G90" s="1266">
        <v>1.9294439999999999</v>
      </c>
      <c r="H90" s="1266"/>
      <c r="I90" s="1264">
        <v>290299.22399999999</v>
      </c>
      <c r="J90" s="1265"/>
      <c r="K90" s="1266">
        <v>1.9353281599999999</v>
      </c>
      <c r="L90" s="1266"/>
      <c r="M90" s="1267">
        <f>I90-E90</f>
        <v>882.62400000001071</v>
      </c>
      <c r="N90" s="1259"/>
      <c r="O90" s="332">
        <f>M90/E90</f>
        <v>3.0496661214319109E-3</v>
      </c>
      <c r="P90" s="84"/>
      <c r="Q90" s="332">
        <f>O90</f>
        <v>3.0496661214319109E-3</v>
      </c>
    </row>
    <row r="91" spans="1:17">
      <c r="A91" s="1258">
        <f>A90+1</f>
        <v>46</v>
      </c>
      <c r="B91" s="1259"/>
      <c r="C91" s="1259" t="s">
        <v>378</v>
      </c>
      <c r="D91" s="1259"/>
      <c r="E91" s="1264">
        <v>1827255.0000000002</v>
      </c>
      <c r="F91" s="1265"/>
      <c r="G91" s="1266">
        <v>12.181700000000001</v>
      </c>
      <c r="H91" s="1259"/>
      <c r="I91" s="1264">
        <v>1828095.0000000002</v>
      </c>
      <c r="J91" s="1258"/>
      <c r="K91" s="1266">
        <v>12.1873</v>
      </c>
      <c r="L91" s="1266"/>
      <c r="M91" s="1267">
        <f>I91-E91</f>
        <v>840</v>
      </c>
      <c r="N91" s="1259"/>
      <c r="O91" s="332">
        <f>M91/E91</f>
        <v>4.5970595237117967E-4</v>
      </c>
      <c r="P91" s="84"/>
      <c r="Q91" s="332">
        <f>O91</f>
        <v>4.5970595237117967E-4</v>
      </c>
    </row>
    <row r="92" spans="1:17">
      <c r="A92" s="1258">
        <f>A91+1</f>
        <v>47</v>
      </c>
      <c r="B92" s="1259"/>
      <c r="C92" s="1259" t="s">
        <v>379</v>
      </c>
      <c r="D92" s="1259"/>
      <c r="E92" s="1268">
        <f>SUM(E88:E91)</f>
        <v>4770683.7360000005</v>
      </c>
      <c r="F92" s="1258"/>
      <c r="G92" s="1269">
        <v>31.804558240000002</v>
      </c>
      <c r="H92" s="1258"/>
      <c r="I92" s="1268">
        <f>SUM(I88:I91)</f>
        <v>4772978.7659999998</v>
      </c>
      <c r="J92" s="1258"/>
      <c r="K92" s="1269">
        <v>31.819858439999997</v>
      </c>
      <c r="L92" s="1266"/>
      <c r="M92" s="1270">
        <f>SUM(M88:M91)</f>
        <v>2295.0300000000279</v>
      </c>
      <c r="N92" s="1259"/>
      <c r="O92" s="1271">
        <f>M92/E92</f>
        <v>4.8106940786737316E-4</v>
      </c>
      <c r="P92" s="1063"/>
      <c r="Q92" s="1271">
        <f>(M88+M91+M90)/(E88+E91+E90)</f>
        <v>9.2422883040340091E-4</v>
      </c>
    </row>
    <row r="93" spans="1:17">
      <c r="A93" s="1258"/>
      <c r="B93" s="1259"/>
      <c r="C93" s="1259"/>
      <c r="D93" s="1259"/>
      <c r="E93" s="1264"/>
      <c r="F93" s="1258"/>
      <c r="G93" s="1266"/>
      <c r="H93" s="1258"/>
      <c r="I93" s="1264"/>
      <c r="J93" s="1258"/>
      <c r="K93" s="1266"/>
      <c r="L93" s="1266"/>
      <c r="M93" s="1267"/>
      <c r="N93" s="1259"/>
      <c r="O93" s="1062"/>
      <c r="P93" s="1063"/>
      <c r="Q93" s="1062"/>
    </row>
    <row r="94" spans="1:17">
      <c r="A94" s="1258">
        <f>A92+1</f>
        <v>48</v>
      </c>
      <c r="B94" s="1259"/>
      <c r="C94" s="1259" t="s">
        <v>410</v>
      </c>
      <c r="D94" s="1259"/>
      <c r="E94" s="1268">
        <f>SUM(E88:E90)+I91</f>
        <v>4771523.7360000005</v>
      </c>
      <c r="F94" s="1258"/>
      <c r="G94" s="1269">
        <v>31.810158240000003</v>
      </c>
      <c r="H94" s="1258"/>
      <c r="I94" s="1268">
        <f>SUM(I88:I91)</f>
        <v>4772978.7659999998</v>
      </c>
      <c r="J94" s="1265"/>
      <c r="K94" s="1269">
        <v>31.819858439999997</v>
      </c>
      <c r="L94" s="1266"/>
      <c r="M94" s="1270">
        <f>M88+M89+M90</f>
        <v>1455.0300000000279</v>
      </c>
      <c r="N94" s="1259"/>
      <c r="O94" s="1271">
        <f>M94/E94</f>
        <v>3.0494032525127688E-4</v>
      </c>
      <c r="P94" s="1063"/>
      <c r="Q94" s="1271">
        <f>(M94-M89)/(E94-E89)</f>
        <v>5.8575527234818164E-4</v>
      </c>
    </row>
    <row r="95" spans="1:17">
      <c r="A95" s="1258">
        <f>A94+1</f>
        <v>49</v>
      </c>
      <c r="B95" s="1259"/>
      <c r="C95" s="1259" t="s">
        <v>411</v>
      </c>
      <c r="D95" s="1259"/>
      <c r="E95" s="1063"/>
      <c r="F95" s="1063"/>
      <c r="G95" s="1063"/>
      <c r="H95" s="1063"/>
      <c r="I95" s="1063"/>
      <c r="J95" s="1063"/>
      <c r="K95" s="1063"/>
      <c r="L95" s="1063"/>
      <c r="M95" s="1267"/>
      <c r="N95" s="1259"/>
      <c r="O95" s="334">
        <v>4.9433165552951563E-4</v>
      </c>
      <c r="P95" s="1063"/>
      <c r="Q95" s="334">
        <v>2.2182745169439105E-3</v>
      </c>
    </row>
    <row r="96" spans="1:17">
      <c r="A96" s="1258"/>
      <c r="B96" s="1259"/>
      <c r="C96" s="1259"/>
      <c r="D96" s="1259"/>
      <c r="E96" s="1259"/>
      <c r="F96" s="1259"/>
      <c r="G96" s="1259"/>
      <c r="H96" s="1259"/>
      <c r="I96" s="1259"/>
      <c r="J96" s="1259"/>
      <c r="K96" s="1259"/>
      <c r="L96" s="1259"/>
      <c r="M96" s="1267"/>
      <c r="N96" s="1259"/>
      <c r="O96" s="1062"/>
      <c r="P96" s="1259"/>
      <c r="Q96" s="1062"/>
    </row>
    <row r="97" spans="1:17">
      <c r="A97" s="1258"/>
      <c r="B97" s="1259"/>
      <c r="C97" s="1262" t="s">
        <v>441</v>
      </c>
      <c r="D97" s="1259"/>
      <c r="E97" s="1293" t="s">
        <v>442</v>
      </c>
      <c r="F97" s="1293"/>
      <c r="G97" s="1293"/>
      <c r="H97" s="1259"/>
      <c r="I97" s="1259"/>
      <c r="J97" s="1259"/>
      <c r="K97" s="1259"/>
      <c r="L97" s="1259"/>
      <c r="M97" s="1267"/>
      <c r="N97" s="1259"/>
      <c r="O97" s="1062"/>
      <c r="P97" s="1259"/>
      <c r="Q97" s="1062"/>
    </row>
    <row r="98" spans="1:17">
      <c r="A98" s="1258">
        <f>A95+1</f>
        <v>50</v>
      </c>
      <c r="B98" s="1259"/>
      <c r="C98" s="1259" t="s">
        <v>375</v>
      </c>
      <c r="D98" s="1259"/>
      <c r="E98" s="1264">
        <v>78981.295000000013</v>
      </c>
      <c r="F98" s="1265"/>
      <c r="G98" s="1266">
        <v>3.471705274725275</v>
      </c>
      <c r="H98" s="1266"/>
      <c r="I98" s="1264">
        <v>81675.753584927879</v>
      </c>
      <c r="J98" s="1258"/>
      <c r="K98" s="1266">
        <v>3.5901430147221047</v>
      </c>
      <c r="L98" s="1266"/>
      <c r="M98" s="1267">
        <v>2694.4585849278665</v>
      </c>
      <c r="N98" s="1266"/>
      <c r="O98" s="332">
        <v>3.4115148212344022E-2</v>
      </c>
      <c r="P98" s="84"/>
      <c r="Q98" s="332">
        <v>3.4115148212344022E-2</v>
      </c>
    </row>
    <row r="99" spans="1:17">
      <c r="A99" s="1258">
        <f>A98+1</f>
        <v>51</v>
      </c>
      <c r="B99" s="1259"/>
      <c r="C99" s="1259" t="s">
        <v>376</v>
      </c>
      <c r="D99" s="1259"/>
      <c r="E99" s="1264">
        <v>346937.5</v>
      </c>
      <c r="F99" s="1265"/>
      <c r="G99" s="1266">
        <v>15.25</v>
      </c>
      <c r="H99" s="1266"/>
      <c r="I99" s="1264">
        <v>346937.5</v>
      </c>
      <c r="J99" s="1265"/>
      <c r="K99" s="1266">
        <v>15.25</v>
      </c>
      <c r="L99" s="1266"/>
      <c r="M99" s="1267">
        <f>I99-E99</f>
        <v>0</v>
      </c>
      <c r="N99" s="1266"/>
      <c r="O99" s="333">
        <f>IFERROR(M99/E99,"100.0%")</f>
        <v>0</v>
      </c>
      <c r="P99" s="84"/>
      <c r="Q99" s="333">
        <v>0</v>
      </c>
    </row>
    <row r="100" spans="1:17">
      <c r="A100" s="1258">
        <f>A99+1</f>
        <v>52</v>
      </c>
      <c r="B100" s="1259"/>
      <c r="C100" s="1259" t="s">
        <v>377</v>
      </c>
      <c r="D100" s="1259"/>
      <c r="E100" s="1264">
        <v>20254.324999999997</v>
      </c>
      <c r="F100" s="1265"/>
      <c r="G100" s="1266">
        <v>0.89029999999999998</v>
      </c>
      <c r="H100" s="1266"/>
      <c r="I100" s="1264">
        <v>20315.087974999995</v>
      </c>
      <c r="J100" s="1265"/>
      <c r="K100" s="1266">
        <v>0.89297089999999979</v>
      </c>
      <c r="L100" s="1266"/>
      <c r="M100" s="1267">
        <v>60.762974999997823</v>
      </c>
      <c r="N100" s="1259"/>
      <c r="O100" s="332">
        <f>M100/E100</f>
        <v>2.9999999999998929E-3</v>
      </c>
      <c r="P100" s="84"/>
      <c r="Q100" s="332">
        <f>O100</f>
        <v>2.9999999999998929E-3</v>
      </c>
    </row>
    <row r="101" spans="1:17">
      <c r="A101" s="1258">
        <f>A100+1</f>
        <v>53</v>
      </c>
      <c r="B101" s="1259"/>
      <c r="C101" s="1259" t="s">
        <v>378</v>
      </c>
      <c r="D101" s="1259"/>
      <c r="E101" s="1264">
        <v>277133.67500000005</v>
      </c>
      <c r="F101" s="1265"/>
      <c r="G101" s="1266">
        <v>12.181700000000003</v>
      </c>
      <c r="H101" s="1259"/>
      <c r="I101" s="1264">
        <v>277261.07500000001</v>
      </c>
      <c r="J101" s="1258"/>
      <c r="K101" s="1266">
        <v>12.1873</v>
      </c>
      <c r="L101" s="1266"/>
      <c r="M101" s="1267">
        <f>I101-E101</f>
        <v>127.39999999996508</v>
      </c>
      <c r="N101" s="1259"/>
      <c r="O101" s="332">
        <f>M101/E101</f>
        <v>4.5970595237105363E-4</v>
      </c>
      <c r="P101" s="84"/>
      <c r="Q101" s="332">
        <f>O101</f>
        <v>4.5970595237105363E-4</v>
      </c>
    </row>
    <row r="102" spans="1:17">
      <c r="A102" s="1258">
        <f>A101+1</f>
        <v>54</v>
      </c>
      <c r="B102" s="1259"/>
      <c r="C102" s="1259" t="s">
        <v>379</v>
      </c>
      <c r="D102" s="1259"/>
      <c r="E102" s="1268">
        <f>SUM(E98:E101)</f>
        <v>723306.79500000016</v>
      </c>
      <c r="F102" s="1258"/>
      <c r="G102" s="1269">
        <v>31.79370527472528</v>
      </c>
      <c r="H102" s="1258"/>
      <c r="I102" s="1268">
        <f>SUM(I98:I101)</f>
        <v>726189.41655992786</v>
      </c>
      <c r="J102" s="1258"/>
      <c r="K102" s="1269">
        <v>31.920413914722108</v>
      </c>
      <c r="L102" s="1266"/>
      <c r="M102" s="1270">
        <f>SUM(M98:M101)</f>
        <v>2882.6215599278294</v>
      </c>
      <c r="N102" s="1259"/>
      <c r="O102" s="1271">
        <v>3.9853373144763957E-3</v>
      </c>
      <c r="P102" s="1063"/>
      <c r="Q102" s="1271">
        <v>7.6590242568215575E-3</v>
      </c>
    </row>
    <row r="103" spans="1:17">
      <c r="A103" s="1258"/>
      <c r="B103" s="1259"/>
      <c r="C103" s="1259"/>
      <c r="D103" s="1259"/>
      <c r="E103" s="1264"/>
      <c r="F103" s="1258"/>
      <c r="G103" s="1266"/>
      <c r="H103" s="1258"/>
      <c r="I103" s="1264"/>
      <c r="J103" s="1258"/>
      <c r="K103" s="1266"/>
      <c r="L103" s="1266"/>
      <c r="M103" s="1267"/>
      <c r="N103" s="1259"/>
      <c r="O103" s="1062"/>
      <c r="P103" s="1063"/>
      <c r="Q103" s="1062"/>
    </row>
    <row r="104" spans="1:17">
      <c r="A104" s="1258">
        <f>A102+1</f>
        <v>55</v>
      </c>
      <c r="B104" s="1259"/>
      <c r="C104" s="1259" t="s">
        <v>410</v>
      </c>
      <c r="D104" s="1259"/>
      <c r="E104" s="1268">
        <f>SUM(E98:E100)+I101</f>
        <v>723434.19500000007</v>
      </c>
      <c r="F104" s="1258"/>
      <c r="G104" s="1269">
        <v>31.799305274725278</v>
      </c>
      <c r="H104" s="1258"/>
      <c r="I104" s="1268">
        <f>SUM(I98:I101)</f>
        <v>726189.41655992786</v>
      </c>
      <c r="J104" s="1265"/>
      <c r="K104" s="1269">
        <v>31.920413914722108</v>
      </c>
      <c r="L104" s="1266"/>
      <c r="M104" s="1270">
        <f>M98+M99+M100</f>
        <v>2755.2215599278643</v>
      </c>
      <c r="N104" s="1259"/>
      <c r="O104" s="1271">
        <v>3.8085310025023963E-3</v>
      </c>
      <c r="P104" s="1063"/>
      <c r="Q104" s="1271">
        <v>7.318049790391557E-3</v>
      </c>
    </row>
    <row r="105" spans="1:17">
      <c r="A105" s="1258">
        <f>A104+1</f>
        <v>56</v>
      </c>
      <c r="B105" s="1259"/>
      <c r="C105" s="1259" t="s">
        <v>411</v>
      </c>
      <c r="D105" s="1259"/>
      <c r="E105" s="1063"/>
      <c r="F105" s="1063"/>
      <c r="G105" s="1063"/>
      <c r="H105" s="1063"/>
      <c r="I105" s="1063"/>
      <c r="J105" s="1063"/>
      <c r="K105" s="1063"/>
      <c r="L105" s="1063"/>
      <c r="M105" s="1267"/>
      <c r="N105" s="1259"/>
      <c r="O105" s="334">
        <v>6.1752298299096514E-3</v>
      </c>
      <c r="P105" s="1063"/>
      <c r="Q105" s="334">
        <v>2.7764441436732682E-2</v>
      </c>
    </row>
    <row r="106" spans="1:17">
      <c r="A106" s="1258"/>
      <c r="B106" s="1259"/>
      <c r="C106" s="1259"/>
      <c r="D106" s="1259"/>
      <c r="E106" s="1259"/>
      <c r="F106" s="1259"/>
      <c r="G106" s="1259"/>
      <c r="H106" s="1259"/>
      <c r="I106" s="1259"/>
      <c r="J106" s="1259"/>
      <c r="K106" s="1259"/>
      <c r="L106" s="1259"/>
      <c r="M106" s="1267"/>
      <c r="N106" s="1259"/>
      <c r="O106" s="1062"/>
      <c r="P106" s="1259"/>
      <c r="Q106" s="1062"/>
    </row>
    <row r="107" spans="1:17">
      <c r="A107" s="1258"/>
      <c r="B107" s="1259"/>
      <c r="C107" s="1262" t="s">
        <v>391</v>
      </c>
      <c r="D107" s="1259"/>
      <c r="E107" s="1259" t="s">
        <v>443</v>
      </c>
      <c r="F107" s="1259"/>
      <c r="G107" s="1259"/>
      <c r="H107" s="1259"/>
      <c r="I107" s="1259"/>
      <c r="J107" s="1259"/>
      <c r="K107" s="1259"/>
      <c r="L107" s="1259"/>
      <c r="M107" s="1267"/>
      <c r="N107" s="1259"/>
      <c r="O107" s="1062"/>
      <c r="P107" s="1259"/>
      <c r="Q107" s="1062"/>
    </row>
    <row r="108" spans="1:17">
      <c r="A108" s="1258">
        <f>A105+1</f>
        <v>57</v>
      </c>
      <c r="B108" s="1259"/>
      <c r="C108" s="1259" t="s">
        <v>375</v>
      </c>
      <c r="D108" s="1259"/>
      <c r="E108" s="1264">
        <v>340084.31999999995</v>
      </c>
      <c r="F108" s="1265"/>
      <c r="G108" s="1266">
        <v>1.2595715555555553</v>
      </c>
      <c r="H108" s="1266"/>
      <c r="I108" s="1264">
        <v>339423.20159999997</v>
      </c>
      <c r="J108" s="1258"/>
      <c r="K108" s="1266">
        <v>1.2571229688888887</v>
      </c>
      <c r="L108" s="1266"/>
      <c r="M108" s="1267">
        <f>I108-E108</f>
        <v>-661.11839999997756</v>
      </c>
      <c r="N108" s="1266"/>
      <c r="O108" s="332">
        <f>M108/E108</f>
        <v>-1.9439837743768301E-3</v>
      </c>
      <c r="P108" s="84"/>
      <c r="Q108" s="332">
        <f>O108</f>
        <v>-1.9439837743768301E-3</v>
      </c>
    </row>
    <row r="109" spans="1:17">
      <c r="A109" s="1258">
        <f>A108+1</f>
        <v>58</v>
      </c>
      <c r="B109" s="1259"/>
      <c r="C109" s="1259" t="s">
        <v>376</v>
      </c>
      <c r="D109" s="1259"/>
      <c r="E109" s="1264">
        <v>4117500</v>
      </c>
      <c r="F109" s="1265"/>
      <c r="G109" s="1266">
        <v>15.25</v>
      </c>
      <c r="H109" s="1266"/>
      <c r="I109" s="1264">
        <v>4117500</v>
      </c>
      <c r="J109" s="1265"/>
      <c r="K109" s="1266">
        <v>15.25</v>
      </c>
      <c r="L109" s="1266"/>
      <c r="M109" s="1267">
        <f>I109-E109</f>
        <v>0</v>
      </c>
      <c r="N109" s="1266"/>
      <c r="O109" s="333">
        <f>IFERROR(M109/E109,"100.0%")</f>
        <v>0</v>
      </c>
      <c r="P109" s="84"/>
      <c r="Q109" s="333">
        <v>0</v>
      </c>
    </row>
    <row r="110" spans="1:17">
      <c r="A110" s="1258">
        <f>A109+1</f>
        <v>59</v>
      </c>
      <c r="B110" s="1259"/>
      <c r="C110" s="1259" t="s">
        <v>377</v>
      </c>
      <c r="D110" s="1259"/>
      <c r="E110" s="1264">
        <v>1084252.395</v>
      </c>
      <c r="F110" s="1265"/>
      <c r="G110" s="1266">
        <v>4.0157496111111115</v>
      </c>
      <c r="H110" s="1266"/>
      <c r="I110" s="1264">
        <v>1087068.6009527445</v>
      </c>
      <c r="J110" s="1265"/>
      <c r="K110" s="1266">
        <v>4.0261800035286832</v>
      </c>
      <c r="L110" s="1266"/>
      <c r="M110" s="1267">
        <f>I110-E110</f>
        <v>2816.2059527444653</v>
      </c>
      <c r="N110" s="1259"/>
      <c r="O110" s="332">
        <f>M110/E110</f>
        <v>2.5973712077845723E-3</v>
      </c>
      <c r="P110" s="84"/>
      <c r="Q110" s="332">
        <f>O110</f>
        <v>2.5973712077845723E-3</v>
      </c>
    </row>
    <row r="111" spans="1:17">
      <c r="A111" s="1258">
        <f>A110+1</f>
        <v>60</v>
      </c>
      <c r="B111" s="1259"/>
      <c r="C111" s="1259" t="s">
        <v>378</v>
      </c>
      <c r="D111" s="1259"/>
      <c r="E111" s="1264">
        <v>3289059</v>
      </c>
      <c r="F111" s="1265"/>
      <c r="G111" s="1266">
        <v>12.181699999999999</v>
      </c>
      <c r="H111" s="1259"/>
      <c r="I111" s="1264">
        <v>3290571.0000000005</v>
      </c>
      <c r="J111" s="1258"/>
      <c r="K111" s="1266">
        <v>12.187300000000002</v>
      </c>
      <c r="L111" s="1266"/>
      <c r="M111" s="1267">
        <f>I111-E111</f>
        <v>1512.0000000004657</v>
      </c>
      <c r="N111" s="1259"/>
      <c r="O111" s="332">
        <f>M111/E111</f>
        <v>4.5970595237132132E-4</v>
      </c>
      <c r="P111" s="84"/>
      <c r="Q111" s="332">
        <f>O111</f>
        <v>4.5970595237132132E-4</v>
      </c>
    </row>
    <row r="112" spans="1:17">
      <c r="A112" s="1258">
        <f>A111+1</f>
        <v>61</v>
      </c>
      <c r="B112" s="1259"/>
      <c r="C112" s="1259" t="s">
        <v>379</v>
      </c>
      <c r="D112" s="1259"/>
      <c r="E112" s="1268">
        <f>SUM(E108:E111)</f>
        <v>8830895.7149999999</v>
      </c>
      <c r="F112" s="1258"/>
      <c r="G112" s="1269">
        <v>32.707021166666664</v>
      </c>
      <c r="H112" s="1258"/>
      <c r="I112" s="1268">
        <f>SUM(I108:I111)</f>
        <v>8834562.8025527447</v>
      </c>
      <c r="J112" s="1258"/>
      <c r="K112" s="1269">
        <v>32.720602972417574</v>
      </c>
      <c r="L112" s="1266"/>
      <c r="M112" s="1270">
        <f>SUM(M108:M111)</f>
        <v>3667.0875527449534</v>
      </c>
      <c r="N112" s="1259"/>
      <c r="O112" s="1271">
        <f>M112/E112</f>
        <v>4.1525657997705767E-4</v>
      </c>
      <c r="P112" s="1063"/>
      <c r="Q112" s="1271">
        <f>(M108+M111+M110)/(E108+E111+E110)</f>
        <v>7.7801393612565663E-4</v>
      </c>
    </row>
    <row r="113" spans="1:17">
      <c r="A113" s="1258"/>
      <c r="B113" s="1259"/>
      <c r="C113" s="1259"/>
      <c r="D113" s="1259"/>
      <c r="E113" s="1264"/>
      <c r="F113" s="1258"/>
      <c r="G113" s="1266"/>
      <c r="H113" s="1258"/>
      <c r="I113" s="1264"/>
      <c r="J113" s="1258"/>
      <c r="K113" s="1266"/>
      <c r="L113" s="1266"/>
      <c r="M113" s="1267"/>
      <c r="N113" s="1259"/>
      <c r="O113" s="1062"/>
      <c r="P113" s="1063"/>
      <c r="Q113" s="1062"/>
    </row>
    <row r="114" spans="1:17">
      <c r="A114" s="1258">
        <f>A112+1</f>
        <v>62</v>
      </c>
      <c r="B114" s="1259"/>
      <c r="C114" s="1259" t="s">
        <v>410</v>
      </c>
      <c r="D114" s="1259"/>
      <c r="E114" s="1268">
        <f>SUM(E108:E110)+I111</f>
        <v>8832407.7149999999</v>
      </c>
      <c r="F114" s="1258"/>
      <c r="G114" s="1269">
        <f>SUM(G108:G110)+K111</f>
        <v>32.712621166666672</v>
      </c>
      <c r="H114" s="1258"/>
      <c r="I114" s="1268">
        <f>SUM(I108:I111)</f>
        <v>8834562.8025527447</v>
      </c>
      <c r="J114" s="1265"/>
      <c r="K114" s="1269">
        <f>K112</f>
        <v>32.720602972417574</v>
      </c>
      <c r="L114" s="1266"/>
      <c r="M114" s="1270">
        <f>M108+M109+M110</f>
        <v>2155.0875527444878</v>
      </c>
      <c r="N114" s="1259"/>
      <c r="O114" s="1271">
        <f>M114/E114</f>
        <v>2.4399774356934651E-4</v>
      </c>
      <c r="P114" s="1063"/>
      <c r="Q114" s="1271">
        <f>(M114-M109)/(E114-E109)</f>
        <v>4.5707947705705791E-4</v>
      </c>
    </row>
    <row r="115" spans="1:17">
      <c r="A115" s="1258">
        <f>A114+1</f>
        <v>63</v>
      </c>
      <c r="B115" s="1259"/>
      <c r="C115" s="1259" t="s">
        <v>411</v>
      </c>
      <c r="D115" s="1259"/>
      <c r="E115" s="1063"/>
      <c r="F115" s="1063"/>
      <c r="G115" s="1063"/>
      <c r="H115" s="1063"/>
      <c r="I115" s="1063"/>
      <c r="J115" s="1063"/>
      <c r="K115" s="1063"/>
      <c r="L115" s="1063"/>
      <c r="M115" s="1267"/>
      <c r="N115" s="1259"/>
      <c r="O115" s="334">
        <v>3.8887604662032351E-4</v>
      </c>
      <c r="P115" s="1063"/>
      <c r="Q115" s="334">
        <v>1.5130464096367556E-3</v>
      </c>
    </row>
    <row r="116" spans="1:17">
      <c r="A116" s="1258">
        <f>A115+1</f>
        <v>64</v>
      </c>
      <c r="B116" s="1259"/>
      <c r="C116" s="1259" t="s">
        <v>444</v>
      </c>
      <c r="D116" s="1259"/>
      <c r="E116" s="1268">
        <f>SUM(E108:E109)+I111+I110</f>
        <v>8835223.9209527448</v>
      </c>
      <c r="F116" s="1063"/>
      <c r="G116" s="1273">
        <f>SUM(G108:G109)+K111+K110</f>
        <v>32.72305155908424</v>
      </c>
      <c r="H116" s="1063"/>
      <c r="I116" s="1268">
        <f>SUM(I108:I111)</f>
        <v>8834562.8025527447</v>
      </c>
      <c r="J116" s="1063"/>
      <c r="K116" s="1269">
        <f>K112</f>
        <v>32.720602972417574</v>
      </c>
      <c r="L116" s="1063"/>
      <c r="M116" s="1270">
        <f>I116-E116</f>
        <v>-661.11840000003576</v>
      </c>
      <c r="N116" s="1259"/>
      <c r="O116" s="1271">
        <f>M116/E116</f>
        <v>-7.4827577197244841E-5</v>
      </c>
      <c r="P116" s="1063"/>
      <c r="Q116" s="1271">
        <f>(M116-M109)/(E116-E109)</f>
        <v>-1.4013503356222735E-4</v>
      </c>
    </row>
    <row r="117" spans="1:17">
      <c r="A117" s="1258">
        <f>A116+1</f>
        <v>65</v>
      </c>
      <c r="B117" s="1259"/>
      <c r="C117" s="1259" t="s">
        <v>445</v>
      </c>
      <c r="D117" s="1259"/>
      <c r="E117" s="1063"/>
      <c r="F117" s="1063"/>
      <c r="G117" s="1063"/>
      <c r="H117" s="1063"/>
      <c r="I117" s="1063"/>
      <c r="J117" s="1063"/>
      <c r="K117" s="1063"/>
      <c r="L117" s="1063"/>
      <c r="M117" s="1267"/>
      <c r="N117" s="1259"/>
      <c r="O117" s="334">
        <v>-1.483131563061442E-4</v>
      </c>
      <c r="P117" s="1063"/>
      <c r="Q117" s="334">
        <v>-1.9439837743768301E-3</v>
      </c>
    </row>
    <row r="118" spans="1:17">
      <c r="A118" s="1258"/>
      <c r="B118" s="1259"/>
      <c r="C118" s="1259"/>
      <c r="D118" s="1259"/>
      <c r="E118" s="1259"/>
      <c r="F118" s="1259"/>
      <c r="G118" s="1259"/>
      <c r="H118" s="1259"/>
      <c r="I118" s="1259"/>
      <c r="J118" s="1259"/>
      <c r="K118" s="1259"/>
      <c r="L118" s="1259"/>
      <c r="M118" s="1267"/>
      <c r="N118" s="1259"/>
      <c r="O118" s="1062"/>
      <c r="P118" s="1259"/>
      <c r="Q118" s="1062"/>
    </row>
    <row r="119" spans="1:17">
      <c r="A119" s="1258"/>
      <c r="B119" s="1259"/>
      <c r="C119" s="1262" t="s">
        <v>396</v>
      </c>
      <c r="D119" s="1259"/>
      <c r="E119" s="1259" t="s">
        <v>446</v>
      </c>
      <c r="F119" s="1259"/>
      <c r="G119" s="1259"/>
      <c r="H119" s="1259"/>
      <c r="I119" s="1259"/>
      <c r="J119" s="1259"/>
      <c r="K119" s="1259"/>
      <c r="L119" s="1259"/>
      <c r="M119" s="1267"/>
      <c r="N119" s="1259"/>
      <c r="O119" s="1062"/>
      <c r="P119" s="1259"/>
      <c r="Q119" s="1062"/>
    </row>
    <row r="120" spans="1:17">
      <c r="A120" s="1258">
        <f>A117+1</f>
        <v>66</v>
      </c>
      <c r="B120" s="1259"/>
      <c r="C120" s="1259" t="s">
        <v>375</v>
      </c>
      <c r="D120" s="1259"/>
      <c r="E120" s="1264">
        <v>2776354.3200000003</v>
      </c>
      <c r="F120" s="1265"/>
      <c r="G120" s="1266">
        <v>1.1568143000000002</v>
      </c>
      <c r="H120" s="1266"/>
      <c r="I120" s="1264">
        <v>2766654.2015999993</v>
      </c>
      <c r="J120" s="1258"/>
      <c r="K120" s="1266">
        <v>1.1527725839999998</v>
      </c>
      <c r="L120" s="1266"/>
      <c r="M120" s="1267">
        <f>I120-E120</f>
        <v>-9700.1184000009671</v>
      </c>
      <c r="N120" s="1266"/>
      <c r="O120" s="332">
        <f>M120/E120</f>
        <v>-3.4938330205638041E-3</v>
      </c>
      <c r="P120" s="84"/>
      <c r="Q120" s="332">
        <f>O120</f>
        <v>-3.4938330205638041E-3</v>
      </c>
    </row>
    <row r="121" spans="1:17">
      <c r="A121" s="1258">
        <f>A120+1</f>
        <v>67</v>
      </c>
      <c r="B121" s="1259"/>
      <c r="C121" s="1259" t="s">
        <v>376</v>
      </c>
      <c r="D121" s="1259"/>
      <c r="E121" s="1264">
        <v>36600000</v>
      </c>
      <c r="F121" s="1265"/>
      <c r="G121" s="1266">
        <v>15.25</v>
      </c>
      <c r="H121" s="1266"/>
      <c r="I121" s="1264">
        <v>36600000</v>
      </c>
      <c r="J121" s="1265"/>
      <c r="K121" s="1266">
        <v>15.25</v>
      </c>
      <c r="L121" s="1266"/>
      <c r="M121" s="1267">
        <f>I121-E121</f>
        <v>0</v>
      </c>
      <c r="N121" s="1266"/>
      <c r="O121" s="333">
        <f>IFERROR(M121/E121,"100.0%")</f>
        <v>0</v>
      </c>
      <c r="P121" s="84"/>
      <c r="Q121" s="333">
        <v>0</v>
      </c>
    </row>
    <row r="122" spans="1:17">
      <c r="A122" s="1258">
        <f>A121+1</f>
        <v>68</v>
      </c>
      <c r="B122" s="1259"/>
      <c r="C122" s="1259" t="s">
        <v>377</v>
      </c>
      <c r="D122" s="1259"/>
      <c r="E122" s="1264">
        <v>9216145.3574999999</v>
      </c>
      <c r="F122" s="1265"/>
      <c r="G122" s="1266">
        <v>3.8400605656250004</v>
      </c>
      <c r="H122" s="1266"/>
      <c r="I122" s="1264">
        <v>9240083.10809833</v>
      </c>
      <c r="J122" s="1265"/>
      <c r="K122" s="1266">
        <v>3.8500346283743041</v>
      </c>
      <c r="L122" s="1266"/>
      <c r="M122" s="1267">
        <f>I122-E122</f>
        <v>23937.750598330051</v>
      </c>
      <c r="N122" s="1259"/>
      <c r="O122" s="332">
        <f>M122/E122</f>
        <v>2.5973712077848E-3</v>
      </c>
      <c r="P122" s="84"/>
      <c r="Q122" s="332">
        <f>O122</f>
        <v>2.5973712077848E-3</v>
      </c>
    </row>
    <row r="123" spans="1:17">
      <c r="A123" s="1258">
        <f>A122+1</f>
        <v>69</v>
      </c>
      <c r="B123" s="1259"/>
      <c r="C123" s="1259" t="s">
        <v>378</v>
      </c>
      <c r="D123" s="1259"/>
      <c r="E123" s="1264">
        <v>29236080.000000004</v>
      </c>
      <c r="F123" s="1265"/>
      <c r="G123" s="1266">
        <v>12.181700000000001</v>
      </c>
      <c r="H123" s="1259"/>
      <c r="I123" s="1264">
        <v>29249520.000000004</v>
      </c>
      <c r="J123" s="1258"/>
      <c r="K123" s="1266">
        <v>12.1873</v>
      </c>
      <c r="L123" s="1266"/>
      <c r="M123" s="1267">
        <f>I123-E123</f>
        <v>13440</v>
      </c>
      <c r="N123" s="1259"/>
      <c r="O123" s="332">
        <f>M123/E123</f>
        <v>4.5970595237117967E-4</v>
      </c>
      <c r="P123" s="84"/>
      <c r="Q123" s="332">
        <f>O123</f>
        <v>4.5970595237117967E-4</v>
      </c>
    </row>
    <row r="124" spans="1:17">
      <c r="A124" s="1258">
        <f>A123+1</f>
        <v>70</v>
      </c>
      <c r="B124" s="1259"/>
      <c r="C124" s="1259" t="s">
        <v>379</v>
      </c>
      <c r="D124" s="1259"/>
      <c r="E124" s="1268">
        <f>SUM(E120:E123)</f>
        <v>77828579.67750001</v>
      </c>
      <c r="F124" s="1258"/>
      <c r="G124" s="1269">
        <v>32.428574865625002</v>
      </c>
      <c r="H124" s="1258"/>
      <c r="I124" s="1268">
        <f>SUM(I120:I123)</f>
        <v>77856257.309698328</v>
      </c>
      <c r="J124" s="1258"/>
      <c r="K124" s="1269">
        <v>32.440107212374301</v>
      </c>
      <c r="L124" s="1266"/>
      <c r="M124" s="1270">
        <f>SUM(M120:M123)</f>
        <v>27677.632198329084</v>
      </c>
      <c r="N124" s="1259"/>
      <c r="O124" s="1271">
        <f>M124/E124</f>
        <v>3.5562298981964589E-4</v>
      </c>
      <c r="P124" s="1063"/>
      <c r="Q124" s="1271">
        <f>(M120+M123+M122)/(E120+E123+E122)</f>
        <v>6.7132150597547301E-4</v>
      </c>
    </row>
    <row r="125" spans="1:17">
      <c r="A125" s="1258"/>
      <c r="B125" s="1259"/>
      <c r="C125" s="1259"/>
      <c r="D125" s="1259"/>
      <c r="E125" s="1264"/>
      <c r="F125" s="1258"/>
      <c r="G125" s="1266"/>
      <c r="H125" s="1258"/>
      <c r="I125" s="1264"/>
      <c r="J125" s="1258"/>
      <c r="K125" s="1266"/>
      <c r="L125" s="1266"/>
      <c r="M125" s="1267"/>
      <c r="N125" s="1259"/>
      <c r="O125" s="1062"/>
      <c r="P125" s="1063"/>
      <c r="Q125" s="1062"/>
    </row>
    <row r="126" spans="1:17">
      <c r="A126" s="1258">
        <f>A124+1</f>
        <v>71</v>
      </c>
      <c r="B126" s="1259"/>
      <c r="C126" s="1259" t="s">
        <v>410</v>
      </c>
      <c r="D126" s="1259"/>
      <c r="E126" s="1268">
        <f>SUM(E120:E122)+I123</f>
        <v>77842019.67750001</v>
      </c>
      <c r="F126" s="1258"/>
      <c r="G126" s="1269">
        <f>SUM(G120:G122)+K123</f>
        <v>32.434174865625003</v>
      </c>
      <c r="H126" s="1258"/>
      <c r="I126" s="1268">
        <f>SUM(I120:I123)</f>
        <v>77856257.309698328</v>
      </c>
      <c r="J126" s="1265"/>
      <c r="K126" s="1269">
        <v>32.440107212374301</v>
      </c>
      <c r="L126" s="1266"/>
      <c r="M126" s="1270">
        <f>M120+M121+M122</f>
        <v>14237.632198329084</v>
      </c>
      <c r="N126" s="1259"/>
      <c r="O126" s="1271">
        <f>M126/E126</f>
        <v>1.8290419823786287E-4</v>
      </c>
      <c r="P126" s="1063"/>
      <c r="Q126" s="1271">
        <f>(M126-M121)/(E126-E121)</f>
        <v>3.4522150732827872E-4</v>
      </c>
    </row>
    <row r="127" spans="1:17">
      <c r="A127" s="1258">
        <f>A126+1</f>
        <v>72</v>
      </c>
      <c r="B127" s="1259"/>
      <c r="C127" s="1259" t="s">
        <v>411</v>
      </c>
      <c r="D127" s="1259"/>
      <c r="E127" s="1063"/>
      <c r="F127" s="1063"/>
      <c r="G127" s="1063"/>
      <c r="H127" s="1063"/>
      <c r="I127" s="1063"/>
      <c r="J127" s="1063"/>
      <c r="K127" s="1063"/>
      <c r="L127" s="1063"/>
      <c r="M127" s="1267"/>
      <c r="N127" s="1259"/>
      <c r="O127" s="334">
        <v>2.9300061311565766E-4</v>
      </c>
      <c r="P127" s="1063"/>
      <c r="Q127" s="334">
        <v>1.1872113888851841E-3</v>
      </c>
    </row>
    <row r="128" spans="1:17">
      <c r="A128" s="1258">
        <f>A127+1</f>
        <v>73</v>
      </c>
      <c r="B128" s="1259"/>
      <c r="C128" s="1259" t="s">
        <v>444</v>
      </c>
      <c r="D128" s="1259"/>
      <c r="E128" s="1268">
        <f>SUM(E120:E121)+I123+I122</f>
        <v>77865957.428098336</v>
      </c>
      <c r="F128" s="1063"/>
      <c r="G128" s="1273">
        <f>SUM(G120:G121)+K123+K122</f>
        <v>32.444148928374304</v>
      </c>
      <c r="H128" s="1063"/>
      <c r="I128" s="1268">
        <f>SUM(I120:I123)</f>
        <v>77856257.309698328</v>
      </c>
      <c r="J128" s="1063"/>
      <c r="K128" s="1269">
        <f>K124</f>
        <v>32.440107212374301</v>
      </c>
      <c r="L128" s="1063"/>
      <c r="M128" s="1270">
        <f>I128-E128</f>
        <v>-9700.1184000074863</v>
      </c>
      <c r="N128" s="1259"/>
      <c r="O128" s="1271">
        <f>M128/E128</f>
        <v>-1.2457457302781649E-4</v>
      </c>
      <c r="P128" s="1063"/>
      <c r="Q128" s="1271">
        <f>(M128-M121)/(E128-E121)</f>
        <v>-2.3506345192423901E-4</v>
      </c>
    </row>
    <row r="129" spans="1:17">
      <c r="A129" s="1258">
        <f>A128+1</f>
        <v>74</v>
      </c>
      <c r="B129" s="1259"/>
      <c r="C129" s="1259" t="s">
        <v>445</v>
      </c>
      <c r="D129" s="1259"/>
      <c r="E129" s="1063"/>
      <c r="F129" s="1063"/>
      <c r="G129" s="1063"/>
      <c r="H129" s="1063"/>
      <c r="I129" s="1063"/>
      <c r="J129" s="1063"/>
      <c r="K129" s="1063"/>
      <c r="L129" s="1063"/>
      <c r="M129" s="1274"/>
      <c r="N129" s="1259"/>
      <c r="O129" s="334">
        <v>2.9300061311565766E-4</v>
      </c>
      <c r="P129" s="1063"/>
      <c r="Q129" s="334">
        <v>-3.4938330205636571E-3</v>
      </c>
    </row>
    <row r="130" spans="1:17">
      <c r="A130" s="1258"/>
      <c r="B130" s="1259"/>
      <c r="C130" s="1259"/>
      <c r="D130" s="1259"/>
      <c r="E130" s="1259"/>
      <c r="F130" s="1259"/>
      <c r="G130" s="1259"/>
      <c r="H130" s="1259"/>
      <c r="I130" s="1259"/>
      <c r="J130" s="1259"/>
      <c r="K130" s="1259"/>
      <c r="L130" s="1259"/>
      <c r="M130" s="1259"/>
      <c r="N130" s="1259"/>
      <c r="O130" s="1259"/>
      <c r="P130" s="1259"/>
      <c r="Q130" s="1259"/>
    </row>
    <row r="131" spans="1:17">
      <c r="A131" s="1275" t="s">
        <v>39</v>
      </c>
      <c r="B131" s="1262"/>
      <c r="C131" s="1259"/>
      <c r="D131" s="1259"/>
      <c r="E131" s="1259"/>
      <c r="F131" s="1259"/>
      <c r="G131" s="1259"/>
      <c r="H131" s="1259"/>
      <c r="I131" s="1259"/>
      <c r="J131" s="1259"/>
      <c r="K131" s="1259"/>
      <c r="L131" s="1259"/>
      <c r="M131" s="1259"/>
      <c r="N131" s="1259"/>
      <c r="O131" s="1259"/>
      <c r="P131" s="1259"/>
      <c r="Q131" s="1259"/>
    </row>
    <row r="132" spans="1:17">
      <c r="A132" s="1276" t="s">
        <v>357</v>
      </c>
      <c r="B132" s="1277"/>
      <c r="C132" s="1278" t="s">
        <v>447</v>
      </c>
      <c r="D132" s="1259"/>
      <c r="E132" s="1259"/>
      <c r="F132" s="1259"/>
      <c r="G132" s="1259"/>
      <c r="H132" s="1259"/>
      <c r="I132" s="1259"/>
      <c r="J132" s="1259"/>
      <c r="K132" s="1259"/>
      <c r="L132" s="1259"/>
      <c r="M132" s="1259"/>
      <c r="N132" s="1259"/>
      <c r="O132" s="1259"/>
      <c r="P132" s="1259"/>
      <c r="Q132" s="1259"/>
    </row>
    <row r="133" spans="1:17">
      <c r="A133" s="1276" t="s">
        <v>448</v>
      </c>
      <c r="B133" s="1277"/>
      <c r="C133" s="1291" t="s">
        <v>449</v>
      </c>
      <c r="D133" s="1292"/>
      <c r="E133" s="1292"/>
      <c r="F133" s="1292"/>
      <c r="G133" s="1292"/>
      <c r="H133" s="1292"/>
      <c r="I133" s="1292"/>
      <c r="J133" s="1292"/>
      <c r="K133" s="1292"/>
      <c r="L133" s="1292"/>
      <c r="M133" s="1292"/>
      <c r="N133" s="1292"/>
      <c r="O133" s="1292"/>
      <c r="P133" s="1292"/>
      <c r="Q133" s="1292"/>
    </row>
    <row r="134" spans="1:17">
      <c r="A134" s="1258"/>
      <c r="B134" s="1259"/>
      <c r="C134" s="1259"/>
      <c r="D134" s="1259"/>
      <c r="E134" s="1259"/>
      <c r="F134" s="1259"/>
      <c r="G134" s="1259"/>
      <c r="H134" s="1259"/>
      <c r="I134" s="1259"/>
      <c r="J134" s="1259"/>
      <c r="K134" s="1259"/>
      <c r="L134" s="1259"/>
      <c r="M134" s="1259"/>
      <c r="N134" s="1259"/>
      <c r="O134" s="1259"/>
      <c r="P134" s="1259"/>
      <c r="Q134" s="1259"/>
    </row>
    <row r="135" spans="1:17">
      <c r="A135" s="1258"/>
      <c r="B135" s="1259"/>
      <c r="C135" s="1259"/>
      <c r="D135" s="1259"/>
      <c r="E135" s="1259"/>
      <c r="F135" s="1259"/>
      <c r="G135" s="1259"/>
      <c r="H135" s="1259"/>
      <c r="I135" s="1259"/>
      <c r="J135" s="1259"/>
      <c r="K135" s="1259"/>
      <c r="L135" s="1259"/>
      <c r="M135" s="1259"/>
      <c r="N135" s="1259"/>
      <c r="O135" s="1279"/>
      <c r="P135" s="1279"/>
      <c r="Q135" s="1279"/>
    </row>
    <row r="136" spans="1:17">
      <c r="A136" s="1258"/>
      <c r="B136" s="1259"/>
      <c r="C136" s="1259"/>
      <c r="D136" s="1259"/>
      <c r="E136" s="1259"/>
      <c r="F136" s="1259"/>
      <c r="G136" s="1259"/>
      <c r="H136" s="1259"/>
      <c r="I136" s="1259"/>
      <c r="J136" s="1259"/>
      <c r="K136" s="1259"/>
      <c r="L136" s="1259"/>
      <c r="M136" s="1259"/>
      <c r="N136" s="1259"/>
      <c r="O136" s="1279"/>
      <c r="P136" s="1279"/>
      <c r="Q136" s="1279"/>
    </row>
    <row r="137" spans="1:17">
      <c r="A137" s="1258"/>
      <c r="B137" s="1259"/>
      <c r="C137" s="1259"/>
      <c r="D137" s="1259"/>
      <c r="E137" s="1259"/>
      <c r="F137" s="1259"/>
      <c r="G137" s="1259"/>
      <c r="H137" s="1259"/>
      <c r="I137" s="1259"/>
      <c r="J137" s="1259"/>
      <c r="K137" s="1259"/>
      <c r="L137" s="1259"/>
      <c r="M137" s="1259"/>
      <c r="N137" s="1259"/>
      <c r="O137" s="1279"/>
      <c r="P137" s="1279"/>
      <c r="Q137" s="1279"/>
    </row>
    <row r="138" spans="1:17">
      <c r="A138" s="1258"/>
      <c r="B138" s="1259"/>
      <c r="C138" s="1259"/>
      <c r="D138" s="1259"/>
      <c r="E138" s="1259"/>
      <c r="F138" s="1259"/>
      <c r="G138" s="1259"/>
      <c r="H138" s="1259"/>
      <c r="I138" s="1259"/>
      <c r="J138" s="1259"/>
      <c r="K138" s="1259"/>
      <c r="L138" s="1259"/>
      <c r="M138" s="1259"/>
      <c r="N138" s="1259"/>
      <c r="O138" s="1279"/>
      <c r="P138" s="1279"/>
      <c r="Q138" s="1279"/>
    </row>
    <row r="139" spans="1:17">
      <c r="A139" s="1258"/>
      <c r="B139" s="1259"/>
      <c r="C139" s="1259"/>
      <c r="D139" s="1259"/>
      <c r="E139" s="1259"/>
      <c r="F139" s="1259"/>
      <c r="G139" s="1259"/>
      <c r="H139" s="1259"/>
      <c r="I139" s="1259"/>
      <c r="J139" s="1259"/>
      <c r="K139" s="1259"/>
      <c r="L139" s="1259"/>
      <c r="M139" s="1259"/>
      <c r="N139" s="1259"/>
      <c r="O139" s="1279"/>
      <c r="P139" s="1279"/>
      <c r="Q139" s="1279"/>
    </row>
    <row r="140" spans="1:17">
      <c r="A140" s="1258"/>
      <c r="B140" s="1259"/>
      <c r="C140" s="1259"/>
      <c r="D140" s="1259"/>
      <c r="E140" s="1259"/>
      <c r="F140" s="1259"/>
      <c r="G140" s="1259"/>
      <c r="H140" s="1259"/>
      <c r="I140" s="1259"/>
      <c r="J140" s="1259"/>
      <c r="K140" s="1259"/>
      <c r="L140" s="1259"/>
      <c r="M140" s="1259"/>
      <c r="N140" s="1259"/>
      <c r="O140" s="1279"/>
      <c r="P140" s="1279"/>
      <c r="Q140" s="1279"/>
    </row>
    <row r="141" spans="1:17">
      <c r="A141" s="1258"/>
      <c r="B141" s="1259"/>
      <c r="C141" s="1259"/>
      <c r="D141" s="1259"/>
      <c r="E141" s="1259"/>
      <c r="F141" s="1259"/>
      <c r="G141" s="1259"/>
      <c r="H141" s="1259"/>
      <c r="I141" s="1259"/>
      <c r="J141" s="1259"/>
      <c r="K141" s="1259"/>
      <c r="L141" s="1259"/>
      <c r="M141" s="1259"/>
      <c r="N141" s="1259"/>
      <c r="O141" s="1280"/>
      <c r="P141" s="1280"/>
      <c r="Q141" s="1279"/>
    </row>
    <row r="142" spans="1:17">
      <c r="A142" s="1258"/>
      <c r="B142" s="1259"/>
      <c r="C142" s="1259"/>
      <c r="D142" s="1259"/>
      <c r="E142" s="1259"/>
      <c r="F142" s="1259"/>
      <c r="G142" s="1259"/>
      <c r="H142" s="1259"/>
      <c r="I142" s="1259"/>
      <c r="J142" s="1259"/>
      <c r="K142" s="1259"/>
      <c r="L142" s="1259"/>
      <c r="M142" s="1259"/>
      <c r="N142" s="1259"/>
      <c r="O142" s="1281"/>
      <c r="P142" s="1281"/>
      <c r="Q142" s="1280"/>
    </row>
    <row r="143" spans="1:17">
      <c r="A143" s="1257"/>
      <c r="B143" s="1282"/>
      <c r="C143" s="1259"/>
      <c r="D143" s="1282"/>
      <c r="E143" s="1282"/>
      <c r="F143" s="1282"/>
      <c r="G143" s="1259"/>
      <c r="H143" s="1282"/>
      <c r="I143" s="1282"/>
      <c r="J143" s="1282"/>
      <c r="K143" s="1282"/>
      <c r="L143" s="1282"/>
      <c r="M143" s="1282"/>
      <c r="N143" s="1282"/>
      <c r="O143" s="1282"/>
      <c r="P143" s="1282"/>
      <c r="Q143" s="1282"/>
    </row>
    <row r="144" spans="1:17">
      <c r="C144" s="1259"/>
      <c r="G144" s="1259"/>
    </row>
    <row r="145" spans="3:7">
      <c r="C145" s="1259"/>
      <c r="G145" s="1259"/>
    </row>
  </sheetData>
  <mergeCells count="17">
    <mergeCell ref="A77:Q77"/>
    <mergeCell ref="E14:G14"/>
    <mergeCell ref="E24:G24"/>
    <mergeCell ref="E34:G34"/>
    <mergeCell ref="E44:G44"/>
    <mergeCell ref="E54:G54"/>
    <mergeCell ref="A4:Q4"/>
    <mergeCell ref="A5:Q5"/>
    <mergeCell ref="E8:G8"/>
    <mergeCell ref="I8:M8"/>
    <mergeCell ref="O8:Q8"/>
    <mergeCell ref="A78:Q78"/>
    <mergeCell ref="E81:G81"/>
    <mergeCell ref="I81:M81"/>
    <mergeCell ref="O81:Q81"/>
    <mergeCell ref="C133:Q133"/>
    <mergeCell ref="E97:G97"/>
  </mergeCells>
  <pageMargins left="0.7" right="0.7" top="0.75" bottom="0.75" header="0.3" footer="0.3"/>
  <pageSetup scale="57" firstPageNumber="4" orientation="portrait" useFirstPageNumber="1" r:id="rId1"/>
  <headerFooter>
    <oddHeader>&amp;R&amp;10Updated: 2024-03-15
EB-2022-0200
Rate Order
Working Papers
Schedule 24
Page &amp;P of 8</oddHeader>
  </headerFooter>
  <rowBreaks count="1" manualBreakCount="1">
    <brk id="73" max="1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A0B7A-D146-489B-8DF5-CFD7A355BFDA}">
  <sheetPr>
    <pageSetUpPr fitToPage="1"/>
  </sheetPr>
  <dimension ref="A3:AR70"/>
  <sheetViews>
    <sheetView view="pageLayout" topLeftCell="Q148" zoomScaleNormal="80" zoomScaleSheetLayoutView="70" workbookViewId="0">
      <selection activeCell="AL214" sqref="AL214"/>
    </sheetView>
  </sheetViews>
  <sheetFormatPr defaultRowHeight="14.25"/>
  <cols>
    <col min="1" max="1" width="2" customWidth="1"/>
    <col min="3" max="3" width="1.625" customWidth="1"/>
    <col min="4" max="4" width="26" customWidth="1"/>
    <col min="5" max="5" width="1.625" customWidth="1"/>
    <col min="6" max="6" width="10.5" bestFit="1" customWidth="1"/>
    <col min="7" max="7" width="1.875" customWidth="1"/>
    <col min="9" max="9" width="1.875" customWidth="1"/>
    <col min="11" max="11" width="1.875" customWidth="1"/>
    <col min="13" max="13" width="1.875" customWidth="1"/>
    <col min="15" max="15" width="1.875" customWidth="1"/>
    <col min="17" max="17" width="1.875" customWidth="1"/>
    <col min="19" max="19" width="2" customWidth="1"/>
    <col min="20" max="20" width="9.875" customWidth="1"/>
    <col min="21" max="21" width="1.625" customWidth="1"/>
    <col min="23" max="23" width="1.375" customWidth="1"/>
    <col min="25" max="25" width="1.125" customWidth="1"/>
    <col min="27" max="27" width="1.125" customWidth="1"/>
    <col min="29" max="29" width="1.125" customWidth="1"/>
    <col min="31" max="31" width="1.125" customWidth="1"/>
    <col min="33" max="33" width="1.125" customWidth="1"/>
    <col min="35" max="35" width="1.625" customWidth="1"/>
    <col min="37" max="37" width="1.125" customWidth="1"/>
  </cols>
  <sheetData>
    <row r="3" spans="1:44" s="2" customFormat="1" ht="12.75">
      <c r="B3" s="1312" t="s">
        <v>1048</v>
      </c>
      <c r="C3" s="1312"/>
      <c r="D3" s="1312"/>
      <c r="E3" s="1312"/>
      <c r="F3" s="1312"/>
      <c r="G3" s="1312"/>
      <c r="H3" s="1312"/>
      <c r="I3" s="1312"/>
      <c r="J3" s="1312"/>
      <c r="K3" s="1312"/>
      <c r="L3" s="1312"/>
      <c r="M3" s="1312"/>
      <c r="N3" s="1312"/>
      <c r="O3" s="1312"/>
      <c r="P3" s="1312"/>
      <c r="Q3" s="1312"/>
      <c r="R3" s="1312"/>
      <c r="S3" s="1312"/>
      <c r="T3" s="1312"/>
      <c r="U3" s="1312"/>
      <c r="V3" s="1312"/>
      <c r="W3" s="1312"/>
      <c r="X3" s="1312"/>
      <c r="Y3" s="1312"/>
      <c r="Z3" s="1312"/>
      <c r="AA3" s="1312"/>
      <c r="AB3" s="1312"/>
      <c r="AC3" s="1312"/>
      <c r="AD3" s="1312"/>
      <c r="AE3" s="1312"/>
      <c r="AF3" s="1312"/>
      <c r="AG3" s="1312"/>
      <c r="AH3" s="1312"/>
      <c r="AI3" s="1312"/>
      <c r="AJ3" s="1312"/>
      <c r="AK3" s="1312"/>
      <c r="AL3" s="1312"/>
    </row>
    <row r="4" spans="1:44" s="2" customFormat="1" ht="12.75">
      <c r="B4" s="1311" t="s">
        <v>494</v>
      </c>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row>
    <row r="5" spans="1:44" s="2" customFormat="1" ht="12.75">
      <c r="B5" s="4"/>
      <c r="C5" s="4"/>
      <c r="D5" s="4"/>
      <c r="E5" s="4"/>
      <c r="F5" s="447"/>
      <c r="G5" s="447"/>
      <c r="H5" s="4"/>
      <c r="I5" s="4"/>
      <c r="J5" s="4"/>
      <c r="K5" s="4"/>
      <c r="L5" s="4"/>
      <c r="M5" s="4"/>
      <c r="N5" s="4"/>
      <c r="O5" s="4"/>
      <c r="P5" s="1"/>
      <c r="Q5" s="1"/>
    </row>
    <row r="6" spans="1:44" s="2" customFormat="1" ht="12.75">
      <c r="B6" s="447"/>
      <c r="C6" s="447"/>
      <c r="D6" s="447"/>
      <c r="E6" s="447"/>
      <c r="F6" s="4" t="s">
        <v>495</v>
      </c>
      <c r="G6" s="4"/>
      <c r="H6" s="256"/>
      <c r="I6" s="256"/>
      <c r="J6" s="256"/>
      <c r="K6" s="256"/>
      <c r="L6" s="256"/>
      <c r="M6" s="256"/>
      <c r="N6" s="256"/>
      <c r="O6" s="256"/>
      <c r="P6" s="256"/>
      <c r="Q6" s="256"/>
    </row>
    <row r="7" spans="1:44" s="2" customFormat="1" ht="12.75">
      <c r="A7" s="13"/>
      <c r="B7" s="13"/>
      <c r="C7" s="254"/>
      <c r="D7" s="254"/>
      <c r="E7" s="254"/>
      <c r="F7" s="33" t="s">
        <v>498</v>
      </c>
      <c r="G7" s="130"/>
      <c r="H7" s="1313" t="s">
        <v>1049</v>
      </c>
      <c r="I7" s="1313"/>
      <c r="J7" s="1313"/>
      <c r="K7" s="1313"/>
      <c r="L7" s="1313"/>
      <c r="M7" s="1313"/>
      <c r="N7" s="1313"/>
      <c r="O7" s="1313"/>
      <c r="P7" s="1313"/>
      <c r="Q7" s="1313"/>
      <c r="R7" s="1313"/>
      <c r="S7" s="255"/>
      <c r="T7" s="255"/>
      <c r="X7" s="1315" t="s">
        <v>1050</v>
      </c>
      <c r="Y7" s="1315"/>
      <c r="Z7" s="1315"/>
      <c r="AA7" s="1315"/>
      <c r="AB7" s="1315"/>
      <c r="AC7" s="1315"/>
      <c r="AD7" s="1315"/>
      <c r="AE7" s="1315"/>
      <c r="AF7" s="1315"/>
      <c r="AG7" s="1315"/>
      <c r="AH7" s="1315"/>
      <c r="AI7" s="1315"/>
      <c r="AJ7" s="1315"/>
      <c r="AK7" s="1315"/>
      <c r="AL7" s="1315"/>
    </row>
    <row r="8" spans="1:44" s="2" customFormat="1" ht="12.75">
      <c r="B8" s="254" t="s">
        <v>1</v>
      </c>
      <c r="C8" s="256"/>
      <c r="E8" s="4"/>
      <c r="F8" s="33" t="s">
        <v>504</v>
      </c>
      <c r="G8" s="130"/>
      <c r="H8" s="33"/>
      <c r="I8" s="130"/>
      <c r="J8" s="33" t="s">
        <v>499</v>
      </c>
      <c r="K8" s="33"/>
      <c r="L8" s="33" t="s">
        <v>500</v>
      </c>
      <c r="M8" s="33"/>
      <c r="N8" s="33"/>
      <c r="O8" s="33"/>
      <c r="P8" s="33" t="s">
        <v>501</v>
      </c>
      <c r="Q8" s="33"/>
      <c r="R8" s="33" t="s">
        <v>503</v>
      </c>
      <c r="S8" s="33"/>
      <c r="T8" s="33" t="s">
        <v>1051</v>
      </c>
      <c r="V8" s="2" t="s">
        <v>1052</v>
      </c>
      <c r="X8" s="33" t="s">
        <v>503</v>
      </c>
      <c r="Y8" s="130"/>
      <c r="Z8" s="33"/>
      <c r="AA8" s="130"/>
      <c r="AB8" s="33" t="s">
        <v>499</v>
      </c>
      <c r="AC8" s="130"/>
      <c r="AD8" s="143" t="s">
        <v>500</v>
      </c>
      <c r="AE8" s="143"/>
      <c r="AF8" s="143"/>
      <c r="AG8" s="143"/>
      <c r="AH8" s="143" t="s">
        <v>501</v>
      </c>
      <c r="AI8" s="143"/>
      <c r="AJ8" s="33" t="s">
        <v>1051</v>
      </c>
      <c r="AK8" s="143"/>
      <c r="AL8" s="33"/>
    </row>
    <row r="9" spans="1:44" s="2" customFormat="1" ht="12.75">
      <c r="B9" s="255" t="s">
        <v>2</v>
      </c>
      <c r="C9" s="256"/>
      <c r="D9" s="449" t="s">
        <v>3</v>
      </c>
      <c r="E9" s="4"/>
      <c r="F9" s="19" t="s">
        <v>20</v>
      </c>
      <c r="G9" s="130"/>
      <c r="H9" s="19" t="s">
        <v>505</v>
      </c>
      <c r="I9" s="130"/>
      <c r="J9" s="19" t="s">
        <v>506</v>
      </c>
      <c r="K9" s="33"/>
      <c r="L9" s="19" t="s">
        <v>1053</v>
      </c>
      <c r="M9" s="33"/>
      <c r="N9" s="19" t="s">
        <v>1054</v>
      </c>
      <c r="O9" s="33"/>
      <c r="P9" s="19" t="s">
        <v>1055</v>
      </c>
      <c r="Q9" s="33"/>
      <c r="R9" s="19" t="s">
        <v>1056</v>
      </c>
      <c r="S9" s="33"/>
      <c r="T9" s="19" t="s">
        <v>1057</v>
      </c>
      <c r="V9" s="417" t="s">
        <v>1058</v>
      </c>
      <c r="X9" s="215" t="s">
        <v>1059</v>
      </c>
      <c r="Y9" s="130"/>
      <c r="Z9" s="19" t="s">
        <v>1060</v>
      </c>
      <c r="AA9" s="130"/>
      <c r="AB9" s="19" t="s">
        <v>1061</v>
      </c>
      <c r="AC9" s="130"/>
      <c r="AD9" s="215" t="s">
        <v>1062</v>
      </c>
      <c r="AE9" s="143"/>
      <c r="AF9" s="215" t="s">
        <v>1063</v>
      </c>
      <c r="AG9" s="143"/>
      <c r="AH9" s="215" t="s">
        <v>1064</v>
      </c>
      <c r="AI9" s="143"/>
      <c r="AJ9" s="19" t="s">
        <v>1065</v>
      </c>
      <c r="AK9" s="143"/>
      <c r="AL9" s="19" t="s">
        <v>100</v>
      </c>
    </row>
    <row r="10" spans="1:44" s="2" customFormat="1" ht="12.75">
      <c r="B10" s="4"/>
      <c r="C10" s="256"/>
      <c r="D10" s="256"/>
      <c r="E10" s="4"/>
      <c r="F10" s="4" t="s">
        <v>8</v>
      </c>
      <c r="G10" s="134"/>
      <c r="H10" s="4" t="s">
        <v>9</v>
      </c>
      <c r="I10" s="4"/>
      <c r="J10" s="4" t="s">
        <v>370</v>
      </c>
      <c r="K10" s="4"/>
      <c r="L10" s="4" t="s">
        <v>79</v>
      </c>
      <c r="M10" s="4"/>
      <c r="N10" s="4" t="s">
        <v>115</v>
      </c>
      <c r="O10" s="4"/>
      <c r="P10" s="4" t="s">
        <v>81</v>
      </c>
      <c r="Q10" s="4"/>
      <c r="R10" s="4" t="s">
        <v>82</v>
      </c>
      <c r="S10" s="4"/>
      <c r="T10" s="4" t="s">
        <v>118</v>
      </c>
      <c r="V10" s="1" t="s">
        <v>1066</v>
      </c>
      <c r="X10" s="1" t="s">
        <v>1067</v>
      </c>
      <c r="Y10" s="1"/>
      <c r="Z10" s="1" t="s">
        <v>1068</v>
      </c>
      <c r="AA10" s="1"/>
      <c r="AB10" s="1" t="s">
        <v>1069</v>
      </c>
      <c r="AC10" s="1"/>
      <c r="AD10" s="1" t="s">
        <v>1070</v>
      </c>
      <c r="AE10" s="1"/>
      <c r="AF10" s="1" t="s">
        <v>1071</v>
      </c>
      <c r="AG10" s="1"/>
      <c r="AH10" s="1" t="s">
        <v>1072</v>
      </c>
      <c r="AI10" s="1"/>
      <c r="AJ10" s="1" t="s">
        <v>1073</v>
      </c>
      <c r="AK10" s="1"/>
      <c r="AL10" s="2" t="s">
        <v>1074</v>
      </c>
    </row>
    <row r="11" spans="1:44" s="2" customFormat="1" ht="12.75">
      <c r="B11" s="4"/>
      <c r="C11" s="256"/>
      <c r="D11" s="6" t="s">
        <v>11</v>
      </c>
      <c r="E11" s="4"/>
      <c r="F11" s="134"/>
      <c r="G11" s="64"/>
      <c r="H11" s="4"/>
      <c r="I11" s="65"/>
      <c r="J11" s="65"/>
      <c r="K11" s="65"/>
      <c r="L11" s="4"/>
      <c r="M11" s="4"/>
      <c r="N11" s="4"/>
      <c r="O11" s="4"/>
      <c r="P11" s="4"/>
      <c r="Q11" s="4"/>
      <c r="R11" s="4"/>
      <c r="S11" s="4"/>
      <c r="T11" s="4"/>
    </row>
    <row r="12" spans="1:44" s="2" customFormat="1" ht="12.75">
      <c r="B12" s="4">
        <v>1</v>
      </c>
      <c r="C12" s="256"/>
      <c r="D12" s="7" t="s">
        <v>162</v>
      </c>
      <c r="E12" s="4"/>
      <c r="F12" s="35">
        <v>2210008.0985691352</v>
      </c>
      <c r="G12" s="35"/>
      <c r="H12" s="35">
        <f>'Schedule 18 pp.1- 3'!X12-'Schedule 18 pp.1- 3'!H12</f>
        <v>24131.630023635953</v>
      </c>
      <c r="I12" s="35"/>
      <c r="J12" s="35">
        <f>'Schedule 18 pp.1- 3'!AB12-'Schedule 18 pp.1- 3'!J12</f>
        <v>-54.64957319171117</v>
      </c>
      <c r="K12" s="35"/>
      <c r="L12" s="35">
        <f>'Schedule 18 pp.1- 3'!AD12-'Schedule 18 pp.1- 3'!N12</f>
        <v>-86.787416670748257</v>
      </c>
      <c r="M12" s="35"/>
      <c r="N12" s="35">
        <f>'Schedule 18 pp.1- 3'!AF12-'Schedule 18 pp.1- 3'!P12</f>
        <v>1249.5984855129336</v>
      </c>
      <c r="O12" s="35"/>
      <c r="P12" s="35">
        <f>'Schedule 18 pp.1- 3'!AH12-'Schedule 18 pp.1- 3'!R12</f>
        <v>-639.48386239452157</v>
      </c>
      <c r="Q12" s="452"/>
      <c r="R12" s="68">
        <f>'Schedule 18 pp.1- 3'!V12</f>
        <v>26282.828627243453</v>
      </c>
      <c r="S12" s="68"/>
      <c r="T12" s="68">
        <v>0</v>
      </c>
      <c r="V12" s="68">
        <f>H12+J12+L12+N12+P12+R12+T12</f>
        <v>50883.136284135362</v>
      </c>
      <c r="X12" s="460">
        <f t="shared" ref="X12:X21" si="0">R12/F12</f>
        <v>1.1892639056056043E-2</v>
      </c>
      <c r="Y12" s="460"/>
      <c r="Z12" s="460">
        <f t="shared" ref="Z12:Z20" si="1">H12/F12</f>
        <v>1.0919249589745812E-2</v>
      </c>
      <c r="AA12" s="460"/>
      <c r="AB12" s="460">
        <f t="shared" ref="AB12:AB21" si="2">J12/F12</f>
        <v>-2.472822304456437E-5</v>
      </c>
      <c r="AC12" s="460"/>
      <c r="AD12" s="460">
        <f t="shared" ref="AD12:AD21" si="3">L12/F12</f>
        <v>-3.9270180379401582E-5</v>
      </c>
      <c r="AE12" s="460"/>
      <c r="AF12" s="460">
        <f t="shared" ref="AF12:AF21" si="4">N12/F12</f>
        <v>5.6542710695131994E-4</v>
      </c>
      <c r="AG12" s="460"/>
      <c r="AH12" s="460">
        <f t="shared" ref="AH12:AH21" si="5">P12/F12</f>
        <v>-2.8935815339706402E-4</v>
      </c>
      <c r="AI12" s="460"/>
      <c r="AJ12" s="460" t="s">
        <v>948</v>
      </c>
      <c r="AK12" s="398"/>
      <c r="AL12" s="460">
        <f>SUM(X12:AJ12)</f>
        <v>2.3023959195932149E-2</v>
      </c>
      <c r="AP12" s="68"/>
      <c r="AQ12" s="68"/>
      <c r="AR12" s="400"/>
    </row>
    <row r="13" spans="1:44" s="2" customFormat="1" ht="12.75">
      <c r="B13" s="4">
        <f>MAX(B$3:B12)+1</f>
        <v>2</v>
      </c>
      <c r="C13" s="256"/>
      <c r="D13" s="7" t="s">
        <v>163</v>
      </c>
      <c r="E13" s="4"/>
      <c r="F13" s="35">
        <v>1191040.9980783353</v>
      </c>
      <c r="G13" s="35"/>
      <c r="H13" s="35">
        <f>'Schedule 18 pp.1- 3'!X13-'Schedule 18 pp.1- 3'!H13</f>
        <v>8049.2870303377385</v>
      </c>
      <c r="I13" s="35"/>
      <c r="J13" s="35">
        <f>'Schedule 18 pp.1- 3'!AB13-'Schedule 18 pp.1- 3'!J13</f>
        <v>-49.220549751478757</v>
      </c>
      <c r="K13" s="35"/>
      <c r="L13" s="35">
        <f>'Schedule 18 pp.1- 3'!AD13-'Schedule 18 pp.1- 3'!N13</f>
        <v>-83.110116295466526</v>
      </c>
      <c r="M13" s="35"/>
      <c r="N13" s="35">
        <f>'Schedule 18 pp.1- 3'!AF13-'Schedule 18 pp.1- 3'!P13</f>
        <v>1181.1392120103574</v>
      </c>
      <c r="O13" s="35"/>
      <c r="P13" s="35">
        <f>'Schedule 18 pp.1- 3'!AH13-'Schedule 18 pp.1- 3'!R13</f>
        <v>-521.68410225264051</v>
      </c>
      <c r="Q13" s="452"/>
      <c r="R13" s="68">
        <f>'Schedule 18 pp.1- 3'!V13</f>
        <v>11068.75807531771</v>
      </c>
      <c r="S13" s="68"/>
      <c r="T13" s="68">
        <v>0</v>
      </c>
      <c r="V13" s="68">
        <f t="shared" ref="V13:V23" si="6">H13+J13+L13+N13+P13+R13+T13</f>
        <v>19645.169549366219</v>
      </c>
      <c r="X13" s="460">
        <f t="shared" si="0"/>
        <v>9.2933476624032316E-3</v>
      </c>
      <c r="Y13" s="460"/>
      <c r="Z13" s="460">
        <f t="shared" si="1"/>
        <v>6.7581947584715576E-3</v>
      </c>
      <c r="AA13" s="460"/>
      <c r="AB13" s="460">
        <f t="shared" si="2"/>
        <v>-4.1325655314042764E-5</v>
      </c>
      <c r="AC13" s="460"/>
      <c r="AD13" s="460">
        <f t="shared" si="3"/>
        <v>-6.9779391666247527E-5</v>
      </c>
      <c r="AE13" s="460"/>
      <c r="AF13" s="460">
        <f t="shared" si="4"/>
        <v>9.9168644397300016E-4</v>
      </c>
      <c r="AG13" s="460"/>
      <c r="AH13" s="460">
        <f t="shared" si="5"/>
        <v>-4.3800683863472607E-4</v>
      </c>
      <c r="AI13" s="460"/>
      <c r="AJ13" s="460" t="s">
        <v>948</v>
      </c>
      <c r="AK13" s="398"/>
      <c r="AL13" s="460">
        <f t="shared" ref="AL13:AL23" si="7">SUM(X13:AJ13)</f>
        <v>1.6494116979232771E-2</v>
      </c>
      <c r="AP13" s="68"/>
      <c r="AQ13" s="68"/>
      <c r="AR13" s="400"/>
    </row>
    <row r="14" spans="1:44" s="2" customFormat="1" ht="12.75">
      <c r="B14" s="4">
        <f>MAX(B$3:B13)+1</f>
        <v>3</v>
      </c>
      <c r="C14" s="256"/>
      <c r="D14" s="7" t="s">
        <v>164</v>
      </c>
      <c r="E14" s="4"/>
      <c r="F14" s="35">
        <v>5587.4928492138761</v>
      </c>
      <c r="G14" s="35"/>
      <c r="H14" s="35">
        <f>'Schedule 18 pp.1- 3'!X14-'Schedule 18 pp.1- 3'!H14</f>
        <v>272.41532868845394</v>
      </c>
      <c r="I14" s="35"/>
      <c r="J14" s="35">
        <f>'Schedule 18 pp.1- 3'!AB14-'Schedule 18 pp.1- 3'!J14</f>
        <v>0</v>
      </c>
      <c r="K14" s="35"/>
      <c r="L14" s="35">
        <f>'Schedule 18 pp.1- 3'!AD14-'Schedule 18 pp.1- 3'!N14</f>
        <v>-0.47500015438233856</v>
      </c>
      <c r="M14" s="35"/>
      <c r="N14" s="35">
        <f>'Schedule 18 pp.1- 3'!AF14-'Schedule 18 pp.1- 3'!P14</f>
        <v>5.589362272404145</v>
      </c>
      <c r="O14" s="35"/>
      <c r="P14" s="35">
        <f>'Schedule 18 pp.1- 3'!AH14-'Schedule 18 pp.1- 3'!R14</f>
        <v>0</v>
      </c>
      <c r="Q14" s="452"/>
      <c r="R14" s="68">
        <f>'Schedule 18 pp.1- 3'!V14</f>
        <v>55.559014001954267</v>
      </c>
      <c r="S14" s="68"/>
      <c r="T14" s="68">
        <v>0</v>
      </c>
      <c r="V14" s="68">
        <f t="shared" si="6"/>
        <v>333.08870480843001</v>
      </c>
      <c r="X14" s="460">
        <f t="shared" si="0"/>
        <v>9.9434604215683352E-3</v>
      </c>
      <c r="Y14" s="460"/>
      <c r="Z14" s="460">
        <f t="shared" si="1"/>
        <v>4.8754483636928685E-2</v>
      </c>
      <c r="AA14" s="460"/>
      <c r="AB14" s="460">
        <f t="shared" si="2"/>
        <v>0</v>
      </c>
      <c r="AC14" s="460"/>
      <c r="AD14" s="460">
        <f t="shared" si="3"/>
        <v>-8.5011322108299075E-5</v>
      </c>
      <c r="AE14" s="460"/>
      <c r="AF14" s="460">
        <f t="shared" si="4"/>
        <v>1.0003345728112265E-3</v>
      </c>
      <c r="AG14" s="460"/>
      <c r="AH14" s="460">
        <f t="shared" si="5"/>
        <v>0</v>
      </c>
      <c r="AI14" s="460"/>
      <c r="AJ14" s="460" t="s">
        <v>948</v>
      </c>
      <c r="AK14" s="398"/>
      <c r="AL14" s="460">
        <f t="shared" si="7"/>
        <v>5.9613267309199948E-2</v>
      </c>
      <c r="AP14" s="68"/>
      <c r="AQ14" s="68"/>
      <c r="AR14" s="400"/>
    </row>
    <row r="15" spans="1:44" s="2" customFormat="1" ht="12.75">
      <c r="B15" s="4">
        <f>MAX(B$3:B14)+1</f>
        <v>4</v>
      </c>
      <c r="C15" s="256"/>
      <c r="D15" s="7" t="s">
        <v>165</v>
      </c>
      <c r="E15" s="4"/>
      <c r="F15" s="35">
        <v>68051.261389183273</v>
      </c>
      <c r="G15" s="35"/>
      <c r="H15" s="35">
        <f>'Schedule 18 pp.1- 3'!X15-'Schedule 18 pp.1- 3'!H15</f>
        <v>-120.61871235205854</v>
      </c>
      <c r="I15" s="35"/>
      <c r="J15" s="35">
        <f>'Schedule 18 pp.1- 3'!AB15-'Schedule 18 pp.1- 3'!J15</f>
        <v>-2.52904361874198</v>
      </c>
      <c r="K15" s="35"/>
      <c r="L15" s="35">
        <f>'Schedule 18 pp.1- 3'!AD15-'Schedule 18 pp.1- 3'!N15</f>
        <v>-18.499798799756547</v>
      </c>
      <c r="M15" s="35"/>
      <c r="N15" s="35">
        <f>'Schedule 18 pp.1- 3'!AF15-'Schedule 18 pp.1- 3'!P15</f>
        <v>228.54817521489213</v>
      </c>
      <c r="O15" s="35"/>
      <c r="P15" s="35">
        <f>'Schedule 18 pp.1- 3'!AH15-'Schedule 18 pp.1- 3'!R15</f>
        <v>-15.30234188721451</v>
      </c>
      <c r="Q15" s="452"/>
      <c r="R15" s="68">
        <f>'Schedule 18 pp.1- 3'!V15</f>
        <v>903.21223736244065</v>
      </c>
      <c r="S15" s="68"/>
      <c r="T15" s="68">
        <v>0</v>
      </c>
      <c r="V15" s="68">
        <f t="shared" si="6"/>
        <v>974.81051591956123</v>
      </c>
      <c r="X15" s="460">
        <f t="shared" si="0"/>
        <v>1.3272527487727155E-2</v>
      </c>
      <c r="Y15" s="460"/>
      <c r="Z15" s="460">
        <f t="shared" si="1"/>
        <v>-1.7724684287958085E-3</v>
      </c>
      <c r="AA15" s="460"/>
      <c r="AB15" s="460">
        <f t="shared" si="2"/>
        <v>-3.7163802214898707E-5</v>
      </c>
      <c r="AC15" s="460"/>
      <c r="AD15" s="460">
        <f t="shared" si="3"/>
        <v>-2.718509315199422E-4</v>
      </c>
      <c r="AE15" s="460"/>
      <c r="AF15" s="460">
        <f t="shared" si="4"/>
        <v>3.3584708137565805E-3</v>
      </c>
      <c r="AG15" s="460"/>
      <c r="AH15" s="460">
        <f t="shared" si="5"/>
        <v>-2.2486492645155894E-4</v>
      </c>
      <c r="AI15" s="460"/>
      <c r="AJ15" s="460" t="s">
        <v>948</v>
      </c>
      <c r="AK15" s="398"/>
      <c r="AL15" s="460">
        <f t="shared" si="7"/>
        <v>1.4324650212501526E-2</v>
      </c>
      <c r="AP15" s="68"/>
      <c r="AQ15" s="68"/>
      <c r="AR15" s="400"/>
    </row>
    <row r="16" spans="1:44" s="2" customFormat="1" ht="12.75">
      <c r="B16" s="4">
        <f>MAX(B$3:B15)+1</f>
        <v>5</v>
      </c>
      <c r="C16" s="256"/>
      <c r="D16" s="7" t="s">
        <v>166</v>
      </c>
      <c r="E16" s="4"/>
      <c r="F16" s="35">
        <v>9493.6962365030449</v>
      </c>
      <c r="G16" s="35"/>
      <c r="H16" s="35">
        <f>'Schedule 18 pp.1- 3'!X16-'Schedule 18 pp.1- 3'!H16</f>
        <v>-388.31824212811625</v>
      </c>
      <c r="I16" s="35"/>
      <c r="J16" s="35">
        <f>'Schedule 18 pp.1- 3'!AB16-'Schedule 18 pp.1- 3'!J16</f>
        <v>-0.30481616292445324</v>
      </c>
      <c r="K16" s="35"/>
      <c r="L16" s="35">
        <f>'Schedule 18 pp.1- 3'!AD16-'Schedule 18 pp.1- 3'!N16</f>
        <v>-6.6130275584731848</v>
      </c>
      <c r="M16" s="35"/>
      <c r="N16" s="35">
        <f>'Schedule 18 pp.1- 3'!AF16-'Schedule 18 pp.1- 3'!P16</f>
        <v>78.918292905468661</v>
      </c>
      <c r="O16" s="35"/>
      <c r="P16" s="35">
        <f>'Schedule 18 pp.1- 3'!AH16-'Schedule 18 pp.1- 3'!R16</f>
        <v>-2.1704878889124615</v>
      </c>
      <c r="Q16" s="452"/>
      <c r="R16" s="68">
        <f>'Schedule 18 pp.1- 3'!V16</f>
        <v>146.33212944935784</v>
      </c>
      <c r="S16" s="68"/>
      <c r="T16" s="68">
        <v>0</v>
      </c>
      <c r="V16" s="68">
        <f t="shared" si="6"/>
        <v>-172.15615138359985</v>
      </c>
      <c r="X16" s="460">
        <f t="shared" si="0"/>
        <v>1.5413609810551357E-2</v>
      </c>
      <c r="Y16" s="460"/>
      <c r="Z16" s="460">
        <f t="shared" si="1"/>
        <v>-4.0902745617143459E-2</v>
      </c>
      <c r="AA16" s="460"/>
      <c r="AB16" s="460">
        <f t="shared" si="2"/>
        <v>-3.2107216760574458E-5</v>
      </c>
      <c r="AC16" s="460"/>
      <c r="AD16" s="460">
        <f t="shared" si="3"/>
        <v>-6.9657037614562017E-4</v>
      </c>
      <c r="AE16" s="460"/>
      <c r="AF16" s="460">
        <f t="shared" si="4"/>
        <v>8.3127046557514277E-3</v>
      </c>
      <c r="AG16" s="460"/>
      <c r="AH16" s="460">
        <f t="shared" si="5"/>
        <v>-2.2862411381638535E-4</v>
      </c>
      <c r="AI16" s="460"/>
      <c r="AJ16" s="460" t="s">
        <v>948</v>
      </c>
      <c r="AK16" s="398"/>
      <c r="AL16" s="460">
        <f t="shared" si="7"/>
        <v>-1.8133732857563253E-2</v>
      </c>
      <c r="AP16" s="68"/>
      <c r="AQ16" s="68"/>
      <c r="AR16" s="400"/>
    </row>
    <row r="17" spans="2:44" s="2" customFormat="1" ht="12.75">
      <c r="B17" s="4">
        <f>MAX(B$3:B16)+1</f>
        <v>6</v>
      </c>
      <c r="C17" s="256"/>
      <c r="D17" s="7" t="s">
        <v>167</v>
      </c>
      <c r="E17" s="4"/>
      <c r="F17" s="35">
        <v>13074.499676417412</v>
      </c>
      <c r="G17" s="35"/>
      <c r="H17" s="35">
        <f>'Schedule 18 pp.1- 3'!X17-'Schedule 18 pp.1- 3'!H17</f>
        <v>8.2347324207506745</v>
      </c>
      <c r="I17" s="35"/>
      <c r="J17" s="35">
        <f>'Schedule 18 pp.1- 3'!AB17-'Schedule 18 pp.1- 3'!J17</f>
        <v>0</v>
      </c>
      <c r="K17" s="35"/>
      <c r="L17" s="35">
        <f>'Schedule 18 pp.1- 3'!AD17-'Schedule 18 pp.1- 3'!N17</f>
        <v>0</v>
      </c>
      <c r="M17" s="35"/>
      <c r="N17" s="35">
        <f>'Schedule 18 pp.1- 3'!AF17-'Schedule 18 pp.1- 3'!P17</f>
        <v>129.58683590787916</v>
      </c>
      <c r="O17" s="35"/>
      <c r="P17" s="35">
        <f>'Schedule 18 pp.1- 3'!AH17-'Schedule 18 pp.1- 3'!R17</f>
        <v>0</v>
      </c>
      <c r="Q17" s="452"/>
      <c r="R17" s="68">
        <f>'Schedule 18 pp.1- 3'!V17</f>
        <v>332.20642079423192</v>
      </c>
      <c r="S17" s="68"/>
      <c r="T17" s="68">
        <v>0</v>
      </c>
      <c r="V17" s="68">
        <f t="shared" si="6"/>
        <v>470.02798912286175</v>
      </c>
      <c r="X17" s="460">
        <f t="shared" si="0"/>
        <v>2.5408729130448907E-2</v>
      </c>
      <c r="Y17" s="460"/>
      <c r="Z17" s="460">
        <f t="shared" si="1"/>
        <v>6.2983155184161523E-4</v>
      </c>
      <c r="AA17" s="460"/>
      <c r="AB17" s="460">
        <f t="shared" si="2"/>
        <v>0</v>
      </c>
      <c r="AC17" s="460"/>
      <c r="AD17" s="460">
        <f t="shared" si="3"/>
        <v>0</v>
      </c>
      <c r="AE17" s="460"/>
      <c r="AF17" s="460">
        <f t="shared" si="4"/>
        <v>9.9114183421959972E-3</v>
      </c>
      <c r="AG17" s="460"/>
      <c r="AH17" s="460">
        <f t="shared" si="5"/>
        <v>0</v>
      </c>
      <c r="AI17" s="460"/>
      <c r="AJ17" s="460" t="s">
        <v>948</v>
      </c>
      <c r="AK17" s="398"/>
      <c r="AL17" s="460">
        <f t="shared" si="7"/>
        <v>3.5949979024486517E-2</v>
      </c>
      <c r="AP17" s="68"/>
      <c r="AQ17" s="68"/>
      <c r="AR17" s="400"/>
    </row>
    <row r="18" spans="2:44" s="2" customFormat="1" ht="12.75">
      <c r="B18" s="4">
        <f>MAX(B$3:B17)+1</f>
        <v>7</v>
      </c>
      <c r="C18" s="256"/>
      <c r="D18" s="7" t="s">
        <v>168</v>
      </c>
      <c r="E18" s="4"/>
      <c r="F18" s="35">
        <v>2310.4304437860669</v>
      </c>
      <c r="G18" s="35"/>
      <c r="H18" s="35">
        <f>'Schedule 18 pp.1- 3'!X18-'Schedule 18 pp.1- 3'!H18</f>
        <v>707.55397371796948</v>
      </c>
      <c r="I18" s="35"/>
      <c r="J18" s="35">
        <f>'Schedule 18 pp.1- 3'!AB18-'Schedule 18 pp.1- 3'!J18</f>
        <v>0</v>
      </c>
      <c r="K18" s="35"/>
      <c r="L18" s="35">
        <f>'Schedule 18 pp.1- 3'!AD18-'Schedule 18 pp.1- 3'!N18</f>
        <v>-0.9116978461266676</v>
      </c>
      <c r="M18" s="35"/>
      <c r="N18" s="35">
        <f>'Schedule 18 pp.1- 3'!AF18-'Schedule 18 pp.1- 3'!P18</f>
        <v>10.728016607907875</v>
      </c>
      <c r="O18" s="35"/>
      <c r="P18" s="35">
        <f>'Schedule 18 pp.1- 3'!AH18-'Schedule 18 pp.1- 3'!R18</f>
        <v>0</v>
      </c>
      <c r="Q18" s="452"/>
      <c r="R18" s="68">
        <f>'Schedule 18 pp.1- 3'!V18</f>
        <v>32.052927143164091</v>
      </c>
      <c r="S18" s="68"/>
      <c r="T18" s="68">
        <v>0</v>
      </c>
      <c r="V18" s="68">
        <f t="shared" si="6"/>
        <v>749.42321962291476</v>
      </c>
      <c r="X18" s="460">
        <f t="shared" si="0"/>
        <v>1.3873140924614658E-2</v>
      </c>
      <c r="Y18" s="460"/>
      <c r="Z18" s="460">
        <f t="shared" si="1"/>
        <v>0.30624335634987204</v>
      </c>
      <c r="AA18" s="460"/>
      <c r="AB18" s="460">
        <f t="shared" si="2"/>
        <v>0</v>
      </c>
      <c r="AC18" s="460"/>
      <c r="AD18" s="460">
        <f t="shared" si="3"/>
        <v>-3.9460086261358397E-4</v>
      </c>
      <c r="AE18" s="460"/>
      <c r="AF18" s="460">
        <f t="shared" si="4"/>
        <v>4.6432978048575393E-3</v>
      </c>
      <c r="AG18" s="460"/>
      <c r="AH18" s="460">
        <f t="shared" si="5"/>
        <v>0</v>
      </c>
      <c r="AI18" s="460"/>
      <c r="AJ18" s="460" t="s">
        <v>948</v>
      </c>
      <c r="AK18" s="398"/>
      <c r="AL18" s="460">
        <f t="shared" si="7"/>
        <v>0.32436519421673071</v>
      </c>
      <c r="AP18" s="68"/>
      <c r="AQ18" s="68"/>
      <c r="AR18" s="400"/>
    </row>
    <row r="19" spans="2:44" s="2" customFormat="1" ht="12.75">
      <c r="B19" s="4">
        <f>MAX(B$3:B18)+1</f>
        <v>8</v>
      </c>
      <c r="C19" s="256"/>
      <c r="D19" s="7" t="s">
        <v>169</v>
      </c>
      <c r="E19" s="4"/>
      <c r="F19" s="35">
        <v>1802.0488245146307</v>
      </c>
      <c r="G19" s="35"/>
      <c r="H19" s="35">
        <f>'Schedule 18 pp.1- 3'!X19-'Schedule 18 pp.1- 3'!H19</f>
        <v>-887.74568012094335</v>
      </c>
      <c r="I19" s="35"/>
      <c r="J19" s="35">
        <f>'Schedule 18 pp.1- 3'!AB19-'Schedule 18 pp.1- 3'!J19</f>
        <v>-8.2766244226228025E-2</v>
      </c>
      <c r="K19" s="35"/>
      <c r="L19" s="35">
        <f>'Schedule 18 pp.1- 3'!AD19-'Schedule 18 pp.1- 3'!N19</f>
        <v>-0.27211898364148546</v>
      </c>
      <c r="M19" s="35"/>
      <c r="N19" s="35">
        <f>'Schedule 18 pp.1- 3'!AF19-'Schedule 18 pp.1- 3'!P19</f>
        <v>3.5425876411774126</v>
      </c>
      <c r="O19" s="35"/>
      <c r="P19" s="35">
        <f>'Schedule 18 pp.1- 3'!AH19-'Schedule 18 pp.1- 3'!R19</f>
        <v>-0.47985925286487863</v>
      </c>
      <c r="Q19" s="452"/>
      <c r="R19" s="68">
        <f>'Schedule 18 pp.1- 3'!V19</f>
        <v>18.823911078746807</v>
      </c>
      <c r="S19" s="68"/>
      <c r="T19" s="68">
        <v>321.49455207553819</v>
      </c>
      <c r="V19" s="68">
        <f t="shared" si="6"/>
        <v>-544.71937380621353</v>
      </c>
      <c r="X19" s="460">
        <f t="shared" si="0"/>
        <v>1.0445838549250682E-2</v>
      </c>
      <c r="Y19" s="460"/>
      <c r="Z19" s="460">
        <f t="shared" si="1"/>
        <v>-0.49263131389353532</v>
      </c>
      <c r="AA19" s="460"/>
      <c r="AB19" s="460">
        <f t="shared" si="2"/>
        <v>-4.5928968793906308E-5</v>
      </c>
      <c r="AC19" s="460"/>
      <c r="AD19" s="460">
        <f t="shared" si="3"/>
        <v>-1.510053334513724E-4</v>
      </c>
      <c r="AE19" s="460"/>
      <c r="AF19" s="460">
        <f t="shared" si="4"/>
        <v>1.9658666252461744E-3</v>
      </c>
      <c r="AG19" s="460"/>
      <c r="AH19" s="460">
        <f t="shared" si="5"/>
        <v>-2.6628537825223764E-4</v>
      </c>
      <c r="AI19" s="460"/>
      <c r="AJ19" s="460">
        <f>T19/F19</f>
        <v>0.17840501750119367</v>
      </c>
      <c r="AK19" s="398"/>
      <c r="AL19" s="460">
        <f t="shared" si="7"/>
        <v>-0.30227781089834227</v>
      </c>
      <c r="AP19" s="68"/>
      <c r="AQ19" s="68"/>
      <c r="AR19" s="400"/>
    </row>
    <row r="20" spans="2:44" s="2" customFormat="1" ht="12.75">
      <c r="B20" s="4">
        <f>MAX(B$3:B19)+1</f>
        <v>9</v>
      </c>
      <c r="C20" s="256"/>
      <c r="D20" s="7" t="s">
        <v>170</v>
      </c>
      <c r="E20" s="4"/>
      <c r="F20" s="35">
        <v>2264.6184227117315</v>
      </c>
      <c r="G20" s="35"/>
      <c r="H20" s="35">
        <f>'Schedule 18 pp.1- 3'!X20-'Schedule 18 pp.1- 3'!H20</f>
        <v>-2000.6891402187907</v>
      </c>
      <c r="I20" s="35"/>
      <c r="J20" s="35">
        <f>'Schedule 18 pp.1- 3'!AB20-'Schedule 18 pp.1- 3'!J20</f>
        <v>-0.74716259772873173</v>
      </c>
      <c r="K20" s="35"/>
      <c r="L20" s="35">
        <f>'Schedule 18 pp.1- 3'!AD20-'Schedule 18 pp.1- 3'!N20</f>
        <v>-5.5978979261283044</v>
      </c>
      <c r="M20" s="35"/>
      <c r="N20" s="35">
        <f>'Schedule 18 pp.1- 3'!AF20-'Schedule 18 pp.1- 3'!P20</f>
        <v>69.011308246359476</v>
      </c>
      <c r="O20" s="35"/>
      <c r="P20" s="35">
        <f>'Schedule 18 pp.1- 3'!AH20-'Schedule 18 pp.1- 3'!R20</f>
        <v>-4.4251713715177488</v>
      </c>
      <c r="Q20" s="452"/>
      <c r="R20" s="68">
        <f>'Schedule 18 pp.1- 3'!V20</f>
        <v>63.560504774719455</v>
      </c>
      <c r="S20" s="68"/>
      <c r="T20" s="68">
        <v>1720.9025335268348</v>
      </c>
      <c r="V20" s="68">
        <f t="shared" si="6"/>
        <v>-157.98502556625181</v>
      </c>
      <c r="X20" s="460">
        <f t="shared" si="0"/>
        <v>2.8066761330418719E-2</v>
      </c>
      <c r="Y20" s="460"/>
      <c r="Z20" s="460">
        <f t="shared" si="1"/>
        <v>-0.88345529655415289</v>
      </c>
      <c r="AA20" s="460"/>
      <c r="AB20" s="460">
        <f t="shared" si="2"/>
        <v>-3.2992869360925434E-4</v>
      </c>
      <c r="AC20" s="460"/>
      <c r="AD20" s="460">
        <f t="shared" si="3"/>
        <v>-2.4718945452299156E-3</v>
      </c>
      <c r="AE20" s="460"/>
      <c r="AF20" s="460">
        <f t="shared" si="4"/>
        <v>3.0473702569160849E-2</v>
      </c>
      <c r="AG20" s="460"/>
      <c r="AH20" s="460">
        <f t="shared" si="5"/>
        <v>-1.9540472368934003E-3</v>
      </c>
      <c r="AI20" s="460"/>
      <c r="AJ20" s="460">
        <f>T20/F20</f>
        <v>0.75990838733271771</v>
      </c>
      <c r="AK20" s="398"/>
      <c r="AL20" s="460">
        <f t="shared" si="7"/>
        <v>-6.9762315797588181E-2</v>
      </c>
      <c r="AP20" s="68"/>
      <c r="AQ20" s="68"/>
      <c r="AR20" s="400"/>
    </row>
    <row r="21" spans="2:44" s="2" customFormat="1" ht="12.75">
      <c r="B21" s="4">
        <f>MAX(B$3:B20)+1</f>
        <v>10</v>
      </c>
      <c r="C21" s="256"/>
      <c r="D21" s="7" t="s">
        <v>171</v>
      </c>
      <c r="E21" s="4"/>
      <c r="F21" s="35">
        <v>38608.05887712157</v>
      </c>
      <c r="G21" s="35"/>
      <c r="H21" s="35">
        <f>'Schedule 18 pp.1- 3'!X21-'Schedule 18 pp.1- 3'!H21</f>
        <v>1.5067305098483317</v>
      </c>
      <c r="I21" s="35"/>
      <c r="J21" s="35">
        <f>'Schedule 18 pp.1- 3'!AB21-'Schedule 18 pp.1- 3'!J21</f>
        <v>-1.9049678301893209</v>
      </c>
      <c r="K21" s="35"/>
      <c r="L21" s="35">
        <f>'Schedule 18 pp.1- 3'!AD21-'Schedule 18 pp.1- 3'!N21</f>
        <v>-3.2704179019861925</v>
      </c>
      <c r="M21" s="35"/>
      <c r="N21" s="35">
        <f>'Schedule 18 pp.1- 3'!AF21-'Schedule 18 pp.1- 3'!P21</f>
        <v>46.441828441621169</v>
      </c>
      <c r="O21" s="35"/>
      <c r="P21" s="35">
        <f>'Schedule 18 pp.1- 3'!AH21-'Schedule 18 pp.1- 3'!R21</f>
        <v>-16.124898100377862</v>
      </c>
      <c r="Q21" s="452"/>
      <c r="R21" s="68">
        <f>'Schedule 18 pp.1- 3'!V21</f>
        <v>123.92922228622955</v>
      </c>
      <c r="S21" s="68"/>
      <c r="T21" s="68">
        <v>0</v>
      </c>
      <c r="V21" s="68">
        <f t="shared" si="6"/>
        <v>150.57749740514566</v>
      </c>
      <c r="X21" s="460">
        <f t="shared" si="0"/>
        <v>3.2099314467132598E-3</v>
      </c>
      <c r="Y21" s="460"/>
      <c r="Z21" s="460">
        <f>H21/F21</f>
        <v>3.9026321282917244E-5</v>
      </c>
      <c r="AA21" s="460"/>
      <c r="AB21" s="460">
        <f t="shared" si="2"/>
        <v>-4.9341196775841275E-5</v>
      </c>
      <c r="AC21" s="460"/>
      <c r="AD21" s="460">
        <f t="shared" si="3"/>
        <v>-8.4708167079702168E-5</v>
      </c>
      <c r="AE21" s="460"/>
      <c r="AF21" s="460">
        <f t="shared" si="4"/>
        <v>1.2029050356929948E-3</v>
      </c>
      <c r="AG21" s="460"/>
      <c r="AH21" s="460">
        <f t="shared" si="5"/>
        <v>-4.176562761598248E-4</v>
      </c>
      <c r="AI21" s="460"/>
      <c r="AJ21" s="460" t="s">
        <v>948</v>
      </c>
      <c r="AK21" s="398"/>
      <c r="AL21" s="460">
        <f t="shared" si="7"/>
        <v>3.9001571636738033E-3</v>
      </c>
      <c r="AP21" s="68"/>
      <c r="AQ21" s="68"/>
      <c r="AR21" s="400"/>
    </row>
    <row r="22" spans="2:44" s="2" customFormat="1" ht="12.75">
      <c r="B22" s="4">
        <f>MAX(B$3:B21)+1</f>
        <v>11</v>
      </c>
      <c r="C22" s="256"/>
      <c r="D22" s="7" t="s">
        <v>455</v>
      </c>
      <c r="E22" s="4"/>
      <c r="F22" s="35">
        <v>0</v>
      </c>
      <c r="G22" s="35"/>
      <c r="H22" s="136"/>
      <c r="I22" s="35"/>
      <c r="J22" s="35">
        <f>'Schedule 18 pp.1- 3'!AB22-'Schedule 18 pp.1- 3'!J22</f>
        <v>0</v>
      </c>
      <c r="K22" s="35"/>
      <c r="L22" s="35">
        <f>'Schedule 18 pp.1- 3'!AD22-'Schedule 18 pp.1- 3'!N22</f>
        <v>0</v>
      </c>
      <c r="M22" s="35"/>
      <c r="N22" s="35">
        <f>'Schedule 18 pp.1- 3'!AF22-'Schedule 18 pp.1- 3'!P22</f>
        <v>0</v>
      </c>
      <c r="O22" s="35"/>
      <c r="P22" s="35">
        <f>'Schedule 18 pp.1- 3'!AH22-'Schedule 18 pp.1- 3'!R22</f>
        <v>0</v>
      </c>
      <c r="Q22" s="144"/>
      <c r="R22" s="68">
        <f>'Schedule 18 pp.1- 3'!V22</f>
        <v>0</v>
      </c>
      <c r="S22" s="68"/>
      <c r="T22" s="68">
        <v>0</v>
      </c>
      <c r="V22" s="68">
        <f t="shared" si="6"/>
        <v>0</v>
      </c>
      <c r="X22" s="460">
        <v>0</v>
      </c>
      <c r="Y22" s="460"/>
      <c r="Z22" s="460">
        <v>0</v>
      </c>
      <c r="AA22" s="460"/>
      <c r="AB22" s="460">
        <v>0</v>
      </c>
      <c r="AC22" s="460"/>
      <c r="AD22" s="460">
        <v>0</v>
      </c>
      <c r="AE22" s="460"/>
      <c r="AF22" s="460">
        <v>0</v>
      </c>
      <c r="AG22" s="460"/>
      <c r="AH22" s="460">
        <v>0</v>
      </c>
      <c r="AI22" s="460"/>
      <c r="AJ22" s="460" t="s">
        <v>948</v>
      </c>
      <c r="AK22" s="398"/>
      <c r="AL22" s="460">
        <f t="shared" ref="AL22" si="8">SUM(X22:AH22)</f>
        <v>0</v>
      </c>
      <c r="AP22" s="68"/>
      <c r="AQ22" s="68"/>
      <c r="AR22" s="400"/>
    </row>
    <row r="23" spans="2:44" s="2" customFormat="1" ht="12.75">
      <c r="B23" s="4">
        <f>MAX(B$3:B22)+1</f>
        <v>12</v>
      </c>
      <c r="C23" s="256"/>
      <c r="D23" s="2" t="s">
        <v>467</v>
      </c>
      <c r="E23" s="4"/>
      <c r="F23" s="137">
        <f>SUM(F12:F22)</f>
        <v>3542241.2033669222</v>
      </c>
      <c r="G23" s="453"/>
      <c r="H23" s="137">
        <f>SUM(H12:H22)</f>
        <v>29773.256044490805</v>
      </c>
      <c r="I23" s="453"/>
      <c r="J23" s="137">
        <f>SUM(J12:J22)</f>
        <v>-109.43887939700065</v>
      </c>
      <c r="K23" s="453"/>
      <c r="L23" s="137">
        <f>SUM(L12:L22)</f>
        <v>-205.53749213670949</v>
      </c>
      <c r="M23" s="453"/>
      <c r="N23" s="137">
        <f>SUM(N12:N22)</f>
        <v>3003.1041047610011</v>
      </c>
      <c r="O23" s="453"/>
      <c r="P23" s="137">
        <f>SUM(P12:P22)</f>
        <v>-1199.6707231480493</v>
      </c>
      <c r="Q23" s="67"/>
      <c r="R23" s="137">
        <f>SUM(R12:R22)</f>
        <v>39027.263069452012</v>
      </c>
      <c r="S23" s="453"/>
      <c r="T23" s="137">
        <f>SUM(T12:T22)</f>
        <v>2042.397085602373</v>
      </c>
      <c r="V23" s="416">
        <f t="shared" si="6"/>
        <v>72331.37320962442</v>
      </c>
      <c r="X23" s="406">
        <f>(R23/F23)</f>
        <v>1.1017675203020156E-2</v>
      </c>
      <c r="Y23" s="135"/>
      <c r="Z23" s="401">
        <f>H23/F23</f>
        <v>8.4052029026682705E-3</v>
      </c>
      <c r="AA23" s="399"/>
      <c r="AB23" s="401">
        <f>J23/F23</f>
        <v>-3.0895377562933407E-5</v>
      </c>
      <c r="AC23" s="399"/>
      <c r="AD23" s="401">
        <f>L23/F23</f>
        <v>-5.8024702536164062E-5</v>
      </c>
      <c r="AE23" s="399"/>
      <c r="AF23" s="401">
        <f>N23/F23</f>
        <v>8.4779774508481575E-4</v>
      </c>
      <c r="AG23" s="399"/>
      <c r="AH23" s="401">
        <f>P23/F23</f>
        <v>-3.3867561644524796E-4</v>
      </c>
      <c r="AI23" s="402"/>
      <c r="AJ23" s="461">
        <f>T23/F23</f>
        <v>5.7658328960237429E-4</v>
      </c>
      <c r="AK23" s="402"/>
      <c r="AL23" s="461">
        <f t="shared" si="7"/>
        <v>2.0419663443831271E-2</v>
      </c>
      <c r="AO23" s="397"/>
      <c r="AP23" s="68"/>
      <c r="AQ23" s="68"/>
      <c r="AR23" s="400"/>
    </row>
    <row r="24" spans="2:44" s="2" customFormat="1" ht="12.75">
      <c r="B24" s="4"/>
      <c r="C24" s="256"/>
      <c r="D24" s="256"/>
      <c r="E24" s="4"/>
      <c r="F24" s="138"/>
      <c r="G24" s="138"/>
      <c r="H24" s="453"/>
      <c r="I24" s="138"/>
      <c r="J24" s="138"/>
      <c r="K24" s="138"/>
      <c r="L24" s="453"/>
      <c r="M24" s="138"/>
      <c r="N24" s="138"/>
      <c r="O24" s="138"/>
      <c r="P24" s="454"/>
      <c r="Q24" s="67"/>
      <c r="R24" s="4"/>
      <c r="S24" s="4"/>
      <c r="T24" s="4"/>
      <c r="V24" s="68"/>
      <c r="X24" s="135"/>
      <c r="Y24" s="135"/>
      <c r="Z24" s="135"/>
      <c r="AA24" s="135"/>
      <c r="AB24" s="135"/>
      <c r="AC24" s="135"/>
      <c r="AD24" s="135"/>
      <c r="AE24" s="135"/>
    </row>
    <row r="25" spans="2:44" s="2" customFormat="1" ht="12.75">
      <c r="B25" s="4"/>
      <c r="C25" s="256"/>
      <c r="D25" s="6" t="s">
        <v>172</v>
      </c>
      <c r="E25" s="4"/>
      <c r="F25" s="138"/>
      <c r="G25" s="138"/>
      <c r="H25" s="453"/>
      <c r="I25" s="138"/>
      <c r="J25" s="138"/>
      <c r="K25" s="138"/>
      <c r="L25" s="453"/>
      <c r="M25" s="138"/>
      <c r="N25" s="138"/>
      <c r="O25" s="138"/>
      <c r="P25" s="66"/>
      <c r="Q25" s="67"/>
      <c r="R25" s="4"/>
      <c r="S25" s="4"/>
      <c r="T25" s="4"/>
      <c r="V25" s="68"/>
      <c r="X25" s="135"/>
      <c r="Y25" s="135"/>
      <c r="Z25" s="135"/>
      <c r="AA25" s="135"/>
      <c r="AB25" s="135"/>
      <c r="AC25" s="135"/>
      <c r="AD25" s="135"/>
      <c r="AE25" s="135"/>
    </row>
    <row r="26" spans="2:44" s="2" customFormat="1" ht="12.75">
      <c r="B26" s="4">
        <f>MAX(B$3:B25)+1</f>
        <v>13</v>
      </c>
      <c r="C26" s="256"/>
      <c r="D26" s="7" t="s">
        <v>173</v>
      </c>
      <c r="E26" s="4"/>
      <c r="F26" s="35">
        <v>469533.79413068452</v>
      </c>
      <c r="G26" s="35"/>
      <c r="H26" s="35">
        <f>'Schedule 18 pp.1- 3'!X26-'Schedule 18 pp.1- 3'!H26</f>
        <v>6220.3570731690179</v>
      </c>
      <c r="I26" s="35"/>
      <c r="J26" s="35">
        <f>'Schedule 18 pp.1- 3'!AB26-'Schedule 18 pp.1- 3'!J26</f>
        <v>-77.646268899000916</v>
      </c>
      <c r="K26" s="35"/>
      <c r="L26" s="35">
        <f>'Schedule 18 pp.1- 3'!AD26-'Schedule 18 pp.1- 3'!N26</f>
        <v>-39.704848028485003</v>
      </c>
      <c r="M26" s="35"/>
      <c r="N26" s="35">
        <f>'Schedule 18 pp.1- 3'!AF26-'Schedule 18 pp.1- 3'!P26</f>
        <v>95.916056076444079</v>
      </c>
      <c r="O26" s="35"/>
      <c r="P26" s="35">
        <f>'Schedule 18 pp.1- 3'!AH26-'Schedule 18 pp.1- 3'!R26</f>
        <v>2.090916289474535</v>
      </c>
      <c r="Q26" s="452"/>
      <c r="R26" s="68">
        <f>'Schedule 18 pp.1- 3'!V26</f>
        <v>5833.48858412355</v>
      </c>
      <c r="S26" s="68"/>
      <c r="T26" s="68">
        <v>0</v>
      </c>
      <c r="V26" s="68">
        <f t="shared" ref="V26:V43" si="9">H26+J26+L26+N26+P26+R26</f>
        <v>12034.501512731</v>
      </c>
      <c r="X26" s="460">
        <f t="shared" ref="X26:X31" si="10">R26/F26</f>
        <v>1.242400154588218E-2</v>
      </c>
      <c r="Y26" s="460"/>
      <c r="Z26" s="460">
        <f t="shared" ref="Z26:Z31" si="11">H26/F26</f>
        <v>1.3247943281027642E-2</v>
      </c>
      <c r="AA26" s="460"/>
      <c r="AB26" s="460">
        <f t="shared" ref="AB26:AB31" si="12">J26/F26</f>
        <v>-1.6536886134630336E-4</v>
      </c>
      <c r="AC26" s="460"/>
      <c r="AD26" s="460">
        <f t="shared" ref="AD26:AD31" si="13">L26/F26</f>
        <v>-8.4562279701286039E-5</v>
      </c>
      <c r="AE26" s="460"/>
      <c r="AF26" s="460">
        <f t="shared" ref="AF26:AF31" si="14">N26/F26</f>
        <v>2.0427934533237863E-4</v>
      </c>
      <c r="AG26" s="460"/>
      <c r="AH26" s="460">
        <f t="shared" ref="AH26:AH31" si="15">P26/F26</f>
        <v>4.4531752892158685E-6</v>
      </c>
      <c r="AI26" s="460"/>
      <c r="AJ26" s="460" t="s">
        <v>948</v>
      </c>
      <c r="AK26" s="398"/>
      <c r="AL26" s="460">
        <f t="shared" ref="AL26:AL30" si="16">SUM(X26:AJ26)</f>
        <v>2.5630746206483826E-2</v>
      </c>
      <c r="AP26" s="68"/>
      <c r="AQ26" s="68"/>
      <c r="AR26" s="400"/>
    </row>
    <row r="27" spans="2:44" s="2" customFormat="1" ht="12.75">
      <c r="B27" s="4">
        <f>MAX(B$3:B26)+1</f>
        <v>14</v>
      </c>
      <c r="C27" s="256"/>
      <c r="D27" s="7" t="s">
        <v>174</v>
      </c>
      <c r="E27" s="4"/>
      <c r="F27" s="35">
        <v>85101.25513030446</v>
      </c>
      <c r="G27" s="35"/>
      <c r="H27" s="35">
        <f>'Schedule 18 pp.1- 3'!X27-'Schedule 18 pp.1- 3'!H27</f>
        <v>-1461.7858158785577</v>
      </c>
      <c r="I27" s="35"/>
      <c r="J27" s="35">
        <f>'Schedule 18 pp.1- 3'!AB27-'Schedule 18 pp.1- 3'!J27</f>
        <v>-20.359556545592568</v>
      </c>
      <c r="K27" s="35"/>
      <c r="L27" s="35">
        <f>'Schedule 18 pp.1- 3'!AD27-'Schedule 18 pp.1- 3'!N27</f>
        <v>-3.4235501223687308</v>
      </c>
      <c r="M27" s="35"/>
      <c r="N27" s="35">
        <f>'Schedule 18 pp.1- 3'!AF27-'Schedule 18 pp.1- 3'!P27</f>
        <v>29.325283927959219</v>
      </c>
      <c r="O27" s="35"/>
      <c r="P27" s="35">
        <f>'Schedule 18 pp.1- 3'!AH27-'Schedule 18 pp.1- 3'!R27</f>
        <v>0.65209340752880962</v>
      </c>
      <c r="Q27" s="452"/>
      <c r="R27" s="68">
        <f>'Schedule 18 pp.1- 3'!V27</f>
        <v>751.38661548193966</v>
      </c>
      <c r="S27" s="68"/>
      <c r="T27" s="68">
        <v>0</v>
      </c>
      <c r="V27" s="68">
        <f t="shared" si="9"/>
        <v>-704.2049297290913</v>
      </c>
      <c r="X27" s="460">
        <f t="shared" si="10"/>
        <v>8.8293247183186575E-3</v>
      </c>
      <c r="Y27" s="460"/>
      <c r="Z27" s="460">
        <f t="shared" si="11"/>
        <v>-1.7177018290039502E-2</v>
      </c>
      <c r="AA27" s="460"/>
      <c r="AB27" s="460">
        <f t="shared" si="12"/>
        <v>-2.3923920410361319E-4</v>
      </c>
      <c r="AC27" s="460"/>
      <c r="AD27" s="460">
        <f t="shared" si="13"/>
        <v>-4.0229137832652346E-5</v>
      </c>
      <c r="AE27" s="460"/>
      <c r="AF27" s="460">
        <f t="shared" si="14"/>
        <v>3.4459284863727608E-4</v>
      </c>
      <c r="AG27" s="460"/>
      <c r="AH27" s="460">
        <f t="shared" si="15"/>
        <v>7.6625592246594241E-6</v>
      </c>
      <c r="AI27" s="460"/>
      <c r="AJ27" s="460" t="s">
        <v>948</v>
      </c>
      <c r="AK27" s="398"/>
      <c r="AL27" s="460">
        <f t="shared" si="16"/>
        <v>-8.2749065057951734E-3</v>
      </c>
      <c r="AP27" s="68"/>
      <c r="AQ27" s="68"/>
      <c r="AR27" s="400"/>
    </row>
    <row r="28" spans="2:44" s="2" customFormat="1" ht="12.75">
      <c r="B28" s="4">
        <f>MAX(B$3:B27)+1</f>
        <v>15</v>
      </c>
      <c r="C28" s="256"/>
      <c r="D28" s="7" t="s">
        <v>175</v>
      </c>
      <c r="E28" s="4"/>
      <c r="F28" s="35">
        <v>40514.07925320814</v>
      </c>
      <c r="G28" s="35"/>
      <c r="H28" s="35">
        <f>'Schedule 18 pp.1- 3'!X28-'Schedule 18 pp.1- 3'!H28</f>
        <v>-611.26791391758366</v>
      </c>
      <c r="I28" s="35"/>
      <c r="J28" s="35">
        <f>'Schedule 18 pp.1- 3'!AB28-'Schedule 18 pp.1- 3'!J28</f>
        <v>-5.4584288697375314</v>
      </c>
      <c r="K28" s="35"/>
      <c r="L28" s="35">
        <f>'Schedule 18 pp.1- 3'!AD28-'Schedule 18 pp.1- 3'!N28</f>
        <v>-4.2117765504567899</v>
      </c>
      <c r="M28" s="35"/>
      <c r="N28" s="35">
        <f>'Schedule 18 pp.1- 3'!AF28-'Schedule 18 pp.1- 3'!P28</f>
        <v>9.2936627076618166</v>
      </c>
      <c r="O28" s="35"/>
      <c r="P28" s="35">
        <f>'Schedule 18 pp.1- 3'!AH28-'Schedule 18 pp.1- 3'!R28</f>
        <v>0.18797345920910402</v>
      </c>
      <c r="Q28" s="452"/>
      <c r="R28" s="68">
        <f>'Schedule 18 pp.1- 3'!V28</f>
        <v>774.11949731113589</v>
      </c>
      <c r="S28" s="68"/>
      <c r="T28" s="68">
        <v>0</v>
      </c>
      <c r="V28" s="68">
        <f t="shared" si="9"/>
        <v>162.66301414022894</v>
      </c>
      <c r="X28" s="460">
        <f t="shared" si="10"/>
        <v>1.9107419237470061E-2</v>
      </c>
      <c r="Y28" s="460"/>
      <c r="Z28" s="460">
        <f t="shared" si="11"/>
        <v>-1.5087789854416596E-2</v>
      </c>
      <c r="AA28" s="460"/>
      <c r="AB28" s="460">
        <f t="shared" si="12"/>
        <v>-1.3472918477606279E-4</v>
      </c>
      <c r="AC28" s="460"/>
      <c r="AD28" s="460">
        <f t="shared" si="13"/>
        <v>-1.039583430770743E-4</v>
      </c>
      <c r="AE28" s="460"/>
      <c r="AF28" s="460">
        <f t="shared" si="14"/>
        <v>2.2939340789599434E-4</v>
      </c>
      <c r="AG28" s="460"/>
      <c r="AH28" s="460">
        <f t="shared" si="15"/>
        <v>4.6397070518199966E-6</v>
      </c>
      <c r="AI28" s="460"/>
      <c r="AJ28" s="460" t="s">
        <v>948</v>
      </c>
      <c r="AK28" s="398"/>
      <c r="AL28" s="460">
        <f t="shared" si="16"/>
        <v>4.0149749701481425E-3</v>
      </c>
      <c r="AP28" s="68"/>
      <c r="AQ28" s="68"/>
      <c r="AR28" s="400"/>
    </row>
    <row r="29" spans="2:44" s="2" customFormat="1" ht="12.75">
      <c r="B29" s="4">
        <f>MAX(B$3:B28)+1</f>
        <v>16</v>
      </c>
      <c r="C29" s="256"/>
      <c r="D29" s="7" t="s">
        <v>176</v>
      </c>
      <c r="E29" s="4"/>
      <c r="F29" s="35">
        <v>6183.5873631430495</v>
      </c>
      <c r="G29" s="35"/>
      <c r="H29" s="35">
        <f>'Schedule 18 pp.1- 3'!X29-'Schedule 18 pp.1- 3'!H29</f>
        <v>38.816478207024439</v>
      </c>
      <c r="I29" s="35"/>
      <c r="J29" s="35">
        <f>'Schedule 18 pp.1- 3'!AB29-'Schedule 18 pp.1- 3'!J29</f>
        <v>0</v>
      </c>
      <c r="K29" s="35"/>
      <c r="L29" s="35">
        <f>'Schedule 18 pp.1- 3'!AD29-'Schedule 18 pp.1- 3'!N29</f>
        <v>-0.92296812561982833</v>
      </c>
      <c r="M29" s="35"/>
      <c r="N29" s="35">
        <f>'Schedule 18 pp.1- 3'!AF29-'Schedule 18 pp.1- 3'!P29</f>
        <v>0</v>
      </c>
      <c r="O29" s="35"/>
      <c r="P29" s="35">
        <f>'Schedule 18 pp.1- 3'!AH29-'Schedule 18 pp.1- 3'!R29</f>
        <v>0</v>
      </c>
      <c r="Q29" s="452"/>
      <c r="R29" s="68">
        <f>'Schedule 18 pp.1- 3'!V29</f>
        <v>130.09858400395507</v>
      </c>
      <c r="S29" s="68"/>
      <c r="T29" s="68">
        <v>0</v>
      </c>
      <c r="V29" s="68">
        <f t="shared" si="9"/>
        <v>167.99209408535967</v>
      </c>
      <c r="X29" s="460">
        <f t="shared" si="10"/>
        <v>2.1039337905921877E-2</v>
      </c>
      <c r="Y29" s="460"/>
      <c r="Z29" s="460">
        <f t="shared" si="11"/>
        <v>6.2773396618260842E-3</v>
      </c>
      <c r="AA29" s="460"/>
      <c r="AB29" s="460">
        <f t="shared" si="12"/>
        <v>0</v>
      </c>
      <c r="AC29" s="460"/>
      <c r="AD29" s="460">
        <f t="shared" si="13"/>
        <v>-1.4926095022464335E-4</v>
      </c>
      <c r="AE29" s="460"/>
      <c r="AF29" s="460">
        <f t="shared" si="14"/>
        <v>0</v>
      </c>
      <c r="AG29" s="460"/>
      <c r="AH29" s="460">
        <f t="shared" si="15"/>
        <v>0</v>
      </c>
      <c r="AI29" s="460"/>
      <c r="AJ29" s="460" t="s">
        <v>948</v>
      </c>
      <c r="AK29" s="398"/>
      <c r="AL29" s="460">
        <f t="shared" si="16"/>
        <v>2.7167416617523317E-2</v>
      </c>
      <c r="AP29" s="68"/>
      <c r="AQ29" s="68"/>
      <c r="AR29" s="400"/>
    </row>
    <row r="30" spans="2:44" s="2" customFormat="1" ht="12.75">
      <c r="B30" s="4">
        <f>MAX(B$3:B29)+1</f>
        <v>17</v>
      </c>
      <c r="C30" s="256"/>
      <c r="D30" s="7" t="s">
        <v>164</v>
      </c>
      <c r="E30" s="4"/>
      <c r="F30" s="35">
        <v>11827.382435304869</v>
      </c>
      <c r="G30" s="35"/>
      <c r="H30" s="35">
        <f>'Schedule 18 pp.1- 3'!X30-'Schedule 18 pp.1- 3'!H30</f>
        <v>-319.46119339458187</v>
      </c>
      <c r="I30" s="35"/>
      <c r="J30" s="35">
        <f>'Schedule 18 pp.1- 3'!AB30-'Schedule 18 pp.1- 3'!J30</f>
        <v>-0.38146514119545749</v>
      </c>
      <c r="K30" s="35"/>
      <c r="L30" s="35">
        <f>'Schedule 18 pp.1- 3'!AD30-'Schedule 18 pp.1- 3'!N30</f>
        <v>-1.4525595295078304</v>
      </c>
      <c r="M30" s="35"/>
      <c r="N30" s="35">
        <f>'Schedule 18 pp.1- 3'!AF30-'Schedule 18 pp.1- 3'!P30</f>
        <v>0</v>
      </c>
      <c r="O30" s="35"/>
      <c r="P30" s="35">
        <f>'Schedule 18 pp.1- 3'!AH30-'Schedule 18 pp.1- 3'!R30</f>
        <v>0</v>
      </c>
      <c r="Q30" s="452"/>
      <c r="R30" s="68">
        <f>'Schedule 18 pp.1- 3'!V30</f>
        <v>284.90082297846345</v>
      </c>
      <c r="S30" s="68"/>
      <c r="T30" s="68">
        <v>0</v>
      </c>
      <c r="V30" s="68">
        <f t="shared" si="9"/>
        <v>-36.394395086821703</v>
      </c>
      <c r="X30" s="460">
        <f t="shared" si="10"/>
        <v>2.4088239687594045E-2</v>
      </c>
      <c r="Y30" s="460"/>
      <c r="Z30" s="460">
        <f t="shared" si="11"/>
        <v>-2.7010303855651664E-2</v>
      </c>
      <c r="AA30" s="460"/>
      <c r="AB30" s="460">
        <f t="shared" si="12"/>
        <v>-3.225271046083534E-5</v>
      </c>
      <c r="AC30" s="460"/>
      <c r="AD30" s="460">
        <f t="shared" si="13"/>
        <v>-1.2281327144473861E-4</v>
      </c>
      <c r="AE30" s="460"/>
      <c r="AF30" s="460">
        <f t="shared" si="14"/>
        <v>0</v>
      </c>
      <c r="AG30" s="460"/>
      <c r="AH30" s="460">
        <f t="shared" si="15"/>
        <v>0</v>
      </c>
      <c r="AI30" s="460"/>
      <c r="AJ30" s="460" t="s">
        <v>948</v>
      </c>
      <c r="AK30" s="398"/>
      <c r="AL30" s="460">
        <f t="shared" si="16"/>
        <v>-3.0771301499631924E-3</v>
      </c>
      <c r="AP30" s="68"/>
      <c r="AQ30" s="68"/>
      <c r="AR30" s="400"/>
    </row>
    <row r="31" spans="2:44" s="2" customFormat="1" ht="12.75">
      <c r="B31" s="4">
        <f>MAX(B$3:B30)+1</f>
        <v>18</v>
      </c>
      <c r="C31" s="256"/>
      <c r="D31" s="2" t="s">
        <v>475</v>
      </c>
      <c r="E31" s="4"/>
      <c r="F31" s="137">
        <f>SUM(F26:F30)</f>
        <v>613160.09831264499</v>
      </c>
      <c r="G31" s="453"/>
      <c r="H31" s="137">
        <f>SUM(H26:H30)</f>
        <v>3866.6586281853197</v>
      </c>
      <c r="I31" s="453"/>
      <c r="J31" s="137">
        <f>SUM(J26:J30)</f>
        <v>-103.84571945552648</v>
      </c>
      <c r="K31" s="453"/>
      <c r="L31" s="137">
        <f>SUM(L26:L30)</f>
        <v>-49.715702356438179</v>
      </c>
      <c r="M31" s="453"/>
      <c r="N31" s="137">
        <f>SUM(N26:N30)</f>
        <v>134.53500271206511</v>
      </c>
      <c r="O31" s="453"/>
      <c r="P31" s="137">
        <f>SUM(P26:P30)</f>
        <v>2.9309831562124486</v>
      </c>
      <c r="Q31" s="67"/>
      <c r="R31" s="137">
        <f>SUM(R26:R30)</f>
        <v>7773.9941038990437</v>
      </c>
      <c r="S31" s="453"/>
      <c r="T31" s="137">
        <f>SUM(T26:T30)</f>
        <v>0</v>
      </c>
      <c r="V31" s="416">
        <f t="shared" si="9"/>
        <v>11624.557296140676</v>
      </c>
      <c r="X31" s="406">
        <f t="shared" si="10"/>
        <v>1.267857142904813E-2</v>
      </c>
      <c r="Y31" s="135"/>
      <c r="Z31" s="401">
        <f t="shared" si="11"/>
        <v>6.3061158722264804E-3</v>
      </c>
      <c r="AA31" s="399"/>
      <c r="AB31" s="401">
        <f t="shared" si="12"/>
        <v>-1.6936150891308724E-4</v>
      </c>
      <c r="AC31" s="399"/>
      <c r="AD31" s="401">
        <f t="shared" si="13"/>
        <v>-8.1081111594265179E-5</v>
      </c>
      <c r="AE31" s="399"/>
      <c r="AF31" s="401">
        <f t="shared" si="14"/>
        <v>2.1941252061621739E-4</v>
      </c>
      <c r="AG31" s="399"/>
      <c r="AH31" s="401">
        <f t="shared" si="15"/>
        <v>4.78012702437458E-6</v>
      </c>
      <c r="AI31" s="402"/>
      <c r="AJ31" s="406" t="s">
        <v>948</v>
      </c>
      <c r="AK31" s="402"/>
      <c r="AL31" s="461">
        <f t="shared" ref="AL31" si="17">SUM(X31:AJ31)</f>
        <v>1.8958437328407848E-2</v>
      </c>
      <c r="AO31" s="397"/>
      <c r="AP31" s="68"/>
      <c r="AQ31" s="68"/>
      <c r="AR31" s="400"/>
    </row>
    <row r="32" spans="2:44" s="2" customFormat="1" ht="12.75">
      <c r="B32" s="4"/>
      <c r="C32" s="256"/>
      <c r="D32" s="256"/>
      <c r="E32" s="4"/>
      <c r="F32" s="138"/>
      <c r="G32" s="138"/>
      <c r="H32" s="453"/>
      <c r="I32" s="138"/>
      <c r="J32" s="138"/>
      <c r="K32" s="138"/>
      <c r="L32" s="453"/>
      <c r="M32" s="138"/>
      <c r="N32" s="138"/>
      <c r="O32" s="138"/>
      <c r="P32" s="454"/>
      <c r="Q32" s="144"/>
      <c r="R32" s="4"/>
      <c r="S32" s="4"/>
      <c r="T32" s="4"/>
      <c r="V32" s="68"/>
      <c r="X32" s="135"/>
      <c r="Y32" s="135"/>
      <c r="Z32" s="135"/>
      <c r="AA32" s="135"/>
      <c r="AB32" s="135"/>
      <c r="AC32" s="135"/>
      <c r="AD32" s="135"/>
      <c r="AE32" s="135"/>
    </row>
    <row r="33" spans="2:44" s="2" customFormat="1" ht="12.75">
      <c r="B33" s="4"/>
      <c r="C33" s="256"/>
      <c r="D33" s="10" t="s">
        <v>177</v>
      </c>
      <c r="E33" s="4"/>
      <c r="F33" s="138"/>
      <c r="G33" s="138"/>
      <c r="H33" s="453"/>
      <c r="I33" s="138"/>
      <c r="J33" s="138"/>
      <c r="K33" s="138"/>
      <c r="L33" s="453"/>
      <c r="M33" s="138"/>
      <c r="N33" s="138"/>
      <c r="O33" s="138"/>
      <c r="P33" s="454"/>
      <c r="Q33" s="67"/>
      <c r="R33" s="4"/>
      <c r="S33" s="4"/>
      <c r="T33" s="4"/>
      <c r="V33" s="68"/>
      <c r="X33" s="135"/>
      <c r="Y33" s="135"/>
      <c r="Z33" s="135"/>
      <c r="AA33" s="135"/>
      <c r="AB33" s="135"/>
      <c r="AC33" s="135"/>
      <c r="AD33" s="135"/>
      <c r="AE33" s="135"/>
    </row>
    <row r="34" spans="2:44" s="2" customFormat="1" ht="12.75">
      <c r="B34" s="4">
        <f>MAX(B$3:B33)+1</f>
        <v>19</v>
      </c>
      <c r="C34" s="256"/>
      <c r="D34" s="455" t="s">
        <v>178</v>
      </c>
      <c r="E34" s="4"/>
      <c r="F34" s="35">
        <v>1183713.1308576674</v>
      </c>
      <c r="G34" s="35"/>
      <c r="H34" s="35">
        <f>'Schedule 18 pp.1- 3'!X34-'Schedule 18 pp.1- 3'!H34</f>
        <v>10432.815926943902</v>
      </c>
      <c r="I34" s="35"/>
      <c r="J34" s="35">
        <f>'Schedule 18 pp.1- 3'!AB34-'Schedule 18 pp.1- 3'!J34</f>
        <v>-215.96045557540219</v>
      </c>
      <c r="K34" s="35"/>
      <c r="L34" s="35">
        <f>'Schedule 18 pp.1- 3'!AD34-'Schedule 18 pp.1- 3'!N34</f>
        <v>-104.10211629194578</v>
      </c>
      <c r="M34" s="35"/>
      <c r="N34" s="35">
        <f>'Schedule 18 pp.1- 3'!AF34-'Schedule 18 pp.1- 3'!P34</f>
        <v>464.35750439961203</v>
      </c>
      <c r="O34" s="35"/>
      <c r="P34" s="35">
        <f>'Schedule 18 pp.1- 3'!AH34-'Schedule 18 pp.1- 3'!R34</f>
        <v>2.460495324411113</v>
      </c>
      <c r="Q34" s="452"/>
      <c r="R34" s="68">
        <f>'Schedule 18 pp.1- 3'!V34</f>
        <v>13772.742342162532</v>
      </c>
      <c r="S34" s="68"/>
      <c r="T34" s="68">
        <v>0</v>
      </c>
      <c r="V34" s="68">
        <f t="shared" si="9"/>
        <v>24352.313696963109</v>
      </c>
      <c r="X34" s="460">
        <f t="shared" ref="X34:X43" si="18">R34/F34</f>
        <v>1.1635202806429457E-2</v>
      </c>
      <c r="Y34" s="460"/>
      <c r="Z34" s="460">
        <f t="shared" ref="Z34:Z43" si="19">H34/F34</f>
        <v>8.8136353775046267E-3</v>
      </c>
      <c r="AA34" s="460"/>
      <c r="AB34" s="460">
        <f t="shared" ref="AB34:AB43" si="20">J34/F34</f>
        <v>-1.8244323725540373E-4</v>
      </c>
      <c r="AC34" s="460"/>
      <c r="AD34" s="460">
        <f t="shared" ref="AD34:AD43" si="21">L34/F34</f>
        <v>-8.7945392830539838E-5</v>
      </c>
      <c r="AE34" s="460"/>
      <c r="AF34" s="460">
        <f t="shared" ref="AF34:AF43" si="22">N34/F34</f>
        <v>3.9228888511455356E-4</v>
      </c>
      <c r="AG34" s="460"/>
      <c r="AH34" s="460">
        <f t="shared" ref="AH34:AH43" si="23">P34/F34</f>
        <v>2.0786246771025883E-6</v>
      </c>
      <c r="AI34" s="460"/>
      <c r="AJ34" s="460" t="s">
        <v>948</v>
      </c>
      <c r="AK34" s="398"/>
      <c r="AL34" s="460">
        <f t="shared" ref="AL34:AL42" si="24">SUM(X34:AJ34)</f>
        <v>2.0572817063639795E-2</v>
      </c>
      <c r="AP34" s="68"/>
      <c r="AQ34" s="68"/>
      <c r="AR34" s="400"/>
    </row>
    <row r="35" spans="2:44" s="2" customFormat="1" ht="12.75">
      <c r="B35" s="4">
        <f>MAX(B$3:B34)+1</f>
        <v>20</v>
      </c>
      <c r="C35" s="256"/>
      <c r="D35" s="455" t="s">
        <v>179</v>
      </c>
      <c r="E35" s="4"/>
      <c r="F35" s="35">
        <v>242478.99694227398</v>
      </c>
      <c r="G35" s="35"/>
      <c r="H35" s="35">
        <f>'Schedule 18 pp.1- 3'!X35-'Schedule 18 pp.1- 3'!H35</f>
        <v>-5013.149612104231</v>
      </c>
      <c r="I35" s="35"/>
      <c r="J35" s="35">
        <f>'Schedule 18 pp.1- 3'!AB35-'Schedule 18 pp.1- 3'!J35</f>
        <v>-74.196483944213924</v>
      </c>
      <c r="K35" s="35"/>
      <c r="L35" s="35">
        <f>'Schedule 18 pp.1- 3'!AD35-'Schedule 18 pp.1- 3'!N35</f>
        <v>-11.221822210207904</v>
      </c>
      <c r="M35" s="35"/>
      <c r="N35" s="35">
        <f>'Schedule 18 pp.1- 3'!AF35-'Schedule 18 pp.1- 3'!P35</f>
        <v>177.2342633761931</v>
      </c>
      <c r="O35" s="35"/>
      <c r="P35" s="35">
        <f>'Schedule 18 pp.1- 3'!AH35-'Schedule 18 pp.1- 3'!R35</f>
        <v>0.99745912342814336</v>
      </c>
      <c r="Q35" s="452"/>
      <c r="R35" s="68">
        <f>'Schedule 18 pp.1- 3'!V35</f>
        <v>2129.783815038536</v>
      </c>
      <c r="S35" s="68"/>
      <c r="T35" s="68">
        <v>0</v>
      </c>
      <c r="V35" s="68">
        <f t="shared" si="9"/>
        <v>-2790.5523807204954</v>
      </c>
      <c r="X35" s="460">
        <f t="shared" si="18"/>
        <v>8.783374403126409E-3</v>
      </c>
      <c r="Y35" s="460"/>
      <c r="Z35" s="460">
        <f t="shared" si="19"/>
        <v>-2.0674572541627974E-2</v>
      </c>
      <c r="AA35" s="460"/>
      <c r="AB35" s="460">
        <f t="shared" si="20"/>
        <v>-3.0599138432545393E-4</v>
      </c>
      <c r="AC35" s="460"/>
      <c r="AD35" s="460">
        <f t="shared" si="21"/>
        <v>-4.627956380436298E-5</v>
      </c>
      <c r="AE35" s="460"/>
      <c r="AF35" s="460">
        <f t="shared" si="22"/>
        <v>7.309262476798622E-4</v>
      </c>
      <c r="AG35" s="460"/>
      <c r="AH35" s="460">
        <f t="shared" si="23"/>
        <v>4.1135897789349752E-6</v>
      </c>
      <c r="AI35" s="460"/>
      <c r="AJ35" s="460" t="s">
        <v>948</v>
      </c>
      <c r="AK35" s="398"/>
      <c r="AL35" s="460">
        <f t="shared" si="24"/>
        <v>-1.1508429249172582E-2</v>
      </c>
      <c r="AP35" s="68"/>
      <c r="AQ35" s="68"/>
      <c r="AR35" s="400"/>
    </row>
    <row r="36" spans="2:44" s="2" customFormat="1" ht="12.75">
      <c r="B36" s="4">
        <f>MAX(B$3:B35)+1</f>
        <v>21</v>
      </c>
      <c r="C36" s="256"/>
      <c r="D36" s="455" t="s">
        <v>180</v>
      </c>
      <c r="E36" s="4"/>
      <c r="F36" s="35">
        <v>48579.546556543355</v>
      </c>
      <c r="G36" s="35"/>
      <c r="H36" s="35">
        <f>'Schedule 18 pp.1- 3'!X36-'Schedule 18 pp.1- 3'!H36</f>
        <v>377.53641795952171</v>
      </c>
      <c r="I36" s="35"/>
      <c r="J36" s="35">
        <f>'Schedule 18 pp.1- 3'!AB36-'Schedule 18 pp.1- 3'!J36</f>
        <v>-11.308764540514687</v>
      </c>
      <c r="K36" s="35"/>
      <c r="L36" s="35">
        <f>'Schedule 18 pp.1- 3'!AD36-'Schedule 18 pp.1- 3'!N36</f>
        <v>-7.4016722612922621</v>
      </c>
      <c r="M36" s="35"/>
      <c r="N36" s="35">
        <f>'Schedule 18 pp.1- 3'!AF36-'Schedule 18 pp.1- 3'!P36</f>
        <v>128.67162765947319</v>
      </c>
      <c r="O36" s="35"/>
      <c r="P36" s="35">
        <f>'Schedule 18 pp.1- 3'!AH36-'Schedule 18 pp.1- 3'!R36</f>
        <v>0.73262546238561299</v>
      </c>
      <c r="Q36" s="452"/>
      <c r="R36" s="68">
        <f>'Schedule 18 pp.1- 3'!V36</f>
        <v>791.65020089495863</v>
      </c>
      <c r="S36" s="68"/>
      <c r="T36" s="68">
        <v>0</v>
      </c>
      <c r="V36" s="68">
        <f t="shared" si="9"/>
        <v>1279.8804351745321</v>
      </c>
      <c r="X36" s="460">
        <f t="shared" si="18"/>
        <v>1.6295956982091846E-2</v>
      </c>
      <c r="Y36" s="460"/>
      <c r="Z36" s="460">
        <f t="shared" si="19"/>
        <v>7.7715097138688705E-3</v>
      </c>
      <c r="AA36" s="460"/>
      <c r="AB36" s="460">
        <f t="shared" si="20"/>
        <v>-2.3278859812641601E-4</v>
      </c>
      <c r="AC36" s="460"/>
      <c r="AD36" s="460">
        <f t="shared" si="21"/>
        <v>-1.5236190508030389E-4</v>
      </c>
      <c r="AE36" s="460"/>
      <c r="AF36" s="460">
        <f t="shared" si="22"/>
        <v>2.6486790589884983E-3</v>
      </c>
      <c r="AG36" s="460"/>
      <c r="AH36" s="460">
        <f t="shared" si="23"/>
        <v>1.5080944848525619E-5</v>
      </c>
      <c r="AI36" s="460"/>
      <c r="AJ36" s="460" t="s">
        <v>948</v>
      </c>
      <c r="AK36" s="398"/>
      <c r="AL36" s="460">
        <f t="shared" si="24"/>
        <v>2.6346076196591021E-2</v>
      </c>
      <c r="AP36" s="68"/>
      <c r="AQ36" s="68"/>
      <c r="AR36" s="400"/>
    </row>
    <row r="37" spans="2:44" s="2" customFormat="1" ht="12.75">
      <c r="B37" s="4">
        <f>MAX(B$3:B36)+1</f>
        <v>22</v>
      </c>
      <c r="C37" s="256"/>
      <c r="D37" s="455" t="s">
        <v>181</v>
      </c>
      <c r="E37" s="4"/>
      <c r="F37" s="35">
        <v>3213.8734753506542</v>
      </c>
      <c r="G37" s="35"/>
      <c r="H37" s="35">
        <f>'Schedule 18 pp.1- 3'!X37-'Schedule 18 pp.1- 3'!H37</f>
        <v>-125.04674676927266</v>
      </c>
      <c r="I37" s="35"/>
      <c r="J37" s="35">
        <f>'Schedule 18 pp.1- 3'!AB37-'Schedule 18 pp.1- 3'!J37</f>
        <v>-13.977743421193168</v>
      </c>
      <c r="K37" s="35"/>
      <c r="L37" s="35">
        <f>'Schedule 18 pp.1- 3'!AD37-'Schedule 18 pp.1- 3'!N37</f>
        <v>-0.56969855845835937</v>
      </c>
      <c r="M37" s="35"/>
      <c r="N37" s="35">
        <f>'Schedule 18 pp.1- 3'!AF37-'Schedule 18 pp.1- 3'!P37</f>
        <v>10.962363254293628</v>
      </c>
      <c r="O37" s="35"/>
      <c r="P37" s="35">
        <f>'Schedule 18 pp.1- 3'!AH37-'Schedule 18 pp.1- 3'!R37</f>
        <v>4.128165400545214E-2</v>
      </c>
      <c r="Q37" s="452"/>
      <c r="R37" s="68">
        <f>'Schedule 18 pp.1- 3'!V37</f>
        <v>44.644424493685733</v>
      </c>
      <c r="S37" s="68"/>
      <c r="T37" s="68">
        <v>0</v>
      </c>
      <c r="V37" s="68">
        <f t="shared" si="9"/>
        <v>-83.946119346939383</v>
      </c>
      <c r="X37" s="460">
        <f t="shared" si="18"/>
        <v>1.3891158079524192E-2</v>
      </c>
      <c r="Y37" s="460"/>
      <c r="Z37" s="460">
        <f t="shared" si="19"/>
        <v>-3.8908422415611509E-2</v>
      </c>
      <c r="AA37" s="460"/>
      <c r="AB37" s="460">
        <f t="shared" si="20"/>
        <v>-4.3491890792832491E-3</v>
      </c>
      <c r="AC37" s="460"/>
      <c r="AD37" s="460">
        <f t="shared" si="21"/>
        <v>-1.7726228578310838E-4</v>
      </c>
      <c r="AE37" s="460"/>
      <c r="AF37" s="460">
        <f t="shared" si="22"/>
        <v>3.4109504740529846E-3</v>
      </c>
      <c r="AG37" s="460"/>
      <c r="AH37" s="460">
        <f t="shared" si="23"/>
        <v>1.2844828622554299E-5</v>
      </c>
      <c r="AI37" s="460"/>
      <c r="AJ37" s="460" t="s">
        <v>948</v>
      </c>
      <c r="AK37" s="398"/>
      <c r="AL37" s="460">
        <f t="shared" si="24"/>
        <v>-2.6119920398478137E-2</v>
      </c>
      <c r="AP37" s="68"/>
      <c r="AQ37" s="68"/>
      <c r="AR37" s="400"/>
    </row>
    <row r="38" spans="2:44" s="2" customFormat="1" ht="12.75">
      <c r="B38" s="4">
        <f>MAX(B$3:B37)+1</f>
        <v>23</v>
      </c>
      <c r="C38" s="256"/>
      <c r="D38" s="455" t="s">
        <v>182</v>
      </c>
      <c r="E38" s="4"/>
      <c r="F38" s="35">
        <v>37165.148965774591</v>
      </c>
      <c r="G38" s="35"/>
      <c r="H38" s="35">
        <f>'Schedule 18 pp.1- 3'!X38-'Schedule 18 pp.1- 3'!H38</f>
        <v>1824.3629341877486</v>
      </c>
      <c r="I38" s="35"/>
      <c r="J38" s="35">
        <f>'Schedule 18 pp.1- 3'!AB38-'Schedule 18 pp.1- 3'!J38</f>
        <v>-3.9649115782434592</v>
      </c>
      <c r="K38" s="35"/>
      <c r="L38" s="35">
        <f>'Schedule 18 pp.1- 3'!AD38-'Schedule 18 pp.1- 3'!N38</f>
        <v>-6.6832618160704413</v>
      </c>
      <c r="M38" s="35"/>
      <c r="N38" s="35">
        <f>'Schedule 18 pp.1- 3'!AF38-'Schedule 18 pp.1- 3'!P38</f>
        <v>151.9733202775052</v>
      </c>
      <c r="O38" s="35"/>
      <c r="P38" s="35">
        <f>'Schedule 18 pp.1- 3'!AH38-'Schedule 18 pp.1- 3'!R38</f>
        <v>1.0894877184825873</v>
      </c>
      <c r="Q38" s="452"/>
      <c r="R38" s="68">
        <f>'Schedule 18 pp.1- 3'!V38</f>
        <v>688.25431113211539</v>
      </c>
      <c r="S38" s="68"/>
      <c r="T38" s="68">
        <v>0</v>
      </c>
      <c r="V38" s="68">
        <f t="shared" si="9"/>
        <v>2655.0318799215379</v>
      </c>
      <c r="X38" s="460">
        <f t="shared" si="18"/>
        <v>1.8518809429929346E-2</v>
      </c>
      <c r="Y38" s="460"/>
      <c r="Z38" s="460">
        <f t="shared" si="19"/>
        <v>4.9088002737936162E-2</v>
      </c>
      <c r="AA38" s="460"/>
      <c r="AB38" s="460">
        <f t="shared" si="20"/>
        <v>-1.0668359171369792E-4</v>
      </c>
      <c r="AC38" s="460"/>
      <c r="AD38" s="460">
        <f t="shared" si="21"/>
        <v>-1.7982604676830601E-4</v>
      </c>
      <c r="AE38" s="460"/>
      <c r="AF38" s="460">
        <f t="shared" si="22"/>
        <v>4.0891352384315079E-3</v>
      </c>
      <c r="AG38" s="460"/>
      <c r="AH38" s="460">
        <f t="shared" si="23"/>
        <v>2.9314767969473155E-5</v>
      </c>
      <c r="AI38" s="460"/>
      <c r="AJ38" s="460" t="s">
        <v>948</v>
      </c>
      <c r="AK38" s="398"/>
      <c r="AL38" s="460">
        <f t="shared" si="24"/>
        <v>7.143875253578448E-2</v>
      </c>
      <c r="AP38" s="68"/>
      <c r="AQ38" s="68"/>
      <c r="AR38" s="400"/>
    </row>
    <row r="39" spans="2:44" s="2" customFormat="1" ht="12.75">
      <c r="B39" s="4">
        <f>MAX(B$3:B38)+1</f>
        <v>24</v>
      </c>
      <c r="C39" s="256"/>
      <c r="D39" s="455" t="s">
        <v>183</v>
      </c>
      <c r="E39" s="4"/>
      <c r="F39" s="35">
        <v>5162.6512662408004</v>
      </c>
      <c r="G39" s="35"/>
      <c r="H39" s="35">
        <f>'Schedule 18 pp.1- 3'!X39-'Schedule 18 pp.1- 3'!H39</f>
        <v>0.83751638451349208</v>
      </c>
      <c r="I39" s="35"/>
      <c r="J39" s="35">
        <f>'Schedule 18 pp.1- 3'!AB39-'Schedule 18 pp.1- 3'!J39</f>
        <v>-1.8188941555146414</v>
      </c>
      <c r="K39" s="35"/>
      <c r="L39" s="35">
        <f>'Schedule 18 pp.1- 3'!AD39-'Schedule 18 pp.1- 3'!N39</f>
        <v>-0.1786254093709978</v>
      </c>
      <c r="M39" s="35"/>
      <c r="N39" s="35">
        <f>'Schedule 18 pp.1- 3'!AF39-'Schedule 18 pp.1- 3'!P39</f>
        <v>12.230361093268229</v>
      </c>
      <c r="O39" s="35"/>
      <c r="P39" s="35">
        <f>'Schedule 18 pp.1- 3'!AH39-'Schedule 18 pp.1- 3'!R39</f>
        <v>8.5607036515966684E-2</v>
      </c>
      <c r="Q39" s="452"/>
      <c r="R39" s="68">
        <f>'Schedule 18 pp.1- 3'!V39</f>
        <v>45.62420638554272</v>
      </c>
      <c r="S39" s="68"/>
      <c r="T39" s="68">
        <v>0</v>
      </c>
      <c r="V39" s="68">
        <f t="shared" si="9"/>
        <v>56.780171334954773</v>
      </c>
      <c r="X39" s="460">
        <f t="shared" si="18"/>
        <v>8.8373597271396015E-3</v>
      </c>
      <c r="Y39" s="460"/>
      <c r="Z39" s="460">
        <f t="shared" si="19"/>
        <v>1.6222602328189642E-4</v>
      </c>
      <c r="AA39" s="460"/>
      <c r="AB39" s="460">
        <f t="shared" si="20"/>
        <v>-3.5231784246373755E-4</v>
      </c>
      <c r="AC39" s="460"/>
      <c r="AD39" s="460">
        <f t="shared" si="21"/>
        <v>-3.4599549758290071E-5</v>
      </c>
      <c r="AE39" s="460"/>
      <c r="AF39" s="460">
        <f t="shared" si="22"/>
        <v>2.3690077951311638E-3</v>
      </c>
      <c r="AG39" s="460"/>
      <c r="AH39" s="460">
        <f t="shared" si="23"/>
        <v>1.6581990938601919E-5</v>
      </c>
      <c r="AI39" s="460"/>
      <c r="AJ39" s="460" t="s">
        <v>948</v>
      </c>
      <c r="AK39" s="398"/>
      <c r="AL39" s="460">
        <f t="shared" si="24"/>
        <v>1.0998258144269236E-2</v>
      </c>
      <c r="AP39" s="68"/>
      <c r="AQ39" s="68"/>
      <c r="AR39" s="400"/>
    </row>
    <row r="40" spans="2:44" s="2" customFormat="1" ht="12.75">
      <c r="B40" s="4">
        <f>MAX(B$3:B39)+1</f>
        <v>25</v>
      </c>
      <c r="D40" s="455" t="s">
        <v>184</v>
      </c>
      <c r="E40" s="4"/>
      <c r="F40" s="35">
        <v>14792.815020216502</v>
      </c>
      <c r="G40" s="35"/>
      <c r="H40" s="35">
        <f>'Schedule 18 pp.1- 3'!X40-'Schedule 18 pp.1- 3'!H40</f>
        <v>-669.54646000449043</v>
      </c>
      <c r="I40" s="35"/>
      <c r="J40" s="35">
        <f>'Schedule 18 pp.1- 3'!AB40-'Schedule 18 pp.1- 3'!J40</f>
        <v>0</v>
      </c>
      <c r="K40" s="35"/>
      <c r="L40" s="35">
        <f>'Schedule 18 pp.1- 3'!AD40-'Schedule 18 pp.1- 3'!N40</f>
        <v>-1.9658035498327955</v>
      </c>
      <c r="M40" s="35"/>
      <c r="N40" s="35">
        <f>'Schedule 18 pp.1- 3'!AF40-'Schedule 18 pp.1- 3'!P40</f>
        <v>33.937868717792753</v>
      </c>
      <c r="O40" s="35"/>
      <c r="P40" s="35">
        <f>'Schedule 18 pp.1- 3'!AH40-'Schedule 18 pp.1- 3'!R40</f>
        <v>-1.3397889345137912</v>
      </c>
      <c r="Q40" s="452"/>
      <c r="R40" s="68">
        <f>'Schedule 18 pp.1- 3'!V40</f>
        <v>341.82395241691881</v>
      </c>
      <c r="S40" s="68"/>
      <c r="T40" s="68">
        <v>0</v>
      </c>
      <c r="V40" s="68">
        <f t="shared" si="9"/>
        <v>-297.09023135412542</v>
      </c>
      <c r="X40" s="460">
        <f t="shared" si="18"/>
        <v>2.310743100280558E-2</v>
      </c>
      <c r="Y40" s="460"/>
      <c r="Z40" s="460">
        <f t="shared" si="19"/>
        <v>-4.5261598897130752E-2</v>
      </c>
      <c r="AA40" s="460"/>
      <c r="AB40" s="460">
        <f t="shared" si="20"/>
        <v>0</v>
      </c>
      <c r="AC40" s="460"/>
      <c r="AD40" s="460">
        <f t="shared" si="21"/>
        <v>-1.3288907805216542E-4</v>
      </c>
      <c r="AE40" s="460"/>
      <c r="AF40" s="460">
        <f t="shared" si="22"/>
        <v>2.2942130129668891E-3</v>
      </c>
      <c r="AG40" s="460"/>
      <c r="AH40" s="460">
        <f t="shared" si="23"/>
        <v>-9.057024864319453E-5</v>
      </c>
      <c r="AI40" s="460"/>
      <c r="AJ40" s="460" t="s">
        <v>948</v>
      </c>
      <c r="AK40" s="398"/>
      <c r="AL40" s="460">
        <f t="shared" si="24"/>
        <v>-2.0083414208053645E-2</v>
      </c>
      <c r="AP40" s="68"/>
      <c r="AQ40" s="68"/>
      <c r="AR40" s="400"/>
    </row>
    <row r="41" spans="2:44" s="2" customFormat="1" ht="12.75">
      <c r="B41" s="4">
        <f>MAX(B$3:B40)+1</f>
        <v>26</v>
      </c>
      <c r="D41" s="455" t="s">
        <v>185</v>
      </c>
      <c r="E41" s="4"/>
      <c r="F41" s="35">
        <v>83779.159081868158</v>
      </c>
      <c r="G41" s="35"/>
      <c r="H41" s="35">
        <f>'Schedule 18 pp.1- 3'!X41-'Schedule 18 pp.1- 3'!H41</f>
        <v>-1262.5074827724548</v>
      </c>
      <c r="I41" s="35"/>
      <c r="J41" s="35">
        <f>'Schedule 18 pp.1- 3'!AB41-'Schedule 18 pp.1- 3'!J41</f>
        <v>0</v>
      </c>
      <c r="K41" s="35"/>
      <c r="L41" s="35">
        <f>'Schedule 18 pp.1- 3'!AD41-'Schedule 18 pp.1- 3'!N41</f>
        <v>-6.8842763110929752</v>
      </c>
      <c r="M41" s="35"/>
      <c r="N41" s="35">
        <f>'Schedule 18 pp.1- 3'!AF41-'Schedule 18 pp.1- 3'!P41</f>
        <v>565.14861777061515</v>
      </c>
      <c r="O41" s="35"/>
      <c r="P41" s="35">
        <f>'Schedule 18 pp.1- 3'!AH41-'Schedule 18 pp.1- 3'!R41</f>
        <v>-7.6035765371768775</v>
      </c>
      <c r="Q41" s="452"/>
      <c r="R41" s="68">
        <f>'Schedule 18 pp.1- 3'!V41</f>
        <v>2006.0112150111829</v>
      </c>
      <c r="S41" s="68"/>
      <c r="T41" s="68">
        <v>0</v>
      </c>
      <c r="V41" s="68">
        <f t="shared" si="9"/>
        <v>1294.1644971610735</v>
      </c>
      <c r="X41" s="460">
        <f t="shared" si="18"/>
        <v>2.394403616597451E-2</v>
      </c>
      <c r="Y41" s="460"/>
      <c r="Z41" s="460">
        <f t="shared" si="19"/>
        <v>-1.5069469503015005E-2</v>
      </c>
      <c r="AA41" s="460"/>
      <c r="AB41" s="460">
        <f t="shared" si="20"/>
        <v>0</v>
      </c>
      <c r="AC41" s="460"/>
      <c r="AD41" s="460">
        <f t="shared" si="21"/>
        <v>-8.2171704592615084E-5</v>
      </c>
      <c r="AE41" s="460"/>
      <c r="AF41" s="460">
        <f t="shared" si="22"/>
        <v>6.7456945613211224E-3</v>
      </c>
      <c r="AG41" s="460"/>
      <c r="AH41" s="460">
        <f t="shared" si="23"/>
        <v>-9.0757374751717653E-5</v>
      </c>
      <c r="AI41" s="460"/>
      <c r="AJ41" s="460" t="s">
        <v>948</v>
      </c>
      <c r="AK41" s="398"/>
      <c r="AL41" s="460">
        <f t="shared" si="24"/>
        <v>1.5447332144936295E-2</v>
      </c>
      <c r="AP41" s="68"/>
      <c r="AQ41" s="68"/>
      <c r="AR41" s="400"/>
    </row>
    <row r="42" spans="2:44" s="2" customFormat="1" ht="12.75">
      <c r="B42" s="4">
        <f>MAX(B$3:B41)+1</f>
        <v>27</v>
      </c>
      <c r="D42" s="455" t="s">
        <v>186</v>
      </c>
      <c r="E42" s="4"/>
      <c r="F42" s="35">
        <v>8182.6378750708709</v>
      </c>
      <c r="G42" s="35"/>
      <c r="H42" s="35">
        <f>'Schedule 18 pp.1- 3'!X42-'Schedule 18 pp.1- 3'!H42</f>
        <v>5.2462497962593631</v>
      </c>
      <c r="I42" s="35"/>
      <c r="J42" s="35">
        <f>'Schedule 18 pp.1- 3'!AB42-'Schedule 18 pp.1- 3'!J42</f>
        <v>0</v>
      </c>
      <c r="K42" s="35"/>
      <c r="L42" s="35">
        <f>'Schedule 18 pp.1- 3'!AD42-'Schedule 18 pp.1- 3'!N42</f>
        <v>-0.6398671778380951</v>
      </c>
      <c r="M42" s="35"/>
      <c r="N42" s="35">
        <f>'Schedule 18 pp.1- 3'!AF42-'Schedule 18 pp.1- 3'!P42</f>
        <v>36.039385031467361</v>
      </c>
      <c r="O42" s="35"/>
      <c r="P42" s="35">
        <f>'Schedule 18 pp.1- 3'!AH42-'Schedule 18 pp.1- 3'!R42</f>
        <v>-1.1238776258770145</v>
      </c>
      <c r="Q42" s="452"/>
      <c r="R42" s="68">
        <f>'Schedule 18 pp.1- 3'!V42</f>
        <v>207.5655554055943</v>
      </c>
      <c r="S42" s="68"/>
      <c r="T42" s="68">
        <v>0</v>
      </c>
      <c r="V42" s="68">
        <f t="shared" si="9"/>
        <v>247.08744542960591</v>
      </c>
      <c r="X42" s="460">
        <f t="shared" si="18"/>
        <v>2.5366582094260959E-2</v>
      </c>
      <c r="Y42" s="460"/>
      <c r="Z42" s="460">
        <f t="shared" si="19"/>
        <v>6.4114407558502941E-4</v>
      </c>
      <c r="AA42" s="460"/>
      <c r="AB42" s="460">
        <f t="shared" si="20"/>
        <v>0</v>
      </c>
      <c r="AC42" s="460"/>
      <c r="AD42" s="460">
        <f t="shared" si="21"/>
        <v>-7.8198154141405544E-5</v>
      </c>
      <c r="AE42" s="460"/>
      <c r="AF42" s="460">
        <f t="shared" si="22"/>
        <v>4.4043724751970919E-3</v>
      </c>
      <c r="AG42" s="460"/>
      <c r="AH42" s="460">
        <f t="shared" si="23"/>
        <v>-1.3734906066184438E-4</v>
      </c>
      <c r="AI42" s="460"/>
      <c r="AJ42" s="460" t="s">
        <v>948</v>
      </c>
      <c r="AK42" s="398"/>
      <c r="AL42" s="460">
        <f t="shared" si="24"/>
        <v>3.0196551430239832E-2</v>
      </c>
      <c r="AP42" s="68"/>
      <c r="AQ42" s="68"/>
      <c r="AR42" s="400"/>
    </row>
    <row r="43" spans="2:44" s="2" customFormat="1" ht="12.75">
      <c r="B43" s="4">
        <f>MAX(B$3:B42)+1</f>
        <v>28</v>
      </c>
      <c r="C43" s="256"/>
      <c r="D43" s="256" t="s">
        <v>490</v>
      </c>
      <c r="F43" s="137">
        <f>SUM(F34:F42)</f>
        <v>1627067.9600410061</v>
      </c>
      <c r="G43" s="453"/>
      <c r="H43" s="137">
        <f>SUM(H34:H42)</f>
        <v>5570.5487436214962</v>
      </c>
      <c r="I43" s="453"/>
      <c r="J43" s="137">
        <f>SUM(J34:J42)</f>
        <v>-321.2272532150821</v>
      </c>
      <c r="K43" s="453"/>
      <c r="L43" s="137">
        <f>SUM(L34:L42)</f>
        <v>-139.64714358610959</v>
      </c>
      <c r="M43" s="453"/>
      <c r="N43" s="137">
        <f>SUM(N34:N42)</f>
        <v>1580.5553115802206</v>
      </c>
      <c r="O43" s="453"/>
      <c r="P43" s="137">
        <f>SUM(P34:P42)</f>
        <v>-4.6602867783388078</v>
      </c>
      <c r="Q43" s="67"/>
      <c r="R43" s="137">
        <f>SUM(R34:R42)</f>
        <v>20028.100022941064</v>
      </c>
      <c r="S43" s="453"/>
      <c r="T43" s="137">
        <v>0</v>
      </c>
      <c r="V43" s="416">
        <f t="shared" si="9"/>
        <v>26713.669394563251</v>
      </c>
      <c r="X43" s="406">
        <f t="shared" si="18"/>
        <v>1.2309319902308387E-2</v>
      </c>
      <c r="Y43" s="135"/>
      <c r="Z43" s="401">
        <f t="shared" si="19"/>
        <v>3.4236730612537567E-3</v>
      </c>
      <c r="AA43" s="399"/>
      <c r="AB43" s="401">
        <f t="shared" si="20"/>
        <v>-1.9742706580429891E-4</v>
      </c>
      <c r="AC43" s="399"/>
      <c r="AD43" s="401">
        <f t="shared" si="21"/>
        <v>-8.5827480483722474E-5</v>
      </c>
      <c r="AE43" s="399"/>
      <c r="AF43" s="401">
        <f t="shared" si="22"/>
        <v>9.7141321100096319E-4</v>
      </c>
      <c r="AG43" s="399"/>
      <c r="AH43" s="401">
        <f t="shared" si="23"/>
        <v>-2.8642238018265427E-6</v>
      </c>
      <c r="AI43" s="402"/>
      <c r="AJ43" s="406" t="s">
        <v>948</v>
      </c>
      <c r="AK43" s="402"/>
      <c r="AL43" s="461">
        <f>SUM(X43:AJ43)</f>
        <v>1.6418287404473261E-2</v>
      </c>
      <c r="AO43" s="397"/>
      <c r="AP43" s="68"/>
      <c r="AQ43" s="68"/>
      <c r="AR43" s="400"/>
    </row>
    <row r="44" spans="2:44" s="2" customFormat="1" ht="12.75">
      <c r="B44" s="12"/>
      <c r="C44" s="256"/>
      <c r="D44" s="4"/>
      <c r="F44" s="138"/>
      <c r="G44" s="138"/>
      <c r="H44" s="138"/>
      <c r="I44" s="138"/>
      <c r="J44" s="138"/>
      <c r="K44" s="138"/>
      <c r="L44" s="138"/>
      <c r="M44" s="35"/>
      <c r="N44" s="35"/>
      <c r="O44" s="138"/>
      <c r="P44" s="138"/>
      <c r="Q44" s="144"/>
      <c r="R44" s="138"/>
      <c r="S44" s="138"/>
      <c r="T44" s="138"/>
      <c r="V44" s="68"/>
      <c r="X44" s="138"/>
      <c r="Z44" s="138"/>
      <c r="AB44" s="138"/>
      <c r="AD44" s="138"/>
      <c r="AF44" s="138"/>
      <c r="AH44" s="138"/>
      <c r="AI44" s="138"/>
      <c r="AJ44" s="138"/>
      <c r="AK44" s="138"/>
      <c r="AL44" s="138"/>
      <c r="AP44" s="68"/>
      <c r="AQ44" s="68"/>
      <c r="AR44" s="400"/>
    </row>
    <row r="45" spans="2:44" s="2" customFormat="1" ht="12.75">
      <c r="B45" s="4">
        <f>MAX(B$3:B44)+1</f>
        <v>29</v>
      </c>
      <c r="C45" s="256"/>
      <c r="D45" s="447" t="s">
        <v>523</v>
      </c>
      <c r="F45" s="137">
        <f>F23+F31+F43</f>
        <v>5782469.2617205735</v>
      </c>
      <c r="G45" s="453"/>
      <c r="H45" s="137">
        <f>H23+H31+H43</f>
        <v>39210.463416297622</v>
      </c>
      <c r="I45" s="453"/>
      <c r="J45" s="137">
        <f>J23+J31+J43</f>
        <v>-534.5118520676092</v>
      </c>
      <c r="K45" s="453"/>
      <c r="L45" s="137">
        <f>L23+L31+L43</f>
        <v>-394.90033807925727</v>
      </c>
      <c r="M45" s="453"/>
      <c r="N45" s="137">
        <f>N23+N31+N43</f>
        <v>4718.1944190532868</v>
      </c>
      <c r="O45" s="453"/>
      <c r="P45" s="137">
        <f>P23+P31+P43</f>
        <v>-1201.4000267701756</v>
      </c>
      <c r="Q45" s="67"/>
      <c r="R45" s="137">
        <f>R23+R31+R43</f>
        <v>66829.357196292112</v>
      </c>
      <c r="S45" s="453"/>
      <c r="T45" s="137">
        <f>T23+T31+T43</f>
        <v>2042.397085602373</v>
      </c>
      <c r="V45" s="416">
        <f t="shared" ref="V45:V58" si="25">H45+J45+L45+N45+P45+R45</f>
        <v>108627.20281472598</v>
      </c>
      <c r="X45" s="406">
        <f>R45/F45</f>
        <v>1.1557235183020591E-2</v>
      </c>
      <c r="Y45" s="135"/>
      <c r="Z45" s="401">
        <f>H45/F45</f>
        <v>6.7809203372454331E-3</v>
      </c>
      <c r="AA45" s="399"/>
      <c r="AB45" s="401">
        <f>J45/F45</f>
        <v>-9.2436609322946097E-5</v>
      </c>
      <c r="AC45" s="399"/>
      <c r="AD45" s="401">
        <f>L45/F45</f>
        <v>-6.829268262495781E-5</v>
      </c>
      <c r="AE45" s="399"/>
      <c r="AF45" s="401">
        <f>N45/F45</f>
        <v>8.1594803283906918E-4</v>
      </c>
      <c r="AG45" s="399"/>
      <c r="AH45" s="401">
        <f>P45/F45</f>
        <v>-2.0776591666873799E-4</v>
      </c>
      <c r="AI45" s="402"/>
      <c r="AJ45" s="401">
        <f>T45/F45</f>
        <v>3.5320500519092391E-4</v>
      </c>
      <c r="AK45" s="402"/>
      <c r="AL45" s="461">
        <f t="shared" ref="AL45" si="26">SUM(X45:AJ45)</f>
        <v>1.913881334967937E-2</v>
      </c>
      <c r="AO45" s="397"/>
      <c r="AP45" s="68"/>
      <c r="AQ45" s="68"/>
      <c r="AR45" s="400"/>
    </row>
    <row r="46" spans="2:44" s="2" customFormat="1" ht="12.75">
      <c r="B46" s="4"/>
      <c r="C46" s="256"/>
      <c r="D46" s="256"/>
      <c r="E46" s="4"/>
      <c r="F46" s="138"/>
      <c r="G46" s="138"/>
      <c r="H46" s="453"/>
      <c r="I46" s="138"/>
      <c r="J46" s="138"/>
      <c r="K46" s="138"/>
      <c r="L46" s="453"/>
      <c r="M46" s="453"/>
      <c r="N46" s="453"/>
      <c r="O46" s="138"/>
      <c r="P46" s="454"/>
      <c r="Q46" s="404"/>
      <c r="R46" s="4"/>
      <c r="S46" s="4"/>
      <c r="T46" s="4"/>
      <c r="V46" s="68"/>
      <c r="AR46" s="400"/>
    </row>
    <row r="47" spans="2:44" s="2" customFormat="1" ht="12.75">
      <c r="B47" s="4"/>
      <c r="C47" s="256"/>
      <c r="D47" s="10" t="s">
        <v>524</v>
      </c>
      <c r="E47" s="4"/>
      <c r="F47" s="138"/>
      <c r="G47" s="138"/>
      <c r="H47" s="453"/>
      <c r="I47" s="138"/>
      <c r="J47" s="138"/>
      <c r="K47" s="138"/>
      <c r="L47" s="453"/>
      <c r="M47" s="453"/>
      <c r="N47" s="453"/>
      <c r="O47" s="138"/>
      <c r="P47" s="454"/>
      <c r="Q47" s="456"/>
      <c r="R47" s="4"/>
      <c r="S47" s="4"/>
      <c r="T47" s="4"/>
      <c r="V47" s="68"/>
      <c r="AR47" s="400"/>
    </row>
    <row r="48" spans="2:44" s="2" customFormat="1" ht="12.75">
      <c r="B48" s="4">
        <f>MAX(B$3:B47)+1</f>
        <v>30</v>
      </c>
      <c r="C48" s="256"/>
      <c r="D48" s="7" t="s">
        <v>525</v>
      </c>
      <c r="F48" s="35">
        <v>169.00033449599997</v>
      </c>
      <c r="G48" s="35"/>
      <c r="H48" s="35">
        <f>'Schedule 18 pp.1- 3'!X48-'Schedule 18 pp.1- 3'!H48</f>
        <v>0</v>
      </c>
      <c r="I48" s="35"/>
      <c r="J48" s="35">
        <f>'Schedule 18 pp.1- 3'!AB48-'Schedule 18 pp.1- 3'!J48</f>
        <v>0</v>
      </c>
      <c r="K48" s="35"/>
      <c r="L48" s="35">
        <f>'Schedule 18 pp.1- 3'!AD48-'Schedule 18 pp.1- 3'!N48</f>
        <v>0</v>
      </c>
      <c r="M48" s="35"/>
      <c r="N48" s="35">
        <f>'Schedule 18 pp.1- 3'!AF48-'Schedule 18 pp.1- 3'!P48</f>
        <v>0</v>
      </c>
      <c r="O48" s="35"/>
      <c r="P48" s="35">
        <f>'Schedule 18 pp.1- 3'!AH48-'Schedule 18 pp.1- 3'!R48</f>
        <v>0</v>
      </c>
      <c r="Q48" s="452"/>
      <c r="R48" s="68">
        <f>'Schedule 18 pp.1- 3'!V48</f>
        <v>4.8098413440000343</v>
      </c>
      <c r="S48" s="68"/>
      <c r="T48" s="68">
        <v>0</v>
      </c>
      <c r="V48" s="68">
        <f t="shared" si="25"/>
        <v>4.8098413440000343</v>
      </c>
      <c r="X48" s="399">
        <f t="shared" ref="X48:X56" si="27">R48/F48</f>
        <v>2.8460543337645746E-2</v>
      </c>
      <c r="Y48" s="35"/>
      <c r="Z48" s="398">
        <f t="shared" ref="Z48:Z56" si="28">H48/F48</f>
        <v>0</v>
      </c>
      <c r="AA48" s="35"/>
      <c r="AB48" s="398">
        <f t="shared" ref="AB48:AB56" si="29">J48/F48</f>
        <v>0</v>
      </c>
      <c r="AC48" s="135"/>
      <c r="AD48" s="398">
        <f t="shared" ref="AD48:AD56" si="30">L48/F48</f>
        <v>0</v>
      </c>
      <c r="AE48" s="35"/>
      <c r="AF48" s="398">
        <f t="shared" ref="AF48:AF56" si="31">N48/F48</f>
        <v>0</v>
      </c>
      <c r="AH48" s="460">
        <f t="shared" ref="AH48:AH56" si="32">P48/F48</f>
        <v>0</v>
      </c>
      <c r="AI48" s="398"/>
      <c r="AJ48" s="429" t="s">
        <v>948</v>
      </c>
      <c r="AK48" s="398"/>
      <c r="AL48" s="462">
        <f t="shared" ref="AL48" si="33">SUM(X48:AJ48)</f>
        <v>2.8460543337645746E-2</v>
      </c>
      <c r="AP48" s="68"/>
      <c r="AQ48" s="68"/>
      <c r="AR48" s="400"/>
    </row>
    <row r="49" spans="2:44" s="2" customFormat="1" ht="12.75">
      <c r="B49" s="4">
        <f>MAX(B$3:B48)+1</f>
        <v>31</v>
      </c>
      <c r="C49" s="256"/>
      <c r="D49" s="7" t="s">
        <v>526</v>
      </c>
      <c r="E49" s="4"/>
      <c r="F49" s="35">
        <v>19179.468000000001</v>
      </c>
      <c r="G49" s="35"/>
      <c r="H49" s="35">
        <f>'Schedule 18 pp.1- 3'!X49-'Schedule 18 pp.1- 3'!H49</f>
        <v>0</v>
      </c>
      <c r="I49" s="35"/>
      <c r="J49" s="35">
        <f>'Schedule 18 pp.1- 3'!AB49-'Schedule 18 pp.1- 3'!J49</f>
        <v>0</v>
      </c>
      <c r="K49" s="35"/>
      <c r="L49" s="35">
        <f>'Schedule 18 pp.1- 3'!AD49-'Schedule 18 pp.1- 3'!N49</f>
        <v>0</v>
      </c>
      <c r="M49" s="35"/>
      <c r="N49" s="35">
        <f>'Schedule 18 pp.1- 3'!AF49-'Schedule 18 pp.1- 3'!P49</f>
        <v>0</v>
      </c>
      <c r="O49" s="35"/>
      <c r="P49" s="35">
        <f>'Schedule 18 pp.1- 3'!AH49-'Schedule 18 pp.1- 3'!R49</f>
        <v>0</v>
      </c>
      <c r="Q49" s="452"/>
      <c r="R49" s="68">
        <f>'Schedule 18 pp.1- 3'!V49</f>
        <v>517.17773909869356</v>
      </c>
      <c r="S49" s="68"/>
      <c r="T49" s="68">
        <v>0</v>
      </c>
      <c r="V49" s="68">
        <f t="shared" si="25"/>
        <v>517.17773909869356</v>
      </c>
      <c r="X49" s="399">
        <f t="shared" si="27"/>
        <v>2.6965176463637757E-2</v>
      </c>
      <c r="Y49" s="35"/>
      <c r="Z49" s="398">
        <f t="shared" si="28"/>
        <v>0</v>
      </c>
      <c r="AA49" s="35"/>
      <c r="AB49" s="398">
        <f t="shared" si="29"/>
        <v>0</v>
      </c>
      <c r="AC49" s="135"/>
      <c r="AD49" s="398">
        <f t="shared" si="30"/>
        <v>0</v>
      </c>
      <c r="AE49" s="35"/>
      <c r="AF49" s="398">
        <f t="shared" si="31"/>
        <v>0</v>
      </c>
      <c r="AH49" s="460">
        <f t="shared" si="32"/>
        <v>0</v>
      </c>
      <c r="AI49" s="398"/>
      <c r="AJ49" s="429" t="s">
        <v>948</v>
      </c>
      <c r="AK49" s="398"/>
      <c r="AL49" s="398">
        <f t="shared" ref="AL49:AL58" si="34">SUM(X49:AJ49)</f>
        <v>2.6965176463637757E-2</v>
      </c>
      <c r="AP49" s="68"/>
      <c r="AQ49" s="68"/>
      <c r="AR49" s="400"/>
    </row>
    <row r="50" spans="2:44" s="2" customFormat="1" ht="12.75">
      <c r="B50" s="4">
        <f>MAX(B$3:B49)+1</f>
        <v>32</v>
      </c>
      <c r="C50" s="256"/>
      <c r="D50" s="7" t="s">
        <v>527</v>
      </c>
      <c r="F50" s="35">
        <v>3560.977942268019</v>
      </c>
      <c r="G50" s="35"/>
      <c r="H50" s="35">
        <f>'Schedule 18 pp.1- 3'!X50-'Schedule 18 pp.1- 3'!H50</f>
        <v>0</v>
      </c>
      <c r="I50" s="35"/>
      <c r="J50" s="35">
        <f>'Schedule 18 pp.1- 3'!AB50-'Schedule 18 pp.1- 3'!J50</f>
        <v>0</v>
      </c>
      <c r="K50" s="35"/>
      <c r="L50" s="35">
        <f>'Schedule 18 pp.1- 3'!AD50-'Schedule 18 pp.1- 3'!N50</f>
        <v>0</v>
      </c>
      <c r="M50" s="35"/>
      <c r="N50" s="35">
        <f>'Schedule 18 pp.1- 3'!AF50-'Schedule 18 pp.1- 3'!P50</f>
        <v>0</v>
      </c>
      <c r="O50" s="35"/>
      <c r="P50" s="35">
        <f>'Schedule 18 pp.1- 3'!AH50-'Schedule 18 pp.1- 3'!R50</f>
        <v>0</v>
      </c>
      <c r="Q50" s="452"/>
      <c r="R50" s="68">
        <f>'Schedule 18 pp.1- 3'!V50</f>
        <v>0</v>
      </c>
      <c r="S50" s="68"/>
      <c r="T50" s="68">
        <v>0</v>
      </c>
      <c r="V50" s="68">
        <f t="shared" si="25"/>
        <v>0</v>
      </c>
      <c r="X50" s="399">
        <f t="shared" si="27"/>
        <v>0</v>
      </c>
      <c r="Y50" s="35"/>
      <c r="Z50" s="398">
        <f t="shared" si="28"/>
        <v>0</v>
      </c>
      <c r="AA50" s="35"/>
      <c r="AB50" s="398">
        <f t="shared" si="29"/>
        <v>0</v>
      </c>
      <c r="AC50" s="135"/>
      <c r="AD50" s="398">
        <f t="shared" si="30"/>
        <v>0</v>
      </c>
      <c r="AE50" s="35"/>
      <c r="AF50" s="398">
        <f t="shared" si="31"/>
        <v>0</v>
      </c>
      <c r="AH50" s="460">
        <f t="shared" si="32"/>
        <v>0</v>
      </c>
      <c r="AI50" s="398"/>
      <c r="AJ50" s="429" t="s">
        <v>948</v>
      </c>
      <c r="AK50" s="398"/>
      <c r="AL50" s="398">
        <f t="shared" si="34"/>
        <v>0</v>
      </c>
      <c r="AP50" s="68"/>
      <c r="AQ50" s="68"/>
      <c r="AR50" s="400"/>
    </row>
    <row r="51" spans="2:44" s="2" customFormat="1" ht="12.75">
      <c r="B51" s="4">
        <f>MAX(B$3:B50)+1</f>
        <v>33</v>
      </c>
      <c r="C51" s="256"/>
      <c r="D51" s="455" t="s">
        <v>528</v>
      </c>
      <c r="E51" s="4"/>
      <c r="F51" s="35">
        <v>123641.88959884401</v>
      </c>
      <c r="G51" s="35"/>
      <c r="H51" s="35">
        <f>'Schedule 18 pp.1- 3'!X51-'Schedule 18 pp.1- 3'!H51</f>
        <v>0</v>
      </c>
      <c r="I51" s="35"/>
      <c r="J51" s="35">
        <f>'Schedule 18 pp.1- 3'!AB51-'Schedule 18 pp.1- 3'!J51</f>
        <v>0</v>
      </c>
      <c r="K51" s="35"/>
      <c r="L51" s="35">
        <f>'Schedule 18 pp.1- 3'!AD51-'Schedule 18 pp.1- 3'!N51</f>
        <v>0</v>
      </c>
      <c r="M51" s="35"/>
      <c r="N51" s="35">
        <f>'Schedule 18 pp.1- 3'!AF51-'Schedule 18 pp.1- 3'!P51</f>
        <v>1163.0892043165813</v>
      </c>
      <c r="O51" s="35"/>
      <c r="P51" s="35">
        <f>'Schedule 18 pp.1- 3'!AH51-'Schedule 18 pp.1- 3'!R51</f>
        <v>-74.662019551753474</v>
      </c>
      <c r="Q51" s="452"/>
      <c r="R51" s="68">
        <f>'Schedule 18 pp.1- 3'!V51</f>
        <v>2821.9219832848885</v>
      </c>
      <c r="S51" s="68"/>
      <c r="T51" s="68">
        <v>0</v>
      </c>
      <c r="V51" s="68">
        <f t="shared" si="25"/>
        <v>3910.3491680497164</v>
      </c>
      <c r="X51" s="399">
        <f t="shared" si="27"/>
        <v>2.2823348886373475E-2</v>
      </c>
      <c r="Y51" s="35"/>
      <c r="Z51" s="398">
        <f t="shared" si="28"/>
        <v>0</v>
      </c>
      <c r="AA51" s="35"/>
      <c r="AB51" s="398">
        <f t="shared" si="29"/>
        <v>0</v>
      </c>
      <c r="AC51" s="135"/>
      <c r="AD51" s="398">
        <f t="shared" si="30"/>
        <v>0</v>
      </c>
      <c r="AE51" s="35"/>
      <c r="AF51" s="398">
        <f t="shared" si="31"/>
        <v>9.4069187076501592E-3</v>
      </c>
      <c r="AH51" s="460">
        <f t="shared" si="32"/>
        <v>-6.0385699210837305E-4</v>
      </c>
      <c r="AI51" s="398"/>
      <c r="AJ51" s="429" t="s">
        <v>948</v>
      </c>
      <c r="AK51" s="398"/>
      <c r="AL51" s="398">
        <f t="shared" si="34"/>
        <v>3.1626410601915261E-2</v>
      </c>
      <c r="AP51" s="68"/>
      <c r="AQ51" s="68"/>
      <c r="AR51" s="400"/>
    </row>
    <row r="52" spans="2:44" s="2" customFormat="1" ht="12.75">
      <c r="B52" s="4">
        <f>MAX(B$3:B51)+1</f>
        <v>34</v>
      </c>
      <c r="C52" s="256"/>
      <c r="D52" s="455" t="s">
        <v>529</v>
      </c>
      <c r="E52" s="36"/>
      <c r="F52" s="35">
        <v>17410.917282836475</v>
      </c>
      <c r="G52" s="35"/>
      <c r="H52" s="35">
        <f>'Schedule 18 pp.1- 3'!X52-'Schedule 18 pp.1- 3'!H52</f>
        <v>0</v>
      </c>
      <c r="I52" s="35"/>
      <c r="J52" s="35">
        <f>'Schedule 18 pp.1- 3'!AB52-'Schedule 18 pp.1- 3'!J52</f>
        <v>0</v>
      </c>
      <c r="K52" s="35"/>
      <c r="L52" s="35">
        <f>'Schedule 18 pp.1- 3'!AD52-'Schedule 18 pp.1- 3'!N52</f>
        <v>0</v>
      </c>
      <c r="M52" s="35"/>
      <c r="N52" s="35">
        <f>'Schedule 18 pp.1- 3'!AF52-'Schedule 18 pp.1- 3'!P52</f>
        <v>198.43916494579207</v>
      </c>
      <c r="O52" s="35"/>
      <c r="P52" s="35">
        <f>'Schedule 18 pp.1- 3'!AH52-'Schedule 18 pp.1- 3'!R52</f>
        <v>-9.9923522844333093</v>
      </c>
      <c r="Q52" s="452"/>
      <c r="R52" s="68">
        <f>'Schedule 18 pp.1- 3'!V52</f>
        <v>54.904903793568309</v>
      </c>
      <c r="S52" s="68"/>
      <c r="T52" s="68">
        <v>0</v>
      </c>
      <c r="V52" s="68">
        <f t="shared" si="25"/>
        <v>243.35171645492707</v>
      </c>
      <c r="X52" s="399">
        <f t="shared" si="27"/>
        <v>3.1534756556274644E-3</v>
      </c>
      <c r="Y52" s="35"/>
      <c r="Z52" s="398">
        <f t="shared" si="28"/>
        <v>0</v>
      </c>
      <c r="AA52" s="35"/>
      <c r="AB52" s="398">
        <f t="shared" si="29"/>
        <v>0</v>
      </c>
      <c r="AC52" s="135"/>
      <c r="AD52" s="398">
        <f t="shared" si="30"/>
        <v>0</v>
      </c>
      <c r="AE52" s="35"/>
      <c r="AF52" s="398">
        <f t="shared" si="31"/>
        <v>1.1397398639152206E-2</v>
      </c>
      <c r="AH52" s="460">
        <f t="shared" si="32"/>
        <v>-5.7391302951531912E-4</v>
      </c>
      <c r="AI52" s="398"/>
      <c r="AJ52" s="429" t="s">
        <v>948</v>
      </c>
      <c r="AK52" s="398"/>
      <c r="AL52" s="398">
        <f t="shared" si="34"/>
        <v>1.3976961265264352E-2</v>
      </c>
      <c r="AP52" s="68"/>
      <c r="AQ52" s="68"/>
      <c r="AR52" s="400"/>
    </row>
    <row r="53" spans="2:44" s="2" customFormat="1" ht="12.75">
      <c r="B53" s="4">
        <f>MAX(B$3:B52)+1</f>
        <v>35</v>
      </c>
      <c r="C53" s="256"/>
      <c r="D53" s="455" t="s">
        <v>530</v>
      </c>
      <c r="E53" s="4"/>
      <c r="F53" s="35">
        <v>424.03364183333326</v>
      </c>
      <c r="G53" s="35"/>
      <c r="H53" s="35">
        <f>'Schedule 18 pp.1- 3'!X53-'Schedule 18 pp.1- 3'!H53</f>
        <v>0</v>
      </c>
      <c r="I53" s="35"/>
      <c r="J53" s="35">
        <f>'Schedule 18 pp.1- 3'!AB53-'Schedule 18 pp.1- 3'!J53</f>
        <v>0</v>
      </c>
      <c r="K53" s="35"/>
      <c r="L53" s="35">
        <f>'Schedule 18 pp.1- 3'!AD53-'Schedule 18 pp.1- 3'!N53</f>
        <v>0</v>
      </c>
      <c r="M53" s="35"/>
      <c r="N53" s="35">
        <f>'Schedule 18 pp.1- 3'!AF53-'Schedule 18 pp.1- 3'!P53</f>
        <v>10.582690347298453</v>
      </c>
      <c r="O53" s="35"/>
      <c r="P53" s="35">
        <f>'Schedule 18 pp.1- 3'!AH53-'Schedule 18 pp.1- 3'!R53</f>
        <v>0</v>
      </c>
      <c r="Q53" s="452"/>
      <c r="R53" s="68">
        <f>'Schedule 18 pp.1- 3'!V53</f>
        <v>4.9093410311874663</v>
      </c>
      <c r="S53" s="68"/>
      <c r="T53" s="68">
        <v>0</v>
      </c>
      <c r="V53" s="68">
        <f t="shared" si="25"/>
        <v>15.492031378485919</v>
      </c>
      <c r="X53" s="399">
        <f t="shared" si="27"/>
        <v>1.1577715885847299E-2</v>
      </c>
      <c r="Y53" s="35"/>
      <c r="Z53" s="398">
        <f t="shared" si="28"/>
        <v>0</v>
      </c>
      <c r="AA53" s="35"/>
      <c r="AB53" s="398">
        <f t="shared" si="29"/>
        <v>0</v>
      </c>
      <c r="AC53" s="135"/>
      <c r="AD53" s="398">
        <f t="shared" si="30"/>
        <v>0</v>
      </c>
      <c r="AE53" s="35"/>
      <c r="AF53" s="398">
        <f t="shared" si="31"/>
        <v>2.4957195145044617E-2</v>
      </c>
      <c r="AH53" s="460">
        <f t="shared" si="32"/>
        <v>0</v>
      </c>
      <c r="AI53" s="398"/>
      <c r="AJ53" s="429" t="s">
        <v>948</v>
      </c>
      <c r="AK53" s="398"/>
      <c r="AL53" s="398">
        <f t="shared" si="34"/>
        <v>3.6534911030891917E-2</v>
      </c>
      <c r="AP53" s="68"/>
      <c r="AQ53" s="68"/>
      <c r="AR53" s="400"/>
    </row>
    <row r="54" spans="2:44" s="2" customFormat="1" ht="12.75">
      <c r="B54" s="4">
        <f>MAX(B$3:B53)+1</f>
        <v>36</v>
      </c>
      <c r="C54" s="256"/>
      <c r="D54" s="455" t="s">
        <v>531</v>
      </c>
      <c r="E54" s="4"/>
      <c r="F54" s="35">
        <v>638.42606352170299</v>
      </c>
      <c r="G54" s="35"/>
      <c r="H54" s="35">
        <f>'Schedule 18 pp.1- 3'!X54-'Schedule 18 pp.1- 3'!H54</f>
        <v>0</v>
      </c>
      <c r="I54" s="35"/>
      <c r="J54" s="35">
        <f>'Schedule 18 pp.1- 3'!AB54-'Schedule 18 pp.1- 3'!J54</f>
        <v>0</v>
      </c>
      <c r="K54" s="35"/>
      <c r="L54" s="35">
        <f>'Schedule 18 pp.1- 3'!AD54-'Schedule 18 pp.1- 3'!N54</f>
        <v>0</v>
      </c>
      <c r="M54" s="35"/>
      <c r="N54" s="35">
        <f>'Schedule 18 pp.1- 3'!AF54-'Schedule 18 pp.1- 3'!P54</f>
        <v>22.061673486894804</v>
      </c>
      <c r="O54" s="35"/>
      <c r="P54" s="35">
        <f>'Schedule 18 pp.1- 3'!AH54-'Schedule 18 pp.1- 3'!R54</f>
        <v>-0.40695638129464839</v>
      </c>
      <c r="Q54" s="452"/>
      <c r="R54" s="68">
        <f>'Schedule 18 pp.1- 3'!V54</f>
        <v>11.924455720885845</v>
      </c>
      <c r="S54" s="68"/>
      <c r="T54" s="68">
        <v>0</v>
      </c>
      <c r="V54" s="68">
        <f t="shared" si="25"/>
        <v>33.579172826486001</v>
      </c>
      <c r="X54" s="399">
        <f t="shared" si="27"/>
        <v>1.8677896160924013E-2</v>
      </c>
      <c r="Y54" s="35"/>
      <c r="Z54" s="398">
        <f t="shared" si="28"/>
        <v>0</v>
      </c>
      <c r="AA54" s="35"/>
      <c r="AB54" s="398">
        <f t="shared" si="29"/>
        <v>0</v>
      </c>
      <c r="AC54" s="135"/>
      <c r="AD54" s="398">
        <f t="shared" si="30"/>
        <v>0</v>
      </c>
      <c r="AE54" s="35"/>
      <c r="AF54" s="398">
        <f t="shared" si="31"/>
        <v>3.4556348412841435E-2</v>
      </c>
      <c r="AH54" s="460">
        <f t="shared" si="32"/>
        <v>-6.3743697907598675E-4</v>
      </c>
      <c r="AI54" s="398"/>
      <c r="AJ54" s="429" t="s">
        <v>948</v>
      </c>
      <c r="AK54" s="398"/>
      <c r="AL54" s="398">
        <f t="shared" si="34"/>
        <v>5.2596807594689467E-2</v>
      </c>
      <c r="AP54" s="68"/>
      <c r="AQ54" s="68"/>
      <c r="AR54" s="400"/>
    </row>
    <row r="55" spans="2:44" s="2" customFormat="1" ht="12.75">
      <c r="B55" s="4">
        <f>MAX(B$3:B54)+1</f>
        <v>37</v>
      </c>
      <c r="D55" s="455" t="s">
        <v>532</v>
      </c>
      <c r="E55" s="36"/>
      <c r="F55" s="35">
        <v>570.28478551477679</v>
      </c>
      <c r="G55" s="35"/>
      <c r="H55" s="35">
        <f>'Schedule 18 pp.1- 3'!X55-'Schedule 18 pp.1- 3'!H55</f>
        <v>0</v>
      </c>
      <c r="I55" s="35"/>
      <c r="J55" s="35">
        <f>'Schedule 18 pp.1- 3'!AB55-'Schedule 18 pp.1- 3'!J55</f>
        <v>0</v>
      </c>
      <c r="K55" s="35"/>
      <c r="L55" s="35">
        <f>'Schedule 18 pp.1- 3'!AD55-'Schedule 18 pp.1- 3'!N55</f>
        <v>0</v>
      </c>
      <c r="M55" s="35"/>
      <c r="N55" s="35">
        <f>'Schedule 18 pp.1- 3'!AF55-'Schedule 18 pp.1- 3'!P55</f>
        <v>2.6376237211226066</v>
      </c>
      <c r="O55" s="35"/>
      <c r="P55" s="35">
        <f>'Schedule 18 pp.1- 3'!AH55-'Schedule 18 pp.1- 3'!R55</f>
        <v>-0.16005376992270115</v>
      </c>
      <c r="Q55" s="452"/>
      <c r="R55" s="68">
        <f>'Schedule 18 pp.1- 3'!V55</f>
        <v>14.267638357489496</v>
      </c>
      <c r="S55" s="68"/>
      <c r="T55" s="68">
        <v>0</v>
      </c>
      <c r="V55" s="68">
        <f t="shared" si="25"/>
        <v>16.745208308689399</v>
      </c>
      <c r="X55" s="399">
        <f t="shared" si="27"/>
        <v>2.5018444678671519E-2</v>
      </c>
      <c r="Y55" s="35"/>
      <c r="Z55" s="398">
        <f t="shared" si="28"/>
        <v>0</v>
      </c>
      <c r="AA55" s="35"/>
      <c r="AB55" s="398">
        <f t="shared" si="29"/>
        <v>0</v>
      </c>
      <c r="AC55" s="135"/>
      <c r="AD55" s="398">
        <f t="shared" si="30"/>
        <v>0</v>
      </c>
      <c r="AE55" s="35"/>
      <c r="AF55" s="398">
        <f t="shared" si="31"/>
        <v>4.625099227821259E-3</v>
      </c>
      <c r="AH55" s="460">
        <f t="shared" si="32"/>
        <v>-2.8065586525901444E-4</v>
      </c>
      <c r="AI55" s="398"/>
      <c r="AJ55" s="429" t="s">
        <v>948</v>
      </c>
      <c r="AK55" s="398"/>
      <c r="AL55" s="398">
        <f t="shared" si="34"/>
        <v>2.9362888041233763E-2</v>
      </c>
      <c r="AP55" s="68"/>
      <c r="AQ55" s="68"/>
      <c r="AR55" s="400"/>
    </row>
    <row r="56" spans="2:44" s="2" customFormat="1">
      <c r="B56" s="4">
        <f>MAX(B$3:B55)+1</f>
        <v>38</v>
      </c>
      <c r="D56" s="256" t="s">
        <v>533</v>
      </c>
      <c r="F56" s="137">
        <f>SUM(F48:F55)</f>
        <v>165594.99764931435</v>
      </c>
      <c r="G56" s="457"/>
      <c r="H56" s="137">
        <f>SUM(H48:H55)</f>
        <v>0</v>
      </c>
      <c r="I56" s="457"/>
      <c r="J56" s="137">
        <f>SUM(J48:J55)</f>
        <v>0</v>
      </c>
      <c r="K56" s="457"/>
      <c r="L56" s="137">
        <f>SUM(L48:L55)</f>
        <v>0</v>
      </c>
      <c r="M56" s="457"/>
      <c r="N56" s="137">
        <f>SUM(N48:N55)</f>
        <v>1396.8103568176891</v>
      </c>
      <c r="O56" s="457"/>
      <c r="P56" s="137">
        <f>SUM(P48:P55)</f>
        <v>-85.221381987404129</v>
      </c>
      <c r="Q56" s="457"/>
      <c r="R56" s="137">
        <f>SUM(R48:R55)</f>
        <v>3429.9159026307134</v>
      </c>
      <c r="S56" s="453"/>
      <c r="T56" s="416">
        <v>0</v>
      </c>
      <c r="V56" s="416">
        <f t="shared" si="25"/>
        <v>4741.5048774609986</v>
      </c>
      <c r="X56" s="406">
        <f t="shared" si="27"/>
        <v>2.0712678228930276E-2</v>
      </c>
      <c r="Z56" s="401">
        <f t="shared" si="28"/>
        <v>0</v>
      </c>
      <c r="AA56" s="399"/>
      <c r="AB56" s="401">
        <f t="shared" si="29"/>
        <v>0</v>
      </c>
      <c r="AC56" s="399"/>
      <c r="AD56" s="401">
        <f t="shared" si="30"/>
        <v>0</v>
      </c>
      <c r="AE56" s="399"/>
      <c r="AF56" s="401">
        <f t="shared" si="31"/>
        <v>8.4350999525707755E-3</v>
      </c>
      <c r="AG56" s="399"/>
      <c r="AH56" s="461">
        <f t="shared" si="32"/>
        <v>-5.1463741777925008E-4</v>
      </c>
      <c r="AI56" s="402"/>
      <c r="AJ56" s="406" t="s">
        <v>948</v>
      </c>
      <c r="AK56" s="402"/>
      <c r="AL56" s="461">
        <f t="shared" si="34"/>
        <v>2.8633140763721799E-2</v>
      </c>
      <c r="AO56" s="397"/>
      <c r="AP56" s="68"/>
      <c r="AQ56" s="68"/>
      <c r="AR56" s="400"/>
    </row>
    <row r="57" spans="2:44" s="2" customFormat="1" ht="12.75">
      <c r="B57" s="4"/>
      <c r="C57" s="256"/>
      <c r="G57" s="68"/>
      <c r="M57" s="68"/>
      <c r="Q57" s="405"/>
      <c r="R57" s="4"/>
      <c r="S57" s="4"/>
      <c r="T57" s="4"/>
      <c r="V57" s="68"/>
      <c r="AP57" s="68"/>
      <c r="AQ57" s="68"/>
      <c r="AR57" s="400"/>
    </row>
    <row r="58" spans="2:44" s="2" customFormat="1" ht="12.75">
      <c r="B58" s="4">
        <f>MAX(B$3:B57)+1</f>
        <v>39</v>
      </c>
      <c r="C58" s="256"/>
      <c r="D58" s="133" t="s">
        <v>534</v>
      </c>
      <c r="F58" s="35">
        <v>1196.9395495536583</v>
      </c>
      <c r="G58" s="35"/>
      <c r="H58" s="35">
        <f>'Schedule 18 pp.1- 3'!X58-'Schedule 18 pp.1- 3'!H58</f>
        <v>0</v>
      </c>
      <c r="I58" s="35"/>
      <c r="J58" s="35">
        <f>'Schedule 18 pp.1- 3'!AB58-'Schedule 18 pp.1- 3'!J58</f>
        <v>0</v>
      </c>
      <c r="K58" s="35"/>
      <c r="L58" s="35">
        <f>'Schedule 18 pp.1- 3'!AD58-'Schedule 18 pp.1- 3'!N58</f>
        <v>0</v>
      </c>
      <c r="M58" s="35"/>
      <c r="N58" s="35">
        <f>'Schedule 18 pp.1- 3'!AF58-'Schedule 18 pp.1- 3'!P58</f>
        <v>0</v>
      </c>
      <c r="O58" s="35"/>
      <c r="P58" s="35">
        <f>'Schedule 18 pp.1- 3'!AH58-'Schedule 18 pp.1- 3'!R58</f>
        <v>0</v>
      </c>
      <c r="Q58" s="452"/>
      <c r="R58" s="68">
        <f>'Schedule 18 pp.1- 3'!V58</f>
        <v>12.998163194410154</v>
      </c>
      <c r="S58" s="68"/>
      <c r="T58" s="68">
        <v>0</v>
      </c>
      <c r="V58" s="68">
        <f t="shared" si="25"/>
        <v>12.998163194410154</v>
      </c>
      <c r="W58" s="35"/>
      <c r="X58" s="399">
        <f t="shared" ref="X58" si="35">R58/F58</f>
        <v>1.0859498459431139E-2</v>
      </c>
      <c r="Y58" s="35"/>
      <c r="Z58" s="398">
        <f t="shared" ref="Z58" si="36">H58/F58</f>
        <v>0</v>
      </c>
      <c r="AA58" s="35"/>
      <c r="AB58" s="398">
        <f t="shared" ref="AB58" si="37">J58/F58</f>
        <v>0</v>
      </c>
      <c r="AC58" s="135"/>
      <c r="AD58" s="398">
        <f t="shared" ref="AD58" si="38">L58/F58</f>
        <v>0</v>
      </c>
      <c r="AE58" s="35"/>
      <c r="AF58" s="398">
        <f t="shared" ref="AF58" si="39">N58/F58</f>
        <v>0</v>
      </c>
      <c r="AH58" s="398">
        <f t="shared" ref="AH58" si="40">P58/F58</f>
        <v>0</v>
      </c>
      <c r="AI58" s="398"/>
      <c r="AJ58" s="399" t="s">
        <v>948</v>
      </c>
      <c r="AK58" s="398"/>
      <c r="AL58" s="462">
        <f t="shared" si="34"/>
        <v>1.0859498459431139E-2</v>
      </c>
      <c r="AO58" s="397"/>
      <c r="AP58" s="68"/>
      <c r="AQ58" s="68"/>
      <c r="AR58" s="400"/>
    </row>
    <row r="59" spans="2:44" s="2" customFormat="1" ht="12.75">
      <c r="B59" s="1"/>
      <c r="Q59" s="405"/>
      <c r="R59" s="4"/>
      <c r="S59" s="4"/>
      <c r="T59" s="4"/>
      <c r="V59" s="68"/>
      <c r="AH59" s="68"/>
      <c r="AI59" s="68"/>
      <c r="AJ59" s="68"/>
      <c r="AK59" s="68"/>
      <c r="AL59" s="68"/>
      <c r="AP59" s="68"/>
      <c r="AQ59" s="68"/>
      <c r="AR59" s="400"/>
    </row>
    <row r="60" spans="2:44" s="2" customFormat="1" ht="15" thickBot="1">
      <c r="B60" s="4">
        <f>MAX(B$3:B58)+1</f>
        <v>40</v>
      </c>
      <c r="C60" s="256"/>
      <c r="D60" s="447" t="s">
        <v>100</v>
      </c>
      <c r="F60" s="458">
        <f>ROUND(F45+F56+F58,0)</f>
        <v>5949261</v>
      </c>
      <c r="G60" s="457"/>
      <c r="H60" s="458">
        <f>ROUND(H45+H56+H58,0)</f>
        <v>39210</v>
      </c>
      <c r="I60" s="457"/>
      <c r="J60" s="458">
        <f>ROUND(J45+J56+J58,0)</f>
        <v>-535</v>
      </c>
      <c r="K60" s="457"/>
      <c r="L60" s="458">
        <f>ROUND(L45+L56+L58,0)</f>
        <v>-395</v>
      </c>
      <c r="M60" s="457"/>
      <c r="N60" s="458">
        <f>ROUND(N45+N56+N58,0)</f>
        <v>6115</v>
      </c>
      <c r="O60" s="457"/>
      <c r="P60" s="458">
        <f>ROUND(P45+P56+P58,0)</f>
        <v>-1287</v>
      </c>
      <c r="Q60" s="457"/>
      <c r="R60" s="458">
        <f>ROUND(R45+R56+R58,0)</f>
        <v>70272</v>
      </c>
      <c r="S60" s="453"/>
      <c r="T60" s="458">
        <f>ROUND(T45+T56+T58,0)</f>
        <v>2042</v>
      </c>
      <c r="V60" s="458">
        <f>H60+J60+L60+N60+P60+R60+T60</f>
        <v>115422</v>
      </c>
      <c r="X60" s="407">
        <f>R60/F60</f>
        <v>1.1811887224312399E-2</v>
      </c>
      <c r="Y60" s="399"/>
      <c r="Z60" s="408">
        <f>H60/F60</f>
        <v>6.5907345466941188E-3</v>
      </c>
      <c r="AA60" s="399"/>
      <c r="AB60" s="408">
        <f>J60/F60</f>
        <v>-8.9927135487920262E-5</v>
      </c>
      <c r="AC60" s="399"/>
      <c r="AD60" s="408">
        <f>L60/F60</f>
        <v>-6.6394800967716836E-5</v>
      </c>
      <c r="AE60" s="399"/>
      <c r="AF60" s="408">
        <f>N60/F60</f>
        <v>1.0278587542217428E-3</v>
      </c>
      <c r="AG60" s="399"/>
      <c r="AH60" s="408">
        <f>P60/F60</f>
        <v>-2.1632938948215586E-4</v>
      </c>
      <c r="AI60" s="402"/>
      <c r="AJ60" s="408">
        <f>T60/F60</f>
        <v>3.4323590778753866E-4</v>
      </c>
      <c r="AK60" s="402"/>
      <c r="AL60" s="408">
        <f>SUM(X60:AJ60)</f>
        <v>1.9401065107078008E-2</v>
      </c>
      <c r="AO60" s="397"/>
      <c r="AP60" s="68"/>
      <c r="AQ60" s="68"/>
      <c r="AR60" s="400"/>
    </row>
    <row r="61" spans="2:44" s="2" customFormat="1" ht="13.5" thickTop="1">
      <c r="B61" s="1"/>
      <c r="E61" s="256"/>
      <c r="F61" s="256"/>
      <c r="G61" s="12"/>
      <c r="H61" s="12"/>
      <c r="I61" s="12"/>
      <c r="J61" s="12"/>
      <c r="K61" s="12"/>
      <c r="L61" s="12"/>
      <c r="M61" s="139"/>
      <c r="N61" s="12"/>
      <c r="O61" s="12"/>
      <c r="P61" s="12"/>
      <c r="Q61" s="12"/>
      <c r="R61" s="12"/>
      <c r="S61" s="12"/>
      <c r="T61" s="12"/>
      <c r="V61" s="68"/>
    </row>
    <row r="62" spans="2:44" s="2" customFormat="1" ht="12.75">
      <c r="B62" s="61" t="s">
        <v>39</v>
      </c>
      <c r="C62" s="256"/>
      <c r="D62" s="256"/>
      <c r="E62" s="12"/>
      <c r="F62" s="139"/>
      <c r="G62" s="12"/>
      <c r="Q62" s="12"/>
      <c r="R62" s="12"/>
      <c r="S62" s="12"/>
      <c r="T62" s="12"/>
      <c r="V62" s="2" t="s">
        <v>38</v>
      </c>
    </row>
    <row r="63" spans="2:44" s="2" customFormat="1">
      <c r="B63" s="69" t="s">
        <v>357</v>
      </c>
      <c r="D63" s="12" t="s">
        <v>1075</v>
      </c>
      <c r="E63" s="12"/>
      <c r="F63" s="12"/>
      <c r="U63" s="130"/>
      <c r="V63" s="457"/>
      <c r="W63" s="457"/>
      <c r="X63" s="457"/>
      <c r="Y63" s="457"/>
      <c r="Z63" s="457"/>
      <c r="AA63" s="457"/>
      <c r="AB63" s="457"/>
      <c r="AC63" s="457"/>
      <c r="AD63" s="457"/>
      <c r="AH63" s="2" t="s">
        <v>38</v>
      </c>
    </row>
    <row r="64" spans="2:44" s="2" customFormat="1">
      <c r="B64" s="69" t="s">
        <v>448</v>
      </c>
      <c r="D64" s="12" t="s">
        <v>1076</v>
      </c>
      <c r="U64" s="130"/>
      <c r="V64" s="457"/>
      <c r="W64" s="457"/>
      <c r="X64" s="457"/>
      <c r="Y64" s="457"/>
      <c r="Z64" s="457"/>
      <c r="AA64" s="457"/>
      <c r="AB64" s="457"/>
      <c r="AC64" s="457"/>
      <c r="AD64" s="457"/>
    </row>
    <row r="65" spans="2:30" s="2" customFormat="1">
      <c r="B65" s="69" t="s">
        <v>537</v>
      </c>
      <c r="D65" s="12" t="s">
        <v>1077</v>
      </c>
      <c r="V65"/>
      <c r="W65"/>
      <c r="X65"/>
      <c r="Y65"/>
      <c r="Z65"/>
      <c r="AA65"/>
      <c r="AB65"/>
      <c r="AC65"/>
      <c r="AD65"/>
    </row>
    <row r="66" spans="2:30" s="2" customFormat="1">
      <c r="B66" s="69" t="s">
        <v>539</v>
      </c>
      <c r="C66" s="12"/>
      <c r="D66" s="12" t="s">
        <v>1078</v>
      </c>
      <c r="V66"/>
      <c r="W66"/>
      <c r="X66"/>
      <c r="Y66"/>
      <c r="Z66"/>
      <c r="AA66"/>
      <c r="AB66"/>
      <c r="AC66"/>
      <c r="AD66"/>
    </row>
    <row r="67" spans="2:30" s="2" customFormat="1" ht="12.75">
      <c r="B67" s="69" t="s">
        <v>541</v>
      </c>
      <c r="C67" s="12"/>
      <c r="D67" s="12" t="s">
        <v>1079</v>
      </c>
    </row>
    <row r="68" spans="2:30" s="2" customFormat="1" ht="12.75">
      <c r="B68" s="69" t="s">
        <v>543</v>
      </c>
      <c r="D68" s="12" t="s">
        <v>1080</v>
      </c>
    </row>
    <row r="69" spans="2:30">
      <c r="B69" s="69" t="s">
        <v>1081</v>
      </c>
      <c r="D69" s="12" t="s">
        <v>1082</v>
      </c>
    </row>
    <row r="70" spans="2:30">
      <c r="B70" s="69" t="s">
        <v>1083</v>
      </c>
      <c r="D70" s="141" t="s">
        <v>1084</v>
      </c>
      <c r="L70" s="418"/>
      <c r="M70" s="418"/>
      <c r="N70" s="418"/>
      <c r="O70" s="418"/>
      <c r="P70" s="418"/>
    </row>
  </sheetData>
  <mergeCells count="4">
    <mergeCell ref="B3:AL3"/>
    <mergeCell ref="B4:AL4"/>
    <mergeCell ref="H7:R7"/>
    <mergeCell ref="X7:AL7"/>
  </mergeCells>
  <pageMargins left="0.7" right="0.7" top="0.75" bottom="0.75" header="0.3" footer="0.3"/>
  <pageSetup scale="49" orientation="landscape" horizontalDpi="300" verticalDpi="300" r:id="rId1"/>
  <headerFooter>
    <oddHeader>&amp;R&amp;10Updated: 2024-03-15
EB-2022-0200
Rate Order
Working Papers
Schedule 18
Page 4 of 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BE773-AA23-4ED7-9EED-735BDF9216D4}">
  <sheetPr syncVertical="1" syncRef="A181" transitionEvaluation="1" transitionEntry="1">
    <pageSetUpPr autoPageBreaks="0" fitToPage="1"/>
  </sheetPr>
  <dimension ref="A1:AH1068"/>
  <sheetViews>
    <sheetView view="pageLayout" topLeftCell="A181" zoomScale="80" zoomScaleNormal="100" zoomScaleSheetLayoutView="70" zoomScalePageLayoutView="80" workbookViewId="0">
      <selection sqref="A1:XFD1048576"/>
    </sheetView>
  </sheetViews>
  <sheetFormatPr defaultColWidth="9.625" defaultRowHeight="12.75"/>
  <cols>
    <col min="1" max="1" width="5.125" style="1067" customWidth="1"/>
    <col min="2" max="2" width="1" style="1067" customWidth="1"/>
    <col min="3" max="3" width="1.125" style="1065" hidden="1" customWidth="1"/>
    <col min="4" max="4" width="44.875" style="1065" customWidth="1"/>
    <col min="5" max="5" width="1.625" style="1065" customWidth="1"/>
    <col min="6" max="6" width="11.625" style="1065" customWidth="1"/>
    <col min="7" max="7" width="1.125" style="1065" customWidth="1"/>
    <col min="8" max="8" width="9.625" style="1065" customWidth="1"/>
    <col min="9" max="9" width="2.625" style="1065" customWidth="1"/>
    <col min="10" max="10" width="8.625" style="1065" customWidth="1"/>
    <col min="11" max="11" width="2.625" style="1065" customWidth="1"/>
    <col min="12" max="12" width="10" style="1065" customWidth="1"/>
    <col min="13" max="13" width="2.625" style="1065" customWidth="1"/>
    <col min="14" max="14" width="10.125" style="1065" customWidth="1"/>
    <col min="15" max="15" width="2.625" style="1065" customWidth="1"/>
    <col min="16" max="16" width="8.625" style="1065" customWidth="1"/>
    <col min="17" max="17" width="3" style="1067" customWidth="1"/>
    <col min="18" max="18" width="9.5" style="1065" bestFit="1" customWidth="1"/>
    <col min="19" max="19" width="8.5" style="1065" customWidth="1"/>
    <col min="20" max="20" width="2.625" style="1069" customWidth="1"/>
    <col min="21" max="21" width="9.5" style="1065" customWidth="1"/>
    <col min="22" max="22" width="13.125" style="1065" customWidth="1"/>
    <col min="23" max="23" width="11.125" style="1065" customWidth="1"/>
    <col min="24" max="24" width="3.125" style="1065" customWidth="1"/>
    <col min="25" max="25" width="11.125" style="1065" customWidth="1"/>
    <col min="26" max="26" width="3.125" style="1065" customWidth="1"/>
    <col min="27" max="27" width="11.125" style="1065" customWidth="1"/>
    <col min="28" max="28" width="6.625" style="1065" customWidth="1"/>
    <col min="29" max="33" width="9.625" style="1065"/>
    <col min="34" max="34" width="16.625" style="1065" customWidth="1"/>
    <col min="35" max="16384" width="9.625" style="1065"/>
  </cols>
  <sheetData>
    <row r="1" spans="1:25" ht="12.75" customHeight="1">
      <c r="A1" s="1064"/>
      <c r="B1" s="1064"/>
      <c r="P1" s="1066"/>
      <c r="S1" s="1068"/>
    </row>
    <row r="2" spans="1:25" ht="12.75" customHeight="1">
      <c r="A2" s="1070"/>
      <c r="B2" s="1070"/>
      <c r="C2" s="1070"/>
      <c r="G2" s="1071"/>
      <c r="H2" s="1070"/>
      <c r="I2" s="1070"/>
      <c r="J2" s="1070"/>
      <c r="K2" s="1070"/>
      <c r="P2" s="1066"/>
      <c r="S2" s="1068"/>
      <c r="Y2" s="1072"/>
    </row>
    <row r="3" spans="1:25" ht="12.75" customHeight="1">
      <c r="A3" s="1070"/>
      <c r="B3" s="1070"/>
      <c r="C3" s="1070"/>
      <c r="G3" s="1071"/>
      <c r="H3" s="1070"/>
      <c r="I3" s="1070"/>
      <c r="J3" s="1070"/>
      <c r="K3" s="1070"/>
      <c r="P3" s="1066"/>
      <c r="S3" s="1068"/>
    </row>
    <row r="4" spans="1:25" ht="12.75" customHeight="1">
      <c r="A4" s="1073"/>
      <c r="B4" s="1073"/>
      <c r="C4" s="1067"/>
      <c r="G4" s="1067"/>
      <c r="H4" s="1073"/>
      <c r="I4" s="1073"/>
      <c r="J4" s="1064"/>
      <c r="K4" s="1067"/>
      <c r="P4" s="1066"/>
      <c r="S4" s="1068"/>
    </row>
    <row r="5" spans="1:25" ht="12.75" customHeight="1">
      <c r="A5" s="1336"/>
      <c r="B5" s="1336"/>
      <c r="C5" s="1336"/>
      <c r="D5" s="1335"/>
      <c r="E5" s="1335"/>
      <c r="F5" s="1335"/>
      <c r="G5" s="1335"/>
      <c r="H5" s="1335"/>
      <c r="I5" s="1335"/>
      <c r="J5" s="1335"/>
      <c r="K5" s="1335"/>
      <c r="L5" s="1335"/>
      <c r="M5" s="1335"/>
      <c r="N5" s="1335"/>
      <c r="O5" s="1335"/>
      <c r="P5" s="1335"/>
      <c r="S5" s="1068"/>
    </row>
    <row r="6" spans="1:25" ht="12.75" customHeight="1">
      <c r="A6" s="1336" t="s">
        <v>1085</v>
      </c>
      <c r="B6" s="1336"/>
      <c r="C6" s="1336"/>
      <c r="D6" s="1335"/>
      <c r="E6" s="1335"/>
      <c r="F6" s="1335"/>
      <c r="G6" s="1335"/>
      <c r="H6" s="1335"/>
      <c r="I6" s="1335"/>
      <c r="J6" s="1335"/>
      <c r="K6" s="1335"/>
      <c r="L6" s="1335"/>
      <c r="M6" s="1335"/>
      <c r="N6" s="1335"/>
      <c r="O6" s="1335"/>
      <c r="P6" s="1335"/>
      <c r="Q6" s="1074"/>
      <c r="S6" s="1068"/>
    </row>
    <row r="7" spans="1:25" ht="12.75" customHeight="1">
      <c r="A7" s="1334" t="s">
        <v>11</v>
      </c>
      <c r="B7" s="1335"/>
      <c r="C7" s="1335"/>
      <c r="D7" s="1335"/>
      <c r="E7" s="1335"/>
      <c r="F7" s="1335"/>
      <c r="G7" s="1335"/>
      <c r="H7" s="1335"/>
      <c r="I7" s="1335"/>
      <c r="J7" s="1335"/>
      <c r="K7" s="1335"/>
      <c r="L7" s="1335"/>
      <c r="M7" s="1335"/>
      <c r="N7" s="1335"/>
      <c r="O7" s="1335"/>
      <c r="P7" s="1335"/>
      <c r="Q7" s="1074"/>
    </row>
    <row r="8" spans="1:25">
      <c r="E8" s="1075"/>
      <c r="M8" s="1076"/>
    </row>
    <row r="9" spans="1:25" ht="12.75" customHeight="1">
      <c r="G9" s="1074"/>
      <c r="H9" s="1077"/>
      <c r="I9" s="1077"/>
      <c r="J9" s="1067"/>
      <c r="K9" s="1077"/>
      <c r="L9" s="1067"/>
      <c r="M9" s="1077"/>
      <c r="N9" s="1332" t="s">
        <v>1086</v>
      </c>
      <c r="O9" s="1332"/>
      <c r="P9" s="1332"/>
      <c r="Q9" s="1078"/>
    </row>
    <row r="10" spans="1:25" ht="12.75" customHeight="1">
      <c r="G10" s="1079"/>
      <c r="H10" s="1080"/>
      <c r="I10" s="1081"/>
      <c r="J10" s="1337" t="s">
        <v>1087</v>
      </c>
      <c r="K10" s="1337"/>
      <c r="L10" s="1337"/>
      <c r="N10" s="1333"/>
      <c r="O10" s="1333"/>
      <c r="P10" s="1333"/>
      <c r="Q10" s="1078"/>
    </row>
    <row r="11" spans="1:25" ht="12.75" customHeight="1">
      <c r="A11" s="1067" t="s">
        <v>1</v>
      </c>
      <c r="C11" s="1082"/>
      <c r="F11" s="1074"/>
      <c r="G11" s="1067"/>
      <c r="H11" s="1080" t="s">
        <v>495</v>
      </c>
      <c r="I11" s="1081"/>
      <c r="J11" s="1083" t="s">
        <v>609</v>
      </c>
      <c r="K11" s="1084"/>
      <c r="L11" s="1080" t="s">
        <v>6</v>
      </c>
      <c r="N11" s="1078"/>
      <c r="O11" s="1078"/>
      <c r="P11" s="1078"/>
      <c r="Q11" s="1078"/>
    </row>
    <row r="12" spans="1:25" ht="12.75" customHeight="1">
      <c r="A12" s="1085" t="s">
        <v>2</v>
      </c>
      <c r="B12" s="1074"/>
      <c r="C12" s="1075"/>
      <c r="D12" s="1086" t="s">
        <v>3</v>
      </c>
      <c r="F12" s="1087" t="s">
        <v>4</v>
      </c>
      <c r="G12" s="1074"/>
      <c r="H12" s="1088" t="s">
        <v>196</v>
      </c>
      <c r="I12" s="1078"/>
      <c r="J12" s="1089" t="s">
        <v>1088</v>
      </c>
      <c r="L12" s="1088" t="s">
        <v>1089</v>
      </c>
      <c r="N12" s="1090" t="s">
        <v>980</v>
      </c>
      <c r="O12" s="1083"/>
      <c r="P12" s="1090" t="s">
        <v>1090</v>
      </c>
      <c r="Q12" s="1083"/>
    </row>
    <row r="13" spans="1:25" ht="12.75" customHeight="1">
      <c r="F13" s="1091"/>
      <c r="G13" s="1074"/>
      <c r="H13" s="1080" t="s">
        <v>1091</v>
      </c>
      <c r="I13" s="1080"/>
      <c r="J13" s="1092" t="s">
        <v>1092</v>
      </c>
      <c r="L13" s="1080" t="s">
        <v>1093</v>
      </c>
      <c r="N13" s="1093" t="s">
        <v>79</v>
      </c>
      <c r="O13" s="1083"/>
      <c r="P13" s="1093" t="s">
        <v>115</v>
      </c>
      <c r="Q13" s="1093"/>
    </row>
    <row r="14" spans="1:25" ht="12.75" customHeight="1">
      <c r="D14" s="1094" t="s">
        <v>162</v>
      </c>
      <c r="E14" s="1082"/>
      <c r="K14" s="1095"/>
      <c r="L14" s="1076"/>
      <c r="M14" s="1076"/>
      <c r="R14" s="1096"/>
    </row>
    <row r="15" spans="1:25" ht="12.75" customHeight="1">
      <c r="A15" s="1080">
        <f>MAX(A$13:A14)+1</f>
        <v>1</v>
      </c>
      <c r="B15" s="1097"/>
      <c r="C15" s="1098"/>
      <c r="D15" s="1082" t="s">
        <v>200</v>
      </c>
      <c r="F15" s="1099" t="s">
        <v>201</v>
      </c>
      <c r="G15" s="1100"/>
      <c r="H15" s="608">
        <v>21.878786989991127</v>
      </c>
      <c r="I15" s="608"/>
      <c r="J15" s="608">
        <f>ROUND(L15,2)-ROUND(H15,2)</f>
        <v>2.84</v>
      </c>
      <c r="K15" s="608"/>
      <c r="L15" s="608">
        <v>24.721118090241212</v>
      </c>
      <c r="M15" s="1101"/>
      <c r="N15" s="608">
        <v>24.721118090241212</v>
      </c>
      <c r="O15" s="608"/>
      <c r="P15" s="595">
        <v>0</v>
      </c>
      <c r="Q15" s="1102"/>
      <c r="R15" s="1103"/>
      <c r="S15" s="1103"/>
      <c r="V15" s="1104"/>
    </row>
    <row r="16" spans="1:25" ht="12.75" customHeight="1">
      <c r="A16" s="1080">
        <f>MAX(A$13:A15)+1</f>
        <v>2</v>
      </c>
      <c r="B16" s="1097"/>
      <c r="C16" s="1098"/>
      <c r="D16" s="1105" t="s">
        <v>202</v>
      </c>
      <c r="F16" s="1099"/>
      <c r="G16" s="1100"/>
      <c r="H16" s="1100"/>
      <c r="I16" s="1100"/>
      <c r="J16" s="1106"/>
      <c r="K16" s="1107"/>
      <c r="L16" s="1106"/>
      <c r="M16" s="1076"/>
      <c r="N16" s="1108"/>
      <c r="O16" s="1109"/>
      <c r="P16" s="1100"/>
      <c r="Q16" s="1102"/>
      <c r="R16" s="1103"/>
      <c r="S16" s="1103"/>
      <c r="V16" s="1104"/>
    </row>
    <row r="17" spans="1:22" ht="13.5" customHeight="1">
      <c r="A17" s="1080">
        <f>MAX(A$13:A16)+1</f>
        <v>3</v>
      </c>
      <c r="B17" s="1080"/>
      <c r="D17" s="1065" t="s">
        <v>1094</v>
      </c>
      <c r="F17" s="1074" t="s">
        <v>204</v>
      </c>
      <c r="G17" s="1110"/>
      <c r="H17" s="1111">
        <v>10.625586308573068</v>
      </c>
      <c r="I17" s="1111"/>
      <c r="J17" s="1111">
        <f t="shared" ref="J17:J26" si="0">ROUND(L17,4)-ROUND(H17,4)</f>
        <v>-0.44090000000000096</v>
      </c>
      <c r="L17" s="1111">
        <v>10.184675709748158</v>
      </c>
      <c r="M17" s="1076"/>
      <c r="N17" s="1111">
        <v>9.1103163170335488</v>
      </c>
      <c r="O17" s="1109"/>
      <c r="P17" s="1069">
        <v>1.0743593927146096</v>
      </c>
      <c r="Q17" s="1102"/>
      <c r="R17" s="1103"/>
      <c r="S17" s="1103"/>
      <c r="V17" s="1104"/>
    </row>
    <row r="18" spans="1:22" ht="13.5" customHeight="1">
      <c r="A18" s="1080">
        <f>MAX(A$13:A17)+1</f>
        <v>4</v>
      </c>
      <c r="B18" s="1080"/>
      <c r="D18" s="1065" t="s">
        <v>1095</v>
      </c>
      <c r="F18" s="1074" t="s">
        <v>204</v>
      </c>
      <c r="G18" s="1111"/>
      <c r="H18" s="1111">
        <v>9.9455984153461188</v>
      </c>
      <c r="I18" s="1111"/>
      <c r="J18" s="1111">
        <f t="shared" si="0"/>
        <v>-0.45910000000000117</v>
      </c>
      <c r="K18" s="1107"/>
      <c r="L18" s="1111">
        <v>9.4864690305083119</v>
      </c>
      <c r="M18" s="1076"/>
      <c r="N18" s="1111">
        <v>8.4164562632001818</v>
      </c>
      <c r="O18" s="1109"/>
      <c r="P18" s="1069">
        <v>1.0700127673081337</v>
      </c>
      <c r="Q18" s="1102"/>
      <c r="R18" s="1103"/>
      <c r="S18" s="1103"/>
      <c r="V18" s="1104"/>
    </row>
    <row r="19" spans="1:22" ht="13.5" customHeight="1">
      <c r="A19" s="1080">
        <f>MAX(A$13:A18)+1</f>
        <v>5</v>
      </c>
      <c r="B19" s="1080"/>
      <c r="D19" s="1065" t="s">
        <v>1096</v>
      </c>
      <c r="F19" s="1074" t="s">
        <v>204</v>
      </c>
      <c r="G19" s="1111"/>
      <c r="H19" s="1111">
        <v>9.4131350011351689</v>
      </c>
      <c r="I19" s="1111"/>
      <c r="J19" s="1111">
        <f>ROUND(L19,4)-ROUND(H19,4)</f>
        <v>-0.47339999999999982</v>
      </c>
      <c r="K19" s="1107"/>
      <c r="L19" s="1111">
        <v>8.9397394588596288</v>
      </c>
      <c r="M19" s="1076"/>
      <c r="N19" s="1111">
        <v>7.8731315454755144</v>
      </c>
      <c r="O19" s="1109"/>
      <c r="P19" s="1069">
        <v>1.0666079133841135</v>
      </c>
      <c r="Q19" s="1102"/>
      <c r="R19" s="1103"/>
      <c r="S19" s="1103"/>
      <c r="V19" s="1104"/>
    </row>
    <row r="20" spans="1:22" ht="13.5" customHeight="1">
      <c r="A20" s="1080">
        <f>MAX(A$13:A19)+1</f>
        <v>6</v>
      </c>
      <c r="B20" s="1080"/>
      <c r="D20" s="1065" t="s">
        <v>1097</v>
      </c>
      <c r="F20" s="1112" t="s">
        <v>204</v>
      </c>
      <c r="G20" s="1111"/>
      <c r="H20" s="1111">
        <v>9.0162092414560693</v>
      </c>
      <c r="I20" s="1111"/>
      <c r="J20" s="1111">
        <f t="shared" si="0"/>
        <v>-0.48399999999999999</v>
      </c>
      <c r="L20" s="1111">
        <v>8.5321789387623941</v>
      </c>
      <c r="M20" s="1076"/>
      <c r="N20" s="1111">
        <v>7.4681081025848108</v>
      </c>
      <c r="O20" s="1109"/>
      <c r="P20" s="1069">
        <v>1.0640708361775819</v>
      </c>
      <c r="Q20" s="1102"/>
      <c r="R20" s="1103"/>
      <c r="S20" s="1103"/>
      <c r="V20" s="1104"/>
    </row>
    <row r="21" spans="1:22" ht="12.75" customHeight="1">
      <c r="A21" s="1080"/>
      <c r="B21" s="1080"/>
      <c r="G21" s="1110"/>
      <c r="H21" s="1113"/>
      <c r="I21" s="1111"/>
      <c r="J21" s="1111"/>
      <c r="L21" s="1111"/>
      <c r="M21" s="1076"/>
      <c r="N21" s="1114"/>
      <c r="O21" s="1109"/>
      <c r="P21" s="1069"/>
      <c r="Q21" s="1102"/>
      <c r="R21" s="1103"/>
      <c r="S21" s="1103"/>
      <c r="V21" s="1104"/>
    </row>
    <row r="22" spans="1:22" ht="12.75" customHeight="1">
      <c r="A22" s="1080">
        <f>MAX(A$13:A21)+1</f>
        <v>7</v>
      </c>
      <c r="B22" s="1080"/>
      <c r="D22" s="1082" t="s">
        <v>208</v>
      </c>
      <c r="F22" s="1074" t="s">
        <v>204</v>
      </c>
      <c r="G22" s="1110"/>
      <c r="H22" s="1111">
        <v>1.2932710721024872</v>
      </c>
      <c r="I22" s="1111"/>
      <c r="J22" s="1111">
        <f t="shared" si="0"/>
        <v>9.100000000000108E-3</v>
      </c>
      <c r="L22" s="1111">
        <v>1.3024059520250633</v>
      </c>
      <c r="M22" s="1076"/>
      <c r="N22" s="1111">
        <v>0.70336609835312047</v>
      </c>
      <c r="O22" s="1109"/>
      <c r="P22" s="1069">
        <v>0.59903985367194279</v>
      </c>
      <c r="Q22" s="1102"/>
      <c r="R22" s="1103"/>
      <c r="S22" s="1103"/>
      <c r="V22" s="1104"/>
    </row>
    <row r="23" spans="1:22" ht="12.75" customHeight="1">
      <c r="A23" s="1080">
        <f>MAX(A$13:A22)+1</f>
        <v>8</v>
      </c>
      <c r="B23" s="1080"/>
      <c r="D23" s="1082" t="s">
        <v>266</v>
      </c>
      <c r="F23" s="1074" t="s">
        <v>204</v>
      </c>
      <c r="G23" s="1110"/>
      <c r="H23" s="1111">
        <v>3.9267443870173873</v>
      </c>
      <c r="I23" s="1111"/>
      <c r="J23" s="1111">
        <f t="shared" si="0"/>
        <v>2.0999999999999908E-3</v>
      </c>
      <c r="L23" s="1111">
        <v>3.9287734599835034</v>
      </c>
      <c r="M23" s="1076"/>
      <c r="N23" s="1111">
        <v>7.7276975343191792E-2</v>
      </c>
      <c r="O23" s="1109"/>
      <c r="P23" s="1069">
        <v>3.8514964846403115</v>
      </c>
      <c r="Q23" s="1102"/>
      <c r="R23" s="1103"/>
      <c r="S23" s="1103"/>
      <c r="V23" s="1104"/>
    </row>
    <row r="24" spans="1:22" ht="12.75" customHeight="1">
      <c r="A24" s="1080">
        <f>MAX(A$13:A23)+1</f>
        <v>9</v>
      </c>
      <c r="B24" s="1080"/>
      <c r="D24" s="1082" t="s">
        <v>1098</v>
      </c>
      <c r="F24" s="1074" t="s">
        <v>204</v>
      </c>
      <c r="G24" s="1110"/>
      <c r="H24" s="1111">
        <v>0.96972012770460903</v>
      </c>
      <c r="I24" s="1111"/>
      <c r="J24" s="1111">
        <f t="shared" si="0"/>
        <v>1.6100000000000003E-2</v>
      </c>
      <c r="L24" s="1111">
        <v>0.98583973054777452</v>
      </c>
      <c r="M24" s="1076"/>
      <c r="N24" s="1111">
        <v>0.61391294066547686</v>
      </c>
      <c r="O24" s="1109"/>
      <c r="P24" s="1069">
        <v>0.37192678988229777</v>
      </c>
      <c r="Q24" s="1102"/>
      <c r="R24" s="1103"/>
      <c r="S24" s="1103"/>
      <c r="V24" s="1104"/>
    </row>
    <row r="25" spans="1:22" ht="12.75" customHeight="1">
      <c r="A25" s="1080"/>
      <c r="B25" s="1080"/>
      <c r="D25" s="1082"/>
      <c r="F25" s="1074"/>
      <c r="G25" s="1110"/>
      <c r="H25" s="1111"/>
      <c r="I25" s="1111"/>
      <c r="J25" s="1111"/>
      <c r="L25" s="1111"/>
      <c r="M25" s="1076"/>
      <c r="N25" s="1111"/>
      <c r="O25" s="1109"/>
      <c r="P25" s="1069"/>
      <c r="Q25" s="1102"/>
      <c r="R25" s="1103"/>
      <c r="S25" s="1103"/>
      <c r="V25" s="1104"/>
    </row>
    <row r="26" spans="1:22" ht="12.75" customHeight="1">
      <c r="A26" s="1080">
        <f>MAX(A$13:A24)+1</f>
        <v>10</v>
      </c>
      <c r="B26" s="1080"/>
      <c r="D26" s="1082" t="s">
        <v>211</v>
      </c>
      <c r="F26" s="1112" t="s">
        <v>204</v>
      </c>
      <c r="H26" s="1111">
        <v>18.377497019556195</v>
      </c>
      <c r="J26" s="1111">
        <f t="shared" si="0"/>
        <v>2.2999999999981924E-3</v>
      </c>
      <c r="L26" s="1065">
        <v>18.379787776097782</v>
      </c>
      <c r="M26" s="1076"/>
      <c r="N26" s="1111">
        <v>8.724315967824986E-2</v>
      </c>
      <c r="O26" s="1109"/>
      <c r="P26" s="1069">
        <v>18.29254461641953</v>
      </c>
      <c r="Q26" s="1102"/>
      <c r="R26" s="1103"/>
      <c r="S26" s="1103"/>
      <c r="V26" s="1104"/>
    </row>
    <row r="27" spans="1:22" ht="12.75" customHeight="1">
      <c r="A27" s="1080"/>
      <c r="B27" s="1080"/>
      <c r="J27" s="1111"/>
      <c r="M27" s="1076"/>
      <c r="O27" s="1109"/>
      <c r="S27" s="1069"/>
    </row>
    <row r="28" spans="1:22" ht="12.75" customHeight="1">
      <c r="A28" s="1080"/>
      <c r="B28" s="1080"/>
      <c r="C28" s="1115"/>
      <c r="D28" s="1116" t="s">
        <v>163</v>
      </c>
      <c r="E28" s="1082"/>
      <c r="J28" s="1111"/>
      <c r="M28" s="1076"/>
      <c r="O28" s="1109"/>
      <c r="S28" s="1069"/>
    </row>
    <row r="29" spans="1:22" ht="12.75" customHeight="1">
      <c r="A29" s="1080">
        <f>MAX(A$13:A28)+1</f>
        <v>11</v>
      </c>
      <c r="B29" s="1080"/>
      <c r="C29" s="1098"/>
      <c r="D29" s="1082" t="s">
        <v>200</v>
      </c>
      <c r="F29" s="1099" t="s">
        <v>201</v>
      </c>
      <c r="G29" s="1110"/>
      <c r="H29" s="608">
        <v>76.575754464968981</v>
      </c>
      <c r="I29" s="608"/>
      <c r="J29" s="608">
        <f>ROUND(L29,2)-ROUND(H29,2)</f>
        <v>2.0600000000000023</v>
      </c>
      <c r="K29" s="608"/>
      <c r="L29" s="608">
        <v>78.640633196953075</v>
      </c>
      <c r="M29" s="1101"/>
      <c r="N29" s="608">
        <v>78.640633196953075</v>
      </c>
      <c r="O29" s="608"/>
      <c r="P29" s="595">
        <v>0</v>
      </c>
      <c r="R29" s="1103"/>
      <c r="S29" s="1103"/>
      <c r="V29" s="1104"/>
    </row>
    <row r="30" spans="1:22" ht="12.75" customHeight="1">
      <c r="A30" s="1080">
        <f>MAX(A$13:A29)+1</f>
        <v>12</v>
      </c>
      <c r="B30" s="1080"/>
      <c r="C30" s="1098"/>
      <c r="D30" s="1105" t="s">
        <v>202</v>
      </c>
      <c r="G30" s="1110"/>
      <c r="H30" s="1100"/>
      <c r="I30" s="1100"/>
      <c r="J30" s="1106"/>
      <c r="K30" s="1107"/>
      <c r="L30" s="1106"/>
      <c r="M30" s="1069"/>
      <c r="N30" s="1100"/>
      <c r="O30" s="1109"/>
      <c r="P30" s="1100"/>
      <c r="R30" s="1103"/>
      <c r="S30" s="1103"/>
      <c r="V30" s="1104"/>
    </row>
    <row r="31" spans="1:22" ht="13.5" customHeight="1">
      <c r="A31" s="1080">
        <f>MAX(A$13:A30)+1</f>
        <v>13</v>
      </c>
      <c r="B31" s="1080"/>
      <c r="D31" s="1082" t="s">
        <v>1099</v>
      </c>
      <c r="F31" s="1112" t="s">
        <v>204</v>
      </c>
      <c r="G31" s="1110"/>
      <c r="H31" s="1111">
        <v>10.02372105089005</v>
      </c>
      <c r="I31" s="1111"/>
      <c r="J31" s="1111">
        <f t="shared" ref="J31:J42" si="1">ROUND(L31,4)-ROUND(H31,4)</f>
        <v>0.41050000000000075</v>
      </c>
      <c r="L31" s="1111">
        <v>10.434195448783903</v>
      </c>
      <c r="M31" s="1069"/>
      <c r="N31" s="1069">
        <v>9.4430815552571676</v>
      </c>
      <c r="O31" s="1109"/>
      <c r="P31" s="1069">
        <v>0.99111389352673873</v>
      </c>
      <c r="R31" s="1103"/>
      <c r="S31" s="1103"/>
      <c r="V31" s="1117"/>
    </row>
    <row r="32" spans="1:22" ht="13.5" customHeight="1">
      <c r="A32" s="1080">
        <f>MAX(A$13:A31)+1</f>
        <v>14</v>
      </c>
      <c r="B32" s="1080"/>
      <c r="D32" s="1118" t="s">
        <v>1100</v>
      </c>
      <c r="F32" s="1112" t="s">
        <v>204</v>
      </c>
      <c r="G32" s="1111"/>
      <c r="H32" s="1111">
        <v>7.6575306126998592</v>
      </c>
      <c r="I32" s="1111"/>
      <c r="J32" s="1111">
        <f>ROUND(L32,4)-ROUND(H32,4)</f>
        <v>0.34750000000000103</v>
      </c>
      <c r="K32" s="1107"/>
      <c r="L32" s="1111">
        <v>8.0050084333113798</v>
      </c>
      <c r="M32" s="1069"/>
      <c r="N32" s="1069">
        <v>7.0438652477874699</v>
      </c>
      <c r="O32" s="1109"/>
      <c r="P32" s="1069">
        <v>0.96114318552390865</v>
      </c>
      <c r="R32" s="1103"/>
      <c r="S32" s="1103"/>
      <c r="V32" s="1117"/>
    </row>
    <row r="33" spans="1:34" ht="13.5" customHeight="1">
      <c r="A33" s="1080">
        <f>MAX(A$13:A32)+1</f>
        <v>15</v>
      </c>
      <c r="B33" s="1080"/>
      <c r="D33" s="1118" t="s">
        <v>1101</v>
      </c>
      <c r="F33" s="1112" t="s">
        <v>204</v>
      </c>
      <c r="G33" s="1111"/>
      <c r="H33" s="1111">
        <v>6.0005324475411648</v>
      </c>
      <c r="I33" s="1111"/>
      <c r="J33" s="1111">
        <f t="shared" si="1"/>
        <v>0.30339999999999989</v>
      </c>
      <c r="K33" s="1107"/>
      <c r="L33" s="1111">
        <v>6.3038950136559633</v>
      </c>
      <c r="M33" s="1069"/>
      <c r="N33" s="1069">
        <v>5.3637416194456318</v>
      </c>
      <c r="O33" s="1109"/>
      <c r="P33" s="1069">
        <v>0.94015339421033173</v>
      </c>
      <c r="R33" s="1103"/>
      <c r="S33" s="1103"/>
      <c r="V33" s="1117"/>
    </row>
    <row r="34" spans="1:34" ht="13.5" customHeight="1">
      <c r="A34" s="1080">
        <f>MAX(A$13:A33)+1</f>
        <v>16</v>
      </c>
      <c r="B34" s="1080"/>
      <c r="D34" s="1118" t="s">
        <v>1102</v>
      </c>
      <c r="F34" s="1112" t="s">
        <v>204</v>
      </c>
      <c r="G34" s="1111"/>
      <c r="H34" s="1111">
        <v>4.9359527096542184</v>
      </c>
      <c r="I34" s="1111"/>
      <c r="J34" s="1111">
        <f>ROUND(L34,4)-ROUND(H34,4)</f>
        <v>0.27500000000000036</v>
      </c>
      <c r="K34" s="1107"/>
      <c r="L34" s="1111">
        <v>5.2109723111202984</v>
      </c>
      <c r="M34" s="1069"/>
      <c r="N34" s="1069">
        <v>4.2843035623194252</v>
      </c>
      <c r="O34" s="1109"/>
      <c r="P34" s="1069">
        <v>0.92666874880087213</v>
      </c>
      <c r="R34" s="1103"/>
      <c r="S34" s="1103"/>
      <c r="V34" s="1117"/>
    </row>
    <row r="35" spans="1:34" ht="13.5" customHeight="1">
      <c r="A35" s="1080">
        <f>MAX(A$13:A34)+1</f>
        <v>17</v>
      </c>
      <c r="B35" s="1080"/>
      <c r="D35" s="1118" t="s">
        <v>1103</v>
      </c>
      <c r="F35" s="1112" t="s">
        <v>204</v>
      </c>
      <c r="G35" s="1111"/>
      <c r="H35" s="1111">
        <v>4.4628924854344909</v>
      </c>
      <c r="I35" s="1111"/>
      <c r="J35" s="1111">
        <f t="shared" si="1"/>
        <v>0.26239999999999952</v>
      </c>
      <c r="K35" s="1107"/>
      <c r="L35" s="1111">
        <v>4.7253175263185208</v>
      </c>
      <c r="M35" s="1069"/>
      <c r="N35" s="1069">
        <v>3.8046413895883617</v>
      </c>
      <c r="O35" s="1109"/>
      <c r="P35" s="1069">
        <v>0.92067613673015991</v>
      </c>
      <c r="R35" s="1103"/>
      <c r="S35" s="1103"/>
      <c r="V35" s="1117"/>
    </row>
    <row r="36" spans="1:34" ht="13.5" customHeight="1">
      <c r="A36" s="1080">
        <f>MAX(A$13:A35)+1</f>
        <v>18</v>
      </c>
      <c r="B36" s="1080"/>
      <c r="D36" s="1082" t="s">
        <v>1104</v>
      </c>
      <c r="F36" s="1112" t="s">
        <v>204</v>
      </c>
      <c r="G36" s="1111"/>
      <c r="H36" s="1111">
        <v>4.3440974799090117</v>
      </c>
      <c r="I36" s="1111"/>
      <c r="J36" s="1111">
        <f t="shared" si="1"/>
        <v>0.25929999999999964</v>
      </c>
      <c r="K36" s="1107"/>
      <c r="L36" s="1111">
        <v>4.6033597521097525</v>
      </c>
      <c r="M36" s="1069"/>
      <c r="N36" s="1069">
        <v>3.6841877629143926</v>
      </c>
      <c r="O36" s="1109"/>
      <c r="P36" s="1069">
        <v>0.91917198919535936</v>
      </c>
      <c r="R36" s="1103"/>
      <c r="S36" s="1103"/>
      <c r="V36" s="1117"/>
    </row>
    <row r="37" spans="1:34" ht="12.75" customHeight="1">
      <c r="A37" s="1080"/>
      <c r="B37" s="1080"/>
      <c r="G37" s="1110"/>
      <c r="H37" s="1113"/>
      <c r="I37" s="1111"/>
      <c r="J37" s="1111"/>
      <c r="L37" s="1111"/>
      <c r="M37" s="1069"/>
      <c r="O37" s="1109"/>
      <c r="R37" s="1103"/>
      <c r="S37" s="1103"/>
      <c r="V37" s="1104"/>
    </row>
    <row r="38" spans="1:34" ht="12.75" customHeight="1">
      <c r="A38" s="1080">
        <f>MAX(A$13:A37)+1</f>
        <v>19</v>
      </c>
      <c r="B38" s="1080"/>
      <c r="D38" s="1082" t="s">
        <v>208</v>
      </c>
      <c r="F38" s="1112" t="s">
        <v>204</v>
      </c>
      <c r="G38" s="1110"/>
      <c r="H38" s="1111">
        <v>1.206161316244416</v>
      </c>
      <c r="I38" s="1111"/>
      <c r="J38" s="1111">
        <f>ROUND(L38,4)-ROUND(H38,4)</f>
        <v>8.2999999999999741E-3</v>
      </c>
      <c r="L38" s="1111">
        <v>1.2145084618083051</v>
      </c>
      <c r="M38" s="1069"/>
      <c r="N38" s="1069">
        <v>0.65221804001972972</v>
      </c>
      <c r="O38" s="1109"/>
      <c r="P38" s="1069">
        <v>0.56229042178857536</v>
      </c>
      <c r="R38" s="1103"/>
      <c r="S38" s="1103"/>
      <c r="V38" s="1104"/>
    </row>
    <row r="39" spans="1:34" ht="12.75" customHeight="1">
      <c r="A39" s="1080">
        <f>MAX(A$13:A38)+1</f>
        <v>20</v>
      </c>
      <c r="B39" s="1080"/>
      <c r="D39" s="1082" t="s">
        <v>266</v>
      </c>
      <c r="F39" s="1112" t="s">
        <v>204</v>
      </c>
      <c r="G39" s="1110"/>
      <c r="H39" s="1111">
        <v>3.9267443846006143</v>
      </c>
      <c r="I39" s="1111"/>
      <c r="J39" s="1111">
        <f t="shared" si="1"/>
        <v>2.0999999999999908E-3</v>
      </c>
      <c r="L39" s="1111">
        <v>3.9287734568078299</v>
      </c>
      <c r="M39" s="1069"/>
      <c r="N39" s="1069">
        <v>7.7276946440558963E-2</v>
      </c>
      <c r="O39" s="1109"/>
      <c r="P39" s="1069">
        <v>3.8514965103672716</v>
      </c>
      <c r="R39" s="1103"/>
      <c r="S39" s="1103"/>
      <c r="V39" s="1104"/>
    </row>
    <row r="40" spans="1:34" ht="12.75" customHeight="1">
      <c r="A40" s="1080">
        <f>MAX(A$13:A39)+1</f>
        <v>21</v>
      </c>
      <c r="B40" s="1080"/>
      <c r="D40" s="1082" t="s">
        <v>1098</v>
      </c>
      <c r="F40" s="1112" t="s">
        <v>204</v>
      </c>
      <c r="G40" s="1110"/>
      <c r="H40" s="1111">
        <v>0.96972040643947122</v>
      </c>
      <c r="I40" s="1111"/>
      <c r="J40" s="1111">
        <f t="shared" si="1"/>
        <v>1.6100000000000003E-2</v>
      </c>
      <c r="L40" s="1111">
        <v>0.9858400968092762</v>
      </c>
      <c r="M40" s="1069"/>
      <c r="N40" s="1069">
        <v>0.61391627410594751</v>
      </c>
      <c r="O40" s="1109"/>
      <c r="P40" s="1069">
        <v>0.37192382270332858</v>
      </c>
      <c r="R40" s="1103"/>
      <c r="S40" s="1103"/>
      <c r="V40" s="1104"/>
    </row>
    <row r="41" spans="1:34" ht="12.75" customHeight="1">
      <c r="A41" s="1080"/>
      <c r="B41" s="1080"/>
      <c r="D41" s="1082"/>
      <c r="F41" s="1112"/>
      <c r="G41" s="1110"/>
      <c r="H41" s="1111"/>
      <c r="I41" s="1111"/>
      <c r="J41" s="1111"/>
      <c r="L41" s="1111"/>
      <c r="M41" s="1069"/>
      <c r="N41" s="1069"/>
      <c r="O41" s="1109"/>
      <c r="P41" s="1069"/>
      <c r="R41" s="1103"/>
      <c r="S41" s="1103"/>
      <c r="V41" s="1104"/>
    </row>
    <row r="42" spans="1:34" ht="12.75" customHeight="1">
      <c r="A42" s="1080">
        <f>MAX(A$13:A40)+1</f>
        <v>22</v>
      </c>
      <c r="D42" s="1082" t="s">
        <v>211</v>
      </c>
      <c r="F42" s="1112" t="s">
        <v>204</v>
      </c>
      <c r="G42" s="1111"/>
      <c r="H42" s="1111">
        <v>18.400798940142568</v>
      </c>
      <c r="I42" s="1111"/>
      <c r="J42" s="1111">
        <f t="shared" si="1"/>
        <v>2.9000000000003467E-3</v>
      </c>
      <c r="L42" s="1111">
        <v>18.403718327704969</v>
      </c>
      <c r="M42" s="1076"/>
      <c r="N42" s="1069">
        <v>0.11118448889922013</v>
      </c>
      <c r="O42" s="1109"/>
      <c r="P42" s="1069">
        <v>18.292533838805749</v>
      </c>
      <c r="R42" s="1103"/>
      <c r="S42" s="1103"/>
      <c r="V42" s="1104"/>
    </row>
    <row r="43" spans="1:34" ht="12.75" customHeight="1">
      <c r="C43" s="1094"/>
      <c r="D43" s="1119"/>
      <c r="E43" s="1094"/>
      <c r="F43" s="1094"/>
      <c r="G43" s="1120"/>
      <c r="H43" s="1120"/>
      <c r="I43" s="1120"/>
      <c r="J43" s="1120"/>
      <c r="K43" s="1094"/>
      <c r="L43" s="1120"/>
      <c r="M43" s="1076"/>
      <c r="O43" s="1109"/>
      <c r="S43" s="1069"/>
    </row>
    <row r="44" spans="1:34" ht="12.75" customHeight="1">
      <c r="A44" s="1064"/>
      <c r="B44" s="1064"/>
      <c r="D44" s="1121" t="s">
        <v>164</v>
      </c>
      <c r="E44" s="1122"/>
      <c r="F44" s="1068"/>
      <c r="G44" s="1123"/>
      <c r="H44" s="1123"/>
      <c r="I44" s="1123"/>
      <c r="J44" s="1124"/>
      <c r="K44" s="1068"/>
      <c r="L44" s="1123"/>
      <c r="O44" s="1109"/>
      <c r="S44" s="1069"/>
    </row>
    <row r="45" spans="1:34" ht="12.75" customHeight="1">
      <c r="A45" s="1080">
        <f>MAX(A$13:A44)+1</f>
        <v>23</v>
      </c>
      <c r="B45" s="1080"/>
      <c r="C45" s="1125"/>
      <c r="D45" s="1126" t="s">
        <v>1105</v>
      </c>
      <c r="E45" s="1068"/>
      <c r="F45" s="1099" t="s">
        <v>201</v>
      </c>
      <c r="G45" s="1100"/>
      <c r="H45" s="608">
        <v>133.47154003244088</v>
      </c>
      <c r="I45" s="608"/>
      <c r="J45" s="608">
        <f>ROUND(L45,2)-ROUND(H45,2)</f>
        <v>3.5999999999999943</v>
      </c>
      <c r="K45" s="608"/>
      <c r="L45" s="608">
        <v>137.07062366228914</v>
      </c>
      <c r="M45" s="1101"/>
      <c r="N45" s="608">
        <v>137.07062366228914</v>
      </c>
      <c r="O45" s="608"/>
      <c r="P45" s="595">
        <v>0</v>
      </c>
      <c r="R45" s="1069"/>
      <c r="S45" s="1103"/>
      <c r="V45" s="1104"/>
      <c r="AC45" s="1068"/>
      <c r="AD45" s="1068"/>
      <c r="AE45" s="1122"/>
      <c r="AF45" s="1068"/>
      <c r="AG45" s="1068"/>
      <c r="AH45" s="1068"/>
    </row>
    <row r="46" spans="1:34" ht="12.75" customHeight="1">
      <c r="A46" s="1080">
        <f>MAX(A$13:A45)+1</f>
        <v>24</v>
      </c>
      <c r="B46" s="1080"/>
      <c r="C46" s="1125"/>
      <c r="D46" s="1105" t="s">
        <v>221</v>
      </c>
      <c r="E46" s="1068"/>
      <c r="F46" s="1112" t="s">
        <v>204</v>
      </c>
      <c r="G46" s="1110"/>
      <c r="H46" s="1111">
        <v>39.612916581984031</v>
      </c>
      <c r="I46" s="1111"/>
      <c r="J46" s="1111">
        <f t="shared" ref="J46:J56" si="2">ROUND(L46,4)-ROUND(H46,4)</f>
        <v>1.0681999999999974</v>
      </c>
      <c r="K46" s="1127"/>
      <c r="L46" s="1111">
        <v>40.681085867856595</v>
      </c>
      <c r="M46" s="1069"/>
      <c r="N46" s="1069">
        <v>40.681085867856595</v>
      </c>
      <c r="O46" s="1069"/>
      <c r="P46" s="1128">
        <v>0</v>
      </c>
      <c r="R46" s="1069"/>
      <c r="S46" s="1103"/>
      <c r="V46" s="1104"/>
      <c r="AC46" s="1068"/>
      <c r="AD46" s="1068"/>
      <c r="AE46" s="1122"/>
      <c r="AF46" s="1068"/>
      <c r="AG46" s="1068"/>
      <c r="AH46" s="1068"/>
    </row>
    <row r="47" spans="1:34" ht="12.75" customHeight="1">
      <c r="A47" s="1080"/>
      <c r="B47" s="1080"/>
      <c r="C47" s="1125"/>
      <c r="D47" s="1105" t="s">
        <v>202</v>
      </c>
      <c r="E47" s="1068"/>
      <c r="F47" s="1068"/>
      <c r="G47" s="1110"/>
      <c r="H47" s="1111"/>
      <c r="I47" s="1111"/>
      <c r="J47" s="1111"/>
      <c r="K47" s="1127"/>
      <c r="L47" s="1111"/>
      <c r="M47" s="1069"/>
      <c r="N47" s="1069"/>
      <c r="O47" s="1069"/>
      <c r="P47" s="1069"/>
      <c r="R47" s="1069"/>
      <c r="S47" s="1103"/>
      <c r="V47" s="1104"/>
      <c r="AC47" s="1068"/>
      <c r="AD47" s="1068"/>
      <c r="AE47" s="1122"/>
      <c r="AF47" s="1068"/>
      <c r="AG47" s="1068"/>
      <c r="AH47" s="1068"/>
    </row>
    <row r="48" spans="1:34" ht="13.5" customHeight="1">
      <c r="A48" s="1080">
        <f>MAX(A$13:A47)+1</f>
        <v>25</v>
      </c>
      <c r="B48" s="1080"/>
      <c r="C48" s="1068"/>
      <c r="D48" s="1105" t="s">
        <v>1106</v>
      </c>
      <c r="E48" s="1068"/>
      <c r="F48" s="1112" t="s">
        <v>204</v>
      </c>
      <c r="G48" s="1111"/>
      <c r="H48" s="1111">
        <v>0.18751269562434469</v>
      </c>
      <c r="I48" s="1111"/>
      <c r="J48" s="1111">
        <f t="shared" si="2"/>
        <v>1.0118</v>
      </c>
      <c r="K48" s="1068"/>
      <c r="L48" s="1111">
        <v>1.1993184243566981</v>
      </c>
      <c r="M48" s="1069"/>
      <c r="N48" s="1069">
        <v>0.99316000879230337</v>
      </c>
      <c r="O48" s="1069"/>
      <c r="P48" s="1069">
        <v>0.2061584155643946</v>
      </c>
      <c r="R48" s="1069"/>
      <c r="S48" s="1103"/>
      <c r="V48" s="1104"/>
      <c r="AC48" s="1068"/>
      <c r="AD48" s="1068"/>
      <c r="AE48" s="1122"/>
      <c r="AF48" s="1068"/>
      <c r="AG48" s="1068"/>
      <c r="AH48" s="1068"/>
    </row>
    <row r="49" spans="1:34" ht="13.5" customHeight="1">
      <c r="A49" s="1080">
        <f>MAX(A$13:A48)+1</f>
        <v>26</v>
      </c>
      <c r="B49" s="1080"/>
      <c r="C49" s="1068"/>
      <c r="D49" s="1125" t="s">
        <v>1107</v>
      </c>
      <c r="E49" s="1068"/>
      <c r="F49" s="1112" t="s">
        <v>204</v>
      </c>
      <c r="G49" s="1111"/>
      <c r="H49" s="1111">
        <f>H48</f>
        <v>0.18751269562434469</v>
      </c>
      <c r="I49" s="1111"/>
      <c r="J49" s="1111">
        <f t="shared" si="2"/>
        <v>1.0118</v>
      </c>
      <c r="K49" s="1068"/>
      <c r="L49" s="1111">
        <f>L48</f>
        <v>1.1993184243566981</v>
      </c>
      <c r="M49" s="1069"/>
      <c r="N49" s="1069">
        <f>N48</f>
        <v>0.99316000879230337</v>
      </c>
      <c r="O49" s="1069"/>
      <c r="P49" s="1069">
        <f>P48</f>
        <v>0.2061584155643946</v>
      </c>
      <c r="R49" s="1069"/>
      <c r="S49" s="1103"/>
      <c r="V49" s="1104"/>
      <c r="AC49" s="1068"/>
      <c r="AD49" s="1068"/>
      <c r="AE49" s="1122"/>
      <c r="AF49" s="1068"/>
      <c r="AG49" s="1068"/>
      <c r="AH49" s="1068"/>
    </row>
    <row r="50" spans="1:34" ht="13.5" customHeight="1">
      <c r="A50" s="1080">
        <f>MAX(A$13:A49)+1</f>
        <v>27</v>
      </c>
      <c r="B50" s="1080"/>
      <c r="C50" s="1068"/>
      <c r="D50" s="1125" t="s">
        <v>1108</v>
      </c>
      <c r="E50" s="1068"/>
      <c r="F50" s="1112" t="s">
        <v>204</v>
      </c>
      <c r="G50" s="1111"/>
      <c r="H50" s="1111">
        <f>H49</f>
        <v>0.18751269562434469</v>
      </c>
      <c r="I50" s="1111"/>
      <c r="J50" s="1111">
        <f t="shared" si="2"/>
        <v>1.0118</v>
      </c>
      <c r="K50" s="1068"/>
      <c r="L50" s="1111">
        <f>L49</f>
        <v>1.1993184243566981</v>
      </c>
      <c r="M50" s="1069"/>
      <c r="N50" s="1069">
        <f>N48</f>
        <v>0.99316000879230337</v>
      </c>
      <c r="O50" s="1069"/>
      <c r="P50" s="1069">
        <f>P48</f>
        <v>0.2061584155643946</v>
      </c>
      <c r="R50" s="1069"/>
      <c r="S50" s="1103"/>
      <c r="V50" s="1104"/>
      <c r="AC50" s="1068"/>
      <c r="AD50" s="1068"/>
      <c r="AE50" s="1122"/>
      <c r="AF50" s="1068"/>
      <c r="AG50" s="1068"/>
      <c r="AH50" s="1068"/>
    </row>
    <row r="51" spans="1:34" ht="12.75" customHeight="1">
      <c r="A51" s="1080"/>
      <c r="B51" s="1080"/>
      <c r="C51" s="1068"/>
      <c r="D51" s="1129"/>
      <c r="E51" s="1068"/>
      <c r="F51" s="1068"/>
      <c r="G51" s="1111"/>
      <c r="H51" s="1113"/>
      <c r="I51" s="1111"/>
      <c r="J51" s="1111"/>
      <c r="K51" s="1068"/>
      <c r="L51" s="1113"/>
      <c r="M51" s="1069"/>
      <c r="N51" s="1069"/>
      <c r="O51" s="1069"/>
      <c r="P51" s="1069"/>
      <c r="R51" s="1069"/>
      <c r="S51" s="1103"/>
      <c r="V51" s="1104"/>
      <c r="AC51" s="1068"/>
      <c r="AD51" s="1068"/>
      <c r="AE51" s="1068"/>
      <c r="AF51" s="1068"/>
      <c r="AG51" s="1068"/>
      <c r="AH51" s="1068"/>
    </row>
    <row r="52" spans="1:34" ht="12.75" customHeight="1">
      <c r="A52" s="1080">
        <f>MAX(A$13:A51)+1</f>
        <v>28</v>
      </c>
      <c r="B52" s="1080"/>
      <c r="C52" s="1068"/>
      <c r="D52" s="1082" t="s">
        <v>208</v>
      </c>
      <c r="E52" s="1068"/>
      <c r="F52" s="1112" t="s">
        <v>204</v>
      </c>
      <c r="G52" s="1111"/>
      <c r="H52" s="1111">
        <v>1.2036738876609459</v>
      </c>
      <c r="I52" s="1111"/>
      <c r="J52" s="1111">
        <f>ROUND(L52,4)-ROUND(H52,4)</f>
        <v>1.5900000000000025E-2</v>
      </c>
      <c r="K52" s="1068"/>
      <c r="L52" s="1111">
        <v>1.2196331444978772</v>
      </c>
      <c r="M52" s="1069"/>
      <c r="N52" s="1069">
        <v>0.60780618424169786</v>
      </c>
      <c r="O52" s="1069"/>
      <c r="P52" s="1069">
        <v>0.61182696025617955</v>
      </c>
      <c r="R52" s="1069"/>
      <c r="S52" s="1103"/>
      <c r="V52" s="1104"/>
      <c r="AC52" s="1068"/>
      <c r="AD52" s="1068"/>
      <c r="AE52" s="1068"/>
      <c r="AF52" s="1068"/>
      <c r="AG52" s="1068"/>
      <c r="AH52" s="1068"/>
    </row>
    <row r="53" spans="1:34" ht="12.75" customHeight="1">
      <c r="A53" s="1080">
        <f>MAX(A$13:A52)+1</f>
        <v>29</v>
      </c>
      <c r="B53" s="1080"/>
      <c r="C53" s="1068"/>
      <c r="D53" s="1082" t="s">
        <v>266</v>
      </c>
      <c r="E53" s="1068"/>
      <c r="F53" s="1112" t="s">
        <v>204</v>
      </c>
      <c r="G53" s="1111"/>
      <c r="H53" s="1111">
        <v>3.9267459704927896</v>
      </c>
      <c r="I53" s="1111"/>
      <c r="J53" s="1111">
        <f t="shared" si="2"/>
        <v>2.0999999999999908E-3</v>
      </c>
      <c r="K53" s="1068"/>
      <c r="L53" s="1111">
        <v>3.9287762733489338</v>
      </c>
      <c r="M53" s="1069"/>
      <c r="N53" s="1069">
        <v>7.7323815542083216E-2</v>
      </c>
      <c r="O53" s="1069"/>
      <c r="P53" s="1069">
        <v>3.8514524578068499</v>
      </c>
      <c r="R53" s="1069"/>
      <c r="S53" s="1103"/>
      <c r="V53" s="1104"/>
      <c r="AC53" s="1068"/>
      <c r="AD53" s="1068"/>
      <c r="AE53" s="1068"/>
      <c r="AF53" s="1068"/>
      <c r="AG53" s="1068"/>
      <c r="AH53" s="1068"/>
    </row>
    <row r="54" spans="1:34" ht="12.75" customHeight="1">
      <c r="A54" s="1080">
        <f>MAX(A$13:A53)+1</f>
        <v>30</v>
      </c>
      <c r="B54" s="1080"/>
      <c r="C54" s="1068"/>
      <c r="D54" s="1082" t="s">
        <v>1098</v>
      </c>
      <c r="E54" s="1068"/>
      <c r="F54" s="1112" t="s">
        <v>204</v>
      </c>
      <c r="G54" s="1111"/>
      <c r="H54" s="1111">
        <v>0.96971998004937487</v>
      </c>
      <c r="I54" s="1111"/>
      <c r="J54" s="1111">
        <f t="shared" si="2"/>
        <v>1.6100000000000003E-2</v>
      </c>
      <c r="K54" s="1068"/>
      <c r="L54" s="1111">
        <v>0.98583933954137914</v>
      </c>
      <c r="M54" s="1069"/>
      <c r="N54" s="1069">
        <v>0.61390367266870838</v>
      </c>
      <c r="O54" s="1069"/>
      <c r="P54" s="1069">
        <v>0.37193566687267077</v>
      </c>
      <c r="R54" s="1069"/>
      <c r="S54" s="1103"/>
      <c r="V54" s="1104"/>
      <c r="AC54" s="1068"/>
      <c r="AD54" s="1068"/>
      <c r="AE54" s="1068"/>
      <c r="AF54" s="1068"/>
      <c r="AG54" s="1068"/>
      <c r="AH54" s="1068"/>
    </row>
    <row r="55" spans="1:34" ht="12.75" customHeight="1">
      <c r="A55" s="1080"/>
      <c r="B55" s="1080"/>
      <c r="C55" s="1068"/>
      <c r="D55" s="1082"/>
      <c r="E55" s="1068"/>
      <c r="F55" s="1112"/>
      <c r="G55" s="1111"/>
      <c r="H55" s="1111"/>
      <c r="I55" s="1111"/>
      <c r="J55" s="1111"/>
      <c r="K55" s="1068"/>
      <c r="L55" s="1111"/>
      <c r="M55" s="1069"/>
      <c r="N55" s="1069"/>
      <c r="O55" s="1069"/>
      <c r="P55" s="1069"/>
      <c r="R55" s="1069"/>
      <c r="S55" s="1103"/>
      <c r="V55" s="1104"/>
      <c r="AC55" s="1068"/>
      <c r="AD55" s="1068"/>
      <c r="AE55" s="1068"/>
      <c r="AF55" s="1068"/>
      <c r="AG55" s="1068"/>
      <c r="AH55" s="1068"/>
    </row>
    <row r="56" spans="1:34" ht="13.5" customHeight="1">
      <c r="A56" s="1064">
        <v>31</v>
      </c>
      <c r="B56" s="1064"/>
      <c r="C56" s="1068"/>
      <c r="D56" s="1082" t="s">
        <v>211</v>
      </c>
      <c r="E56" s="1068"/>
      <c r="F56" s="1112" t="s">
        <v>204</v>
      </c>
      <c r="G56" s="1123"/>
      <c r="H56" s="1111">
        <v>18.400811234906183</v>
      </c>
      <c r="I56" s="1123"/>
      <c r="J56" s="1111">
        <f t="shared" si="2"/>
        <v>2.9000000000003467E-3</v>
      </c>
      <c r="K56" s="1068"/>
      <c r="L56" s="1111">
        <v>18.403740163178789</v>
      </c>
      <c r="N56" s="1069">
        <v>0.11154784558455515</v>
      </c>
      <c r="O56" s="1069"/>
      <c r="P56" s="1069">
        <v>18.292192317594232</v>
      </c>
      <c r="R56" s="1069"/>
      <c r="S56" s="1103"/>
      <c r="V56" s="1104"/>
      <c r="AC56" s="1068"/>
      <c r="AD56" s="1068"/>
      <c r="AE56" s="1068"/>
      <c r="AF56" s="1068"/>
      <c r="AG56" s="1068"/>
      <c r="AH56" s="1068"/>
    </row>
    <row r="57" spans="1:34" ht="12.75" customHeight="1">
      <c r="A57" s="1064"/>
      <c r="B57" s="1064"/>
      <c r="C57" s="1068"/>
      <c r="D57" s="1068"/>
      <c r="E57" s="1068"/>
      <c r="F57" s="1068"/>
      <c r="G57" s="1130"/>
      <c r="H57" s="1130"/>
      <c r="I57" s="1130"/>
      <c r="J57" s="1124"/>
      <c r="K57" s="1068"/>
      <c r="L57" s="1130"/>
      <c r="N57" s="1115"/>
      <c r="O57" s="1115"/>
      <c r="P57" s="1115"/>
      <c r="S57" s="1103"/>
      <c r="V57" s="1104"/>
      <c r="AC57" s="1068"/>
      <c r="AD57" s="1068"/>
      <c r="AE57" s="1068"/>
      <c r="AF57" s="1068"/>
      <c r="AG57" s="1068"/>
      <c r="AH57" s="1068"/>
    </row>
    <row r="58" spans="1:34" ht="12.75" customHeight="1">
      <c r="A58" s="1064"/>
      <c r="B58" s="1064"/>
      <c r="C58" s="1068"/>
      <c r="AC58" s="1068"/>
      <c r="AD58" s="1068"/>
      <c r="AE58" s="1068"/>
      <c r="AF58" s="1068"/>
      <c r="AG58" s="1068"/>
      <c r="AH58" s="1068"/>
    </row>
    <row r="59" spans="1:34" ht="12.75" customHeight="1">
      <c r="A59" s="1080"/>
      <c r="B59" s="1080"/>
      <c r="C59" s="1125"/>
      <c r="AC59" s="1068"/>
      <c r="AD59" s="1068"/>
      <c r="AE59" s="1122"/>
      <c r="AF59" s="1068"/>
      <c r="AG59" s="1068"/>
      <c r="AH59" s="1068"/>
    </row>
    <row r="60" spans="1:34" ht="12.75" customHeight="1">
      <c r="A60" s="1080"/>
      <c r="B60" s="1080"/>
      <c r="C60" s="1068"/>
      <c r="AC60" s="1068"/>
      <c r="AD60" s="1068"/>
      <c r="AE60" s="1131"/>
      <c r="AF60" s="1131"/>
      <c r="AG60" s="1131"/>
      <c r="AH60" s="1068"/>
    </row>
    <row r="61" spans="1:34" ht="12.75" customHeight="1">
      <c r="A61" s="1080"/>
      <c r="B61" s="1080"/>
      <c r="C61" s="1068"/>
      <c r="AC61" s="1068"/>
      <c r="AD61" s="1068"/>
      <c r="AE61" s="1131"/>
      <c r="AF61" s="1131"/>
      <c r="AG61" s="1131"/>
      <c r="AH61" s="1068"/>
    </row>
    <row r="62" spans="1:34" ht="13.5" customHeight="1">
      <c r="A62" s="1080"/>
      <c r="B62" s="1080"/>
      <c r="C62" s="1068"/>
      <c r="AC62" s="1068"/>
      <c r="AD62" s="1068"/>
      <c r="AE62" s="1130"/>
      <c r="AF62" s="1130"/>
      <c r="AG62" s="1068"/>
      <c r="AH62" s="1068"/>
    </row>
    <row r="63" spans="1:34" ht="13.5" customHeight="1">
      <c r="A63" s="1132" t="s">
        <v>1109</v>
      </c>
      <c r="B63" s="1132"/>
      <c r="C63" s="1132"/>
      <c r="D63" s="1133"/>
      <c r="E63" s="1133"/>
      <c r="F63" s="1133"/>
      <c r="G63" s="1133"/>
      <c r="H63" s="1133"/>
      <c r="I63" s="1133"/>
      <c r="J63" s="1133"/>
      <c r="K63" s="1133"/>
      <c r="L63" s="1133"/>
      <c r="M63" s="1133"/>
      <c r="N63" s="1133"/>
      <c r="O63" s="1133"/>
      <c r="P63" s="1133"/>
      <c r="Q63" s="1134"/>
      <c r="AC63" s="1068"/>
      <c r="AD63" s="1068"/>
      <c r="AE63" s="1068"/>
      <c r="AF63" s="1068"/>
      <c r="AG63" s="1068"/>
      <c r="AH63" s="1068"/>
    </row>
    <row r="64" spans="1:34" ht="12.75" customHeight="1">
      <c r="A64" s="1132" t="s">
        <v>11</v>
      </c>
      <c r="B64" s="1132"/>
      <c r="C64" s="1132"/>
      <c r="D64" s="1133"/>
      <c r="E64" s="1133"/>
      <c r="F64" s="1133"/>
      <c r="G64" s="1133"/>
      <c r="H64" s="1133"/>
      <c r="I64" s="1133"/>
      <c r="J64" s="1133"/>
      <c r="K64" s="1133"/>
      <c r="L64" s="1133"/>
      <c r="M64" s="1133"/>
      <c r="N64" s="1133"/>
      <c r="O64" s="1133"/>
      <c r="P64" s="1133"/>
      <c r="Q64" s="1134"/>
      <c r="AC64" s="1068"/>
      <c r="AD64" s="1068"/>
      <c r="AE64" s="1068"/>
      <c r="AF64" s="1068"/>
      <c r="AG64" s="1068"/>
      <c r="AH64" s="1068"/>
    </row>
    <row r="65" spans="1:34" ht="12.75" customHeight="1">
      <c r="N65" s="1115"/>
      <c r="O65" s="1115"/>
      <c r="P65" s="1115"/>
      <c r="AC65" s="1068"/>
      <c r="AD65" s="1068"/>
      <c r="AE65" s="1068"/>
      <c r="AF65" s="1068"/>
      <c r="AG65" s="1068"/>
      <c r="AH65" s="1068"/>
    </row>
    <row r="66" spans="1:34" ht="12.75" customHeight="1">
      <c r="G66" s="1074"/>
      <c r="H66" s="1077"/>
      <c r="I66" s="1077"/>
      <c r="J66" s="1077"/>
      <c r="K66" s="1077"/>
      <c r="L66" s="1077"/>
      <c r="M66" s="1077"/>
      <c r="N66" s="1332" t="s">
        <v>1086</v>
      </c>
      <c r="O66" s="1332"/>
      <c r="P66" s="1332"/>
      <c r="AC66" s="1068"/>
      <c r="AD66" s="1068"/>
      <c r="AE66" s="1068"/>
      <c r="AF66" s="1068"/>
      <c r="AG66" s="1068"/>
      <c r="AH66" s="1068"/>
    </row>
    <row r="67" spans="1:34" ht="12.75" customHeight="1">
      <c r="G67" s="1079"/>
      <c r="H67" s="1080"/>
      <c r="I67" s="1080"/>
      <c r="J67" s="1337" t="s">
        <v>1087</v>
      </c>
      <c r="K67" s="1337"/>
      <c r="L67" s="1337"/>
      <c r="N67" s="1333"/>
      <c r="O67" s="1333"/>
      <c r="P67" s="1333"/>
      <c r="AC67" s="1068"/>
      <c r="AD67" s="1068"/>
      <c r="AE67" s="1068"/>
      <c r="AF67" s="1068"/>
      <c r="AG67" s="1068"/>
      <c r="AH67" s="1068"/>
    </row>
    <row r="68" spans="1:34" ht="12.75" customHeight="1">
      <c r="A68" s="1067" t="s">
        <v>1</v>
      </c>
      <c r="C68" s="1082"/>
      <c r="F68" s="1074"/>
      <c r="G68" s="1067"/>
      <c r="H68" s="1080" t="s">
        <v>495</v>
      </c>
      <c r="I68" s="1080"/>
      <c r="J68" s="1083" t="s">
        <v>609</v>
      </c>
      <c r="K68" s="1083"/>
      <c r="L68" s="1080" t="s">
        <v>6</v>
      </c>
      <c r="N68" s="1078"/>
      <c r="O68" s="1078"/>
      <c r="P68" s="1078"/>
      <c r="AC68" s="1068"/>
      <c r="AD68" s="1068"/>
      <c r="AE68" s="1068"/>
      <c r="AF68" s="1068"/>
      <c r="AG68" s="1068"/>
      <c r="AH68" s="1068"/>
    </row>
    <row r="69" spans="1:34" ht="12.75" customHeight="1">
      <c r="A69" s="1085" t="s">
        <v>2</v>
      </c>
      <c r="B69" s="1074"/>
      <c r="C69" s="1075"/>
      <c r="D69" s="1086" t="s">
        <v>3</v>
      </c>
      <c r="F69" s="1087" t="s">
        <v>4</v>
      </c>
      <c r="G69" s="1074"/>
      <c r="H69" s="1088" t="s">
        <v>196</v>
      </c>
      <c r="I69" s="1078"/>
      <c r="J69" s="1089" t="s">
        <v>1088</v>
      </c>
      <c r="L69" s="1088" t="s">
        <v>1089</v>
      </c>
      <c r="N69" s="1090" t="s">
        <v>980</v>
      </c>
      <c r="O69" s="1083"/>
      <c r="P69" s="1090" t="s">
        <v>1090</v>
      </c>
      <c r="AC69" s="1068"/>
      <c r="AD69" s="1068"/>
      <c r="AE69" s="1068"/>
      <c r="AF69" s="1068"/>
      <c r="AG69" s="1068"/>
      <c r="AH69" s="1068"/>
    </row>
    <row r="70" spans="1:34" ht="12.75" customHeight="1">
      <c r="F70" s="1091"/>
      <c r="G70" s="1074"/>
      <c r="H70" s="1080" t="s">
        <v>1091</v>
      </c>
      <c r="I70" s="1080"/>
      <c r="J70" s="1092" t="s">
        <v>1092</v>
      </c>
      <c r="L70" s="1080" t="s">
        <v>1093</v>
      </c>
      <c r="N70" s="1135" t="s">
        <v>79</v>
      </c>
      <c r="O70" s="1136"/>
      <c r="P70" s="1135" t="s">
        <v>115</v>
      </c>
      <c r="S70" s="1103"/>
      <c r="AC70" s="1068"/>
      <c r="AD70" s="1068"/>
      <c r="AE70" s="1068"/>
      <c r="AF70" s="1068"/>
      <c r="AG70" s="1068"/>
      <c r="AH70" s="1068"/>
    </row>
    <row r="71" spans="1:34" ht="12.75" customHeight="1">
      <c r="S71" s="1103"/>
      <c r="AC71" s="1068"/>
      <c r="AD71" s="1068"/>
      <c r="AE71" s="1068"/>
      <c r="AF71" s="1068"/>
      <c r="AG71" s="1068"/>
      <c r="AH71" s="1068"/>
    </row>
    <row r="72" spans="1:34" ht="12.75" customHeight="1">
      <c r="D72" s="1121" t="s">
        <v>165</v>
      </c>
      <c r="E72" s="1122"/>
      <c r="F72" s="1068"/>
      <c r="G72" s="1130"/>
      <c r="H72" s="1130"/>
      <c r="I72" s="1130"/>
      <c r="J72" s="1124"/>
      <c r="K72" s="1068"/>
      <c r="L72" s="1130"/>
      <c r="N72" s="1115"/>
      <c r="O72" s="1115"/>
      <c r="P72" s="1115"/>
      <c r="S72" s="1103"/>
      <c r="V72" s="1104"/>
      <c r="AC72" s="1068"/>
      <c r="AD72" s="1068"/>
      <c r="AE72" s="1068"/>
      <c r="AF72" s="1068"/>
      <c r="AG72" s="1068"/>
      <c r="AH72" s="1068"/>
    </row>
    <row r="73" spans="1:34" ht="12.75" customHeight="1">
      <c r="A73" s="1080">
        <f>MAX(A$13:A72)+1</f>
        <v>32</v>
      </c>
      <c r="C73" s="1137"/>
      <c r="D73" s="1122" t="s">
        <v>200</v>
      </c>
      <c r="E73" s="1068"/>
      <c r="F73" s="1099" t="s">
        <v>201</v>
      </c>
      <c r="G73" s="1100"/>
      <c r="H73" s="608">
        <v>642.54715571555448</v>
      </c>
      <c r="I73" s="608"/>
      <c r="J73" s="608">
        <f>ROUND(L73,2)-ROUND(H73,2)</f>
        <v>17.32000000000005</v>
      </c>
      <c r="K73" s="608"/>
      <c r="L73" s="608">
        <v>659.87355315563298</v>
      </c>
      <c r="M73" s="1101"/>
      <c r="N73" s="608">
        <v>659.87355315563298</v>
      </c>
      <c r="O73" s="1069"/>
      <c r="P73" s="1128">
        <v>0</v>
      </c>
      <c r="R73" s="1069"/>
      <c r="S73" s="1103"/>
      <c r="V73" s="1104"/>
      <c r="AC73" s="1068"/>
      <c r="AD73" s="1068"/>
      <c r="AE73" s="1068"/>
      <c r="AF73" s="1068"/>
      <c r="AG73" s="1068"/>
      <c r="AH73" s="1068"/>
    </row>
    <row r="74" spans="1:34" ht="13.5" customHeight="1">
      <c r="A74" s="1080">
        <f>MAX(A$13:A73)+1</f>
        <v>33</v>
      </c>
      <c r="C74" s="1137"/>
      <c r="D74" s="1105" t="s">
        <v>221</v>
      </c>
      <c r="E74" s="1068"/>
      <c r="F74" s="1138" t="s">
        <v>222</v>
      </c>
      <c r="G74" s="1110"/>
      <c r="H74" s="1111">
        <v>25.39395049703483</v>
      </c>
      <c r="I74" s="1111"/>
      <c r="J74" s="1111">
        <f>ROUND(L74,4)-ROUND(H74,4)</f>
        <v>0.68470000000000297</v>
      </c>
      <c r="K74" s="1068"/>
      <c r="L74" s="1111">
        <v>26.07870285329626</v>
      </c>
      <c r="M74" s="1069"/>
      <c r="N74" s="1069">
        <v>26.07870285329626</v>
      </c>
      <c r="O74" s="1069"/>
      <c r="P74" s="1128">
        <v>0</v>
      </c>
      <c r="R74" s="1069"/>
      <c r="S74" s="1103"/>
      <c r="V74" s="1104"/>
      <c r="AC74" s="1068"/>
      <c r="AD74" s="1068"/>
      <c r="AE74" s="1068"/>
      <c r="AF74" s="1068"/>
      <c r="AG74" s="1068"/>
      <c r="AH74" s="1068"/>
    </row>
    <row r="75" spans="1:34" ht="12.75" customHeight="1">
      <c r="C75" s="1139"/>
      <c r="D75" s="1105" t="s">
        <v>202</v>
      </c>
      <c r="E75" s="1068"/>
      <c r="F75" s="1068"/>
      <c r="G75" s="1110"/>
      <c r="H75" s="1111"/>
      <c r="I75" s="1111"/>
      <c r="J75" s="1111"/>
      <c r="K75" s="1068"/>
      <c r="L75" s="1111"/>
      <c r="M75" s="1069"/>
      <c r="N75" s="1069"/>
      <c r="O75" s="1069"/>
      <c r="P75" s="1069"/>
      <c r="R75" s="1069"/>
      <c r="S75" s="1103"/>
      <c r="V75" s="1104"/>
      <c r="AC75" s="1068"/>
      <c r="AD75" s="1068"/>
      <c r="AE75" s="1068"/>
      <c r="AF75" s="1068"/>
      <c r="AG75" s="1068"/>
      <c r="AH75" s="1068"/>
    </row>
    <row r="76" spans="1:34" ht="12.75" customHeight="1">
      <c r="A76" s="1080">
        <f>MAX(A$13:A75)+1</f>
        <v>34</v>
      </c>
      <c r="B76" s="1094"/>
      <c r="C76" s="1094"/>
      <c r="D76" s="1105" t="s">
        <v>1110</v>
      </c>
      <c r="E76" s="1068"/>
      <c r="F76" s="1112" t="s">
        <v>204</v>
      </c>
      <c r="G76" s="1111"/>
      <c r="H76" s="1111">
        <v>1.0325728182266571</v>
      </c>
      <c r="I76" s="1111"/>
      <c r="J76" s="1111">
        <f t="shared" ref="J76:J83" si="3">ROUND(L76,4)-ROUND(H76,4)</f>
        <v>1.9200000000000106E-2</v>
      </c>
      <c r="K76" s="1068"/>
      <c r="L76" s="1111">
        <v>1.0518482137741192</v>
      </c>
      <c r="M76" s="1069"/>
      <c r="N76" s="1069">
        <v>0.69409388870531952</v>
      </c>
      <c r="O76" s="1069"/>
      <c r="P76" s="1069">
        <v>0.35775432506879934</v>
      </c>
      <c r="R76" s="1069"/>
      <c r="S76" s="1103"/>
      <c r="V76" s="1104"/>
      <c r="AC76" s="1068"/>
      <c r="AD76" s="1068"/>
      <c r="AE76" s="1068"/>
      <c r="AF76" s="1068"/>
      <c r="AG76" s="1068"/>
      <c r="AH76" s="1068"/>
    </row>
    <row r="77" spans="1:34" ht="12.75" customHeight="1">
      <c r="A77" s="1080">
        <f>MAX(A$13:A76)+1</f>
        <v>35</v>
      </c>
      <c r="D77" s="1125" t="s">
        <v>1111</v>
      </c>
      <c r="E77" s="1068"/>
      <c r="F77" s="1112" t="s">
        <v>204</v>
      </c>
      <c r="G77" s="1111"/>
      <c r="H77" s="1111">
        <v>0.8645988740145667</v>
      </c>
      <c r="I77" s="1111"/>
      <c r="J77" s="1111">
        <f t="shared" si="3"/>
        <v>1.4699999999999935E-2</v>
      </c>
      <c r="K77" s="1068"/>
      <c r="L77" s="1111">
        <v>0.87934478806818617</v>
      </c>
      <c r="M77" s="1069"/>
      <c r="N77" s="1069">
        <v>0.52158918554176981</v>
      </c>
      <c r="O77" s="1069"/>
      <c r="P77" s="1069">
        <v>0.35775560252641625</v>
      </c>
      <c r="R77" s="1069"/>
      <c r="S77" s="1103"/>
      <c r="V77" s="1104"/>
      <c r="AC77" s="1068"/>
      <c r="AD77" s="1068"/>
      <c r="AE77" s="1068"/>
      <c r="AF77" s="1068"/>
      <c r="AG77" s="1068"/>
      <c r="AH77" s="1068"/>
    </row>
    <row r="78" spans="1:34" ht="12.75" customHeight="1">
      <c r="D78" s="1068"/>
      <c r="E78" s="1068"/>
      <c r="F78" s="1140"/>
      <c r="G78" s="1111"/>
      <c r="H78" s="1111"/>
      <c r="I78" s="1111"/>
      <c r="J78" s="1111"/>
      <c r="K78" s="1068"/>
      <c r="L78" s="1111"/>
      <c r="M78" s="1069"/>
      <c r="N78" s="1069"/>
      <c r="O78" s="1069"/>
      <c r="P78" s="1069"/>
      <c r="R78" s="1069"/>
      <c r="S78" s="1103"/>
      <c r="V78" s="1104"/>
      <c r="AC78" s="1068"/>
      <c r="AD78" s="1068"/>
      <c r="AE78" s="1068"/>
      <c r="AF78" s="1068"/>
      <c r="AG78" s="1068"/>
      <c r="AH78" s="1068"/>
    </row>
    <row r="79" spans="1:34" ht="12.75" customHeight="1">
      <c r="A79" s="1080">
        <f>MAX(A$13:A78)+1</f>
        <v>36</v>
      </c>
      <c r="D79" s="1082" t="s">
        <v>208</v>
      </c>
      <c r="E79" s="1068"/>
      <c r="F79" s="1112" t="s">
        <v>204</v>
      </c>
      <c r="G79" s="1111"/>
      <c r="H79" s="1111">
        <v>0.25233468088460609</v>
      </c>
      <c r="I79" s="1111"/>
      <c r="J79" s="1111">
        <f t="shared" si="3"/>
        <v>1.7999999999999683E-3</v>
      </c>
      <c r="K79" s="1068"/>
      <c r="L79" s="1111">
        <v>0.25410603592893011</v>
      </c>
      <c r="M79" s="1069"/>
      <c r="N79" s="1069">
        <v>0.14463326919445127</v>
      </c>
      <c r="O79" s="1069"/>
      <c r="P79" s="1069">
        <v>0.10947276673447881</v>
      </c>
      <c r="R79" s="1069"/>
      <c r="S79" s="1103"/>
      <c r="V79" s="1104"/>
      <c r="AC79" s="1068"/>
      <c r="AD79" s="1068"/>
      <c r="AE79" s="1068"/>
      <c r="AF79" s="1068"/>
      <c r="AG79" s="1068"/>
      <c r="AH79" s="1068"/>
    </row>
    <row r="80" spans="1:34" ht="12.75" customHeight="1">
      <c r="A80" s="1080">
        <f>MAX(A$13:A79)+1</f>
        <v>37</v>
      </c>
      <c r="D80" s="1082" t="s">
        <v>266</v>
      </c>
      <c r="E80" s="1068"/>
      <c r="F80" s="1112" t="s">
        <v>204</v>
      </c>
      <c r="G80" s="1111"/>
      <c r="H80" s="1111">
        <v>3.9267443867607112</v>
      </c>
      <c r="I80" s="1111"/>
      <c r="J80" s="1111">
        <f>ROUND(L80,4)-ROUND(H80,4)</f>
        <v>2.0999999999999908E-3</v>
      </c>
      <c r="K80" s="1068"/>
      <c r="L80" s="1111">
        <v>3.9287734596462265</v>
      </c>
      <c r="M80" s="1069"/>
      <c r="N80" s="1069">
        <v>7.7276972273541369E-2</v>
      </c>
      <c r="O80" s="1069"/>
      <c r="P80" s="1069">
        <v>3.8514964873726862</v>
      </c>
      <c r="R80" s="1069"/>
      <c r="S80" s="1103"/>
      <c r="V80" s="1104"/>
      <c r="AC80" s="1068"/>
      <c r="AD80" s="1068"/>
      <c r="AE80" s="1068"/>
      <c r="AF80" s="1068"/>
      <c r="AG80" s="1068"/>
      <c r="AH80" s="1068"/>
    </row>
    <row r="81" spans="1:34" ht="12.75" customHeight="1">
      <c r="A81" s="1080">
        <f>MAX(A$13:A80)+1</f>
        <v>38</v>
      </c>
      <c r="D81" s="1082" t="s">
        <v>1098</v>
      </c>
      <c r="E81" s="1068"/>
      <c r="F81" s="1112" t="s">
        <v>204</v>
      </c>
      <c r="G81" s="1111"/>
      <c r="H81" s="1111">
        <v>0.96972039724946102</v>
      </c>
      <c r="I81" s="1111"/>
      <c r="J81" s="1111">
        <f t="shared" si="3"/>
        <v>1.6100000000000003E-2</v>
      </c>
      <c r="K81" s="1068"/>
      <c r="L81" s="1111">
        <v>0.9858400847334744</v>
      </c>
      <c r="M81" s="1069"/>
      <c r="N81" s="1069">
        <v>0.61391616420095851</v>
      </c>
      <c r="O81" s="1069"/>
      <c r="P81" s="1069">
        <v>0.37192392053251588</v>
      </c>
      <c r="R81" s="1069"/>
      <c r="S81" s="1103"/>
      <c r="V81" s="1104"/>
      <c r="AC81" s="1068"/>
      <c r="AD81" s="1068"/>
      <c r="AE81" s="1068"/>
      <c r="AF81" s="1068"/>
      <c r="AG81" s="1068"/>
      <c r="AH81" s="1068"/>
    </row>
    <row r="82" spans="1:34" ht="12.75" customHeight="1">
      <c r="D82" s="1082"/>
      <c r="E82" s="1068"/>
      <c r="F82" s="1112"/>
      <c r="G82" s="1111"/>
      <c r="H82" s="1111"/>
      <c r="I82" s="1111"/>
      <c r="J82" s="1111"/>
      <c r="K82" s="1068"/>
      <c r="L82" s="1111"/>
      <c r="M82" s="1069"/>
      <c r="N82" s="1069"/>
      <c r="O82" s="1069"/>
      <c r="P82" s="1069"/>
      <c r="R82" s="1069"/>
      <c r="S82" s="1103"/>
      <c r="V82" s="1104"/>
    </row>
    <row r="83" spans="1:34" ht="12.75" customHeight="1">
      <c r="A83" s="1080">
        <f>MAX(A$13:A82)+1</f>
        <v>39</v>
      </c>
      <c r="D83" s="1082" t="s">
        <v>211</v>
      </c>
      <c r="E83" s="1068"/>
      <c r="F83" s="1112" t="s">
        <v>204</v>
      </c>
      <c r="G83" s="1111"/>
      <c r="H83" s="1111">
        <v>18.339431448884856</v>
      </c>
      <c r="I83" s="1111"/>
      <c r="J83" s="1111">
        <f t="shared" si="3"/>
        <v>1.2999999999969702E-3</v>
      </c>
      <c r="K83" s="1068"/>
      <c r="L83" s="1111">
        <v>18.34069677063216</v>
      </c>
      <c r="M83" s="1069"/>
      <c r="N83" s="1069">
        <v>4.8189611266165867E-2</v>
      </c>
      <c r="O83" s="1069"/>
      <c r="P83" s="1069">
        <v>18.292507159365996</v>
      </c>
      <c r="R83" s="1069"/>
      <c r="S83" s="1103"/>
      <c r="V83" s="1104"/>
    </row>
    <row r="84" spans="1:34" ht="12.75" customHeight="1">
      <c r="Q84" s="1093"/>
    </row>
    <row r="85" spans="1:34" ht="12.75" customHeight="1">
      <c r="D85" s="1094" t="s">
        <v>166</v>
      </c>
      <c r="N85" s="1115"/>
      <c r="O85" s="1115"/>
      <c r="P85" s="1115"/>
    </row>
    <row r="86" spans="1:34" ht="12.75" customHeight="1">
      <c r="A86" s="1080">
        <f>MAX(A$13:A85)+1</f>
        <v>40</v>
      </c>
      <c r="B86" s="1080"/>
      <c r="D86" s="1122" t="s">
        <v>200</v>
      </c>
      <c r="F86" s="1099" t="s">
        <v>201</v>
      </c>
      <c r="H86" s="608">
        <v>681.10851778541416</v>
      </c>
      <c r="I86" s="608"/>
      <c r="J86" s="608">
        <f t="shared" ref="J86:J96" si="4">ROUND(L86,4)-ROUND(H86,4)</f>
        <v>18.366199999999935</v>
      </c>
      <c r="K86" s="608"/>
      <c r="L86" s="608">
        <v>699.47472915838455</v>
      </c>
      <c r="M86" s="1101"/>
      <c r="N86" s="608">
        <v>699.47472915838455</v>
      </c>
      <c r="O86" s="1069"/>
      <c r="P86" s="1128">
        <v>0</v>
      </c>
      <c r="Q86" s="1102"/>
      <c r="R86" s="1069"/>
      <c r="S86" s="1069"/>
      <c r="V86" s="1104"/>
    </row>
    <row r="87" spans="1:34" ht="12.75" customHeight="1">
      <c r="A87" s="1080">
        <f>MAX(A$13:A86)+1</f>
        <v>41</v>
      </c>
      <c r="B87" s="1080"/>
      <c r="D87" s="1105" t="s">
        <v>221</v>
      </c>
      <c r="F87" s="1138" t="s">
        <v>222</v>
      </c>
      <c r="H87" s="1069">
        <v>27.124262553809189</v>
      </c>
      <c r="J87" s="1111">
        <f t="shared" si="4"/>
        <v>0.73139999999999716</v>
      </c>
      <c r="L87" s="1069">
        <v>27.855673080018693</v>
      </c>
      <c r="N87" s="1069">
        <v>27.855673080018693</v>
      </c>
      <c r="O87" s="1069"/>
      <c r="P87" s="1128">
        <v>0</v>
      </c>
      <c r="Q87" s="1102"/>
      <c r="R87" s="1069"/>
      <c r="S87" s="1069"/>
      <c r="V87" s="1104"/>
    </row>
    <row r="88" spans="1:34" ht="12.75" customHeight="1">
      <c r="A88" s="1080"/>
      <c r="B88" s="1080"/>
      <c r="D88" s="1105" t="s">
        <v>202</v>
      </c>
      <c r="H88" s="1069"/>
      <c r="J88" s="1111"/>
      <c r="L88" s="1069"/>
      <c r="N88" s="1069"/>
      <c r="O88" s="1069"/>
      <c r="P88" s="1069"/>
      <c r="Q88" s="1102"/>
      <c r="R88" s="1069"/>
      <c r="S88" s="1069"/>
      <c r="V88" s="1104"/>
    </row>
    <row r="89" spans="1:34" ht="13.5" customHeight="1">
      <c r="A89" s="1080">
        <f>MAX(A$13:A88)+1</f>
        <v>42</v>
      </c>
      <c r="B89" s="1080"/>
      <c r="D89" s="1105" t="s">
        <v>1110</v>
      </c>
      <c r="F89" s="1112" t="s">
        <v>204</v>
      </c>
      <c r="H89" s="1069">
        <v>0.67077638089742209</v>
      </c>
      <c r="J89" s="1111">
        <f t="shared" si="4"/>
        <v>-8.3099999999999952E-2</v>
      </c>
      <c r="L89" s="1069">
        <v>0.58765006951034593</v>
      </c>
      <c r="N89" s="1069">
        <v>0.28147354830758231</v>
      </c>
      <c r="O89" s="1069"/>
      <c r="P89" s="1069">
        <v>0.30617652120276373</v>
      </c>
      <c r="Q89" s="1102"/>
      <c r="R89" s="1069"/>
      <c r="S89" s="1069"/>
      <c r="V89" s="1104"/>
    </row>
    <row r="90" spans="1:34" ht="13.5" customHeight="1">
      <c r="A90" s="1080">
        <f>MAX(A$13:A89)+1</f>
        <v>43</v>
      </c>
      <c r="B90" s="1080"/>
      <c r="D90" s="1125" t="s">
        <v>1111</v>
      </c>
      <c r="F90" s="1112" t="s">
        <v>204</v>
      </c>
      <c r="H90" s="1069">
        <v>0.5682897741756695</v>
      </c>
      <c r="J90" s="1111">
        <f t="shared" si="4"/>
        <v>-8.5900000000000032E-2</v>
      </c>
      <c r="L90" s="1069">
        <v>0.48239996495544996</v>
      </c>
      <c r="N90" s="1069">
        <v>0.1762260991133193</v>
      </c>
      <c r="O90" s="1069"/>
      <c r="P90" s="1069">
        <v>0.30617386584213074</v>
      </c>
      <c r="Q90" s="1102"/>
      <c r="R90" s="1069"/>
      <c r="S90" s="1069"/>
      <c r="V90" s="1104"/>
    </row>
    <row r="91" spans="1:34" ht="12.75" customHeight="1">
      <c r="A91" s="1080"/>
      <c r="B91" s="1080"/>
      <c r="H91" s="1069"/>
      <c r="J91" s="1111"/>
      <c r="L91" s="1069"/>
      <c r="N91" s="1069"/>
      <c r="O91" s="1069"/>
      <c r="P91" s="1069"/>
      <c r="Q91" s="1102"/>
      <c r="R91" s="1069"/>
      <c r="S91" s="1069"/>
      <c r="V91" s="1104"/>
    </row>
    <row r="92" spans="1:34" ht="12.75" customHeight="1">
      <c r="A92" s="1080">
        <f>MAX(A$13:A90)+1</f>
        <v>44</v>
      </c>
      <c r="B92" s="1080"/>
      <c r="D92" s="1082" t="s">
        <v>208</v>
      </c>
      <c r="F92" s="1112" t="s">
        <v>204</v>
      </c>
      <c r="H92" s="1069">
        <v>9.4794584882729044E-2</v>
      </c>
      <c r="J92" s="1111">
        <f t="shared" si="4"/>
        <v>6.0000000000000331E-4</v>
      </c>
      <c r="L92" s="1069">
        <v>9.5357885946621035E-2</v>
      </c>
      <c r="N92" s="1069">
        <v>4.7473108346887519E-2</v>
      </c>
      <c r="O92" s="1069"/>
      <c r="P92" s="1069">
        <v>4.7884777599733495E-2</v>
      </c>
      <c r="Q92" s="1102"/>
      <c r="R92" s="1069"/>
      <c r="S92" s="1069"/>
      <c r="V92" s="1104"/>
    </row>
    <row r="93" spans="1:34" ht="12.75" customHeight="1">
      <c r="A93" s="1080">
        <f>MAX(A$13:A92)+1</f>
        <v>45</v>
      </c>
      <c r="B93" s="1080"/>
      <c r="D93" s="1082" t="s">
        <v>266</v>
      </c>
      <c r="F93" s="1112" t="s">
        <v>204</v>
      </c>
      <c r="H93" s="1069">
        <v>3.9267453785808999</v>
      </c>
      <c r="J93" s="1111">
        <f t="shared" si="4"/>
        <v>2.0999999999999908E-3</v>
      </c>
      <c r="L93" s="1069">
        <v>3.9287752209981761</v>
      </c>
      <c r="N93" s="1069">
        <v>7.7306279788770263E-2</v>
      </c>
      <c r="O93" s="1069"/>
      <c r="P93" s="1069">
        <v>3.8514689412094056</v>
      </c>
      <c r="Q93" s="1102"/>
      <c r="R93" s="1069"/>
      <c r="S93" s="1069"/>
      <c r="V93" s="1104"/>
    </row>
    <row r="94" spans="1:34" ht="12.75" customHeight="1">
      <c r="A94" s="1080">
        <f>MAX(A$13:A93)+1</f>
        <v>46</v>
      </c>
      <c r="B94" s="1080"/>
      <c r="D94" s="1082" t="s">
        <v>1098</v>
      </c>
      <c r="F94" s="1112" t="s">
        <v>204</v>
      </c>
      <c r="H94" s="1069">
        <v>0.96972045424185205</v>
      </c>
      <c r="J94" s="1111">
        <f t="shared" si="4"/>
        <v>1.6100000000000003E-2</v>
      </c>
      <c r="L94" s="1069">
        <v>0.98584015962227201</v>
      </c>
      <c r="N94" s="1069">
        <v>0.61391684578323658</v>
      </c>
      <c r="O94" s="1069"/>
      <c r="P94" s="1069">
        <v>0.37192331383903554</v>
      </c>
      <c r="Q94" s="1102"/>
      <c r="R94" s="1069"/>
      <c r="S94" s="1069"/>
      <c r="V94" s="1104"/>
      <c r="AC94" s="1068"/>
      <c r="AD94" s="1068"/>
      <c r="AE94" s="1068"/>
      <c r="AF94" s="1068"/>
      <c r="AG94" s="1068"/>
      <c r="AH94" s="1068"/>
    </row>
    <row r="95" spans="1:34" ht="12.75" customHeight="1">
      <c r="A95" s="1080"/>
      <c r="B95" s="1080"/>
      <c r="D95" s="1082"/>
      <c r="F95" s="1112"/>
      <c r="H95" s="1069"/>
      <c r="J95" s="1111"/>
      <c r="L95" s="1069"/>
      <c r="N95" s="1069"/>
      <c r="O95" s="1069"/>
      <c r="P95" s="1069"/>
      <c r="Q95" s="1102"/>
      <c r="R95" s="1069"/>
      <c r="S95" s="1069"/>
      <c r="V95" s="1104"/>
      <c r="AC95" s="1068"/>
      <c r="AD95" s="1068"/>
      <c r="AE95" s="1068"/>
      <c r="AF95" s="1068"/>
      <c r="AG95" s="1068"/>
      <c r="AH95" s="1068"/>
    </row>
    <row r="96" spans="1:34" ht="12.75" customHeight="1">
      <c r="A96" s="1080">
        <f>MAX(A$13:A94)+1</f>
        <v>47</v>
      </c>
      <c r="B96" s="1080"/>
      <c r="D96" s="1082" t="s">
        <v>211</v>
      </c>
      <c r="F96" s="1112" t="s">
        <v>204</v>
      </c>
      <c r="H96" s="1069">
        <v>18.339431448884856</v>
      </c>
      <c r="J96" s="1111">
        <f t="shared" si="4"/>
        <v>1.2999999999969702E-3</v>
      </c>
      <c r="L96" s="1069">
        <v>18.340696770632164</v>
      </c>
      <c r="N96" s="1069">
        <v>4.8189611266165881E-2</v>
      </c>
      <c r="O96" s="1069"/>
      <c r="P96" s="1069">
        <v>18.292507159365996</v>
      </c>
      <c r="Q96" s="1102"/>
      <c r="R96" s="1069"/>
      <c r="S96" s="1069"/>
      <c r="V96" s="1104"/>
      <c r="AC96" s="1068"/>
      <c r="AD96" s="1068"/>
      <c r="AE96" s="1068"/>
      <c r="AF96" s="1068"/>
      <c r="AG96" s="1068"/>
      <c r="AH96" s="1068"/>
    </row>
    <row r="97" spans="1:34" ht="12.75" customHeight="1">
      <c r="N97" s="1069"/>
      <c r="O97" s="1069"/>
      <c r="P97" s="1069"/>
      <c r="Q97" s="1102"/>
      <c r="R97" s="1069"/>
      <c r="S97" s="1069"/>
      <c r="AC97" s="1068"/>
      <c r="AD97" s="1068"/>
      <c r="AE97" s="1068"/>
      <c r="AF97" s="1068"/>
      <c r="AG97" s="1068"/>
      <c r="AH97" s="1068"/>
    </row>
    <row r="98" spans="1:34" ht="12.75" customHeight="1">
      <c r="D98" s="1094" t="s">
        <v>167</v>
      </c>
      <c r="N98" s="1069"/>
      <c r="O98" s="1069"/>
      <c r="P98" s="1069"/>
      <c r="Q98" s="1102"/>
      <c r="R98" s="1069"/>
      <c r="S98" s="1069"/>
      <c r="AC98" s="1068"/>
      <c r="AD98" s="1068"/>
      <c r="AE98" s="1068"/>
      <c r="AF98" s="1068"/>
      <c r="AG98" s="1068"/>
      <c r="AH98" s="1068"/>
    </row>
    <row r="99" spans="1:34" ht="12.75" customHeight="1">
      <c r="A99" s="1080">
        <f>MAX(A$13:A98)+1</f>
        <v>48</v>
      </c>
      <c r="B99" s="1080"/>
      <c r="D99" s="1065" t="s">
        <v>200</v>
      </c>
      <c r="F99" s="1067" t="s">
        <v>201</v>
      </c>
      <c r="H99" s="608">
        <v>546.96967474977816</v>
      </c>
      <c r="I99" s="608"/>
      <c r="J99" s="608">
        <f t="shared" ref="J99:J100" si="5">ROUND(L99,4)-ROUND(H99,4)</f>
        <v>14.749099999999999</v>
      </c>
      <c r="K99" s="608"/>
      <c r="L99" s="608">
        <v>561.71880854966435</v>
      </c>
      <c r="M99" s="1101"/>
      <c r="N99" s="608">
        <v>561.71880854966435</v>
      </c>
      <c r="O99" s="1069"/>
      <c r="P99" s="1128">
        <v>0</v>
      </c>
      <c r="Q99" s="1102"/>
      <c r="R99" s="1069"/>
      <c r="S99" s="1069"/>
      <c r="V99" s="1104"/>
      <c r="AC99" s="1068"/>
      <c r="AD99" s="1068"/>
      <c r="AE99" s="1068"/>
      <c r="AF99" s="1068"/>
      <c r="AG99" s="1068"/>
      <c r="AH99" s="1068"/>
    </row>
    <row r="100" spans="1:34" ht="12.75" customHeight="1">
      <c r="A100" s="1080">
        <f>MAX(A$13:A99)+1</f>
        <v>49</v>
      </c>
      <c r="B100" s="1080"/>
      <c r="D100" s="1105" t="s">
        <v>221</v>
      </c>
      <c r="F100" s="1067" t="s">
        <v>204</v>
      </c>
      <c r="H100" s="1069">
        <v>11.212672899678186</v>
      </c>
      <c r="I100" s="1069"/>
      <c r="J100" s="1069">
        <f t="shared" si="5"/>
        <v>0.30569999999999986</v>
      </c>
      <c r="K100" s="1069"/>
      <c r="L100" s="1069">
        <v>11.518396529620844</v>
      </c>
      <c r="N100" s="1069">
        <v>11.518396529620844</v>
      </c>
      <c r="O100" s="1069"/>
      <c r="P100" s="1128">
        <v>0</v>
      </c>
      <c r="Q100" s="1102"/>
      <c r="R100" s="1069"/>
      <c r="S100" s="1069"/>
      <c r="V100" s="1104"/>
      <c r="AC100" s="1068"/>
      <c r="AD100" s="1068"/>
      <c r="AE100" s="1068"/>
      <c r="AF100" s="1068"/>
      <c r="AG100" s="1068"/>
      <c r="AH100" s="1068"/>
    </row>
    <row r="101" spans="1:34" ht="12.75" customHeight="1">
      <c r="H101" s="1069"/>
      <c r="I101" s="1069"/>
      <c r="J101" s="1069"/>
      <c r="K101" s="1069"/>
      <c r="L101" s="1069"/>
      <c r="N101" s="1069"/>
      <c r="O101" s="1069"/>
      <c r="P101" s="1069"/>
      <c r="Q101" s="1102"/>
      <c r="R101" s="1069"/>
      <c r="S101" s="1069"/>
      <c r="AC101" s="1068"/>
      <c r="AD101" s="1068"/>
      <c r="AE101" s="1068"/>
      <c r="AF101" s="1068"/>
      <c r="AG101" s="1068"/>
      <c r="AH101" s="1068"/>
    </row>
    <row r="102" spans="1:34" ht="12.75" customHeight="1">
      <c r="D102" s="1094" t="s">
        <v>168</v>
      </c>
      <c r="H102" s="1069"/>
      <c r="I102" s="1069"/>
      <c r="J102" s="1069"/>
      <c r="K102" s="1069"/>
      <c r="L102" s="1069"/>
      <c r="N102" s="1069"/>
      <c r="O102" s="1069"/>
      <c r="P102" s="1069"/>
      <c r="Q102" s="1102"/>
      <c r="R102" s="1069"/>
      <c r="S102" s="1069"/>
      <c r="AC102" s="1068"/>
      <c r="AD102" s="1068"/>
      <c r="AE102" s="1068"/>
      <c r="AF102" s="1068"/>
      <c r="AG102" s="1068"/>
      <c r="AH102" s="1068"/>
    </row>
    <row r="103" spans="1:34" ht="12.75" customHeight="1">
      <c r="A103" s="1080">
        <f>MAX(A$13:A102)+1</f>
        <v>50</v>
      </c>
      <c r="B103" s="1080"/>
      <c r="D103" s="1065" t="s">
        <v>200</v>
      </c>
      <c r="F103" s="1099" t="s">
        <v>201</v>
      </c>
      <c r="H103" s="608">
        <v>125.890540340409</v>
      </c>
      <c r="I103" s="608"/>
      <c r="J103" s="608">
        <f t="shared" ref="J103:J120" si="6">ROUND(L103,4)-ROUND(H103,4)</f>
        <v>3.3947000000000003</v>
      </c>
      <c r="K103" s="608"/>
      <c r="L103" s="608">
        <v>129.28520097579084</v>
      </c>
      <c r="M103" s="1101"/>
      <c r="N103" s="608">
        <v>129.28520097579084</v>
      </c>
      <c r="O103" s="1069"/>
      <c r="P103" s="1128">
        <v>0</v>
      </c>
      <c r="Q103" s="1102"/>
      <c r="R103" s="1069"/>
      <c r="S103" s="1069"/>
      <c r="V103" s="1104"/>
      <c r="AC103" s="1068"/>
      <c r="AD103" s="1068"/>
      <c r="AE103" s="1068"/>
      <c r="AF103" s="1068"/>
      <c r="AG103" s="1068"/>
      <c r="AH103" s="1068"/>
    </row>
    <row r="104" spans="1:34" ht="12.75" customHeight="1">
      <c r="A104" s="1080"/>
      <c r="B104" s="1080"/>
      <c r="D104" s="1065" t="s">
        <v>231</v>
      </c>
      <c r="F104" s="1099"/>
      <c r="H104" s="608"/>
      <c r="I104" s="608"/>
      <c r="J104" s="608"/>
      <c r="K104" s="608"/>
      <c r="L104" s="608"/>
      <c r="M104" s="1101"/>
      <c r="N104" s="608"/>
      <c r="O104" s="1069"/>
      <c r="P104" s="1128"/>
      <c r="Q104" s="1102"/>
      <c r="R104" s="1069"/>
      <c r="S104" s="1069"/>
      <c r="V104" s="1104"/>
      <c r="AC104" s="1068"/>
      <c r="AD104" s="1068"/>
      <c r="AE104" s="1068"/>
      <c r="AF104" s="1068"/>
      <c r="AG104" s="1068"/>
      <c r="AH104" s="1068"/>
    </row>
    <row r="105" spans="1:34" ht="12.75" customHeight="1">
      <c r="A105" s="1080"/>
      <c r="B105" s="1080"/>
      <c r="D105" s="1105" t="s">
        <v>202</v>
      </c>
      <c r="H105" s="1100"/>
      <c r="I105" s="1069"/>
      <c r="J105" s="1100"/>
      <c r="K105" s="1069"/>
      <c r="L105" s="1100"/>
      <c r="N105" s="1100"/>
      <c r="O105" s="1069"/>
      <c r="P105" s="1100"/>
      <c r="Q105" s="1102"/>
      <c r="R105" s="1069"/>
      <c r="S105" s="1069"/>
      <c r="V105" s="1104"/>
      <c r="AC105" s="1068"/>
      <c r="AD105" s="1068"/>
      <c r="AE105" s="1068"/>
      <c r="AF105" s="1068"/>
      <c r="AG105" s="1068"/>
      <c r="AH105" s="1068"/>
    </row>
    <row r="106" spans="1:34" ht="12.75" customHeight="1">
      <c r="A106" s="1080">
        <f>MAX(A$13:A105)+1</f>
        <v>51</v>
      </c>
      <c r="B106" s="1080"/>
      <c r="D106" s="1105" t="s">
        <v>1112</v>
      </c>
      <c r="F106" s="1112" t="s">
        <v>204</v>
      </c>
      <c r="H106" s="1069">
        <v>8.7071583280414799</v>
      </c>
      <c r="I106" s="1069"/>
      <c r="J106" s="1069">
        <f t="shared" si="6"/>
        <v>1.5762</v>
      </c>
      <c r="K106" s="1069"/>
      <c r="L106" s="1069">
        <v>10.283357152719793</v>
      </c>
      <c r="N106" s="1069">
        <v>9.9950481709015957</v>
      </c>
      <c r="O106" s="1069"/>
      <c r="P106" s="1069">
        <v>0.28830898181819797</v>
      </c>
      <c r="Q106" s="1102"/>
      <c r="R106" s="1069"/>
      <c r="S106" s="1069"/>
      <c r="V106" s="1104"/>
      <c r="AC106" s="1068"/>
      <c r="AD106" s="1068"/>
      <c r="AE106" s="1068"/>
      <c r="AF106" s="1068"/>
      <c r="AG106" s="1068"/>
      <c r="AH106" s="1068"/>
    </row>
    <row r="107" spans="1:34" ht="12.75" customHeight="1">
      <c r="A107" s="1080">
        <f>MAX(A$13:A106)+1</f>
        <v>52</v>
      </c>
      <c r="B107" s="1080"/>
      <c r="D107" s="1082" t="s">
        <v>1107</v>
      </c>
      <c r="F107" s="1112" t="s">
        <v>204</v>
      </c>
      <c r="H107" s="1069">
        <v>7.2307643883583737</v>
      </c>
      <c r="I107" s="1069"/>
      <c r="J107" s="1069">
        <f t="shared" si="6"/>
        <v>1.5362999999999989</v>
      </c>
      <c r="K107" s="1069"/>
      <c r="L107" s="1069">
        <v>8.7671456749188206</v>
      </c>
      <c r="N107" s="1069">
        <v>8.478602501996054</v>
      </c>
      <c r="O107" s="1069"/>
      <c r="P107" s="1069">
        <v>0.2885431729227691</v>
      </c>
      <c r="Q107" s="1102"/>
      <c r="R107" s="1069"/>
      <c r="S107" s="1069"/>
      <c r="V107" s="1104"/>
      <c r="AC107" s="1068"/>
      <c r="AD107" s="1068"/>
      <c r="AE107" s="1068"/>
      <c r="AF107" s="1068"/>
      <c r="AG107" s="1068"/>
      <c r="AH107" s="1068"/>
    </row>
    <row r="108" spans="1:34" ht="12.75" customHeight="1">
      <c r="A108" s="1080">
        <f>MAX(A$13:A107)+1</f>
        <v>53</v>
      </c>
      <c r="B108" s="1080"/>
      <c r="D108" s="1082" t="s">
        <v>1108</v>
      </c>
      <c r="F108" s="1112" t="s">
        <v>204</v>
      </c>
      <c r="H108" s="1069">
        <v>6.6456319318883716</v>
      </c>
      <c r="I108" s="1069"/>
      <c r="J108" s="1069">
        <f t="shared" si="6"/>
        <v>1.5206</v>
      </c>
      <c r="K108" s="1069"/>
      <c r="L108" s="1069">
        <v>8.1662371514573717</v>
      </c>
      <c r="N108" s="1069">
        <v>7.8777730787722042</v>
      </c>
      <c r="O108" s="1069"/>
      <c r="P108" s="1069">
        <v>0.28846407268516572</v>
      </c>
      <c r="Q108" s="1102"/>
      <c r="R108" s="1069"/>
      <c r="S108" s="1069"/>
      <c r="V108" s="1104"/>
      <c r="AC108" s="1068"/>
      <c r="AD108" s="1068"/>
      <c r="AE108" s="1068"/>
      <c r="AF108" s="1068"/>
      <c r="AG108" s="1068"/>
      <c r="AH108" s="1068"/>
    </row>
    <row r="109" spans="1:34" ht="12.75" customHeight="1">
      <c r="A109" s="1080"/>
      <c r="B109" s="1080"/>
      <c r="D109" s="1082"/>
      <c r="F109" s="1112"/>
      <c r="H109" s="1069"/>
      <c r="I109" s="1069"/>
      <c r="J109" s="1069"/>
      <c r="K109" s="1069"/>
      <c r="L109" s="1069"/>
      <c r="N109" s="1069"/>
      <c r="O109" s="1069"/>
      <c r="P109" s="1069"/>
      <c r="Q109" s="1102"/>
      <c r="R109" s="1069"/>
      <c r="S109" s="1069"/>
      <c r="V109" s="1104"/>
      <c r="AC109" s="1068"/>
      <c r="AD109" s="1068"/>
      <c r="AE109" s="1068"/>
      <c r="AF109" s="1068"/>
      <c r="AG109" s="1068"/>
      <c r="AH109" s="1068"/>
    </row>
    <row r="110" spans="1:34" ht="12.75" customHeight="1">
      <c r="A110" s="1080"/>
      <c r="B110" s="1080"/>
      <c r="D110" s="1065" t="s">
        <v>237</v>
      </c>
      <c r="H110" s="1069"/>
      <c r="I110" s="1069"/>
      <c r="J110" s="1069"/>
      <c r="K110" s="1069"/>
      <c r="L110" s="1069"/>
      <c r="N110" s="1069"/>
      <c r="O110" s="1069"/>
      <c r="P110" s="1069"/>
      <c r="Q110" s="1102"/>
      <c r="R110" s="1069"/>
      <c r="S110" s="1069"/>
      <c r="V110" s="1104"/>
      <c r="AC110" s="1068"/>
      <c r="AD110" s="1068"/>
      <c r="AE110" s="1068"/>
      <c r="AF110" s="1068"/>
      <c r="AG110" s="1068"/>
      <c r="AH110" s="1068"/>
    </row>
    <row r="111" spans="1:34" ht="12.75" customHeight="1">
      <c r="A111" s="1080"/>
      <c r="B111" s="1080"/>
      <c r="D111" s="1105" t="s">
        <v>202</v>
      </c>
      <c r="H111" s="1100"/>
      <c r="I111" s="1069"/>
      <c r="J111" s="1100"/>
      <c r="K111" s="1069"/>
      <c r="L111" s="1100"/>
      <c r="N111" s="1100"/>
      <c r="O111" s="1069"/>
      <c r="P111" s="1100"/>
      <c r="Q111" s="1102"/>
      <c r="R111" s="1069"/>
      <c r="S111" s="1069"/>
      <c r="V111" s="1104"/>
      <c r="AC111" s="1068"/>
      <c r="AD111" s="1068"/>
      <c r="AE111" s="1068"/>
      <c r="AF111" s="1068"/>
      <c r="AG111" s="1068"/>
      <c r="AH111" s="1068"/>
    </row>
    <row r="112" spans="1:34" ht="12.75" customHeight="1">
      <c r="A112" s="1080">
        <f>MAX(A$13:A111)+1</f>
        <v>54</v>
      </c>
      <c r="B112" s="1080"/>
      <c r="D112" s="1105" t="s">
        <v>1106</v>
      </c>
      <c r="F112" s="1112" t="s">
        <v>204</v>
      </c>
      <c r="H112" s="1069">
        <v>3.0187054350434206</v>
      </c>
      <c r="I112" s="1069"/>
      <c r="J112" s="1069">
        <f>ROUND(L112,4)-ROUND(H112,4)</f>
        <v>1.4227999999999996</v>
      </c>
      <c r="K112" s="1069"/>
      <c r="L112" s="1069">
        <v>4.4415134359133326</v>
      </c>
      <c r="N112" s="1069">
        <v>4.1531789492141824</v>
      </c>
      <c r="O112" s="1069"/>
      <c r="P112" s="1069">
        <v>0.28833448669915013</v>
      </c>
      <c r="Q112" s="1102"/>
      <c r="R112" s="1069"/>
      <c r="S112" s="1069"/>
      <c r="V112" s="1104"/>
      <c r="AC112" s="1068"/>
      <c r="AD112" s="1068"/>
      <c r="AE112" s="1068"/>
      <c r="AF112" s="1068"/>
      <c r="AG112" s="1068"/>
      <c r="AH112" s="1068"/>
    </row>
    <row r="113" spans="1:34" ht="12.75" customHeight="1">
      <c r="A113" s="1080">
        <f>MAX(A$13:A112)+1</f>
        <v>55</v>
      </c>
      <c r="B113" s="1080"/>
      <c r="D113" s="1082" t="s">
        <v>1107</v>
      </c>
      <c r="F113" s="1112" t="s">
        <v>204</v>
      </c>
      <c r="H113" s="1069">
        <v>2.1834219027636586</v>
      </c>
      <c r="I113" s="1069"/>
      <c r="J113" s="1069">
        <f>ROUND(L113,4)-ROUND(H113,4)</f>
        <v>1.4003000000000001</v>
      </c>
      <c r="K113" s="1069"/>
      <c r="L113" s="1069">
        <v>3.5837068513820616</v>
      </c>
      <c r="N113" s="1069">
        <v>3.2953914854027926</v>
      </c>
      <c r="O113" s="1069"/>
      <c r="P113" s="1069">
        <v>0.28831536597926943</v>
      </c>
      <c r="Q113" s="1102"/>
      <c r="R113" s="1069"/>
      <c r="S113" s="1069"/>
      <c r="V113" s="1104"/>
      <c r="AC113" s="1068"/>
      <c r="AD113" s="1068"/>
      <c r="AE113" s="1068"/>
      <c r="AF113" s="1068"/>
      <c r="AG113" s="1068"/>
      <c r="AH113" s="1068"/>
    </row>
    <row r="114" spans="1:34" ht="12.75" customHeight="1">
      <c r="A114" s="1080">
        <f>MAX(A$13:A113)+1</f>
        <v>56</v>
      </c>
      <c r="B114" s="1080"/>
      <c r="D114" s="1082" t="s">
        <v>1108</v>
      </c>
      <c r="F114" s="1112" t="s">
        <v>204</v>
      </c>
      <c r="H114" s="1069">
        <v>1.9276317065247057</v>
      </c>
      <c r="I114" s="1069"/>
      <c r="J114" s="1069">
        <f>ROUND(L114,4)-ROUND(H114,4)</f>
        <v>1.3934000000000002</v>
      </c>
      <c r="K114" s="1069"/>
      <c r="L114" s="1069">
        <v>3.3210192375823926</v>
      </c>
      <c r="N114" s="1069">
        <v>3.032704250556161</v>
      </c>
      <c r="O114" s="1069"/>
      <c r="P114" s="1069">
        <v>0.28831498702623126</v>
      </c>
      <c r="Q114" s="1102"/>
      <c r="R114" s="1069"/>
      <c r="S114" s="1069"/>
      <c r="V114" s="1104"/>
      <c r="AC114" s="1068"/>
      <c r="AD114" s="1068"/>
      <c r="AE114" s="1068"/>
      <c r="AF114" s="1068"/>
      <c r="AG114" s="1068"/>
      <c r="AH114" s="1068"/>
    </row>
    <row r="115" spans="1:34" ht="12.75" customHeight="1">
      <c r="A115" s="1080"/>
      <c r="B115" s="1080"/>
      <c r="D115" s="1082"/>
      <c r="F115" s="1112"/>
      <c r="H115" s="1069"/>
      <c r="I115" s="1069"/>
      <c r="J115" s="1069"/>
      <c r="K115" s="1069"/>
      <c r="L115" s="1069"/>
      <c r="N115" s="1069"/>
      <c r="O115" s="1069"/>
      <c r="P115" s="1069"/>
      <c r="Q115" s="1102"/>
      <c r="R115" s="1069"/>
      <c r="S115" s="1069"/>
      <c r="V115" s="1104"/>
      <c r="AC115" s="1068"/>
      <c r="AD115" s="1068"/>
      <c r="AE115" s="1068"/>
      <c r="AF115" s="1068"/>
      <c r="AG115" s="1068"/>
      <c r="AH115" s="1068"/>
    </row>
    <row r="116" spans="1:34" ht="12.75" customHeight="1">
      <c r="A116" s="1080">
        <f>MAX(A$13:A115)+1</f>
        <v>57</v>
      </c>
      <c r="B116" s="1080"/>
      <c r="D116" s="1082" t="s">
        <v>208</v>
      </c>
      <c r="F116" s="1112" t="s">
        <v>204</v>
      </c>
      <c r="H116" s="1128">
        <v>0</v>
      </c>
      <c r="I116" s="1128"/>
      <c r="J116" s="1128">
        <f t="shared" si="6"/>
        <v>0</v>
      </c>
      <c r="K116" s="1128"/>
      <c r="L116" s="1128">
        <v>0</v>
      </c>
      <c r="M116" s="1128"/>
      <c r="N116" s="1128">
        <v>0</v>
      </c>
      <c r="O116" s="1128"/>
      <c r="P116" s="1128">
        <v>0</v>
      </c>
      <c r="Q116" s="1102"/>
      <c r="R116" s="1069"/>
      <c r="S116" s="1069"/>
      <c r="V116" s="1104"/>
      <c r="AC116" s="1068"/>
      <c r="AD116" s="1068"/>
      <c r="AE116" s="1068"/>
      <c r="AF116" s="1068"/>
      <c r="AG116" s="1068"/>
      <c r="AH116" s="1068"/>
    </row>
    <row r="117" spans="1:34" ht="12.75" customHeight="1">
      <c r="A117" s="1080">
        <f>MAX(A$13:A116)+1</f>
        <v>58</v>
      </c>
      <c r="B117" s="1080"/>
      <c r="D117" s="1082" t="s">
        <v>266</v>
      </c>
      <c r="F117" s="1112" t="s">
        <v>204</v>
      </c>
      <c r="H117" s="1069">
        <v>3.9267447076426962</v>
      </c>
      <c r="I117" s="1069"/>
      <c r="J117" s="1069">
        <f t="shared" si="6"/>
        <v>2.0999999999999908E-3</v>
      </c>
      <c r="K117" s="1069"/>
      <c r="L117" s="1069">
        <v>3.9287740294133648</v>
      </c>
      <c r="N117" s="1069">
        <v>7.7286451031642195E-2</v>
      </c>
      <c r="O117" s="1069"/>
      <c r="P117" s="1069">
        <v>3.8514875783817222</v>
      </c>
      <c r="Q117" s="1102"/>
      <c r="R117" s="1069"/>
      <c r="S117" s="1069"/>
      <c r="V117" s="1104"/>
      <c r="AC117" s="1068"/>
      <c r="AD117" s="1068"/>
      <c r="AE117" s="1068"/>
      <c r="AF117" s="1068"/>
      <c r="AG117" s="1068"/>
      <c r="AH117" s="1068"/>
    </row>
    <row r="118" spans="1:34" ht="12.75" customHeight="1">
      <c r="A118" s="1080">
        <f>MAX(A$13:A117)+1</f>
        <v>59</v>
      </c>
      <c r="B118" s="1080"/>
      <c r="D118" s="1082" t="s">
        <v>1098</v>
      </c>
      <c r="F118" s="1112" t="s">
        <v>204</v>
      </c>
      <c r="H118" s="1069">
        <v>0.96972153366292246</v>
      </c>
      <c r="I118" s="1069"/>
      <c r="J118" s="1069">
        <f t="shared" si="6"/>
        <v>1.6100000000000003E-2</v>
      </c>
      <c r="K118" s="1069"/>
      <c r="L118" s="1069">
        <v>0.98584157799663263</v>
      </c>
      <c r="N118" s="1069">
        <v>0.61392975477442846</v>
      </c>
      <c r="O118" s="1069"/>
      <c r="P118" s="1069">
        <v>0.37191182322220417</v>
      </c>
      <c r="Q118" s="1102"/>
      <c r="R118" s="1069"/>
      <c r="S118" s="1069"/>
      <c r="V118" s="1104"/>
      <c r="AC118" s="1068"/>
      <c r="AD118" s="1068"/>
      <c r="AE118" s="1068"/>
      <c r="AF118" s="1068"/>
      <c r="AG118" s="1068"/>
      <c r="AH118" s="1068"/>
    </row>
    <row r="119" spans="1:34" ht="12.75" customHeight="1">
      <c r="A119" s="1080"/>
      <c r="B119" s="1080"/>
      <c r="D119" s="1082"/>
      <c r="F119" s="1112"/>
      <c r="H119" s="1069"/>
      <c r="I119" s="1069"/>
      <c r="J119" s="1069"/>
      <c r="K119" s="1069"/>
      <c r="L119" s="1069"/>
      <c r="N119" s="1069"/>
      <c r="O119" s="1069"/>
      <c r="P119" s="1069"/>
      <c r="Q119" s="1102"/>
      <c r="R119" s="1069"/>
      <c r="S119" s="1069"/>
      <c r="V119" s="1104"/>
      <c r="AC119" s="1068"/>
      <c r="AD119" s="1068"/>
      <c r="AE119" s="1068"/>
      <c r="AF119" s="1068"/>
      <c r="AG119" s="1068"/>
      <c r="AH119" s="1068"/>
    </row>
    <row r="120" spans="1:34" ht="12.75" customHeight="1">
      <c r="A120" s="1080">
        <f>MAX(A$13:A118)+1</f>
        <v>60</v>
      </c>
      <c r="B120" s="1080"/>
      <c r="D120" s="1082" t="s">
        <v>211</v>
      </c>
      <c r="F120" s="1112" t="s">
        <v>204</v>
      </c>
      <c r="H120" s="1069">
        <v>18.34709332635693</v>
      </c>
      <c r="I120" s="1069"/>
      <c r="J120" s="1069">
        <f t="shared" si="6"/>
        <v>1.5000000000000568E-3</v>
      </c>
      <c r="K120" s="1069"/>
      <c r="L120" s="1069">
        <v>18.348566486873537</v>
      </c>
      <c r="N120" s="1069">
        <v>5.6105123285270272E-2</v>
      </c>
      <c r="O120" s="1069"/>
      <c r="P120" s="1069">
        <v>18.29246136358827</v>
      </c>
      <c r="Q120" s="1102"/>
      <c r="R120" s="1069"/>
      <c r="S120" s="1069"/>
      <c r="V120" s="1104"/>
      <c r="AC120" s="1068"/>
      <c r="AD120" s="1068"/>
      <c r="AE120" s="1068"/>
      <c r="AF120" s="1068"/>
      <c r="AG120" s="1068"/>
      <c r="AH120" s="1068"/>
    </row>
    <row r="121" spans="1:34" ht="12.75" customHeight="1">
      <c r="H121" s="1069"/>
      <c r="I121" s="1069"/>
      <c r="J121" s="1069"/>
      <c r="K121" s="1069"/>
      <c r="L121" s="1069"/>
      <c r="N121" s="1069"/>
      <c r="O121" s="1069"/>
      <c r="P121" s="1069"/>
      <c r="Q121" s="1102"/>
      <c r="R121" s="1069"/>
      <c r="S121" s="1069"/>
      <c r="AC121" s="1068"/>
      <c r="AD121" s="1068"/>
      <c r="AE121" s="1068"/>
      <c r="AF121" s="1068"/>
      <c r="AG121" s="1068"/>
      <c r="AH121" s="1068"/>
    </row>
    <row r="122" spans="1:34">
      <c r="H122" s="1069"/>
      <c r="I122" s="1069"/>
      <c r="J122" s="1069"/>
      <c r="K122" s="1069"/>
      <c r="L122" s="1069"/>
      <c r="N122" s="1069"/>
      <c r="O122" s="1069"/>
      <c r="P122" s="1069"/>
      <c r="Q122" s="1102"/>
      <c r="R122" s="1069"/>
      <c r="S122" s="1069"/>
      <c r="AC122" s="1068"/>
      <c r="AD122" s="1068"/>
      <c r="AE122" s="1068"/>
      <c r="AF122" s="1068"/>
      <c r="AG122" s="1068"/>
      <c r="AH122" s="1068"/>
    </row>
    <row r="123" spans="1:34" ht="12.75" customHeight="1">
      <c r="H123" s="1069"/>
      <c r="I123" s="1069"/>
      <c r="J123" s="1069"/>
      <c r="K123" s="1069"/>
      <c r="L123" s="1069"/>
      <c r="N123" s="1069"/>
      <c r="O123" s="1069"/>
      <c r="P123" s="1069"/>
      <c r="Q123" s="1102"/>
      <c r="R123" s="1069"/>
      <c r="S123" s="1069"/>
      <c r="AC123" s="1068"/>
      <c r="AD123" s="1068"/>
      <c r="AE123" s="1068"/>
      <c r="AF123" s="1068"/>
      <c r="AG123" s="1068"/>
      <c r="AH123" s="1068"/>
    </row>
    <row r="124" spans="1:34" ht="12.75" customHeight="1">
      <c r="H124" s="1069"/>
      <c r="I124" s="1069"/>
      <c r="J124" s="1069"/>
      <c r="K124" s="1069"/>
      <c r="L124" s="1069"/>
      <c r="N124" s="1069"/>
      <c r="O124" s="1069"/>
      <c r="P124" s="1069"/>
      <c r="Q124" s="1102"/>
      <c r="R124" s="1069"/>
      <c r="S124" s="1069"/>
      <c r="AC124" s="1068"/>
      <c r="AD124" s="1068"/>
      <c r="AE124" s="1068"/>
      <c r="AF124" s="1068"/>
      <c r="AG124" s="1068"/>
      <c r="AH124" s="1068"/>
    </row>
    <row r="125" spans="1:34" ht="12.75" customHeight="1">
      <c r="H125" s="1069"/>
      <c r="I125" s="1069"/>
      <c r="J125" s="1069"/>
      <c r="K125" s="1069"/>
      <c r="L125" s="1069"/>
      <c r="N125" s="1069"/>
      <c r="O125" s="1069"/>
      <c r="P125" s="1069"/>
      <c r="Q125" s="1102"/>
      <c r="R125" s="1069"/>
      <c r="S125" s="1069"/>
      <c r="AC125" s="1068"/>
      <c r="AD125" s="1068"/>
      <c r="AE125" s="1068"/>
      <c r="AF125" s="1068"/>
      <c r="AG125" s="1068"/>
      <c r="AH125" s="1068"/>
    </row>
    <row r="126" spans="1:34" ht="12.75" customHeight="1">
      <c r="H126" s="1069"/>
      <c r="I126" s="1069"/>
      <c r="J126" s="1069"/>
      <c r="K126" s="1069"/>
      <c r="L126" s="1069"/>
      <c r="N126" s="1069"/>
      <c r="O126" s="1069"/>
      <c r="P126" s="1069"/>
      <c r="Q126" s="1102"/>
      <c r="R126" s="1069"/>
      <c r="S126" s="1069"/>
      <c r="AC126" s="1068"/>
      <c r="AD126" s="1068"/>
      <c r="AE126" s="1068"/>
      <c r="AF126" s="1068"/>
      <c r="AG126" s="1068"/>
      <c r="AH126" s="1068"/>
    </row>
    <row r="127" spans="1:34" ht="12.75" customHeight="1">
      <c r="A127" s="1336"/>
      <c r="B127" s="1336"/>
      <c r="C127" s="1336"/>
      <c r="D127" s="1335"/>
      <c r="E127" s="1335"/>
      <c r="F127" s="1335"/>
      <c r="G127" s="1335"/>
      <c r="H127" s="1335"/>
      <c r="I127" s="1335"/>
      <c r="J127" s="1335"/>
      <c r="K127" s="1335"/>
      <c r="L127" s="1335"/>
      <c r="M127" s="1335"/>
      <c r="N127" s="1335"/>
      <c r="O127" s="1335"/>
      <c r="P127" s="1335"/>
      <c r="Q127" s="1102"/>
      <c r="R127" s="1069"/>
      <c r="S127" s="1069"/>
      <c r="AC127" s="1068"/>
      <c r="AD127" s="1068"/>
      <c r="AE127" s="1068"/>
      <c r="AF127" s="1068"/>
      <c r="AG127" s="1068"/>
      <c r="AH127" s="1068"/>
    </row>
    <row r="128" spans="1:34" ht="12.75" customHeight="1">
      <c r="A128" s="1336" t="s">
        <v>1109</v>
      </c>
      <c r="B128" s="1336"/>
      <c r="C128" s="1336"/>
      <c r="D128" s="1335"/>
      <c r="E128" s="1335"/>
      <c r="F128" s="1335"/>
      <c r="G128" s="1335"/>
      <c r="H128" s="1335"/>
      <c r="I128" s="1335"/>
      <c r="J128" s="1335"/>
      <c r="K128" s="1335"/>
      <c r="L128" s="1335"/>
      <c r="M128" s="1335"/>
      <c r="N128" s="1335"/>
      <c r="O128" s="1335"/>
      <c r="P128" s="1335"/>
      <c r="Q128" s="1102"/>
      <c r="R128" s="1069"/>
      <c r="S128" s="1069"/>
      <c r="AC128" s="1068"/>
      <c r="AD128" s="1068"/>
      <c r="AE128" s="1068"/>
      <c r="AF128" s="1068"/>
      <c r="AG128" s="1068"/>
      <c r="AH128" s="1068"/>
    </row>
    <row r="129" spans="1:34" ht="12.75" customHeight="1">
      <c r="A129" s="1334" t="s">
        <v>11</v>
      </c>
      <c r="B129" s="1335"/>
      <c r="C129" s="1335"/>
      <c r="D129" s="1335"/>
      <c r="E129" s="1335"/>
      <c r="F129" s="1335"/>
      <c r="G129" s="1335"/>
      <c r="H129" s="1335"/>
      <c r="I129" s="1335"/>
      <c r="J129" s="1335"/>
      <c r="K129" s="1335"/>
      <c r="L129" s="1335"/>
      <c r="M129" s="1335"/>
      <c r="N129" s="1335"/>
      <c r="O129" s="1335"/>
      <c r="P129" s="1335"/>
      <c r="Q129" s="1102"/>
      <c r="R129" s="1069"/>
      <c r="S129" s="1069"/>
      <c r="AC129" s="1068"/>
      <c r="AD129" s="1068"/>
      <c r="AE129" s="1068"/>
      <c r="AF129" s="1068"/>
      <c r="AG129" s="1068"/>
      <c r="AH129" s="1068"/>
    </row>
    <row r="130" spans="1:34" ht="12.75" customHeight="1">
      <c r="N130" s="1115"/>
      <c r="O130" s="1115"/>
      <c r="P130" s="1115"/>
      <c r="Q130" s="1102"/>
      <c r="R130" s="1069"/>
      <c r="S130" s="1069"/>
      <c r="AC130" s="1068"/>
      <c r="AD130" s="1068"/>
      <c r="AE130" s="1068"/>
      <c r="AF130" s="1068"/>
      <c r="AG130" s="1068"/>
      <c r="AH130" s="1068"/>
    </row>
    <row r="131" spans="1:34" ht="12.75" customHeight="1">
      <c r="G131" s="1074"/>
      <c r="H131" s="1077"/>
      <c r="I131" s="1077"/>
      <c r="J131" s="1077"/>
      <c r="K131" s="1077"/>
      <c r="L131" s="1077"/>
      <c r="M131" s="1077"/>
      <c r="N131" s="1332" t="s">
        <v>1086</v>
      </c>
      <c r="O131" s="1332"/>
      <c r="P131" s="1332"/>
      <c r="Q131" s="1102"/>
      <c r="R131" s="1069"/>
      <c r="S131" s="1069"/>
      <c r="AC131" s="1068"/>
      <c r="AD131" s="1068"/>
      <c r="AE131" s="1068"/>
      <c r="AF131" s="1068"/>
      <c r="AG131" s="1068"/>
      <c r="AH131" s="1068"/>
    </row>
    <row r="132" spans="1:34" ht="12.75" customHeight="1">
      <c r="G132" s="1079"/>
      <c r="H132" s="1080"/>
      <c r="I132" s="1081"/>
      <c r="J132" s="1337" t="s">
        <v>1087</v>
      </c>
      <c r="K132" s="1337"/>
      <c r="L132" s="1337"/>
      <c r="N132" s="1333"/>
      <c r="O132" s="1333"/>
      <c r="P132" s="1333"/>
      <c r="Q132" s="1102"/>
      <c r="R132" s="1069"/>
      <c r="S132" s="1069"/>
      <c r="AC132" s="1068"/>
      <c r="AD132" s="1068"/>
      <c r="AE132" s="1068"/>
      <c r="AF132" s="1068"/>
      <c r="AG132" s="1068"/>
      <c r="AH132" s="1068"/>
    </row>
    <row r="133" spans="1:34" ht="12.75" customHeight="1">
      <c r="A133" s="1067" t="s">
        <v>1</v>
      </c>
      <c r="C133" s="1082"/>
      <c r="F133" s="1074"/>
      <c r="G133" s="1067"/>
      <c r="H133" s="1080" t="s">
        <v>495</v>
      </c>
      <c r="I133" s="1081"/>
      <c r="J133" s="1083" t="s">
        <v>609</v>
      </c>
      <c r="K133" s="1084"/>
      <c r="L133" s="1080" t="s">
        <v>6</v>
      </c>
      <c r="N133" s="1078"/>
      <c r="O133" s="1078"/>
      <c r="P133" s="1078"/>
      <c r="Q133" s="1102"/>
      <c r="R133" s="1069"/>
      <c r="S133" s="1069"/>
      <c r="AC133" s="1068"/>
      <c r="AD133" s="1068"/>
      <c r="AE133" s="1068"/>
      <c r="AF133" s="1068"/>
      <c r="AG133" s="1068"/>
      <c r="AH133" s="1068"/>
    </row>
    <row r="134" spans="1:34" ht="12.75" customHeight="1">
      <c r="A134" s="1085" t="s">
        <v>2</v>
      </c>
      <c r="B134" s="1074"/>
      <c r="C134" s="1075"/>
      <c r="D134" s="1086" t="s">
        <v>3</v>
      </c>
      <c r="F134" s="1087" t="s">
        <v>4</v>
      </c>
      <c r="G134" s="1074"/>
      <c r="H134" s="1088" t="s">
        <v>196</v>
      </c>
      <c r="I134" s="1078"/>
      <c r="J134" s="1089" t="s">
        <v>1088</v>
      </c>
      <c r="L134" s="1088" t="s">
        <v>1089</v>
      </c>
      <c r="N134" s="1090" t="s">
        <v>980</v>
      </c>
      <c r="O134" s="1083"/>
      <c r="P134" s="1090" t="s">
        <v>1090</v>
      </c>
      <c r="Q134" s="1102"/>
      <c r="R134" s="1069"/>
      <c r="S134" s="1069"/>
      <c r="AC134" s="1068"/>
      <c r="AD134" s="1068"/>
      <c r="AE134" s="1068"/>
      <c r="AF134" s="1068"/>
      <c r="AG134" s="1068"/>
      <c r="AH134" s="1068"/>
    </row>
    <row r="135" spans="1:34" ht="12.75" customHeight="1">
      <c r="F135" s="1091"/>
      <c r="G135" s="1074"/>
      <c r="H135" s="1080" t="s">
        <v>1091</v>
      </c>
      <c r="I135" s="1080"/>
      <c r="J135" s="1092" t="s">
        <v>1092</v>
      </c>
      <c r="L135" s="1080" t="s">
        <v>1093</v>
      </c>
      <c r="N135" s="1135" t="s">
        <v>79</v>
      </c>
      <c r="O135" s="1136"/>
      <c r="P135" s="1135" t="s">
        <v>115</v>
      </c>
      <c r="Q135" s="1102"/>
      <c r="R135" s="1069"/>
      <c r="S135" s="1069"/>
      <c r="AC135" s="1068"/>
      <c r="AD135" s="1068"/>
      <c r="AE135" s="1068"/>
      <c r="AF135" s="1068"/>
      <c r="AG135" s="1068"/>
      <c r="AH135" s="1068"/>
    </row>
    <row r="136" spans="1:34" ht="12.75" customHeight="1">
      <c r="D136" s="1094" t="s">
        <v>169</v>
      </c>
      <c r="H136" s="1069"/>
      <c r="I136" s="1069"/>
      <c r="J136" s="1069"/>
      <c r="K136" s="1069"/>
      <c r="L136" s="1069"/>
      <c r="N136" s="1069"/>
      <c r="O136" s="1069"/>
      <c r="P136" s="1069"/>
      <c r="Q136" s="1102"/>
      <c r="R136" s="1130"/>
      <c r="S136" s="1130"/>
      <c r="T136" s="1130"/>
      <c r="U136" s="1068"/>
      <c r="V136" s="1068"/>
      <c r="W136" s="1068"/>
      <c r="X136" s="1068"/>
      <c r="Y136" s="1068"/>
      <c r="Z136" s="1068"/>
      <c r="AA136" s="1068"/>
      <c r="AB136" s="1068"/>
      <c r="AC136" s="1068"/>
      <c r="AD136" s="1068"/>
      <c r="AE136" s="1068"/>
      <c r="AF136" s="1068"/>
      <c r="AG136" s="1068"/>
      <c r="AH136" s="1068"/>
    </row>
    <row r="137" spans="1:34" ht="12.75" customHeight="1">
      <c r="A137" s="1080">
        <f>MAX(A$13:A136)+1</f>
        <v>61</v>
      </c>
      <c r="B137" s="1080"/>
      <c r="D137" s="1122" t="s">
        <v>200</v>
      </c>
      <c r="F137" s="1099" t="s">
        <v>201</v>
      </c>
      <c r="H137" s="608">
        <v>134.92647936727528</v>
      </c>
      <c r="I137" s="608"/>
      <c r="J137" s="608">
        <f t="shared" ref="J137:J148" si="7">ROUND(L137,4)-ROUND(H137,4)</f>
        <v>3.6382999999999868</v>
      </c>
      <c r="K137" s="608"/>
      <c r="L137" s="608">
        <v>138.56479569303124</v>
      </c>
      <c r="M137" s="1101"/>
      <c r="N137" s="608">
        <v>138.56479569303124</v>
      </c>
      <c r="O137" s="1069"/>
      <c r="P137" s="1128">
        <v>0</v>
      </c>
      <c r="Q137" s="1102"/>
      <c r="R137" s="1069"/>
      <c r="S137" s="1069"/>
      <c r="V137" s="1104"/>
      <c r="AC137" s="1068"/>
      <c r="AD137" s="1068"/>
      <c r="AE137" s="1068"/>
      <c r="AF137" s="1068"/>
      <c r="AG137" s="1068"/>
      <c r="AH137" s="1068"/>
    </row>
    <row r="138" spans="1:34" ht="12.75" customHeight="1">
      <c r="A138" s="1080">
        <f>MAX(A$13:A137)+1</f>
        <v>62</v>
      </c>
      <c r="B138" s="1080"/>
      <c r="D138" s="1105" t="s">
        <v>221</v>
      </c>
      <c r="F138" s="1138" t="s">
        <v>222</v>
      </c>
      <c r="H138" s="1069">
        <v>9.0517208463813486</v>
      </c>
      <c r="I138" s="1069"/>
      <c r="J138" s="1069">
        <f t="shared" si="7"/>
        <v>0.24409999999999954</v>
      </c>
      <c r="K138" s="1069"/>
      <c r="L138" s="1069">
        <v>9.2958020963036105</v>
      </c>
      <c r="N138" s="1069">
        <v>9.2958020963036105</v>
      </c>
      <c r="O138" s="1069"/>
      <c r="P138" s="1128">
        <v>0</v>
      </c>
      <c r="Q138" s="1102"/>
      <c r="R138" s="1069"/>
      <c r="S138" s="1069"/>
      <c r="V138" s="1104"/>
      <c r="AC138" s="1068"/>
      <c r="AD138" s="1068"/>
      <c r="AE138" s="1068"/>
      <c r="AF138" s="1068"/>
      <c r="AG138" s="1068"/>
      <c r="AH138" s="1068"/>
    </row>
    <row r="139" spans="1:34" ht="12.75" customHeight="1">
      <c r="A139" s="1080"/>
      <c r="B139" s="1080"/>
      <c r="D139" s="1105" t="s">
        <v>202</v>
      </c>
      <c r="H139" s="1069"/>
      <c r="I139" s="1069"/>
      <c r="J139" s="1069"/>
      <c r="K139" s="1069"/>
      <c r="L139" s="1069"/>
      <c r="N139" s="1069"/>
      <c r="O139" s="1069"/>
      <c r="P139" s="1069"/>
      <c r="Q139" s="1102"/>
      <c r="R139" s="1069"/>
      <c r="S139" s="1069"/>
      <c r="V139" s="1104"/>
      <c r="AC139" s="1068"/>
      <c r="AD139" s="1068"/>
      <c r="AE139" s="1068"/>
      <c r="AF139" s="1068"/>
      <c r="AG139" s="1068"/>
      <c r="AH139" s="1068"/>
    </row>
    <row r="140" spans="1:34" ht="12.75" customHeight="1">
      <c r="A140" s="1080">
        <f>MAX(A$13:A139)+1</f>
        <v>63</v>
      </c>
      <c r="B140" s="1080"/>
      <c r="D140" s="1105" t="s">
        <v>1106</v>
      </c>
      <c r="F140" s="1112" t="s">
        <v>204</v>
      </c>
      <c r="H140" s="1069">
        <v>7.4823219899090896</v>
      </c>
      <c r="I140" s="1069"/>
      <c r="J140" s="1111">
        <f t="shared" si="7"/>
        <v>-5.0675000000000008</v>
      </c>
      <c r="K140" s="1069"/>
      <c r="L140" s="1069">
        <v>2.4147580038194714</v>
      </c>
      <c r="N140" s="1069">
        <v>2.0324031524503914</v>
      </c>
      <c r="O140" s="1069"/>
      <c r="P140" s="1069">
        <v>0.38235485136908021</v>
      </c>
      <c r="Q140" s="1102"/>
      <c r="R140" s="1069"/>
      <c r="S140" s="1069"/>
      <c r="V140" s="1104"/>
      <c r="AC140" s="1068"/>
      <c r="AD140" s="1068"/>
      <c r="AE140" s="1068"/>
      <c r="AF140" s="1068"/>
      <c r="AG140" s="1068"/>
      <c r="AH140" s="1068"/>
    </row>
    <row r="141" spans="1:34" ht="12.75" customHeight="1">
      <c r="A141" s="1080">
        <f>MAX(A$13:A140)+1</f>
        <v>64</v>
      </c>
      <c r="B141" s="1080"/>
      <c r="D141" s="1082" t="s">
        <v>1107</v>
      </c>
      <c r="F141" s="1112" t="s">
        <v>204</v>
      </c>
      <c r="H141" s="1069">
        <v>6.1080928904752776</v>
      </c>
      <c r="I141" s="1069"/>
      <c r="J141" s="1111">
        <f t="shared" si="7"/>
        <v>-3.6934000000000005</v>
      </c>
      <c r="K141" s="1069"/>
      <c r="L141" s="1069">
        <v>2.4147041779374661</v>
      </c>
      <c r="N141" s="1069">
        <v>2.0324031524503914</v>
      </c>
      <c r="O141" s="1069"/>
      <c r="P141" s="1069">
        <v>0.38230102548707501</v>
      </c>
      <c r="Q141" s="1102"/>
      <c r="R141" s="1069"/>
      <c r="S141" s="1069"/>
      <c r="V141" s="1104"/>
      <c r="AC141" s="1068"/>
      <c r="AD141" s="1068"/>
      <c r="AE141" s="1068"/>
      <c r="AF141" s="1068"/>
      <c r="AG141" s="1068"/>
      <c r="AH141" s="1068"/>
    </row>
    <row r="142" spans="1:34" ht="12.75" customHeight="1">
      <c r="A142" s="1080">
        <f>MAX(A$13:A141)+1</f>
        <v>65</v>
      </c>
      <c r="B142" s="1080"/>
      <c r="D142" s="1082" t="s">
        <v>1108</v>
      </c>
      <c r="F142" s="1112" t="s">
        <v>204</v>
      </c>
      <c r="H142" s="1069">
        <v>5.542619907675042</v>
      </c>
      <c r="I142" s="1069"/>
      <c r="J142" s="1111">
        <f t="shared" si="7"/>
        <v>-3.1279000000000003</v>
      </c>
      <c r="K142" s="1069"/>
      <c r="L142" s="1069">
        <v>2.4147376761395267</v>
      </c>
      <c r="N142" s="1069">
        <v>2.0324031524503914</v>
      </c>
      <c r="O142" s="1069"/>
      <c r="P142" s="1069">
        <v>0.38233452368913534</v>
      </c>
      <c r="Q142" s="1102"/>
      <c r="R142" s="1069"/>
      <c r="S142" s="1069"/>
      <c r="V142" s="1104"/>
      <c r="AC142" s="1068"/>
      <c r="AD142" s="1068"/>
      <c r="AE142" s="1068"/>
      <c r="AF142" s="1068"/>
      <c r="AG142" s="1068"/>
      <c r="AH142" s="1068"/>
    </row>
    <row r="143" spans="1:34" ht="12.75" customHeight="1">
      <c r="A143" s="1080"/>
      <c r="B143" s="1080"/>
      <c r="H143" s="1069"/>
      <c r="I143" s="1069"/>
      <c r="J143" s="1069"/>
      <c r="K143" s="1069"/>
      <c r="L143" s="1069"/>
      <c r="N143" s="1069"/>
      <c r="O143" s="1069"/>
      <c r="P143" s="1069"/>
      <c r="Q143" s="1102"/>
      <c r="R143" s="1069"/>
      <c r="S143" s="1069"/>
      <c r="V143" s="1104"/>
      <c r="AC143" s="1068"/>
      <c r="AD143" s="1068"/>
      <c r="AE143" s="1068"/>
      <c r="AF143" s="1068"/>
      <c r="AG143" s="1068"/>
      <c r="AH143" s="1068"/>
    </row>
    <row r="144" spans="1:34" ht="12.75" customHeight="1">
      <c r="A144" s="1080">
        <f>MAX(A$13:A142)+1</f>
        <v>66</v>
      </c>
      <c r="B144" s="1080"/>
      <c r="D144" s="1082" t="s">
        <v>208</v>
      </c>
      <c r="F144" s="1112" t="s">
        <v>204</v>
      </c>
      <c r="H144" s="1069">
        <v>0.56728392094566971</v>
      </c>
      <c r="I144" s="1069"/>
      <c r="J144" s="1111">
        <f t="shared" si="7"/>
        <v>3.8000000000000256E-3</v>
      </c>
      <c r="K144" s="1069"/>
      <c r="L144" s="1069">
        <v>0.57110028479799546</v>
      </c>
      <c r="N144" s="1069">
        <v>0.31704232820724687</v>
      </c>
      <c r="O144" s="1069"/>
      <c r="P144" s="1069">
        <v>0.2540579565907487</v>
      </c>
      <c r="Q144" s="1102"/>
      <c r="R144" s="1069"/>
      <c r="S144" s="1069"/>
      <c r="V144" s="1104"/>
      <c r="AC144" s="1068"/>
      <c r="AD144" s="1068"/>
      <c r="AE144" s="1068"/>
      <c r="AF144" s="1068"/>
      <c r="AG144" s="1068"/>
      <c r="AH144" s="1068"/>
    </row>
    <row r="145" spans="1:34" ht="12.75" customHeight="1">
      <c r="A145" s="1080">
        <f>MAX(A$13:A144)+1</f>
        <v>67</v>
      </c>
      <c r="B145" s="1080"/>
      <c r="D145" s="1082" t="s">
        <v>266</v>
      </c>
      <c r="F145" s="1112" t="s">
        <v>204</v>
      </c>
      <c r="H145" s="1069">
        <v>3.9267458432309148</v>
      </c>
      <c r="I145" s="1069"/>
      <c r="J145" s="1069">
        <f t="shared" si="7"/>
        <v>2.0999999999999908E-3</v>
      </c>
      <c r="K145" s="1069"/>
      <c r="L145" s="1069">
        <v>3.9287760462156069</v>
      </c>
      <c r="N145" s="1069">
        <v>7.7320011951055895E-2</v>
      </c>
      <c r="O145" s="1069"/>
      <c r="P145" s="1069">
        <v>3.8514560342645501</v>
      </c>
      <c r="Q145" s="1102"/>
      <c r="R145" s="1069"/>
      <c r="S145" s="1069"/>
      <c r="V145" s="1104"/>
      <c r="AC145" s="1068"/>
      <c r="AD145" s="1068"/>
      <c r="AE145" s="1068"/>
      <c r="AF145" s="1068"/>
      <c r="AG145" s="1068"/>
      <c r="AH145" s="1068"/>
    </row>
    <row r="146" spans="1:34" ht="12.75" customHeight="1">
      <c r="A146" s="1080">
        <f>MAX(A$13:A145)+1</f>
        <v>68</v>
      </c>
      <c r="B146" s="1080"/>
      <c r="D146" s="1082" t="s">
        <v>1098</v>
      </c>
      <c r="F146" s="1112" t="s">
        <v>204</v>
      </c>
      <c r="H146" s="1069">
        <v>0.96971985302412911</v>
      </c>
      <c r="I146" s="1069"/>
      <c r="J146" s="1069">
        <f t="shared" si="7"/>
        <v>1.6100000000000003E-2</v>
      </c>
      <c r="K146" s="1069"/>
      <c r="L146" s="1069">
        <v>0.98583936961378815</v>
      </c>
      <c r="N146" s="1069">
        <v>0.6139096557120961</v>
      </c>
      <c r="O146" s="1069"/>
      <c r="P146" s="1069">
        <v>0.37192971390169216</v>
      </c>
      <c r="Q146" s="1102"/>
      <c r="R146" s="1069"/>
      <c r="S146" s="1069"/>
      <c r="V146" s="1104"/>
      <c r="AC146" s="1068"/>
      <c r="AD146" s="1068"/>
      <c r="AE146" s="1068"/>
      <c r="AF146" s="1068"/>
      <c r="AG146" s="1068"/>
      <c r="AH146" s="1068"/>
    </row>
    <row r="147" spans="1:34" ht="12.75" customHeight="1">
      <c r="A147" s="1080"/>
      <c r="B147" s="1080"/>
      <c r="D147" s="1082"/>
      <c r="F147" s="1112"/>
      <c r="H147" s="1069"/>
      <c r="I147" s="1069"/>
      <c r="J147" s="1069"/>
      <c r="K147" s="1069"/>
      <c r="L147" s="1069"/>
      <c r="N147" s="1069"/>
      <c r="O147" s="1069"/>
      <c r="P147" s="1069"/>
      <c r="Q147" s="1102"/>
      <c r="R147" s="1069"/>
      <c r="S147" s="1069"/>
      <c r="V147" s="1104"/>
      <c r="AC147" s="1068"/>
      <c r="AD147" s="1068"/>
      <c r="AE147" s="1068"/>
      <c r="AF147" s="1068"/>
      <c r="AG147" s="1068"/>
      <c r="AH147" s="1068"/>
    </row>
    <row r="148" spans="1:34" ht="12.75" customHeight="1">
      <c r="A148" s="1080">
        <f>MAX(A$13:A146)+1</f>
        <v>69</v>
      </c>
      <c r="B148" s="1080"/>
      <c r="D148" s="1082" t="s">
        <v>211</v>
      </c>
      <c r="F148" s="1112" t="s">
        <v>204</v>
      </c>
      <c r="H148" s="1069">
        <v>18.343372330048751</v>
      </c>
      <c r="I148" s="1069"/>
      <c r="J148" s="1069">
        <f t="shared" si="7"/>
        <v>1.300000000000523E-3</v>
      </c>
      <c r="K148" s="1069"/>
      <c r="L148" s="1069">
        <v>18.344744693241903</v>
      </c>
      <c r="N148" s="1069">
        <v>5.2266270563034734E-2</v>
      </c>
      <c r="O148" s="1069"/>
      <c r="P148" s="1069">
        <v>18.292478422678869</v>
      </c>
      <c r="Q148" s="1102"/>
      <c r="R148" s="1069"/>
      <c r="S148" s="1069"/>
      <c r="V148" s="1104"/>
      <c r="AC148" s="1068"/>
      <c r="AD148" s="1068"/>
      <c r="AE148" s="1068"/>
      <c r="AF148" s="1068"/>
      <c r="AG148" s="1068"/>
      <c r="AH148" s="1068"/>
    </row>
    <row r="149" spans="1:34" ht="12.75" customHeight="1">
      <c r="N149" s="1069"/>
      <c r="O149" s="1069"/>
      <c r="P149" s="1069"/>
      <c r="Q149" s="1102"/>
      <c r="R149" s="1069"/>
      <c r="S149" s="1069"/>
      <c r="AC149" s="1068"/>
      <c r="AD149" s="1068"/>
      <c r="AE149" s="1068"/>
      <c r="AF149" s="1068"/>
      <c r="AG149" s="1068"/>
      <c r="AH149" s="1068"/>
    </row>
    <row r="150" spans="1:34" ht="12.75" customHeight="1">
      <c r="D150" s="1094" t="s">
        <v>170</v>
      </c>
      <c r="N150" s="1069"/>
      <c r="O150" s="1069"/>
      <c r="P150" s="1069"/>
      <c r="Q150" s="1102"/>
      <c r="R150" s="1069"/>
      <c r="S150" s="1069"/>
      <c r="AC150" s="1068"/>
      <c r="AD150" s="1068"/>
      <c r="AE150" s="1068"/>
      <c r="AF150" s="1068"/>
      <c r="AG150" s="1068"/>
      <c r="AH150" s="1068"/>
    </row>
    <row r="151" spans="1:34" ht="12.75" customHeight="1">
      <c r="A151" s="1080">
        <f>MAX(A$13:A150)+1</f>
        <v>70</v>
      </c>
      <c r="B151" s="1080"/>
      <c r="D151" s="1065" t="s">
        <v>200</v>
      </c>
      <c r="F151" s="1067" t="s">
        <v>201</v>
      </c>
      <c r="H151" s="608">
        <v>305.5481997087212</v>
      </c>
      <c r="I151" s="608"/>
      <c r="J151" s="608">
        <f t="shared" ref="J151:J161" si="8">ROUND(L151,4)-ROUND(H151,4)</f>
        <v>8.2391999999999825</v>
      </c>
      <c r="K151" s="608"/>
      <c r="L151" s="608">
        <v>313.78736083201369</v>
      </c>
      <c r="M151" s="1101"/>
      <c r="N151" s="608">
        <v>313.78736083201369</v>
      </c>
      <c r="O151" s="1069"/>
      <c r="P151" s="1128">
        <v>0</v>
      </c>
      <c r="Q151" s="1102"/>
      <c r="R151" s="1069"/>
      <c r="S151" s="1069"/>
      <c r="V151" s="1104"/>
      <c r="AC151" s="1068"/>
      <c r="AD151" s="1068"/>
      <c r="AE151" s="1068"/>
      <c r="AF151" s="1068"/>
      <c r="AG151" s="1068"/>
      <c r="AH151" s="1068"/>
    </row>
    <row r="152" spans="1:34" ht="12.75" customHeight="1">
      <c r="A152" s="1080">
        <f>MAX(A$13:A151)+1</f>
        <v>71</v>
      </c>
      <c r="B152" s="1080"/>
      <c r="D152" s="1105" t="s">
        <v>221</v>
      </c>
      <c r="F152" s="1067" t="s">
        <v>222</v>
      </c>
      <c r="H152" s="1111">
        <v>4.4945119394531865</v>
      </c>
      <c r="I152" s="1111"/>
      <c r="J152" s="1111">
        <f t="shared" si="8"/>
        <v>0.12119999999999997</v>
      </c>
      <c r="K152" s="1111"/>
      <c r="L152" s="1111">
        <v>4.6157072470184701</v>
      </c>
      <c r="M152" s="1111"/>
      <c r="N152" s="1111">
        <v>4.6157072470184701</v>
      </c>
      <c r="O152" s="1111"/>
      <c r="P152" s="1128">
        <v>0</v>
      </c>
      <c r="Q152" s="1102"/>
      <c r="R152" s="1069"/>
      <c r="S152" s="1069"/>
      <c r="V152" s="1104"/>
      <c r="AC152" s="1068"/>
      <c r="AD152" s="1068"/>
      <c r="AE152" s="1068"/>
      <c r="AF152" s="1068"/>
      <c r="AG152" s="1068"/>
      <c r="AH152" s="1068"/>
    </row>
    <row r="153" spans="1:34" ht="12.75" customHeight="1">
      <c r="A153" s="1080"/>
      <c r="B153" s="1080"/>
      <c r="D153" s="1105" t="s">
        <v>202</v>
      </c>
      <c r="H153" s="1111"/>
      <c r="I153" s="1111"/>
      <c r="J153" s="1111"/>
      <c r="K153" s="1111"/>
      <c r="L153" s="1111"/>
      <c r="M153" s="1111"/>
      <c r="N153" s="1111"/>
      <c r="O153" s="1111"/>
      <c r="P153" s="1111"/>
      <c r="Q153" s="1102"/>
      <c r="R153" s="1069"/>
      <c r="S153" s="1069"/>
      <c r="V153" s="1104"/>
      <c r="AC153" s="1068"/>
      <c r="AD153" s="1068"/>
      <c r="AE153" s="1068"/>
      <c r="AF153" s="1068"/>
      <c r="AG153" s="1068"/>
      <c r="AH153" s="1068"/>
    </row>
    <row r="154" spans="1:34" ht="12.75" customHeight="1">
      <c r="A154" s="1080">
        <f>MAX(A$13:A152)+1</f>
        <v>72</v>
      </c>
      <c r="B154" s="1080"/>
      <c r="D154" s="1105" t="s">
        <v>1113</v>
      </c>
      <c r="F154" s="1067" t="s">
        <v>204</v>
      </c>
      <c r="H154" s="1111">
        <v>0.59804635914981807</v>
      </c>
      <c r="I154" s="1111"/>
      <c r="J154" s="1111">
        <f t="shared" si="8"/>
        <v>-0.15619999999999995</v>
      </c>
      <c r="K154" s="1111"/>
      <c r="L154" s="1111">
        <v>0.44179835308972665</v>
      </c>
      <c r="M154" s="1111"/>
      <c r="N154" s="1111">
        <v>0.11361737963193511</v>
      </c>
      <c r="O154" s="1111"/>
      <c r="P154" s="1111">
        <v>0.32818097345779162</v>
      </c>
      <c r="Q154" s="1102"/>
      <c r="R154" s="1069"/>
      <c r="S154" s="1069"/>
      <c r="V154" s="1104"/>
      <c r="AC154" s="1068"/>
      <c r="AD154" s="1068"/>
      <c r="AE154" s="1068"/>
      <c r="AF154" s="1068"/>
      <c r="AG154" s="1068"/>
      <c r="AH154" s="1068"/>
    </row>
    <row r="155" spans="1:34" ht="12.75" customHeight="1">
      <c r="A155" s="1080">
        <f>MAX(A$13:A154)+1</f>
        <v>73</v>
      </c>
      <c r="B155" s="1080"/>
      <c r="D155" s="1082" t="s">
        <v>1114</v>
      </c>
      <c r="F155" s="1067" t="s">
        <v>204</v>
      </c>
      <c r="H155" s="1111">
        <v>0.39401422289777976</v>
      </c>
      <c r="I155" s="1111"/>
      <c r="J155" s="1111">
        <f t="shared" si="8"/>
        <v>4.7800000000000009E-2</v>
      </c>
      <c r="K155" s="1111"/>
      <c r="L155" s="1111">
        <v>0.44179873264251834</v>
      </c>
      <c r="M155" s="1111"/>
      <c r="N155" s="1111">
        <v>0.11361737963193508</v>
      </c>
      <c r="O155" s="1111"/>
      <c r="P155" s="1111">
        <v>0.32818135301058327</v>
      </c>
      <c r="Q155" s="1102"/>
      <c r="R155" s="1069"/>
      <c r="S155" s="1069"/>
      <c r="V155" s="1104"/>
      <c r="AC155" s="1068"/>
      <c r="AD155" s="1068"/>
      <c r="AE155" s="1068"/>
      <c r="AF155" s="1068"/>
      <c r="AG155" s="1068"/>
      <c r="AH155" s="1068"/>
    </row>
    <row r="156" spans="1:34" ht="12.75" customHeight="1">
      <c r="A156" s="1080"/>
      <c r="B156" s="1080"/>
      <c r="H156" s="1069"/>
      <c r="I156" s="1069"/>
      <c r="J156" s="1069"/>
      <c r="K156" s="1069"/>
      <c r="L156" s="1069"/>
      <c r="N156" s="1069"/>
      <c r="O156" s="1069"/>
      <c r="P156" s="1069"/>
      <c r="Q156" s="1102"/>
      <c r="R156" s="1069"/>
      <c r="S156" s="1069"/>
      <c r="V156" s="1104"/>
      <c r="AC156" s="1068"/>
      <c r="AD156" s="1068"/>
      <c r="AE156" s="1068"/>
      <c r="AF156" s="1068"/>
      <c r="AG156" s="1068"/>
      <c r="AH156" s="1068"/>
    </row>
    <row r="157" spans="1:34" ht="12.75" customHeight="1">
      <c r="A157" s="1080">
        <f>MAX(A$13:A155)+1</f>
        <v>74</v>
      </c>
      <c r="B157" s="1080"/>
      <c r="D157" s="1082" t="s">
        <v>208</v>
      </c>
      <c r="F157" s="1067" t="s">
        <v>204</v>
      </c>
      <c r="H157" s="1111">
        <v>0.24646816740977195</v>
      </c>
      <c r="I157" s="1111"/>
      <c r="J157" s="1111">
        <f t="shared" si="8"/>
        <v>1.7000000000000071E-3</v>
      </c>
      <c r="K157" s="1111"/>
      <c r="L157" s="1111">
        <v>0.24816945506360616</v>
      </c>
      <c r="M157" s="1111"/>
      <c r="N157" s="1111">
        <v>0.14013884230656889</v>
      </c>
      <c r="O157" s="1111"/>
      <c r="P157" s="1111">
        <v>0.10803061275703732</v>
      </c>
      <c r="Q157" s="1102"/>
      <c r="R157" s="1069"/>
      <c r="S157" s="1069"/>
      <c r="V157" s="1104"/>
      <c r="AC157" s="1068"/>
      <c r="AD157" s="1068"/>
      <c r="AE157" s="1130"/>
      <c r="AF157" s="1068"/>
      <c r="AG157" s="1068"/>
      <c r="AH157" s="1068"/>
    </row>
    <row r="158" spans="1:34" ht="12.75" customHeight="1">
      <c r="A158" s="1080">
        <f>MAX(A$13:A157)+1</f>
        <v>75</v>
      </c>
      <c r="B158" s="1080"/>
      <c r="D158" s="1082" t="s">
        <v>266</v>
      </c>
      <c r="F158" s="1067" t="s">
        <v>204</v>
      </c>
      <c r="H158" s="1111">
        <v>3.9267445962601735</v>
      </c>
      <c r="I158" s="1111"/>
      <c r="J158" s="1111">
        <f t="shared" si="8"/>
        <v>2.0999999999999908E-3</v>
      </c>
      <c r="K158" s="1111"/>
      <c r="L158" s="1111">
        <v>3.9287738315982437</v>
      </c>
      <c r="M158" s="1111"/>
      <c r="N158" s="1111">
        <v>7.7283159257548278E-2</v>
      </c>
      <c r="O158" s="1111"/>
      <c r="P158" s="1111">
        <v>3.8514906723406952</v>
      </c>
      <c r="Q158" s="1102"/>
      <c r="R158" s="1069"/>
      <c r="S158" s="1069"/>
      <c r="V158" s="1104"/>
      <c r="AC158" s="1068"/>
      <c r="AD158" s="1068"/>
      <c r="AE158" s="1130"/>
      <c r="AF158" s="1068"/>
      <c r="AG158" s="1068"/>
      <c r="AH158" s="1068"/>
    </row>
    <row r="159" spans="1:34" ht="12.75" customHeight="1">
      <c r="A159" s="1080">
        <f>MAX(A$13:A158)+1</f>
        <v>76</v>
      </c>
      <c r="B159" s="1080"/>
      <c r="D159" s="1082" t="s">
        <v>1098</v>
      </c>
      <c r="F159" s="1067" t="s">
        <v>204</v>
      </c>
      <c r="H159" s="1111">
        <v>0.96972043047287659</v>
      </c>
      <c r="I159" s="1111"/>
      <c r="J159" s="1111">
        <f t="shared" si="8"/>
        <v>1.6100000000000003E-2</v>
      </c>
      <c r="K159" s="1111"/>
      <c r="L159" s="1111">
        <v>0.9858401283895063</v>
      </c>
      <c r="M159" s="1111"/>
      <c r="N159" s="1111">
        <v>0.6139165615257729</v>
      </c>
      <c r="O159" s="1111"/>
      <c r="P159" s="1111">
        <v>0.3719235668637334</v>
      </c>
      <c r="Q159" s="1102"/>
      <c r="R159" s="1069"/>
      <c r="S159" s="1069"/>
      <c r="V159" s="1104"/>
      <c r="AC159" s="1068"/>
      <c r="AD159" s="1068"/>
      <c r="AE159" s="1068"/>
      <c r="AF159" s="1068"/>
      <c r="AG159" s="1068"/>
      <c r="AH159" s="1068"/>
    </row>
    <row r="160" spans="1:34" ht="12.75" customHeight="1">
      <c r="A160" s="1080"/>
      <c r="B160" s="1080"/>
      <c r="D160" s="1082"/>
      <c r="F160" s="1067"/>
      <c r="H160" s="1111"/>
      <c r="I160" s="1111"/>
      <c r="J160" s="1111"/>
      <c r="K160" s="1111"/>
      <c r="L160" s="1111"/>
      <c r="M160" s="1111"/>
      <c r="N160" s="1111"/>
      <c r="O160" s="1111"/>
      <c r="P160" s="1111"/>
      <c r="Q160" s="1102"/>
      <c r="R160" s="1069"/>
      <c r="S160" s="1069"/>
      <c r="V160" s="1104"/>
      <c r="AC160" s="1068"/>
      <c r="AD160" s="1068"/>
      <c r="AE160" s="1068"/>
      <c r="AF160" s="1068"/>
      <c r="AG160" s="1068"/>
      <c r="AH160" s="1068"/>
    </row>
    <row r="161" spans="1:34" ht="12.75" customHeight="1">
      <c r="A161" s="1080">
        <f>MAX(A$13:A159)+1</f>
        <v>77</v>
      </c>
      <c r="B161" s="1080"/>
      <c r="D161" s="1082" t="s">
        <v>211</v>
      </c>
      <c r="F161" s="1067" t="s">
        <v>204</v>
      </c>
      <c r="H161" s="1111">
        <v>18.339431198808857</v>
      </c>
      <c r="I161" s="1111"/>
      <c r="J161" s="1111">
        <f t="shared" si="8"/>
        <v>1.2999999999969702E-3</v>
      </c>
      <c r="K161" s="1111"/>
      <c r="L161" s="1111">
        <v>18.340696442028808</v>
      </c>
      <c r="M161" s="1111"/>
      <c r="N161" s="1111">
        <v>4.8186620562063645E-2</v>
      </c>
      <c r="O161" s="1111"/>
      <c r="P161" s="1111">
        <v>18.292509821466741</v>
      </c>
      <c r="Q161" s="1102"/>
      <c r="R161" s="1069"/>
      <c r="S161" s="1069"/>
      <c r="V161" s="1104"/>
      <c r="AC161" s="1068"/>
      <c r="AD161" s="1068"/>
      <c r="AE161" s="1068"/>
      <c r="AF161" s="1068"/>
      <c r="AG161" s="1068"/>
      <c r="AH161" s="1068"/>
    </row>
    <row r="162" spans="1:34" ht="12.75" customHeight="1">
      <c r="N162" s="1115"/>
      <c r="O162" s="1115"/>
      <c r="P162" s="1115"/>
      <c r="AC162" s="1068"/>
      <c r="AD162" s="1068"/>
      <c r="AE162" s="1068"/>
      <c r="AF162" s="1068"/>
      <c r="AG162" s="1068"/>
      <c r="AH162" s="1068"/>
    </row>
    <row r="163" spans="1:34" ht="12.75" customHeight="1">
      <c r="D163" s="1094" t="s">
        <v>171</v>
      </c>
      <c r="N163" s="1115"/>
      <c r="O163" s="1115"/>
      <c r="P163" s="1115"/>
      <c r="AC163" s="1068"/>
      <c r="AD163" s="1068"/>
      <c r="AE163" s="1068"/>
      <c r="AF163" s="1068"/>
      <c r="AG163" s="1068"/>
      <c r="AH163" s="1068"/>
    </row>
    <row r="164" spans="1:34" ht="12.75" customHeight="1">
      <c r="A164" s="1080">
        <f>MAX(A$13:A163)+1</f>
        <v>78</v>
      </c>
      <c r="B164" s="1080"/>
      <c r="D164" s="1065" t="s">
        <v>200</v>
      </c>
      <c r="F164" s="1067" t="s">
        <v>201</v>
      </c>
      <c r="H164" s="608">
        <v>2000</v>
      </c>
      <c r="I164" s="608"/>
      <c r="J164" s="608">
        <f t="shared" ref="J164:J172" si="9">ROUND(L164,4)-ROUND(H164,4)</f>
        <v>0</v>
      </c>
      <c r="K164" s="608"/>
      <c r="L164" s="608">
        <v>2000</v>
      </c>
      <c r="M164" s="1101"/>
      <c r="N164" s="608">
        <v>2000</v>
      </c>
      <c r="O164" s="1115"/>
      <c r="P164" s="1128">
        <v>0</v>
      </c>
      <c r="Q164" s="1102"/>
      <c r="R164" s="1069"/>
      <c r="S164" s="1069"/>
      <c r="V164" s="1104"/>
      <c r="AC164" s="1068"/>
      <c r="AD164" s="1068"/>
      <c r="AE164" s="1068"/>
      <c r="AF164" s="1068"/>
      <c r="AG164" s="1068"/>
      <c r="AH164" s="1068"/>
    </row>
    <row r="165" spans="1:34" ht="12.75" customHeight="1">
      <c r="A165" s="1080">
        <f>MAX(A$13:A164)+1</f>
        <v>79</v>
      </c>
      <c r="B165" s="1080"/>
      <c r="D165" s="1105" t="s">
        <v>221</v>
      </c>
      <c r="F165" s="1067" t="s">
        <v>222</v>
      </c>
      <c r="H165" s="1111">
        <v>16.259208437643476</v>
      </c>
      <c r="I165" s="1111"/>
      <c r="J165" s="1111">
        <f t="shared" si="9"/>
        <v>0.43840000000000146</v>
      </c>
      <c r="K165" s="1111"/>
      <c r="L165" s="1111">
        <v>16.697640862323603</v>
      </c>
      <c r="M165" s="1111"/>
      <c r="N165" s="1111">
        <v>16.697640862323603</v>
      </c>
      <c r="O165" s="1115"/>
      <c r="P165" s="1128">
        <v>0</v>
      </c>
      <c r="Q165" s="1102"/>
      <c r="R165" s="1069"/>
      <c r="S165" s="1069"/>
      <c r="V165" s="1104"/>
      <c r="AC165" s="1068"/>
      <c r="AD165" s="1068"/>
      <c r="AE165" s="1068"/>
      <c r="AF165" s="1068"/>
      <c r="AG165" s="1068"/>
      <c r="AH165" s="1068"/>
    </row>
    <row r="166" spans="1:34" ht="12.75" customHeight="1">
      <c r="A166" s="1080">
        <f>MAX(A$13:A165)+1</f>
        <v>80</v>
      </c>
      <c r="B166" s="1080"/>
      <c r="D166" s="1105" t="s">
        <v>202</v>
      </c>
      <c r="F166" s="1067" t="s">
        <v>204</v>
      </c>
      <c r="H166" s="1111">
        <v>1.3602427937070853</v>
      </c>
      <c r="I166" s="1111"/>
      <c r="J166" s="1111">
        <f t="shared" si="9"/>
        <v>3.0399999999999983E-2</v>
      </c>
      <c r="K166" s="1111"/>
      <c r="L166" s="1111">
        <v>1.3906457550888685</v>
      </c>
      <c r="M166" s="1111"/>
      <c r="N166" s="1111">
        <v>0.60444943705767107</v>
      </c>
      <c r="O166" s="1111"/>
      <c r="P166" s="1111">
        <v>0.78619631803119749</v>
      </c>
      <c r="Q166" s="1102"/>
      <c r="R166" s="1069"/>
      <c r="S166" s="1069"/>
      <c r="V166" s="1104"/>
      <c r="AC166" s="1068"/>
      <c r="AD166" s="1068"/>
      <c r="AE166" s="1068"/>
      <c r="AF166" s="1068"/>
      <c r="AG166" s="1068"/>
      <c r="AH166" s="1068"/>
    </row>
    <row r="167" spans="1:34" ht="12.75" customHeight="1">
      <c r="A167" s="1080"/>
      <c r="B167" s="1080"/>
      <c r="H167" s="1069"/>
      <c r="I167" s="1069"/>
      <c r="J167" s="1069"/>
      <c r="K167" s="1069"/>
      <c r="L167" s="1069"/>
      <c r="M167" s="1069"/>
      <c r="N167" s="1069"/>
      <c r="O167" s="1069"/>
      <c r="P167" s="1069"/>
      <c r="Q167" s="1102"/>
      <c r="R167" s="1069"/>
      <c r="S167" s="1069"/>
      <c r="V167" s="1104"/>
      <c r="AC167" s="1068"/>
      <c r="AD167" s="1068"/>
      <c r="AE167" s="1068"/>
      <c r="AF167" s="1068"/>
      <c r="AG167" s="1068"/>
      <c r="AH167" s="1068"/>
    </row>
    <row r="168" spans="1:34" ht="12.75" customHeight="1">
      <c r="A168" s="1080">
        <f>MAX(A$13:A166)+1</f>
        <v>81</v>
      </c>
      <c r="B168" s="1080"/>
      <c r="D168" s="1082" t="s">
        <v>208</v>
      </c>
      <c r="F168" s="1067" t="s">
        <v>204</v>
      </c>
      <c r="H168" s="1111">
        <v>1.1360059253757275</v>
      </c>
      <c r="I168" s="1111"/>
      <c r="J168" s="1111">
        <f t="shared" si="9"/>
        <v>7.9000000000000181E-3</v>
      </c>
      <c r="K168" s="1111"/>
      <c r="L168" s="1111">
        <v>1.1438630495294149</v>
      </c>
      <c r="M168" s="1111"/>
      <c r="N168" s="1111">
        <v>0.62805261004648127</v>
      </c>
      <c r="O168" s="1111"/>
      <c r="P168" s="1111">
        <v>0.51581043948293381</v>
      </c>
      <c r="Q168" s="1102"/>
      <c r="R168" s="1069"/>
      <c r="S168" s="1069"/>
      <c r="V168" s="1104"/>
      <c r="AC168" s="1068"/>
      <c r="AD168" s="1068"/>
      <c r="AE168" s="1068"/>
      <c r="AF168" s="1068"/>
      <c r="AG168" s="1068"/>
      <c r="AH168" s="1068"/>
    </row>
    <row r="169" spans="1:34" ht="12.75" customHeight="1">
      <c r="A169" s="1080">
        <f>MAX(A$13:A168)+1</f>
        <v>82</v>
      </c>
      <c r="B169" s="1080"/>
      <c r="D169" s="1082" t="s">
        <v>266</v>
      </c>
      <c r="F169" s="1067" t="s">
        <v>204</v>
      </c>
      <c r="H169" s="1111">
        <v>3.9267443834816063</v>
      </c>
      <c r="I169" s="1111"/>
      <c r="J169" s="1111">
        <f t="shared" si="9"/>
        <v>2.0999999999999908E-3</v>
      </c>
      <c r="K169" s="1111"/>
      <c r="L169" s="1111">
        <v>3.9287734553374385</v>
      </c>
      <c r="M169" s="1111"/>
      <c r="N169" s="1111">
        <v>7.7276933058144689E-2</v>
      </c>
      <c r="O169" s="1111"/>
      <c r="P169" s="1111">
        <v>3.8514965222792936</v>
      </c>
      <c r="Q169" s="1102"/>
      <c r="R169" s="1069"/>
      <c r="S169" s="1069"/>
      <c r="V169" s="1104"/>
      <c r="AC169" s="1068"/>
      <c r="AD169" s="1068"/>
      <c r="AE169" s="1068"/>
      <c r="AF169" s="1068"/>
      <c r="AG169" s="1068"/>
      <c r="AH169" s="1068"/>
    </row>
    <row r="170" spans="1:34" ht="12.75" customHeight="1">
      <c r="A170" s="1080">
        <f>MAX(A$13:A169)+1</f>
        <v>83</v>
      </c>
      <c r="B170" s="1080"/>
      <c r="D170" s="1082" t="s">
        <v>1098</v>
      </c>
      <c r="F170" s="1067" t="s">
        <v>204</v>
      </c>
      <c r="H170" s="1111">
        <v>0.96972041146112009</v>
      </c>
      <c r="I170" s="1111"/>
      <c r="J170" s="1111">
        <f t="shared" si="9"/>
        <v>1.6100000000000003E-2</v>
      </c>
      <c r="K170" s="1111"/>
      <c r="L170" s="1111">
        <v>0.98584010340779293</v>
      </c>
      <c r="M170" s="1111"/>
      <c r="N170" s="1111">
        <v>0.61391633416074909</v>
      </c>
      <c r="O170" s="1111"/>
      <c r="P170" s="1111">
        <v>0.37192376924704373</v>
      </c>
      <c r="Q170" s="1102"/>
      <c r="R170" s="1069"/>
      <c r="S170" s="1069"/>
      <c r="V170" s="1104"/>
      <c r="AC170" s="1068"/>
      <c r="AD170" s="1068"/>
      <c r="AE170" s="1068"/>
      <c r="AF170" s="1068"/>
      <c r="AG170" s="1068"/>
      <c r="AH170" s="1068"/>
    </row>
    <row r="171" spans="1:34" ht="12.75" customHeight="1">
      <c r="A171" s="1080"/>
      <c r="B171" s="1080"/>
      <c r="D171" s="1082"/>
      <c r="F171" s="1067"/>
      <c r="H171" s="1111"/>
      <c r="I171" s="1111"/>
      <c r="J171" s="1111"/>
      <c r="K171" s="1111"/>
      <c r="L171" s="1111"/>
      <c r="M171" s="1111"/>
      <c r="N171" s="1111"/>
      <c r="O171" s="1111"/>
      <c r="P171" s="1111"/>
      <c r="Q171" s="1102"/>
      <c r="R171" s="1069"/>
      <c r="S171" s="1069"/>
      <c r="V171" s="1104"/>
      <c r="AC171" s="1068"/>
      <c r="AD171" s="1068"/>
      <c r="AE171" s="1068"/>
      <c r="AF171" s="1068"/>
      <c r="AG171" s="1068"/>
      <c r="AH171" s="1068"/>
    </row>
    <row r="172" spans="1:34" ht="12.75" customHeight="1">
      <c r="A172" s="1080">
        <f>MAX(A$13:A170)+1</f>
        <v>84</v>
      </c>
      <c r="B172" s="1080"/>
      <c r="D172" s="1082" t="s">
        <v>211</v>
      </c>
      <c r="F172" s="1067" t="s">
        <v>204</v>
      </c>
      <c r="H172" s="1111">
        <v>18.339330746597561</v>
      </c>
      <c r="I172" s="1111"/>
      <c r="J172" s="1111">
        <f t="shared" si="9"/>
        <v>1.2999999999969702E-3</v>
      </c>
      <c r="K172" s="1111"/>
      <c r="L172" s="1111">
        <v>18.34059584781685</v>
      </c>
      <c r="M172" s="1111"/>
      <c r="N172" s="1111">
        <v>4.8181212485755451E-2</v>
      </c>
      <c r="O172" s="1111"/>
      <c r="P172" s="1111">
        <v>18.292414635331099</v>
      </c>
      <c r="Q172" s="1102"/>
      <c r="R172" s="1069"/>
      <c r="S172" s="1069"/>
      <c r="V172" s="1104"/>
      <c r="AC172" s="1068"/>
      <c r="AD172" s="1068"/>
      <c r="AE172" s="1068"/>
      <c r="AF172" s="1068"/>
      <c r="AG172" s="1068"/>
      <c r="AH172" s="1068"/>
    </row>
    <row r="173" spans="1:34" ht="12.75" customHeight="1">
      <c r="A173" s="1080"/>
      <c r="B173" s="1080"/>
      <c r="H173" s="1111"/>
      <c r="I173" s="1111"/>
      <c r="J173" s="1111"/>
      <c r="K173" s="1111"/>
      <c r="L173" s="1111"/>
      <c r="M173" s="1111"/>
      <c r="N173" s="1111"/>
      <c r="O173" s="1111"/>
      <c r="P173" s="1111"/>
      <c r="Q173" s="1102"/>
      <c r="R173" s="1069"/>
      <c r="S173" s="1069"/>
      <c r="V173" s="1104"/>
      <c r="AC173" s="1068"/>
      <c r="AD173" s="1068"/>
      <c r="AE173" s="1068"/>
      <c r="AF173" s="1068"/>
      <c r="AG173" s="1068"/>
      <c r="AH173" s="1068"/>
    </row>
    <row r="174" spans="1:34" ht="12.75" customHeight="1">
      <c r="A174" s="1080"/>
      <c r="B174" s="1080"/>
      <c r="H174" s="1111"/>
      <c r="I174" s="1111"/>
      <c r="J174" s="1111"/>
      <c r="K174" s="1111"/>
      <c r="L174" s="1111"/>
      <c r="M174" s="1111"/>
      <c r="N174" s="1111"/>
      <c r="O174" s="1111"/>
      <c r="P174" s="1111"/>
      <c r="Q174" s="1102"/>
      <c r="R174" s="1069"/>
      <c r="S174" s="1069"/>
      <c r="V174" s="1104"/>
      <c r="AC174" s="1068"/>
      <c r="AD174" s="1068"/>
      <c r="AE174" s="1068"/>
      <c r="AF174" s="1068"/>
      <c r="AG174" s="1068"/>
      <c r="AH174" s="1068"/>
    </row>
    <row r="175" spans="1:34" ht="12.75" customHeight="1">
      <c r="A175" s="1080"/>
      <c r="B175" s="1080"/>
      <c r="H175" s="1111"/>
      <c r="I175" s="1111"/>
      <c r="J175" s="1111"/>
      <c r="K175" s="1111"/>
      <c r="L175" s="1111"/>
      <c r="M175" s="1111"/>
      <c r="N175" s="1111"/>
      <c r="O175" s="1111"/>
      <c r="P175" s="1111"/>
      <c r="Q175" s="1102"/>
      <c r="R175" s="1069"/>
      <c r="S175" s="1069"/>
      <c r="V175" s="1104"/>
      <c r="AC175" s="1068"/>
      <c r="AD175" s="1068"/>
      <c r="AE175" s="1068"/>
      <c r="AF175" s="1068"/>
      <c r="AG175" s="1068"/>
      <c r="AH175" s="1068"/>
    </row>
    <row r="176" spans="1:34" ht="12.75" customHeight="1">
      <c r="A176" s="1080"/>
      <c r="B176" s="1080"/>
      <c r="H176" s="1111"/>
      <c r="I176" s="1111"/>
      <c r="J176" s="1111"/>
      <c r="K176" s="1111"/>
      <c r="L176" s="1111"/>
      <c r="M176" s="1111"/>
      <c r="N176" s="1111"/>
      <c r="O176" s="1111"/>
      <c r="P176" s="1111"/>
      <c r="Q176" s="1102"/>
      <c r="R176" s="1069"/>
      <c r="S176" s="1069"/>
      <c r="V176" s="1104"/>
      <c r="AC176" s="1068"/>
      <c r="AD176" s="1068"/>
      <c r="AE176" s="1068"/>
      <c r="AF176" s="1068"/>
      <c r="AG176" s="1068"/>
      <c r="AH176" s="1068"/>
    </row>
    <row r="177" spans="1:34" ht="12.75" customHeight="1">
      <c r="A177" s="1080"/>
      <c r="B177" s="1080"/>
      <c r="H177" s="1111"/>
      <c r="I177" s="1111"/>
      <c r="J177" s="1111"/>
      <c r="K177" s="1111"/>
      <c r="L177" s="1111"/>
      <c r="M177" s="1111"/>
      <c r="N177" s="1111"/>
      <c r="O177" s="1111"/>
      <c r="P177" s="1111"/>
      <c r="Q177" s="1102"/>
      <c r="R177" s="1069"/>
      <c r="S177" s="1069"/>
      <c r="V177" s="1104"/>
      <c r="AC177" s="1068"/>
      <c r="AD177" s="1068"/>
      <c r="AE177" s="1068"/>
      <c r="AF177" s="1068"/>
      <c r="AG177" s="1068"/>
      <c r="AH177" s="1068"/>
    </row>
    <row r="178" spans="1:34" ht="12.75" customHeight="1">
      <c r="A178" s="1080"/>
      <c r="B178" s="1080"/>
      <c r="H178" s="1111"/>
      <c r="I178" s="1111"/>
      <c r="J178" s="1111"/>
      <c r="K178" s="1111"/>
      <c r="L178" s="1111"/>
      <c r="M178" s="1111"/>
      <c r="N178" s="1111"/>
      <c r="O178" s="1111"/>
      <c r="P178" s="1111"/>
      <c r="Q178" s="1102"/>
      <c r="R178" s="1069"/>
      <c r="S178" s="1069"/>
      <c r="V178" s="1104"/>
      <c r="AC178" s="1068"/>
      <c r="AD178" s="1068"/>
      <c r="AE178" s="1068"/>
      <c r="AF178" s="1068"/>
      <c r="AG178" s="1068"/>
      <c r="AH178" s="1068"/>
    </row>
    <row r="179" spans="1:34" ht="12.75" customHeight="1">
      <c r="A179" s="1336"/>
      <c r="B179" s="1336"/>
      <c r="C179" s="1336"/>
      <c r="D179" s="1335"/>
      <c r="E179" s="1335"/>
      <c r="F179" s="1335"/>
      <c r="G179" s="1335"/>
      <c r="H179" s="1335"/>
      <c r="I179" s="1335"/>
      <c r="J179" s="1335"/>
      <c r="K179" s="1335"/>
      <c r="L179" s="1335"/>
      <c r="M179" s="1335"/>
      <c r="N179" s="1335"/>
      <c r="O179" s="1335"/>
      <c r="P179" s="1335"/>
      <c r="Q179" s="1102"/>
      <c r="R179" s="1069"/>
      <c r="S179" s="1069"/>
      <c r="V179" s="1104"/>
      <c r="AC179" s="1068"/>
      <c r="AD179" s="1068"/>
      <c r="AE179" s="1068"/>
      <c r="AF179" s="1068"/>
      <c r="AG179" s="1068"/>
      <c r="AH179" s="1068"/>
    </row>
    <row r="180" spans="1:34" ht="12.75" customHeight="1">
      <c r="A180" s="1336" t="s">
        <v>1109</v>
      </c>
      <c r="B180" s="1336"/>
      <c r="C180" s="1336"/>
      <c r="D180" s="1335"/>
      <c r="E180" s="1335"/>
      <c r="F180" s="1335"/>
      <c r="G180" s="1335"/>
      <c r="H180" s="1335"/>
      <c r="I180" s="1335"/>
      <c r="J180" s="1335"/>
      <c r="K180" s="1335"/>
      <c r="L180" s="1335"/>
      <c r="M180" s="1335"/>
      <c r="N180" s="1335"/>
      <c r="O180" s="1335"/>
      <c r="P180" s="1335"/>
      <c r="Q180" s="1102"/>
      <c r="R180" s="1069"/>
      <c r="S180" s="1069"/>
      <c r="V180" s="1104"/>
      <c r="AC180" s="1068"/>
      <c r="AD180" s="1068"/>
      <c r="AE180" s="1068"/>
      <c r="AF180" s="1068"/>
      <c r="AG180" s="1068"/>
      <c r="AH180" s="1068"/>
    </row>
    <row r="181" spans="1:34" ht="12.75" customHeight="1">
      <c r="A181" s="1334" t="s">
        <v>11</v>
      </c>
      <c r="B181" s="1335"/>
      <c r="C181" s="1335"/>
      <c r="D181" s="1335"/>
      <c r="E181" s="1335"/>
      <c r="F181" s="1335"/>
      <c r="G181" s="1335"/>
      <c r="H181" s="1335"/>
      <c r="I181" s="1335"/>
      <c r="J181" s="1335"/>
      <c r="K181" s="1335"/>
      <c r="L181" s="1335"/>
      <c r="M181" s="1335"/>
      <c r="N181" s="1335"/>
      <c r="O181" s="1335"/>
      <c r="P181" s="1335"/>
      <c r="Q181" s="1102"/>
      <c r="R181" s="1069"/>
      <c r="S181" s="1069"/>
      <c r="V181" s="1104"/>
      <c r="AC181" s="1068"/>
      <c r="AD181" s="1068"/>
      <c r="AE181" s="1068"/>
      <c r="AF181" s="1068"/>
      <c r="AG181" s="1068"/>
      <c r="AH181" s="1068"/>
    </row>
    <row r="182" spans="1:34" ht="12.75" customHeight="1">
      <c r="N182" s="1115"/>
      <c r="O182" s="1115"/>
      <c r="P182" s="1115"/>
      <c r="Q182" s="1102"/>
      <c r="R182" s="1069"/>
      <c r="S182" s="1069"/>
      <c r="V182" s="1104"/>
      <c r="AC182" s="1068"/>
      <c r="AD182" s="1068"/>
      <c r="AE182" s="1068"/>
      <c r="AF182" s="1068"/>
      <c r="AG182" s="1068"/>
      <c r="AH182" s="1068"/>
    </row>
    <row r="183" spans="1:34" ht="12.75" customHeight="1">
      <c r="G183" s="1074"/>
      <c r="H183" s="1077"/>
      <c r="I183" s="1077"/>
      <c r="J183" s="1077"/>
      <c r="K183" s="1077"/>
      <c r="L183" s="1077"/>
      <c r="M183" s="1077"/>
      <c r="N183" s="1332" t="s">
        <v>1086</v>
      </c>
      <c r="O183" s="1332"/>
      <c r="P183" s="1332"/>
      <c r="Q183" s="1102"/>
      <c r="R183" s="1069"/>
      <c r="S183" s="1069"/>
      <c r="V183" s="1104"/>
      <c r="AC183" s="1068"/>
      <c r="AD183" s="1068"/>
      <c r="AE183" s="1068"/>
      <c r="AF183" s="1068"/>
      <c r="AG183" s="1068"/>
      <c r="AH183" s="1068"/>
    </row>
    <row r="184" spans="1:34" ht="12.75" customHeight="1">
      <c r="G184" s="1079"/>
      <c r="H184" s="1080"/>
      <c r="I184" s="1081"/>
      <c r="J184" s="1337" t="s">
        <v>1087</v>
      </c>
      <c r="K184" s="1337"/>
      <c r="L184" s="1337"/>
      <c r="N184" s="1333"/>
      <c r="O184" s="1333"/>
      <c r="P184" s="1333"/>
      <c r="Q184" s="1102"/>
      <c r="R184" s="1069"/>
      <c r="S184" s="1069"/>
      <c r="V184" s="1104"/>
      <c r="AC184" s="1068"/>
      <c r="AD184" s="1068"/>
      <c r="AE184" s="1068"/>
      <c r="AF184" s="1068"/>
      <c r="AG184" s="1068"/>
      <c r="AH184" s="1068"/>
    </row>
    <row r="185" spans="1:34" ht="12.75" customHeight="1">
      <c r="A185" s="1067" t="s">
        <v>1</v>
      </c>
      <c r="C185" s="1082"/>
      <c r="F185" s="1074"/>
      <c r="G185" s="1067"/>
      <c r="H185" s="1080" t="s">
        <v>495</v>
      </c>
      <c r="I185" s="1081"/>
      <c r="J185" s="1083" t="s">
        <v>609</v>
      </c>
      <c r="K185" s="1084"/>
      <c r="L185" s="1080" t="s">
        <v>6</v>
      </c>
      <c r="N185" s="1078"/>
      <c r="O185" s="1078"/>
      <c r="P185" s="1078"/>
      <c r="Q185" s="1102"/>
      <c r="R185" s="1069"/>
      <c r="S185" s="1069"/>
      <c r="V185" s="1104"/>
      <c r="AC185" s="1068"/>
      <c r="AD185" s="1068"/>
      <c r="AE185" s="1068"/>
      <c r="AF185" s="1068"/>
      <c r="AG185" s="1068"/>
      <c r="AH185" s="1068"/>
    </row>
    <row r="186" spans="1:34" ht="12.75" customHeight="1">
      <c r="A186" s="1085" t="s">
        <v>2</v>
      </c>
      <c r="B186" s="1074"/>
      <c r="C186" s="1075"/>
      <c r="D186" s="1086" t="s">
        <v>3</v>
      </c>
      <c r="F186" s="1087" t="s">
        <v>4</v>
      </c>
      <c r="G186" s="1074"/>
      <c r="H186" s="1088" t="s">
        <v>196</v>
      </c>
      <c r="I186" s="1078"/>
      <c r="J186" s="1089" t="s">
        <v>1088</v>
      </c>
      <c r="L186" s="1088" t="s">
        <v>1089</v>
      </c>
      <c r="N186" s="1090" t="s">
        <v>980</v>
      </c>
      <c r="O186" s="1083"/>
      <c r="P186" s="1090" t="s">
        <v>1090</v>
      </c>
      <c r="Q186" s="1102"/>
      <c r="R186" s="1069"/>
      <c r="S186" s="1069"/>
      <c r="V186" s="1104"/>
      <c r="AC186" s="1068"/>
      <c r="AD186" s="1068"/>
      <c r="AE186" s="1068"/>
      <c r="AF186" s="1068"/>
      <c r="AG186" s="1068"/>
      <c r="AH186" s="1068"/>
    </row>
    <row r="187" spans="1:34" ht="12.75" customHeight="1">
      <c r="F187" s="1091"/>
      <c r="G187" s="1074"/>
      <c r="H187" s="1080" t="s">
        <v>1091</v>
      </c>
      <c r="I187" s="1080"/>
      <c r="J187" s="1092" t="s">
        <v>1092</v>
      </c>
      <c r="L187" s="1080" t="s">
        <v>1093</v>
      </c>
      <c r="N187" s="1135" t="s">
        <v>79</v>
      </c>
      <c r="O187" s="1136"/>
      <c r="P187" s="1135" t="s">
        <v>115</v>
      </c>
      <c r="Q187" s="1102"/>
      <c r="R187" s="1069"/>
      <c r="S187" s="1069"/>
      <c r="V187" s="1104"/>
      <c r="AC187" s="1068"/>
      <c r="AD187" s="1068"/>
      <c r="AE187" s="1068"/>
      <c r="AF187" s="1068"/>
      <c r="AG187" s="1068"/>
      <c r="AH187" s="1068"/>
    </row>
    <row r="188" spans="1:34" ht="12.75" customHeight="1">
      <c r="A188" s="1080"/>
      <c r="B188" s="1080"/>
      <c r="D188" s="1094" t="s">
        <v>455</v>
      </c>
      <c r="H188" s="1111"/>
      <c r="I188" s="1111"/>
      <c r="J188" s="1111"/>
      <c r="K188" s="1111"/>
      <c r="L188" s="1111"/>
      <c r="M188" s="1111"/>
      <c r="N188" s="1111"/>
      <c r="O188" s="1111"/>
      <c r="P188" s="1111"/>
      <c r="Q188" s="1102"/>
      <c r="R188" s="1069"/>
      <c r="S188" s="1069"/>
      <c r="V188" s="1104"/>
      <c r="AC188" s="1068"/>
      <c r="AD188" s="1068"/>
      <c r="AE188" s="1068"/>
      <c r="AF188" s="1068"/>
      <c r="AG188" s="1068"/>
      <c r="AH188" s="1068"/>
    </row>
    <row r="189" spans="1:34" ht="12.75" customHeight="1">
      <c r="A189" s="1080">
        <f>MAX(A$13:A188)+1</f>
        <v>85</v>
      </c>
      <c r="B189" s="1080"/>
      <c r="D189" s="1065" t="s">
        <v>200</v>
      </c>
      <c r="F189" s="1067" t="s">
        <v>201</v>
      </c>
      <c r="H189" s="608">
        <v>546.96967474977816</v>
      </c>
      <c r="I189" s="608"/>
      <c r="J189" s="608">
        <f>L189-H189</f>
        <v>14.777857826716968</v>
      </c>
      <c r="K189" s="608"/>
      <c r="L189" s="608">
        <f>H189*('Schedule 17'!$E$40+1)</f>
        <v>561.74753257649513</v>
      </c>
      <c r="M189" s="1101"/>
      <c r="N189" s="608">
        <f>L189</f>
        <v>561.74753257649513</v>
      </c>
      <c r="O189" s="1111"/>
      <c r="P189" s="1128">
        <f>N189-L189</f>
        <v>0</v>
      </c>
      <c r="Q189" s="1102"/>
      <c r="R189" s="1069"/>
      <c r="S189" s="1069"/>
      <c r="V189" s="1104"/>
      <c r="AC189" s="1068"/>
      <c r="AD189" s="1068"/>
      <c r="AE189" s="1068"/>
      <c r="AF189" s="1068"/>
      <c r="AG189" s="1068"/>
      <c r="AH189" s="1068"/>
    </row>
    <row r="190" spans="1:34" ht="12.75" customHeight="1">
      <c r="A190" s="1080">
        <f>MAX(A$13:A189)+1</f>
        <v>86</v>
      </c>
      <c r="B190" s="1080"/>
      <c r="D190" s="1105" t="s">
        <v>221</v>
      </c>
      <c r="F190" s="1067" t="s">
        <v>222</v>
      </c>
      <c r="H190" s="1111">
        <v>26.375232474581111</v>
      </c>
      <c r="I190" s="1111"/>
      <c r="J190" s="1111">
        <f>L190-H190</f>
        <v>0.71259788915039124</v>
      </c>
      <c r="K190" s="1111"/>
      <c r="L190" s="1111">
        <f>H190*('Schedule 17'!$E$40+1)</f>
        <v>27.087830363731502</v>
      </c>
      <c r="M190" s="1111"/>
      <c r="N190" s="1111">
        <f>L190</f>
        <v>27.087830363731502</v>
      </c>
      <c r="O190" s="1111"/>
      <c r="P190" s="1128">
        <f>N190-L190</f>
        <v>0</v>
      </c>
      <c r="Q190" s="1102"/>
      <c r="R190" s="1069"/>
      <c r="S190" s="1069"/>
      <c r="V190" s="1104"/>
      <c r="AC190" s="1068"/>
      <c r="AD190" s="1068"/>
      <c r="AE190" s="1068"/>
      <c r="AF190" s="1068"/>
      <c r="AG190" s="1068"/>
      <c r="AH190" s="1068"/>
    </row>
    <row r="191" spans="1:34" ht="12.75" customHeight="1">
      <c r="A191" s="1080"/>
      <c r="B191" s="1080"/>
      <c r="D191" s="1065" t="s">
        <v>1115</v>
      </c>
      <c r="H191" s="1111"/>
      <c r="I191" s="1111"/>
      <c r="J191" s="1111"/>
      <c r="K191" s="1111"/>
      <c r="L191" s="1111"/>
      <c r="M191" s="1111"/>
      <c r="N191" s="1111"/>
      <c r="O191" s="1111"/>
      <c r="P191" s="1128"/>
      <c r="Q191" s="1102"/>
      <c r="R191" s="1069"/>
      <c r="S191" s="1069"/>
      <c r="V191" s="1104"/>
      <c r="AC191" s="1068"/>
      <c r="AD191" s="1068"/>
      <c r="AE191" s="1068"/>
      <c r="AF191" s="1068"/>
      <c r="AG191" s="1068"/>
      <c r="AH191" s="1068"/>
    </row>
    <row r="192" spans="1:34" ht="12.75" customHeight="1">
      <c r="A192" s="1080">
        <f>MAX(A$13:A191)+1</f>
        <v>87</v>
      </c>
      <c r="B192" s="1080"/>
      <c r="D192" s="1065" t="s">
        <v>1116</v>
      </c>
      <c r="F192" s="1067" t="s">
        <v>1117</v>
      </c>
      <c r="H192" s="1111">
        <v>0.4423629856311394</v>
      </c>
      <c r="I192" s="1111"/>
      <c r="J192" s="1111">
        <f>L192-H192</f>
        <v>1.2061425400477443E-2</v>
      </c>
      <c r="K192" s="1111"/>
      <c r="L192" s="1111">
        <f>((L100*12)/365)*1.2</f>
        <v>0.45442441103161685</v>
      </c>
      <c r="M192" s="1111"/>
      <c r="N192" s="1111">
        <f>L192</f>
        <v>0.45442441103161685</v>
      </c>
      <c r="O192" s="1111"/>
      <c r="P192" s="1128">
        <f>N192-L192</f>
        <v>0</v>
      </c>
      <c r="Q192" s="1102"/>
      <c r="R192" s="1069"/>
      <c r="S192" s="1069"/>
      <c r="V192" s="1104"/>
      <c r="AC192" s="1068"/>
      <c r="AD192" s="1068"/>
      <c r="AE192" s="1068"/>
      <c r="AF192" s="1068"/>
      <c r="AG192" s="1068"/>
      <c r="AH192" s="1068"/>
    </row>
    <row r="193" spans="1:34" ht="12.75" customHeight="1">
      <c r="A193" s="1080">
        <f>MAX(A$13:A192)+1</f>
        <v>88</v>
      </c>
      <c r="B193" s="1080"/>
      <c r="D193" s="1065" t="s">
        <v>1118</v>
      </c>
      <c r="F193" s="1067" t="s">
        <v>1117</v>
      </c>
      <c r="H193" s="1111">
        <v>1.0405571168053918</v>
      </c>
      <c r="I193" s="1111"/>
      <c r="J193" s="1111">
        <f>L193-H193</f>
        <v>2.811345096922091E-2</v>
      </c>
      <c r="K193" s="1111"/>
      <c r="L193" s="1111">
        <f>((L190*12)/365)*1.2</f>
        <v>1.0686705677746127</v>
      </c>
      <c r="M193" s="1111"/>
      <c r="N193" s="1111">
        <f>L193</f>
        <v>1.0686705677746127</v>
      </c>
      <c r="O193" s="1111"/>
      <c r="P193" s="1128">
        <f>N193-L193</f>
        <v>0</v>
      </c>
      <c r="Q193" s="1102"/>
      <c r="R193" s="1069"/>
      <c r="S193" s="1069"/>
      <c r="V193" s="1104"/>
      <c r="AC193" s="1068"/>
      <c r="AD193" s="1068"/>
      <c r="AE193" s="1068"/>
      <c r="AF193" s="1068"/>
      <c r="AG193" s="1068"/>
      <c r="AH193" s="1068"/>
    </row>
    <row r="194" spans="1:34" ht="12.75" customHeight="1">
      <c r="A194" s="1080"/>
      <c r="B194" s="1080"/>
      <c r="H194" s="1111"/>
      <c r="I194" s="1111"/>
      <c r="J194" s="1111"/>
      <c r="K194" s="1111"/>
      <c r="L194" s="1111"/>
      <c r="M194" s="1111"/>
      <c r="N194" s="1111"/>
      <c r="O194" s="1111"/>
      <c r="P194" s="1111"/>
      <c r="Q194" s="1102"/>
      <c r="R194" s="1069"/>
      <c r="S194" s="1069"/>
      <c r="V194" s="1104"/>
      <c r="AC194" s="1068"/>
      <c r="AD194" s="1068"/>
      <c r="AE194" s="1068"/>
      <c r="AF194" s="1068"/>
      <c r="AG194" s="1068"/>
      <c r="AH194" s="1068"/>
    </row>
    <row r="195" spans="1:34" ht="12.75" customHeight="1">
      <c r="A195" s="1080"/>
      <c r="B195" s="1080"/>
      <c r="D195" s="1094" t="s">
        <v>1119</v>
      </c>
      <c r="H195" s="1111"/>
      <c r="I195" s="1111"/>
      <c r="J195" s="1111"/>
      <c r="K195" s="1111"/>
      <c r="L195" s="1111"/>
      <c r="M195" s="1111"/>
      <c r="N195" s="1111"/>
      <c r="O195" s="1111"/>
      <c r="P195" s="1111"/>
      <c r="Q195" s="1102"/>
      <c r="R195" s="1069"/>
      <c r="S195" s="1069"/>
      <c r="V195" s="1104"/>
      <c r="AC195" s="1068"/>
      <c r="AD195" s="1068"/>
      <c r="AE195" s="1068"/>
      <c r="AF195" s="1068"/>
      <c r="AG195" s="1068"/>
      <c r="AH195" s="1068"/>
    </row>
    <row r="196" spans="1:34" ht="12.75" customHeight="1">
      <c r="A196" s="1080">
        <f>MAX(A$13:A195)+1</f>
        <v>89</v>
      </c>
      <c r="B196" s="1080"/>
      <c r="D196" s="1065" t="s">
        <v>200</v>
      </c>
      <c r="F196" s="1067" t="s">
        <v>201</v>
      </c>
      <c r="H196" s="608">
        <v>164.09204</v>
      </c>
      <c r="I196" s="608"/>
      <c r="J196" s="608">
        <f>L196-H196</f>
        <v>4.4333880826670793</v>
      </c>
      <c r="K196" s="608"/>
      <c r="L196" s="608">
        <f>H196*('Schedule 17'!$E$40+1)</f>
        <v>168.52542808266708</v>
      </c>
      <c r="M196" s="1101"/>
      <c r="N196" s="608">
        <f>L196</f>
        <v>168.52542808266708</v>
      </c>
      <c r="O196" s="1111"/>
      <c r="P196" s="1128">
        <f>N196-L196</f>
        <v>0</v>
      </c>
      <c r="Q196" s="1102"/>
      <c r="R196" s="1069"/>
      <c r="S196" s="1069"/>
      <c r="V196" s="1104"/>
      <c r="AC196" s="1068"/>
      <c r="AD196" s="1068"/>
      <c r="AE196" s="1068"/>
      <c r="AF196" s="1068"/>
      <c r="AG196" s="1068"/>
      <c r="AH196" s="1068"/>
    </row>
    <row r="197" spans="1:34" ht="12.75" customHeight="1">
      <c r="A197" s="1080">
        <f>MAX(A$13:A196)+1</f>
        <v>90</v>
      </c>
      <c r="B197" s="1080"/>
      <c r="D197" s="1065" t="s">
        <v>1120</v>
      </c>
      <c r="F197" s="1067" t="s">
        <v>1117</v>
      </c>
      <c r="H197" s="1111">
        <v>5.3699999999999998E-2</v>
      </c>
      <c r="I197" s="1111"/>
      <c r="J197" s="1128">
        <f t="shared" ref="J197:J199" si="10">L197-H197</f>
        <v>1.4508960171438004E-3</v>
      </c>
      <c r="K197" s="1111"/>
      <c r="L197" s="1111">
        <v>5.5150896017143798E-2</v>
      </c>
      <c r="M197" s="1111"/>
      <c r="N197" s="1111">
        <v>5.5150896017143798E-2</v>
      </c>
      <c r="O197" s="1111"/>
      <c r="P197" s="1128">
        <f>N197-L197</f>
        <v>0</v>
      </c>
      <c r="Q197" s="1102"/>
      <c r="R197" s="1069"/>
      <c r="S197" s="1069"/>
      <c r="V197" s="1104"/>
      <c r="AC197" s="1068"/>
      <c r="AD197" s="1068"/>
      <c r="AE197" s="1068"/>
      <c r="AF197" s="1068"/>
      <c r="AG197" s="1068"/>
      <c r="AH197" s="1068"/>
    </row>
    <row r="198" spans="1:34" ht="12.75" customHeight="1">
      <c r="A198" s="1080">
        <f>MAX(A$13:A197)+1</f>
        <v>91</v>
      </c>
      <c r="B198" s="1080"/>
      <c r="D198" s="1065" t="s">
        <v>1121</v>
      </c>
      <c r="F198" s="1067" t="s">
        <v>1117</v>
      </c>
      <c r="H198" s="1111">
        <v>23.191428548603266</v>
      </c>
      <c r="I198" s="1111"/>
      <c r="J198" s="1128">
        <f t="shared" si="10"/>
        <v>0.48144397968713548</v>
      </c>
      <c r="K198" s="1111"/>
      <c r="L198" s="1111">
        <v>23.672872528290402</v>
      </c>
      <c r="M198" s="1111"/>
      <c r="N198" s="1111">
        <v>18.300461609974622</v>
      </c>
      <c r="O198" s="1111"/>
      <c r="P198" s="1111">
        <v>5.3724109183157802</v>
      </c>
      <c r="Q198" s="1102"/>
      <c r="R198" s="1069"/>
      <c r="S198" s="1069"/>
      <c r="V198" s="1104"/>
      <c r="AC198" s="1068"/>
      <c r="AD198" s="1068"/>
      <c r="AE198" s="1068"/>
      <c r="AF198" s="1068"/>
      <c r="AG198" s="1068"/>
      <c r="AH198" s="1068"/>
    </row>
    <row r="199" spans="1:34" ht="12.75" customHeight="1">
      <c r="A199" s="1080">
        <f>MAX(A$13:A198)+1</f>
        <v>92</v>
      </c>
      <c r="B199" s="1080"/>
      <c r="D199" s="1065" t="s">
        <v>1122</v>
      </c>
      <c r="F199" s="1067" t="s">
        <v>1117</v>
      </c>
      <c r="H199" s="1111">
        <v>0.28970000000000001</v>
      </c>
      <c r="I199" s="1111"/>
      <c r="J199" s="1128">
        <f t="shared" si="10"/>
        <v>-4.4183242566859127E-2</v>
      </c>
      <c r="K199" s="1111"/>
      <c r="L199" s="1111">
        <v>0.24551675743314089</v>
      </c>
      <c r="M199" s="1111"/>
      <c r="N199" s="1111">
        <v>4.8493116003908474E-2</v>
      </c>
      <c r="O199" s="1111"/>
      <c r="P199" s="1111">
        <v>0.19702364142923243</v>
      </c>
      <c r="Q199" s="1102"/>
      <c r="R199" s="1069"/>
      <c r="S199" s="1069"/>
      <c r="V199" s="1104"/>
      <c r="AC199" s="1068"/>
      <c r="AD199" s="1068"/>
      <c r="AE199" s="1068"/>
      <c r="AF199" s="1068"/>
      <c r="AG199" s="1068"/>
      <c r="AH199" s="1068"/>
    </row>
    <row r="200" spans="1:34" ht="12.75" customHeight="1">
      <c r="A200" s="1080"/>
      <c r="B200" s="1080"/>
      <c r="H200" s="1111"/>
      <c r="I200" s="1111"/>
      <c r="J200" s="1111"/>
      <c r="K200" s="1111"/>
      <c r="L200" s="1111"/>
      <c r="M200" s="1111"/>
      <c r="N200" s="1111"/>
      <c r="O200" s="1111"/>
      <c r="P200" s="1111"/>
      <c r="Q200" s="1102"/>
      <c r="R200" s="1069"/>
      <c r="S200" s="1069"/>
      <c r="V200" s="1104"/>
      <c r="AC200" s="1068"/>
      <c r="AD200" s="1068"/>
      <c r="AE200" s="1068"/>
      <c r="AF200" s="1068"/>
      <c r="AG200" s="1068"/>
      <c r="AH200" s="1068"/>
    </row>
    <row r="201" spans="1:34" ht="12.75" customHeight="1">
      <c r="A201" s="1080"/>
      <c r="B201" s="1080"/>
      <c r="D201" s="1094" t="s">
        <v>1123</v>
      </c>
      <c r="H201" s="1111"/>
      <c r="I201" s="1111"/>
      <c r="J201" s="1111"/>
      <c r="K201" s="1111"/>
      <c r="L201" s="1111"/>
      <c r="M201" s="1111"/>
      <c r="N201" s="1111"/>
      <c r="O201" s="1111"/>
      <c r="P201" s="1111"/>
      <c r="Q201" s="1102"/>
      <c r="R201" s="1069"/>
      <c r="S201" s="1069"/>
      <c r="V201" s="1104"/>
      <c r="AC201" s="1068"/>
      <c r="AD201" s="1068"/>
      <c r="AE201" s="1068"/>
      <c r="AF201" s="1068"/>
      <c r="AG201" s="1068"/>
      <c r="AH201" s="1068"/>
    </row>
    <row r="202" spans="1:34" ht="12.75" customHeight="1">
      <c r="A202" s="1080">
        <f>MAX(A$13:A201)+1</f>
        <v>93</v>
      </c>
      <c r="B202" s="1080"/>
      <c r="D202" s="1065" t="s">
        <v>200</v>
      </c>
      <c r="F202" s="1067" t="s">
        <v>201</v>
      </c>
      <c r="H202" s="1100">
        <v>164.09204</v>
      </c>
      <c r="I202" s="1141"/>
      <c r="J202" s="1100">
        <f t="shared" ref="J202:J205" si="11">L202-H202</f>
        <v>4.4333880826670793</v>
      </c>
      <c r="K202" s="1141"/>
      <c r="L202" s="1100">
        <f>H202*('Schedule 17'!$E$40+1)</f>
        <v>168.52542808266708</v>
      </c>
      <c r="M202" s="1111"/>
      <c r="N202" s="1100">
        <f>L202</f>
        <v>168.52542808266708</v>
      </c>
      <c r="O202" s="1111"/>
      <c r="P202" s="1128">
        <f>N202-L202</f>
        <v>0</v>
      </c>
      <c r="Q202" s="1102"/>
      <c r="R202" s="1069"/>
      <c r="S202" s="1069"/>
      <c r="V202" s="1104"/>
      <c r="AC202" s="1068"/>
      <c r="AD202" s="1068"/>
      <c r="AE202" s="1068"/>
      <c r="AF202" s="1068"/>
      <c r="AG202" s="1068"/>
      <c r="AH202" s="1068"/>
    </row>
    <row r="203" spans="1:34" ht="12.75" customHeight="1">
      <c r="A203" s="1080">
        <f>MAX(A$13:A202)+1</f>
        <v>94</v>
      </c>
      <c r="B203" s="1080"/>
      <c r="D203" s="1065" t="s">
        <v>1120</v>
      </c>
      <c r="F203" s="1067" t="s">
        <v>1117</v>
      </c>
      <c r="H203" s="1111">
        <v>5.3747823811848811E-2</v>
      </c>
      <c r="I203" s="1111"/>
      <c r="J203" s="1128">
        <f t="shared" si="11"/>
        <v>1.4521881470904649E-3</v>
      </c>
      <c r="K203" s="1111"/>
      <c r="L203" s="1111">
        <v>5.5200011958939275E-2</v>
      </c>
      <c r="M203" s="1111"/>
      <c r="N203" s="1111">
        <v>5.5200011958939275E-2</v>
      </c>
      <c r="O203" s="1111"/>
      <c r="P203" s="1128">
        <f>N203-L203</f>
        <v>0</v>
      </c>
      <c r="Q203" s="1102"/>
      <c r="R203" s="1069"/>
      <c r="S203" s="1069"/>
      <c r="V203" s="1104"/>
      <c r="AC203" s="1068"/>
      <c r="AD203" s="1068"/>
      <c r="AE203" s="1068"/>
      <c r="AF203" s="1068"/>
      <c r="AG203" s="1068"/>
      <c r="AH203" s="1068"/>
    </row>
    <row r="204" spans="1:34" ht="12.75" customHeight="1">
      <c r="A204" s="1080">
        <f>MAX(A$13:A203)+1</f>
        <v>95</v>
      </c>
      <c r="B204" s="1080"/>
      <c r="D204" s="1065" t="s">
        <v>1121</v>
      </c>
      <c r="F204" s="1067" t="s">
        <v>1117</v>
      </c>
      <c r="H204" s="1111">
        <v>5.5775329156172342</v>
      </c>
      <c r="I204" s="1111"/>
      <c r="J204" s="1128">
        <f t="shared" si="11"/>
        <v>0.14500993414646324</v>
      </c>
      <c r="K204" s="1111"/>
      <c r="L204" s="1111">
        <v>5.7225428497636974</v>
      </c>
      <c r="M204" s="1111"/>
      <c r="N204" s="1111">
        <v>5.5120613090578479</v>
      </c>
      <c r="O204" s="1111"/>
      <c r="P204" s="1111">
        <v>0.21048154070584968</v>
      </c>
      <c r="Q204" s="1102"/>
      <c r="R204" s="1069"/>
      <c r="S204" s="1069"/>
      <c r="V204" s="1104"/>
      <c r="AC204" s="1068"/>
      <c r="AD204" s="1068"/>
      <c r="AE204" s="1068"/>
      <c r="AF204" s="1068"/>
      <c r="AG204" s="1068"/>
      <c r="AH204" s="1068"/>
    </row>
    <row r="205" spans="1:34" ht="12.75" customHeight="1">
      <c r="A205" s="1080">
        <f>MAX(A$13:A204)+1</f>
        <v>96</v>
      </c>
      <c r="B205" s="1080"/>
      <c r="D205" s="1065" t="s">
        <v>1122</v>
      </c>
      <c r="F205" s="1067" t="s">
        <v>1117</v>
      </c>
      <c r="H205" s="1111">
        <v>0.1205632692636639</v>
      </c>
      <c r="I205" s="1111"/>
      <c r="J205" s="1128">
        <f t="shared" si="11"/>
        <v>8.3268098715706951E-3</v>
      </c>
      <c r="K205" s="1111"/>
      <c r="L205" s="1111">
        <v>0.12889007913523459</v>
      </c>
      <c r="M205" s="1111"/>
      <c r="N205" s="1111">
        <v>4.8493116003908474E-2</v>
      </c>
      <c r="O205" s="1111"/>
      <c r="P205" s="1111">
        <v>8.0396963131326132E-2</v>
      </c>
      <c r="Q205" s="1102"/>
      <c r="R205" s="1069"/>
      <c r="S205" s="1069"/>
      <c r="V205" s="1104"/>
      <c r="AC205" s="1068"/>
      <c r="AD205" s="1068"/>
      <c r="AE205" s="1068"/>
      <c r="AF205" s="1068"/>
      <c r="AG205" s="1068"/>
      <c r="AH205" s="1068"/>
    </row>
    <row r="206" spans="1:34" ht="12.75" customHeight="1">
      <c r="A206" s="1080"/>
      <c r="B206" s="1080"/>
      <c r="H206" s="1111"/>
      <c r="I206" s="1111"/>
      <c r="J206" s="1111"/>
      <c r="K206" s="1111"/>
      <c r="L206" s="1111"/>
      <c r="M206" s="1111"/>
      <c r="N206" s="1111"/>
      <c r="O206" s="1111"/>
      <c r="P206" s="1111"/>
      <c r="Q206" s="1102"/>
      <c r="R206" s="1069"/>
      <c r="S206" s="1069"/>
      <c r="V206" s="1104"/>
      <c r="AC206" s="1068"/>
      <c r="AD206" s="1068"/>
      <c r="AE206" s="1068"/>
      <c r="AF206" s="1068"/>
      <c r="AG206" s="1068"/>
      <c r="AH206" s="1068"/>
    </row>
    <row r="207" spans="1:34" ht="12.75" customHeight="1">
      <c r="A207" s="1080"/>
      <c r="B207" s="1080"/>
      <c r="D207" s="1094" t="s">
        <v>1124</v>
      </c>
      <c r="H207" s="1111"/>
      <c r="I207" s="1111"/>
      <c r="J207" s="1111"/>
      <c r="K207" s="1111"/>
      <c r="L207" s="1111"/>
      <c r="M207" s="1111"/>
      <c r="N207" s="1111"/>
      <c r="O207" s="1111"/>
      <c r="P207" s="1111"/>
      <c r="Q207" s="1102"/>
      <c r="R207" s="1069"/>
      <c r="S207" s="1069"/>
      <c r="V207" s="1104"/>
      <c r="AC207" s="1068"/>
      <c r="AD207" s="1068"/>
      <c r="AE207" s="1068"/>
      <c r="AF207" s="1068"/>
      <c r="AG207" s="1068"/>
      <c r="AH207" s="1068"/>
    </row>
    <row r="208" spans="1:34" ht="12.75" customHeight="1">
      <c r="A208" s="1080">
        <f>MAX(A$13:A207)+1</f>
        <v>97</v>
      </c>
      <c r="B208" s="1080"/>
      <c r="D208" s="1065" t="s">
        <v>1125</v>
      </c>
      <c r="H208" s="1111"/>
      <c r="I208" s="1111"/>
      <c r="J208" s="1111"/>
      <c r="K208" s="1111"/>
      <c r="L208" s="1111"/>
      <c r="M208" s="1111"/>
      <c r="N208" s="1111"/>
      <c r="O208" s="1111"/>
      <c r="P208" s="1111"/>
      <c r="Q208" s="1102"/>
      <c r="R208" s="1069"/>
      <c r="S208" s="1069"/>
      <c r="V208" s="1104"/>
      <c r="AC208" s="1068"/>
      <c r="AD208" s="1068"/>
      <c r="AE208" s="1068"/>
      <c r="AF208" s="1068"/>
      <c r="AG208" s="1068"/>
      <c r="AH208" s="1068"/>
    </row>
    <row r="209" spans="1:34" ht="12.75" customHeight="1">
      <c r="A209" s="1080">
        <f>MAX(A$13:A208)+1</f>
        <v>98</v>
      </c>
      <c r="B209" s="1080"/>
      <c r="D209" s="1065" t="s">
        <v>1126</v>
      </c>
      <c r="F209" s="1067" t="s">
        <v>204</v>
      </c>
      <c r="H209" s="1111">
        <v>22.906658185376582</v>
      </c>
      <c r="I209" s="1111"/>
      <c r="J209" s="1128">
        <f t="shared" ref="J209" si="12">L209-H209</f>
        <v>5.2780275956592959E-2</v>
      </c>
      <c r="K209" s="1111"/>
      <c r="L209" s="1111">
        <f>L155+L158+L157+L161</f>
        <v>22.959438461333175</v>
      </c>
      <c r="M209" s="1111"/>
      <c r="N209" s="1111">
        <f>N155+N158+N157+N161</f>
        <v>0.37922600175811588</v>
      </c>
      <c r="O209" s="1111"/>
      <c r="P209" s="1111">
        <f>P155+P158+P157+P161</f>
        <v>22.580212459575058</v>
      </c>
      <c r="Q209" s="1102"/>
      <c r="R209" s="1069"/>
      <c r="S209" s="1069"/>
      <c r="V209" s="1104"/>
      <c r="AC209" s="1068"/>
      <c r="AD209" s="1068"/>
      <c r="AE209" s="1068"/>
      <c r="AF209" s="1068"/>
      <c r="AG209" s="1068"/>
      <c r="AH209" s="1068"/>
    </row>
    <row r="210" spans="1:34" ht="12.75" customHeight="1">
      <c r="A210" s="1080"/>
      <c r="B210" s="1080"/>
      <c r="H210" s="1111"/>
      <c r="I210" s="1111"/>
      <c r="J210" s="1111"/>
      <c r="K210" s="1111"/>
      <c r="L210" s="1111"/>
      <c r="M210" s="1111"/>
      <c r="N210" s="1111"/>
      <c r="O210" s="1111"/>
      <c r="P210" s="1111"/>
      <c r="Q210" s="1102"/>
      <c r="R210" s="1069"/>
      <c r="S210" s="1069"/>
      <c r="V210" s="1104"/>
      <c r="AC210" s="1068"/>
      <c r="AD210" s="1068"/>
      <c r="AE210" s="1068"/>
      <c r="AF210" s="1068"/>
      <c r="AG210" s="1068"/>
      <c r="AH210" s="1068"/>
    </row>
    <row r="211" spans="1:34" ht="12.75" customHeight="1">
      <c r="A211" s="1080"/>
      <c r="B211" s="1080"/>
      <c r="H211" s="1111"/>
      <c r="I211" s="1111"/>
      <c r="J211" s="1111"/>
      <c r="K211" s="1111"/>
      <c r="L211" s="1111"/>
      <c r="M211" s="1111"/>
      <c r="N211" s="1111"/>
      <c r="O211" s="1111"/>
      <c r="P211" s="1111"/>
      <c r="Q211" s="1102"/>
      <c r="R211" s="1069"/>
      <c r="S211" s="1069"/>
      <c r="V211" s="1104"/>
      <c r="AC211" s="1068"/>
      <c r="AD211" s="1068"/>
      <c r="AE211" s="1068"/>
      <c r="AF211" s="1068"/>
      <c r="AG211" s="1068"/>
      <c r="AH211" s="1068"/>
    </row>
    <row r="212" spans="1:34" ht="12.75" customHeight="1">
      <c r="A212" s="1080"/>
      <c r="B212" s="1080"/>
      <c r="H212" s="1111"/>
      <c r="I212" s="1111"/>
      <c r="J212" s="1111"/>
      <c r="K212" s="1111"/>
      <c r="L212" s="1111"/>
      <c r="M212" s="1111"/>
      <c r="N212" s="1111"/>
      <c r="O212" s="1111"/>
      <c r="P212" s="1111"/>
      <c r="Q212" s="1102"/>
      <c r="R212" s="1069"/>
      <c r="S212" s="1069"/>
      <c r="V212" s="1104"/>
      <c r="AC212" s="1068"/>
      <c r="AD212" s="1068"/>
      <c r="AE212" s="1068"/>
      <c r="AF212" s="1068"/>
      <c r="AG212" s="1068"/>
      <c r="AH212" s="1068"/>
    </row>
    <row r="213" spans="1:34" ht="12.75" customHeight="1">
      <c r="A213" s="1080"/>
      <c r="B213" s="1080"/>
      <c r="H213" s="1111"/>
      <c r="I213" s="1111"/>
      <c r="J213" s="1111"/>
      <c r="K213" s="1111"/>
      <c r="L213" s="1111"/>
      <c r="M213" s="1111"/>
      <c r="N213" s="1111"/>
      <c r="O213" s="1111"/>
      <c r="P213" s="1111"/>
      <c r="Q213" s="1102"/>
      <c r="R213" s="1069"/>
      <c r="S213" s="1069"/>
      <c r="V213" s="1104"/>
      <c r="AC213" s="1068"/>
      <c r="AD213" s="1068"/>
      <c r="AE213" s="1068"/>
      <c r="AF213" s="1068"/>
      <c r="AG213" s="1068"/>
      <c r="AH213" s="1068"/>
    </row>
    <row r="214" spans="1:34" ht="12.75" customHeight="1">
      <c r="AC214" s="1068"/>
      <c r="AD214" s="1068"/>
      <c r="AE214" s="1068"/>
      <c r="AF214" s="1068"/>
      <c r="AG214" s="1068"/>
      <c r="AH214" s="1068"/>
    </row>
    <row r="215" spans="1:34" ht="12.75" customHeight="1">
      <c r="AC215" s="1068"/>
      <c r="AD215" s="1068"/>
      <c r="AE215" s="1068"/>
      <c r="AF215" s="1068"/>
      <c r="AG215" s="1068"/>
      <c r="AH215" s="1068"/>
    </row>
    <row r="216" spans="1:34" ht="12.75" customHeight="1">
      <c r="AC216" s="1068"/>
      <c r="AD216" s="1068"/>
      <c r="AE216" s="1068"/>
      <c r="AF216" s="1068"/>
      <c r="AG216" s="1068"/>
      <c r="AH216" s="1068"/>
    </row>
    <row r="217" spans="1:34" ht="12.75" customHeight="1">
      <c r="H217" s="1070"/>
      <c r="I217" s="1070"/>
      <c r="J217" s="1070"/>
      <c r="K217" s="1070"/>
      <c r="AE217" s="1068"/>
      <c r="AF217" s="1068"/>
      <c r="AG217" s="1068"/>
      <c r="AH217" s="1068"/>
    </row>
    <row r="218" spans="1:34" ht="12.75" customHeight="1">
      <c r="H218" s="1070"/>
      <c r="I218" s="1070"/>
      <c r="J218" s="1070"/>
      <c r="K218" s="1070"/>
      <c r="AE218" s="1068"/>
      <c r="AF218" s="1068"/>
      <c r="AG218" s="1068"/>
      <c r="AH218" s="1068"/>
    </row>
    <row r="219" spans="1:34" ht="12.75" customHeight="1">
      <c r="A219" s="1336"/>
      <c r="B219" s="1336"/>
      <c r="C219" s="1336"/>
      <c r="D219" s="1335"/>
      <c r="E219" s="1335"/>
      <c r="F219" s="1335"/>
      <c r="G219" s="1335"/>
      <c r="H219" s="1335"/>
      <c r="I219" s="1335"/>
      <c r="J219" s="1335"/>
      <c r="K219" s="1335"/>
      <c r="L219" s="1335"/>
      <c r="M219" s="1335"/>
      <c r="N219" s="1335"/>
      <c r="O219" s="1335"/>
      <c r="P219" s="1335"/>
      <c r="AE219" s="1068"/>
      <c r="AF219" s="1068"/>
      <c r="AG219" s="1068"/>
      <c r="AH219" s="1068"/>
    </row>
    <row r="220" spans="1:34" ht="12.75" customHeight="1">
      <c r="A220" s="1336" t="s">
        <v>1109</v>
      </c>
      <c r="B220" s="1336"/>
      <c r="C220" s="1336"/>
      <c r="D220" s="1335"/>
      <c r="E220" s="1335"/>
      <c r="F220" s="1335"/>
      <c r="G220" s="1335"/>
      <c r="H220" s="1335"/>
      <c r="I220" s="1335"/>
      <c r="J220" s="1335"/>
      <c r="K220" s="1335"/>
      <c r="L220" s="1335"/>
      <c r="M220" s="1335"/>
      <c r="N220" s="1335"/>
      <c r="O220" s="1335"/>
      <c r="P220" s="1335"/>
      <c r="AE220" s="1068"/>
      <c r="AF220" s="1068"/>
      <c r="AG220" s="1068"/>
      <c r="AH220" s="1068"/>
    </row>
    <row r="221" spans="1:34" ht="12.75" customHeight="1">
      <c r="A221" s="1334" t="s">
        <v>172</v>
      </c>
      <c r="B221" s="1335"/>
      <c r="C221" s="1335"/>
      <c r="D221" s="1335"/>
      <c r="E221" s="1335"/>
      <c r="F221" s="1335"/>
      <c r="G221" s="1335"/>
      <c r="H221" s="1335"/>
      <c r="I221" s="1335"/>
      <c r="J221" s="1335"/>
      <c r="K221" s="1335"/>
      <c r="L221" s="1335"/>
      <c r="M221" s="1335"/>
      <c r="N221" s="1335"/>
      <c r="O221" s="1335"/>
      <c r="P221" s="1335"/>
      <c r="AE221" s="1068"/>
      <c r="AF221" s="1068"/>
      <c r="AG221" s="1068"/>
      <c r="AH221" s="1068"/>
    </row>
    <row r="222" spans="1:34" ht="12.75" customHeight="1">
      <c r="AE222" s="1068"/>
      <c r="AF222" s="1068"/>
      <c r="AG222" s="1068"/>
      <c r="AH222" s="1068"/>
    </row>
    <row r="223" spans="1:34" ht="12.75" customHeight="1">
      <c r="G223" s="1074"/>
      <c r="H223" s="1077"/>
      <c r="I223" s="1077"/>
      <c r="J223" s="1077"/>
      <c r="K223" s="1077"/>
      <c r="L223" s="1077"/>
      <c r="M223" s="1077"/>
      <c r="N223" s="1332" t="s">
        <v>1086</v>
      </c>
      <c r="O223" s="1332"/>
      <c r="P223" s="1332"/>
      <c r="Q223" s="1078"/>
      <c r="AE223" s="1068"/>
      <c r="AF223" s="1068"/>
      <c r="AG223" s="1068"/>
      <c r="AH223" s="1068"/>
    </row>
    <row r="224" spans="1:34" ht="12.75" customHeight="1">
      <c r="G224" s="1079"/>
      <c r="H224" s="1080"/>
      <c r="I224" s="1081"/>
      <c r="J224" s="1337" t="s">
        <v>1087</v>
      </c>
      <c r="K224" s="1337"/>
      <c r="L224" s="1337"/>
      <c r="N224" s="1333"/>
      <c r="O224" s="1333"/>
      <c r="P224" s="1333"/>
      <c r="Q224" s="1078"/>
    </row>
    <row r="225" spans="1:19" ht="12.75" customHeight="1">
      <c r="A225" s="1067" t="s">
        <v>1</v>
      </c>
      <c r="C225" s="1082"/>
      <c r="F225" s="1074"/>
      <c r="G225" s="1067"/>
      <c r="H225" s="1080" t="s">
        <v>495</v>
      </c>
      <c r="I225" s="1081"/>
      <c r="J225" s="1083" t="s">
        <v>609</v>
      </c>
      <c r="K225" s="1084"/>
      <c r="L225" s="1080" t="s">
        <v>6</v>
      </c>
      <c r="N225" s="1078"/>
      <c r="O225" s="1078"/>
      <c r="P225" s="1078"/>
      <c r="Q225" s="1078"/>
    </row>
    <row r="226" spans="1:19" ht="12.75" customHeight="1">
      <c r="A226" s="1085" t="s">
        <v>2</v>
      </c>
      <c r="B226" s="1074"/>
      <c r="C226" s="1075"/>
      <c r="D226" s="1086" t="s">
        <v>3</v>
      </c>
      <c r="F226" s="1087" t="s">
        <v>4</v>
      </c>
      <c r="G226" s="1074"/>
      <c r="H226" s="1088" t="s">
        <v>196</v>
      </c>
      <c r="I226" s="1078"/>
      <c r="J226" s="1089" t="s">
        <v>1088</v>
      </c>
      <c r="L226" s="1088" t="s">
        <v>1089</v>
      </c>
      <c r="N226" s="1090" t="s">
        <v>980</v>
      </c>
      <c r="O226" s="1083"/>
      <c r="P226" s="1090" t="s">
        <v>1090</v>
      </c>
      <c r="Q226" s="1083"/>
    </row>
    <row r="227" spans="1:19" ht="12.75" customHeight="1">
      <c r="F227" s="1091"/>
      <c r="G227" s="1074"/>
      <c r="H227" s="1080" t="s">
        <v>1091</v>
      </c>
      <c r="I227" s="1080"/>
      <c r="J227" s="1092" t="s">
        <v>1092</v>
      </c>
      <c r="L227" s="1080" t="s">
        <v>1093</v>
      </c>
      <c r="N227" s="1093" t="s">
        <v>79</v>
      </c>
      <c r="O227" s="1083"/>
      <c r="P227" s="1093" t="s">
        <v>115</v>
      </c>
      <c r="Q227" s="1093"/>
    </row>
    <row r="228" spans="1:19" ht="12.75" customHeight="1">
      <c r="D228" s="1094" t="s">
        <v>173</v>
      </c>
      <c r="F228" s="1091"/>
      <c r="G228" s="1074"/>
      <c r="H228" s="1080"/>
      <c r="I228" s="1080"/>
      <c r="J228" s="1092"/>
      <c r="L228" s="1080"/>
      <c r="N228" s="1093"/>
      <c r="O228" s="1083"/>
      <c r="P228" s="1093"/>
      <c r="Q228" s="1093"/>
    </row>
    <row r="229" spans="1:19">
      <c r="A229" s="1080">
        <f>MAX(A$13:A228)+1</f>
        <v>99</v>
      </c>
      <c r="D229" s="1065" t="s">
        <v>200</v>
      </c>
      <c r="F229" s="1067" t="s">
        <v>201</v>
      </c>
      <c r="H229" s="608">
        <v>22.98</v>
      </c>
      <c r="I229" s="608"/>
      <c r="J229" s="608">
        <f t="shared" ref="J229:J244" si="13">ROUND(L229,4)-ROUND(H229,4)</f>
        <v>2.8719999999999999</v>
      </c>
      <c r="K229" s="608"/>
      <c r="L229" s="608">
        <v>25.852025503389033</v>
      </c>
      <c r="M229" s="1101"/>
      <c r="N229" s="608">
        <v>25.852025503389033</v>
      </c>
      <c r="O229" s="1069"/>
      <c r="P229" s="1128">
        <v>0</v>
      </c>
      <c r="Q229" s="1102"/>
      <c r="R229" s="1069"/>
      <c r="S229" s="1069"/>
    </row>
    <row r="230" spans="1:19">
      <c r="A230" s="1080"/>
      <c r="D230" s="1105" t="s">
        <v>202</v>
      </c>
      <c r="H230" s="1100"/>
      <c r="I230" s="1069"/>
      <c r="J230" s="1100"/>
      <c r="K230" s="1069"/>
      <c r="L230" s="1100"/>
      <c r="M230" s="1069"/>
      <c r="N230" s="1100"/>
      <c r="O230" s="1069"/>
      <c r="P230" s="1100"/>
      <c r="Q230" s="1102"/>
      <c r="R230" s="1069"/>
      <c r="S230" s="1069"/>
    </row>
    <row r="231" spans="1:19" ht="12.75" customHeight="1">
      <c r="A231" s="1080">
        <f>MAX(A$229:A230)+1</f>
        <v>100</v>
      </c>
      <c r="D231" s="1105" t="s">
        <v>1127</v>
      </c>
      <c r="F231" s="1067" t="s">
        <v>204</v>
      </c>
      <c r="H231" s="1111">
        <v>11.1409</v>
      </c>
      <c r="I231" s="1111"/>
      <c r="J231" s="1111">
        <f t="shared" si="13"/>
        <v>-0.14990000000000059</v>
      </c>
      <c r="K231" s="1111"/>
      <c r="L231" s="1111">
        <v>10.990997938104181</v>
      </c>
      <c r="M231" s="1111"/>
      <c r="N231" s="1111">
        <v>10.930162393688898</v>
      </c>
      <c r="O231" s="1111"/>
      <c r="P231" s="1111">
        <v>6.0835544415281911E-2</v>
      </c>
      <c r="Q231" s="1102"/>
      <c r="R231" s="1069"/>
      <c r="S231" s="1069"/>
    </row>
    <row r="232" spans="1:19" ht="12.75" customHeight="1">
      <c r="A232" s="1080">
        <f>MAX(A$229:A231)+1</f>
        <v>101</v>
      </c>
      <c r="D232" s="1082" t="s">
        <v>1128</v>
      </c>
      <c r="F232" s="1067" t="s">
        <v>204</v>
      </c>
      <c r="H232" s="1111">
        <v>10.862900000000002</v>
      </c>
      <c r="I232" s="1111"/>
      <c r="J232" s="1111">
        <f t="shared" si="13"/>
        <v>-0.14150000000000063</v>
      </c>
      <c r="K232" s="1111"/>
      <c r="L232" s="1111">
        <v>10.721419579282479</v>
      </c>
      <c r="M232" s="1111"/>
      <c r="N232" s="1111">
        <v>10.660584034867195</v>
      </c>
      <c r="O232" s="1111"/>
      <c r="P232" s="1111">
        <v>6.0835544415281897E-2</v>
      </c>
      <c r="Q232" s="1102"/>
      <c r="R232" s="1069"/>
      <c r="S232" s="1069"/>
    </row>
    <row r="233" spans="1:19" ht="12.75" customHeight="1">
      <c r="A233" s="1080">
        <f>MAX(A$229:A232)+1</f>
        <v>102</v>
      </c>
      <c r="D233" s="1082" t="s">
        <v>1128</v>
      </c>
      <c r="F233" s="1067" t="s">
        <v>204</v>
      </c>
      <c r="H233" s="1111">
        <v>10.4222</v>
      </c>
      <c r="I233" s="1111"/>
      <c r="J233" s="1111">
        <f t="shared" si="13"/>
        <v>-0.12809999999999988</v>
      </c>
      <c r="K233" s="1111"/>
      <c r="L233" s="1111">
        <v>10.294099369355955</v>
      </c>
      <c r="M233" s="1111"/>
      <c r="N233" s="1111">
        <v>10.233263824940671</v>
      </c>
      <c r="O233" s="1111"/>
      <c r="P233" s="1111">
        <v>6.0835544415281911E-2</v>
      </c>
      <c r="Q233" s="1102"/>
      <c r="R233" s="1069"/>
      <c r="S233" s="1069"/>
    </row>
    <row r="234" spans="1:19" ht="12.75" customHeight="1">
      <c r="A234" s="1080">
        <f>MAX(A$229:A233)+1</f>
        <v>103</v>
      </c>
      <c r="D234" s="1082" t="s">
        <v>1129</v>
      </c>
      <c r="F234" s="1067" t="s">
        <v>204</v>
      </c>
      <c r="H234" s="1111">
        <v>10.017900000000001</v>
      </c>
      <c r="I234" s="1111"/>
      <c r="J234" s="1111">
        <f t="shared" si="13"/>
        <v>-0.11589999999999989</v>
      </c>
      <c r="K234" s="1111"/>
      <c r="L234" s="1111">
        <v>9.9020040649821386</v>
      </c>
      <c r="M234" s="1111"/>
      <c r="N234" s="1111">
        <v>9.8411685205668569</v>
      </c>
      <c r="O234" s="1111"/>
      <c r="P234" s="1111">
        <v>6.0835544415281897E-2</v>
      </c>
      <c r="Q234" s="1102"/>
      <c r="R234" s="1069"/>
      <c r="S234" s="1069"/>
    </row>
    <row r="235" spans="1:19" ht="12.75" customHeight="1">
      <c r="A235" s="1080">
        <f>MAX(A$229:A234)+1</f>
        <v>104</v>
      </c>
      <c r="D235" s="1082" t="s">
        <v>1130</v>
      </c>
      <c r="F235" s="1067" t="s">
        <v>204</v>
      </c>
      <c r="H235" s="1111">
        <v>9.6836000000000002</v>
      </c>
      <c r="I235" s="1111"/>
      <c r="J235" s="1111">
        <f t="shared" si="13"/>
        <v>-0.10570000000000057</v>
      </c>
      <c r="K235" s="1111"/>
      <c r="L235" s="1111">
        <v>9.5778938552902133</v>
      </c>
      <c r="M235" s="1111"/>
      <c r="N235" s="1111">
        <v>9.5170583108749316</v>
      </c>
      <c r="O235" s="1111"/>
      <c r="P235" s="1111">
        <v>6.0835544415281897E-2</v>
      </c>
      <c r="Q235" s="1102"/>
      <c r="R235" s="1069"/>
      <c r="S235" s="1069"/>
    </row>
    <row r="236" spans="1:19" ht="12.75" customHeight="1">
      <c r="A236" s="1080"/>
      <c r="D236" s="1142"/>
      <c r="H236" s="1069"/>
      <c r="I236" s="1069"/>
      <c r="J236" s="1069"/>
      <c r="K236" s="1069"/>
      <c r="L236" s="1069"/>
      <c r="M236" s="1069"/>
      <c r="N236" s="1069"/>
      <c r="O236" s="1069"/>
      <c r="P236" s="1069"/>
      <c r="Q236" s="1102"/>
      <c r="R236" s="1069"/>
      <c r="S236" s="1069"/>
    </row>
    <row r="237" spans="1:19" ht="13.35" customHeight="1">
      <c r="A237" s="1080">
        <f>MAX(A$229:A236)+1</f>
        <v>105</v>
      </c>
      <c r="D237" s="1143" t="s">
        <v>251</v>
      </c>
      <c r="F237" s="1067" t="s">
        <v>204</v>
      </c>
      <c r="H237" s="1111">
        <v>4.4904000000000011</v>
      </c>
      <c r="I237" s="1111"/>
      <c r="J237" s="1111">
        <f t="shared" si="13"/>
        <v>-8.0000000000000071E-3</v>
      </c>
      <c r="K237" s="1111"/>
      <c r="L237" s="1111">
        <v>4.4824021467039357</v>
      </c>
      <c r="M237" s="1111"/>
      <c r="N237" s="1111">
        <v>-0.43117301675398845</v>
      </c>
      <c r="O237" s="1111"/>
      <c r="P237" s="1111">
        <v>4.9135751634579243</v>
      </c>
      <c r="Q237" s="1102"/>
      <c r="R237" s="1069"/>
      <c r="S237" s="1069"/>
    </row>
    <row r="238" spans="1:19" ht="12.75" customHeight="1">
      <c r="A238" s="1080">
        <f>MAX(A$229:A237)+1</f>
        <v>106</v>
      </c>
      <c r="D238" s="1143" t="s">
        <v>252</v>
      </c>
      <c r="F238" s="1067" t="s">
        <v>204</v>
      </c>
      <c r="H238" s="1111">
        <v>2.2974999999999999</v>
      </c>
      <c r="I238" s="1111"/>
      <c r="J238" s="1111">
        <f t="shared" si="13"/>
        <v>3.9999999999995595E-4</v>
      </c>
      <c r="K238" s="1111"/>
      <c r="L238" s="1111">
        <v>2.2978868206852958</v>
      </c>
      <c r="M238" s="1111"/>
      <c r="N238" s="1111">
        <v>-0.16675099183421352</v>
      </c>
      <c r="O238" s="1111"/>
      <c r="P238" s="1111">
        <v>2.4646378125195083</v>
      </c>
      <c r="Q238" s="1102"/>
      <c r="R238" s="1069"/>
      <c r="S238" s="1069"/>
    </row>
    <row r="239" spans="1:19" ht="12.75" customHeight="1">
      <c r="A239" s="1080"/>
      <c r="D239" s="1143"/>
      <c r="F239" s="1067"/>
      <c r="H239" s="1111"/>
      <c r="I239" s="1111"/>
      <c r="J239" s="1111"/>
      <c r="K239" s="1111"/>
      <c r="L239" s="1111"/>
      <c r="M239" s="1111"/>
      <c r="N239" s="1111"/>
      <c r="O239" s="1111"/>
      <c r="P239" s="1111"/>
      <c r="Q239" s="1102"/>
      <c r="R239" s="1069"/>
      <c r="S239" s="1069"/>
    </row>
    <row r="240" spans="1:19" ht="11.85" customHeight="1">
      <c r="A240" s="1080">
        <f>MAX(A$229:A238)+1</f>
        <v>107</v>
      </c>
      <c r="D240" s="1143" t="s">
        <v>253</v>
      </c>
      <c r="F240" s="1067" t="s">
        <v>204</v>
      </c>
      <c r="H240" s="1111">
        <v>2.2812000000000001</v>
      </c>
      <c r="I240" s="1111"/>
      <c r="J240" s="1111">
        <f t="shared" si="13"/>
        <v>5.1399999999999668E-2</v>
      </c>
      <c r="K240" s="1111"/>
      <c r="L240" s="1111">
        <v>2.3326123262666911</v>
      </c>
      <c r="M240" s="1111"/>
      <c r="N240" s="1111">
        <v>1.7498243233355866</v>
      </c>
      <c r="O240" s="1111"/>
      <c r="P240" s="1111">
        <v>0.582788002931104</v>
      </c>
      <c r="Q240" s="1102"/>
      <c r="R240" s="1069"/>
      <c r="S240" s="1069"/>
    </row>
    <row r="241" spans="1:19" ht="12.6" customHeight="1">
      <c r="A241" s="1080">
        <f>MAX(A$229:A240)+1</f>
        <v>108</v>
      </c>
      <c r="D241" s="1143" t="s">
        <v>254</v>
      </c>
      <c r="F241" s="1067" t="s">
        <v>204</v>
      </c>
      <c r="H241" s="1111">
        <v>6.2597999999999994</v>
      </c>
      <c r="I241" s="1111"/>
      <c r="J241" s="1111">
        <f t="shared" si="13"/>
        <v>6.3799999999999635E-2</v>
      </c>
      <c r="K241" s="1111"/>
      <c r="L241" s="1111">
        <v>6.3236199630364505</v>
      </c>
      <c r="M241" s="1111"/>
      <c r="N241" s="1111">
        <v>2.2114492272882944</v>
      </c>
      <c r="O241" s="1111"/>
      <c r="P241" s="1111">
        <v>4.1121707357481565</v>
      </c>
      <c r="R241" s="1069"/>
      <c r="S241" s="1069"/>
    </row>
    <row r="242" spans="1:19" ht="12.6" customHeight="1">
      <c r="A242" s="1080"/>
      <c r="D242" s="1143"/>
      <c r="F242" s="1067"/>
      <c r="H242" s="1111"/>
      <c r="I242" s="1111"/>
      <c r="J242" s="1111"/>
      <c r="K242" s="1111"/>
      <c r="L242" s="1111"/>
      <c r="M242" s="1111"/>
      <c r="N242" s="1111"/>
      <c r="O242" s="1111"/>
      <c r="P242" s="1111"/>
      <c r="R242" s="1069"/>
      <c r="S242" s="1069"/>
    </row>
    <row r="243" spans="1:19">
      <c r="A243" s="1080">
        <f>MAX(A$229:A241)+1</f>
        <v>109</v>
      </c>
      <c r="D243" s="1143" t="s">
        <v>256</v>
      </c>
      <c r="F243" s="1067" t="s">
        <v>204</v>
      </c>
      <c r="H243" s="1111">
        <v>18.274100000000001</v>
      </c>
      <c r="I243" s="1111"/>
      <c r="J243" s="1111">
        <f t="shared" si="13"/>
        <v>5.5999999999976069E-3</v>
      </c>
      <c r="K243" s="1111"/>
      <c r="L243" s="1111">
        <v>18.279722239292667</v>
      </c>
      <c r="M243" s="1111"/>
      <c r="N243" s="1111">
        <v>0.21412223929266849</v>
      </c>
      <c r="O243" s="1111"/>
      <c r="P243" s="1111">
        <v>18.0656</v>
      </c>
      <c r="R243" s="1069"/>
      <c r="S243" s="1069"/>
    </row>
    <row r="244" spans="1:19">
      <c r="A244" s="1080">
        <f>MAX(A$229:A243)+1</f>
        <v>110</v>
      </c>
      <c r="D244" s="1143" t="s">
        <v>257</v>
      </c>
      <c r="F244" s="1067" t="s">
        <v>204</v>
      </c>
      <c r="H244" s="1111">
        <v>20.820800000000002</v>
      </c>
      <c r="I244" s="1111"/>
      <c r="J244" s="1111">
        <f t="shared" si="13"/>
        <v>5.6000000000011596E-3</v>
      </c>
      <c r="K244" s="1111"/>
      <c r="L244" s="1111">
        <v>20.826422239292668</v>
      </c>
      <c r="M244" s="1111"/>
      <c r="N244" s="1111">
        <v>0.21412223929266849</v>
      </c>
      <c r="O244" s="1111"/>
      <c r="P244" s="1111">
        <v>20.612300000000001</v>
      </c>
      <c r="R244" s="1069"/>
      <c r="S244" s="1069"/>
    </row>
    <row r="245" spans="1:19">
      <c r="D245" s="1105"/>
      <c r="F245" s="1105"/>
      <c r="H245" s="1069"/>
      <c r="L245" s="1069"/>
    </row>
    <row r="246" spans="1:19">
      <c r="D246" s="1094" t="s">
        <v>174</v>
      </c>
      <c r="F246" s="1105"/>
      <c r="H246" s="1069"/>
      <c r="L246" s="1069"/>
    </row>
    <row r="247" spans="1:19">
      <c r="A247" s="1080">
        <f>A244+1</f>
        <v>111</v>
      </c>
      <c r="D247" s="1065" t="s">
        <v>200</v>
      </c>
      <c r="F247" s="1067" t="s">
        <v>201</v>
      </c>
      <c r="H247" s="608">
        <v>76.58</v>
      </c>
      <c r="I247" s="608"/>
      <c r="J247" s="608">
        <f t="shared" ref="J247:J262" si="14">ROUND(L247,4)-ROUND(H247,4)</f>
        <v>2.0649999999999977</v>
      </c>
      <c r="K247" s="608"/>
      <c r="L247" s="608">
        <v>78.644993213585394</v>
      </c>
      <c r="M247" s="1101"/>
      <c r="N247" s="608">
        <v>78.644993213585394</v>
      </c>
      <c r="P247" s="1100">
        <v>0</v>
      </c>
      <c r="R247" s="1069"/>
      <c r="S247" s="1069"/>
    </row>
    <row r="248" spans="1:19">
      <c r="A248" s="1080"/>
      <c r="D248" s="1105" t="s">
        <v>202</v>
      </c>
      <c r="H248" s="1100"/>
      <c r="J248" s="1100"/>
      <c r="L248" s="1100"/>
      <c r="N248" s="1100"/>
      <c r="P248" s="1100"/>
      <c r="R248" s="1069"/>
      <c r="S248" s="1069"/>
    </row>
    <row r="249" spans="1:19" ht="14.25">
      <c r="A249" s="1080">
        <f>A247+1</f>
        <v>112</v>
      </c>
      <c r="D249" s="1105" t="s">
        <v>1131</v>
      </c>
      <c r="F249" s="1067" t="s">
        <v>204</v>
      </c>
      <c r="H249" s="1111">
        <v>10.1913</v>
      </c>
      <c r="I249" s="1111"/>
      <c r="J249" s="1111">
        <f t="shared" si="14"/>
        <v>-0.37020000000000053</v>
      </c>
      <c r="K249" s="1111"/>
      <c r="L249" s="1111">
        <v>9.8210820753898709</v>
      </c>
      <c r="M249" s="1111"/>
      <c r="N249" s="1111">
        <v>9.8060840983383368</v>
      </c>
      <c r="O249" s="1111"/>
      <c r="P249" s="1111">
        <v>1.4997977051533285E-2</v>
      </c>
      <c r="R249" s="1069"/>
      <c r="S249" s="1069"/>
    </row>
    <row r="250" spans="1:19" ht="14.25">
      <c r="A250" s="1080">
        <f t="shared" ref="A250:A253" si="15">A249+1</f>
        <v>113</v>
      </c>
      <c r="D250" s="1082" t="s">
        <v>1132</v>
      </c>
      <c r="F250" s="1067" t="s">
        <v>204</v>
      </c>
      <c r="H250" s="1111">
        <v>8.3182000000000009</v>
      </c>
      <c r="I250" s="1111"/>
      <c r="J250" s="1111">
        <f t="shared" si="14"/>
        <v>-0.30489999999999995</v>
      </c>
      <c r="K250" s="1111"/>
      <c r="L250" s="1111">
        <v>8.0133380597293602</v>
      </c>
      <c r="M250" s="1111"/>
      <c r="N250" s="1111">
        <v>7.998340082677827</v>
      </c>
      <c r="O250" s="1111"/>
      <c r="P250" s="1111">
        <v>1.4997977051533285E-2</v>
      </c>
      <c r="R250" s="1069"/>
      <c r="S250" s="1069"/>
    </row>
    <row r="251" spans="1:19" ht="14.25">
      <c r="A251" s="1080">
        <f t="shared" si="15"/>
        <v>114</v>
      </c>
      <c r="D251" s="1082" t="s">
        <v>1133</v>
      </c>
      <c r="F251" s="1067" t="s">
        <v>204</v>
      </c>
      <c r="H251" s="1111">
        <v>7.2328000000000001</v>
      </c>
      <c r="I251" s="1111"/>
      <c r="J251" s="1111">
        <f t="shared" si="14"/>
        <v>-0.26890000000000036</v>
      </c>
      <c r="K251" s="1111"/>
      <c r="L251" s="1111">
        <v>6.9639333300623658</v>
      </c>
      <c r="M251" s="1111"/>
      <c r="N251" s="1111">
        <v>6.9489353530108335</v>
      </c>
      <c r="O251" s="1111"/>
      <c r="P251" s="1111">
        <v>1.4997977051533285E-2</v>
      </c>
      <c r="R251" s="1069"/>
      <c r="S251" s="1069"/>
    </row>
    <row r="252" spans="1:19" ht="14.25">
      <c r="A252" s="1080">
        <f t="shared" si="15"/>
        <v>115</v>
      </c>
      <c r="D252" s="1082" t="s">
        <v>1134</v>
      </c>
      <c r="F252" s="1067" t="s">
        <v>204</v>
      </c>
      <c r="H252" s="1111">
        <v>6.5511999999999997</v>
      </c>
      <c r="I252" s="1111"/>
      <c r="J252" s="1111">
        <f t="shared" si="14"/>
        <v>-0.24489999999999945</v>
      </c>
      <c r="K252" s="1111"/>
      <c r="L252" s="1111">
        <v>6.3063256299171702</v>
      </c>
      <c r="M252" s="1111"/>
      <c r="N252" s="1111">
        <v>6.291327652865637</v>
      </c>
      <c r="O252" s="1111"/>
      <c r="P252" s="1111">
        <v>1.4997977051533285E-2</v>
      </c>
      <c r="R252" s="1069"/>
      <c r="S252" s="1069"/>
    </row>
    <row r="253" spans="1:19" ht="14.25">
      <c r="A253" s="1080">
        <f t="shared" si="15"/>
        <v>116</v>
      </c>
      <c r="D253" s="1082" t="s">
        <v>1135</v>
      </c>
      <c r="F253" s="1067" t="s">
        <v>204</v>
      </c>
      <c r="H253" s="1111">
        <v>3.9687000000000001</v>
      </c>
      <c r="I253" s="1111"/>
      <c r="J253" s="1111">
        <f t="shared" si="14"/>
        <v>-0.15390000000000015</v>
      </c>
      <c r="K253" s="1111"/>
      <c r="L253" s="1111">
        <v>3.8147817606659871</v>
      </c>
      <c r="M253" s="1111"/>
      <c r="N253" s="1111">
        <v>3.7997837836144535</v>
      </c>
      <c r="O253" s="1111"/>
      <c r="P253" s="1111">
        <v>1.4997977051533285E-2</v>
      </c>
      <c r="R253" s="1069"/>
      <c r="S253" s="1069"/>
    </row>
    <row r="254" spans="1:19">
      <c r="A254" s="1080"/>
      <c r="H254" s="1069"/>
      <c r="J254" s="1069"/>
      <c r="L254" s="1069"/>
      <c r="N254" s="1069"/>
      <c r="P254" s="1069"/>
      <c r="R254" s="1069"/>
      <c r="S254" s="1069"/>
    </row>
    <row r="255" spans="1:19">
      <c r="A255" s="1080">
        <f>MAX(A$229:A254)+1</f>
        <v>117</v>
      </c>
      <c r="D255" s="1143" t="s">
        <v>251</v>
      </c>
      <c r="F255" s="1067" t="s">
        <v>204</v>
      </c>
      <c r="H255" s="1111">
        <v>3.9398999999999997</v>
      </c>
      <c r="I255" s="1111"/>
      <c r="J255" s="1111">
        <f t="shared" si="14"/>
        <v>-1.0000000000000231E-2</v>
      </c>
      <c r="K255" s="1111"/>
      <c r="L255" s="1111">
        <v>3.9299053840543086</v>
      </c>
      <c r="M255" s="1111"/>
      <c r="N255" s="1111">
        <v>-0.40012878626199772</v>
      </c>
      <c r="O255" s="1111"/>
      <c r="P255" s="1111">
        <v>4.3300341703163063</v>
      </c>
      <c r="R255" s="1069"/>
      <c r="S255" s="1069"/>
    </row>
    <row r="256" spans="1:19">
      <c r="A256" s="1080">
        <f>MAX(A$229:A255)+1</f>
        <v>118</v>
      </c>
      <c r="D256" s="1143" t="s">
        <v>252</v>
      </c>
      <c r="F256" s="1067" t="s">
        <v>204</v>
      </c>
      <c r="H256" s="1111">
        <v>2.1114999999999999</v>
      </c>
      <c r="I256" s="1111"/>
      <c r="J256" s="1111">
        <f t="shared" si="14"/>
        <v>3.9999999999995595E-4</v>
      </c>
      <c r="K256" s="1111"/>
      <c r="L256" s="1111">
        <v>2.1118642469860052</v>
      </c>
      <c r="M256" s="1111"/>
      <c r="N256" s="1111">
        <v>-0.16440879985923371</v>
      </c>
      <c r="O256" s="1111"/>
      <c r="P256" s="1111">
        <v>2.276273046845239</v>
      </c>
      <c r="R256" s="1069"/>
      <c r="S256" s="1069"/>
    </row>
    <row r="257" spans="1:20">
      <c r="A257" s="1080"/>
      <c r="D257" s="1143"/>
      <c r="F257" s="1067"/>
      <c r="H257" s="1111"/>
      <c r="I257" s="1111"/>
      <c r="J257" s="1111"/>
      <c r="K257" s="1111"/>
      <c r="L257" s="1111"/>
      <c r="M257" s="1111"/>
      <c r="N257" s="1111"/>
      <c r="O257" s="1111"/>
      <c r="P257" s="1111"/>
      <c r="R257" s="1069"/>
      <c r="S257" s="1069"/>
    </row>
    <row r="258" spans="1:20">
      <c r="A258" s="1080">
        <f>MAX(A$229:A256)+1</f>
        <v>119</v>
      </c>
      <c r="D258" s="1143" t="s">
        <v>253</v>
      </c>
      <c r="F258" s="1067" t="s">
        <v>204</v>
      </c>
      <c r="H258" s="1111">
        <v>1.8104</v>
      </c>
      <c r="I258" s="1111"/>
      <c r="J258" s="1111">
        <f t="shared" si="14"/>
        <v>3.9800000000000058E-2</v>
      </c>
      <c r="K258" s="1111"/>
      <c r="L258" s="1111">
        <v>1.8501527469187939</v>
      </c>
      <c r="M258" s="1111"/>
      <c r="N258" s="1111">
        <v>1.4530416924477068</v>
      </c>
      <c r="O258" s="1111"/>
      <c r="P258" s="1111">
        <v>0.39711105447108719</v>
      </c>
      <c r="R258" s="1069"/>
      <c r="S258" s="1069"/>
    </row>
    <row r="259" spans="1:20">
      <c r="A259" s="1080">
        <f>MAX(A$229:A258)+1</f>
        <v>120</v>
      </c>
      <c r="B259" s="1105"/>
      <c r="C259" s="1105"/>
      <c r="D259" s="1143" t="s">
        <v>254</v>
      </c>
      <c r="E259" s="1105"/>
      <c r="F259" s="1067" t="s">
        <v>204</v>
      </c>
      <c r="G259" s="1105"/>
      <c r="H259" s="1111">
        <v>4.6779999999999999</v>
      </c>
      <c r="I259" s="1111"/>
      <c r="J259" s="1111">
        <f t="shared" si="14"/>
        <v>4.8899999999999721E-2</v>
      </c>
      <c r="K259" s="1111"/>
      <c r="L259" s="1111">
        <v>4.726935472652019</v>
      </c>
      <c r="M259" s="1111"/>
      <c r="N259" s="1111">
        <v>1.6287577963976534</v>
      </c>
      <c r="O259" s="1111"/>
      <c r="P259" s="1111">
        <v>3.0981776762543665</v>
      </c>
      <c r="Q259" s="1144"/>
      <c r="R259" s="1069"/>
      <c r="S259" s="1069"/>
      <c r="T259" s="1105"/>
    </row>
    <row r="260" spans="1:20">
      <c r="A260" s="1080"/>
      <c r="B260" s="1105"/>
      <c r="C260" s="1105"/>
      <c r="D260" s="1143"/>
      <c r="E260" s="1105"/>
      <c r="F260" s="1067"/>
      <c r="G260" s="1105"/>
      <c r="H260" s="1111"/>
      <c r="I260" s="1111"/>
      <c r="J260" s="1111"/>
      <c r="K260" s="1111"/>
      <c r="L260" s="1111"/>
      <c r="M260" s="1111"/>
      <c r="N260" s="1111"/>
      <c r="O260" s="1111"/>
      <c r="P260" s="1111"/>
      <c r="Q260" s="1144"/>
      <c r="R260" s="1069"/>
      <c r="S260" s="1069"/>
      <c r="T260" s="1105"/>
    </row>
    <row r="261" spans="1:20">
      <c r="A261" s="1080">
        <f>MAX(A$229:A259)+1</f>
        <v>121</v>
      </c>
      <c r="B261" s="1105"/>
      <c r="C261" s="1105"/>
      <c r="D261" s="1143" t="s">
        <v>256</v>
      </c>
      <c r="E261" s="1105"/>
      <c r="F261" s="1067" t="s">
        <v>204</v>
      </c>
      <c r="G261" s="1105"/>
      <c r="H261" s="1111">
        <v>18.274100000000001</v>
      </c>
      <c r="I261" s="1111"/>
      <c r="J261" s="1111">
        <f t="shared" si="14"/>
        <v>5.5999999999976069E-3</v>
      </c>
      <c r="K261" s="1111"/>
      <c r="L261" s="1111">
        <v>18.279722239292671</v>
      </c>
      <c r="M261" s="1111"/>
      <c r="N261" s="1111">
        <v>0.21412223929266846</v>
      </c>
      <c r="O261" s="1111"/>
      <c r="P261" s="1111">
        <v>18.0656</v>
      </c>
      <c r="Q261" s="1144"/>
      <c r="R261" s="1069"/>
      <c r="S261" s="1069"/>
      <c r="T261" s="1105"/>
    </row>
    <row r="262" spans="1:20">
      <c r="A262" s="1080">
        <f>MAX(A$229:A261)+1</f>
        <v>122</v>
      </c>
      <c r="B262" s="1105"/>
      <c r="C262" s="1105"/>
      <c r="D262" s="1143" t="s">
        <v>257</v>
      </c>
      <c r="E262" s="1105"/>
      <c r="F262" s="1067" t="s">
        <v>204</v>
      </c>
      <c r="G262" s="1105"/>
      <c r="H262" s="1111">
        <v>20.820800000000002</v>
      </c>
      <c r="I262" s="1111"/>
      <c r="J262" s="1111">
        <f t="shared" si="14"/>
        <v>5.6000000000011596E-3</v>
      </c>
      <c r="K262" s="1111"/>
      <c r="L262" s="1111">
        <v>20.826422239292672</v>
      </c>
      <c r="M262" s="1111"/>
      <c r="N262" s="1111">
        <v>0.21412223929266841</v>
      </c>
      <c r="O262" s="1111"/>
      <c r="P262" s="1111">
        <v>20.612300000000001</v>
      </c>
      <c r="Q262" s="1144"/>
      <c r="R262" s="1069"/>
      <c r="S262" s="1069"/>
      <c r="T262" s="1105"/>
    </row>
    <row r="263" spans="1:20">
      <c r="A263" s="1080"/>
      <c r="B263" s="1105"/>
      <c r="C263" s="1105"/>
      <c r="E263" s="1105"/>
      <c r="F263" s="1105"/>
      <c r="G263" s="1105"/>
      <c r="H263" s="1145"/>
      <c r="I263" s="1105"/>
      <c r="J263" s="1105"/>
      <c r="K263" s="1105"/>
      <c r="L263" s="1145"/>
      <c r="M263" s="1105"/>
      <c r="N263" s="1105"/>
      <c r="O263" s="1105"/>
      <c r="P263" s="1105"/>
      <c r="Q263" s="1144"/>
      <c r="R263" s="1069"/>
      <c r="S263" s="1069"/>
      <c r="T263" s="1105"/>
    </row>
    <row r="264" spans="1:20">
      <c r="A264" s="1080"/>
      <c r="B264" s="1105"/>
      <c r="C264" s="1105"/>
      <c r="D264" s="1146" t="s">
        <v>175</v>
      </c>
      <c r="E264" s="1105"/>
      <c r="F264" s="1105"/>
      <c r="G264" s="1105"/>
      <c r="H264" s="1145"/>
      <c r="I264" s="1105"/>
      <c r="J264" s="1105"/>
      <c r="K264" s="1105"/>
      <c r="L264" s="1145"/>
      <c r="M264" s="1105"/>
      <c r="N264" s="1105"/>
      <c r="O264" s="1105"/>
      <c r="P264" s="1105"/>
      <c r="Q264" s="1144"/>
      <c r="R264" s="1069"/>
      <c r="S264" s="1069"/>
      <c r="T264" s="1105"/>
    </row>
    <row r="265" spans="1:20">
      <c r="A265" s="1080">
        <f>MAX(A$229:A264)+1</f>
        <v>123</v>
      </c>
      <c r="B265" s="1105"/>
      <c r="C265" s="1105"/>
      <c r="D265" s="1065" t="s">
        <v>200</v>
      </c>
      <c r="E265" s="1105"/>
      <c r="F265" s="1067" t="s">
        <v>201</v>
      </c>
      <c r="G265" s="1105"/>
      <c r="H265" s="608">
        <v>1090.76</v>
      </c>
      <c r="I265" s="608"/>
      <c r="J265" s="608">
        <f t="shared" ref="J265:J288" si="16">ROUND(L265,4)-ROUND(H265,4)</f>
        <v>29.412499999999909</v>
      </c>
      <c r="K265" s="608"/>
      <c r="L265" s="608">
        <v>1120.1725358794777</v>
      </c>
      <c r="M265" s="1101"/>
      <c r="N265" s="608">
        <v>1120.1725358794777</v>
      </c>
      <c r="O265" s="1105"/>
      <c r="P265" s="595">
        <v>0</v>
      </c>
      <c r="Q265" s="1144"/>
      <c r="R265" s="1069"/>
      <c r="S265" s="1069"/>
      <c r="T265" s="1105"/>
    </row>
    <row r="266" spans="1:20">
      <c r="A266" s="1080"/>
      <c r="B266" s="1105"/>
      <c r="C266" s="1105"/>
      <c r="D266" s="1105" t="s">
        <v>221</v>
      </c>
      <c r="E266" s="1105"/>
      <c r="F266" s="1105"/>
      <c r="G266" s="1105"/>
      <c r="H266" s="1100"/>
      <c r="I266" s="1105"/>
      <c r="J266" s="1100"/>
      <c r="K266" s="1105"/>
      <c r="L266" s="1100"/>
      <c r="M266" s="1105"/>
      <c r="N266" s="1100"/>
      <c r="O266" s="1105"/>
      <c r="P266" s="1100"/>
      <c r="Q266" s="1144"/>
      <c r="R266" s="1069"/>
      <c r="S266" s="1069"/>
      <c r="T266" s="1105"/>
    </row>
    <row r="267" spans="1:20" ht="14.25">
      <c r="A267" s="1080">
        <f>MAX(A$229:A266)+1</f>
        <v>124</v>
      </c>
      <c r="B267" s="1105"/>
      <c r="C267" s="1105"/>
      <c r="D267" s="1105" t="s">
        <v>1136</v>
      </c>
      <c r="E267" s="1105"/>
      <c r="F267" s="1067" t="s">
        <v>222</v>
      </c>
      <c r="G267" s="1105"/>
      <c r="H267" s="1111">
        <v>34.796800000000005</v>
      </c>
      <c r="I267" s="1111"/>
      <c r="J267" s="1111">
        <f t="shared" si="16"/>
        <v>0.3458000000000041</v>
      </c>
      <c r="K267" s="1111"/>
      <c r="L267" s="1111">
        <v>35.142596663971247</v>
      </c>
      <c r="M267" s="1111"/>
      <c r="N267" s="1111">
        <v>35.142596663971247</v>
      </c>
      <c r="O267" s="1111"/>
      <c r="P267" s="1128">
        <v>0</v>
      </c>
      <c r="Q267" s="1144"/>
      <c r="R267" s="1069"/>
      <c r="S267" s="1069"/>
      <c r="T267" s="1105"/>
    </row>
    <row r="268" spans="1:20" ht="14.25">
      <c r="A268" s="1080">
        <f>MAX(A$229:A267)+1</f>
        <v>125</v>
      </c>
      <c r="B268" s="1105"/>
      <c r="C268" s="1105"/>
      <c r="D268" s="1082" t="s">
        <v>1137</v>
      </c>
      <c r="E268" s="1105"/>
      <c r="F268" s="1067" t="s">
        <v>222</v>
      </c>
      <c r="G268" s="1105"/>
      <c r="H268" s="1111">
        <v>20.462300000000003</v>
      </c>
      <c r="I268" s="1111"/>
      <c r="J268" s="1111">
        <f t="shared" si="16"/>
        <v>0.20330000000000226</v>
      </c>
      <c r="K268" s="1111"/>
      <c r="L268" s="1111">
        <v>20.66560715098305</v>
      </c>
      <c r="M268" s="1111"/>
      <c r="N268" s="1111">
        <v>20.66560715098305</v>
      </c>
      <c r="O268" s="1111"/>
      <c r="P268" s="1128">
        <v>0</v>
      </c>
      <c r="Q268" s="1144"/>
      <c r="R268" s="1069"/>
      <c r="S268" s="1069"/>
      <c r="T268" s="1105"/>
    </row>
    <row r="269" spans="1:20">
      <c r="A269" s="1080"/>
      <c r="B269" s="1105"/>
      <c r="C269" s="1105"/>
      <c r="D269" s="1105" t="s">
        <v>202</v>
      </c>
      <c r="E269" s="1105"/>
      <c r="F269" s="1066"/>
      <c r="G269" s="1105"/>
      <c r="H269" s="1111"/>
      <c r="I269" s="1111"/>
      <c r="J269" s="1111"/>
      <c r="K269" s="1111"/>
      <c r="L269" s="1111"/>
      <c r="M269" s="1111"/>
      <c r="N269" s="1111"/>
      <c r="O269" s="1111"/>
      <c r="P269" s="1111"/>
      <c r="Q269" s="1144"/>
      <c r="R269" s="1069"/>
      <c r="S269" s="1069"/>
      <c r="T269" s="1105"/>
    </row>
    <row r="270" spans="1:20" ht="14.25">
      <c r="A270" s="1080">
        <f>MAX(A$229:A269)+1</f>
        <v>126</v>
      </c>
      <c r="B270" s="1105"/>
      <c r="C270" s="1105"/>
      <c r="D270" s="1105" t="s">
        <v>1138</v>
      </c>
      <c r="E270" s="1105"/>
      <c r="F270" s="1067" t="s">
        <v>204</v>
      </c>
      <c r="G270" s="1105"/>
      <c r="H270" s="1111">
        <v>0.77600000000000002</v>
      </c>
      <c r="I270" s="1111"/>
      <c r="J270" s="1111">
        <f t="shared" si="16"/>
        <v>-1.7000000000000015E-2</v>
      </c>
      <c r="K270" s="1111"/>
      <c r="L270" s="1111">
        <v>0.75902892200693561</v>
      </c>
      <c r="M270" s="1111"/>
      <c r="N270" s="1111">
        <v>0.75237356969031755</v>
      </c>
      <c r="O270" s="1111"/>
      <c r="P270" s="1111">
        <v>6.6553523166178958E-3</v>
      </c>
      <c r="Q270" s="1144"/>
      <c r="R270" s="1069"/>
      <c r="S270" s="1069"/>
      <c r="T270" s="1105"/>
    </row>
    <row r="271" spans="1:20" ht="14.25">
      <c r="A271" s="1080">
        <f>MAX(A$229:A270)+1</f>
        <v>127</v>
      </c>
      <c r="B271" s="1105"/>
      <c r="C271" s="1105"/>
      <c r="D271" s="1082" t="s">
        <v>1139</v>
      </c>
      <c r="E271" s="1105"/>
      <c r="F271" s="1067" t="s">
        <v>204</v>
      </c>
      <c r="G271" s="1105"/>
      <c r="H271" s="1111">
        <v>0.5645</v>
      </c>
      <c r="I271" s="1111"/>
      <c r="J271" s="1111">
        <f t="shared" si="16"/>
        <v>-1.2399999999999967E-2</v>
      </c>
      <c r="K271" s="1111"/>
      <c r="L271" s="1111">
        <v>0.55209564326214378</v>
      </c>
      <c r="M271" s="1111"/>
      <c r="N271" s="1111">
        <v>0.54544029094552582</v>
      </c>
      <c r="O271" s="1111"/>
      <c r="P271" s="1111">
        <v>6.6553523166178958E-3</v>
      </c>
      <c r="Q271" s="1144"/>
      <c r="R271" s="1069"/>
      <c r="S271" s="1069"/>
      <c r="T271" s="1105"/>
    </row>
    <row r="272" spans="1:20">
      <c r="A272" s="1080"/>
      <c r="B272" s="1105"/>
      <c r="C272" s="1105"/>
      <c r="E272" s="1105"/>
      <c r="F272" s="1105"/>
      <c r="G272" s="1105"/>
      <c r="H272" s="1145"/>
      <c r="I272" s="1105"/>
      <c r="J272" s="1069"/>
      <c r="K272" s="1105"/>
      <c r="L272" s="1145"/>
      <c r="M272" s="1105"/>
      <c r="N272" s="1147"/>
      <c r="O272" s="1105"/>
      <c r="P272" s="1147"/>
      <c r="Q272" s="1144"/>
      <c r="R272" s="1069"/>
      <c r="S272" s="1069"/>
      <c r="T272" s="1105"/>
    </row>
    <row r="273" spans="1:20">
      <c r="A273" s="1080"/>
      <c r="B273" s="1105"/>
      <c r="C273" s="1105"/>
      <c r="D273" s="1105" t="s">
        <v>275</v>
      </c>
      <c r="E273" s="1105"/>
      <c r="G273" s="1105"/>
      <c r="H273" s="1111"/>
      <c r="I273" s="1111"/>
      <c r="J273" s="1111"/>
      <c r="K273" s="1111"/>
      <c r="L273" s="1111"/>
      <c r="M273" s="1111"/>
      <c r="N273" s="1111"/>
      <c r="O273" s="1111"/>
      <c r="P273" s="1111"/>
      <c r="Q273" s="1144"/>
      <c r="R273" s="1069"/>
      <c r="S273" s="1069"/>
      <c r="T273" s="1105"/>
    </row>
    <row r="274" spans="1:20">
      <c r="A274" s="1080">
        <f>MAX(A$229:A273)+1</f>
        <v>128</v>
      </c>
      <c r="B274" s="1105"/>
      <c r="C274" s="1105"/>
      <c r="D274" s="1142" t="s">
        <v>276</v>
      </c>
      <c r="E274" s="1105"/>
      <c r="F274" s="1067" t="s">
        <v>222</v>
      </c>
      <c r="G274" s="1105"/>
      <c r="H274" s="1111">
        <v>41.884799999999998</v>
      </c>
      <c r="I274" s="1111"/>
      <c r="J274" s="1111">
        <f t="shared" si="16"/>
        <v>0.15820000000000078</v>
      </c>
      <c r="K274" s="1111"/>
      <c r="L274" s="1111">
        <v>42.042995576098406</v>
      </c>
      <c r="M274" s="1111"/>
      <c r="N274" s="1111">
        <v>6.0248575766878707</v>
      </c>
      <c r="O274" s="1111"/>
      <c r="P274" s="1111">
        <v>36.018137999410541</v>
      </c>
      <c r="Q274" s="1144"/>
      <c r="R274" s="1069"/>
      <c r="S274" s="1069"/>
      <c r="T274" s="1105"/>
    </row>
    <row r="275" spans="1:20">
      <c r="A275" s="1080">
        <f>MAX(A$229:A274)+1</f>
        <v>129</v>
      </c>
      <c r="B275" s="1105"/>
      <c r="C275" s="1105"/>
      <c r="D275" s="1142" t="s">
        <v>277</v>
      </c>
      <c r="E275" s="1105"/>
      <c r="F275" s="1067" t="s">
        <v>222</v>
      </c>
      <c r="G275" s="1105"/>
      <c r="H275" s="1111">
        <v>43.368399999999994</v>
      </c>
      <c r="I275" s="1111"/>
      <c r="J275" s="1111">
        <f t="shared" si="16"/>
        <v>0.11730000000000018</v>
      </c>
      <c r="K275" s="1111"/>
      <c r="L275" s="1111">
        <v>43.485700189473654</v>
      </c>
      <c r="M275" s="1111"/>
      <c r="N275" s="1111">
        <v>4.467362190063116</v>
      </c>
      <c r="O275" s="1111"/>
      <c r="P275" s="1111">
        <v>39.018337999410548</v>
      </c>
      <c r="Q275" s="1144"/>
      <c r="R275" s="1069"/>
      <c r="S275" s="1069"/>
      <c r="T275" s="1105"/>
    </row>
    <row r="276" spans="1:20">
      <c r="A276" s="1080"/>
      <c r="B276" s="1105"/>
      <c r="C276" s="1105"/>
      <c r="D276" s="1105" t="s">
        <v>1140</v>
      </c>
      <c r="E276" s="1105"/>
      <c r="G276" s="1105"/>
      <c r="H276" s="1111"/>
      <c r="I276" s="1111"/>
      <c r="J276" s="1111"/>
      <c r="K276" s="1111"/>
      <c r="L276" s="1111"/>
      <c r="M276" s="1111"/>
      <c r="N276" s="1111"/>
      <c r="O276" s="1111"/>
      <c r="P276" s="1111"/>
      <c r="Q276" s="1144"/>
      <c r="R276" s="1069"/>
      <c r="S276" s="1069"/>
      <c r="T276" s="1105"/>
    </row>
    <row r="277" spans="1:20">
      <c r="A277" s="1080">
        <f>MAX(A$229:A276)+1</f>
        <v>130</v>
      </c>
      <c r="B277" s="1105"/>
      <c r="C277" s="1105"/>
      <c r="D277" s="1142" t="s">
        <v>276</v>
      </c>
      <c r="E277" s="1105"/>
      <c r="F277" s="1067" t="s">
        <v>204</v>
      </c>
      <c r="G277" s="1105"/>
      <c r="H277" s="1111">
        <v>2.5133000000000001</v>
      </c>
      <c r="I277" s="1111"/>
      <c r="J277" s="1111">
        <f t="shared" si="16"/>
        <v>6.3999999999997392E-3</v>
      </c>
      <c r="K277" s="1111"/>
      <c r="L277" s="1111">
        <v>2.5197231057373659</v>
      </c>
      <c r="M277" s="1111"/>
      <c r="N277" s="1111">
        <v>-0.12687740556566562</v>
      </c>
      <c r="O277" s="1111"/>
      <c r="P277" s="1111">
        <v>2.6466005113030318</v>
      </c>
      <c r="Q277" s="1144"/>
      <c r="R277" s="1069"/>
      <c r="S277" s="1069"/>
      <c r="T277" s="1105"/>
    </row>
    <row r="278" spans="1:20">
      <c r="A278" s="1080">
        <f>MAX(A$229:A277)+1</f>
        <v>131</v>
      </c>
      <c r="B278" s="1105"/>
      <c r="C278" s="1105"/>
      <c r="D278" s="1142" t="s">
        <v>277</v>
      </c>
      <c r="E278" s="1105"/>
      <c r="F278" s="1067" t="s">
        <v>204</v>
      </c>
      <c r="G278" s="1105"/>
      <c r="H278" s="1111">
        <v>1.7764000000000002</v>
      </c>
      <c r="I278" s="1111"/>
      <c r="J278" s="1111">
        <f t="shared" si="16"/>
        <v>5.2000000000000934E-3</v>
      </c>
      <c r="K278" s="1111"/>
      <c r="L278" s="1111">
        <v>1.781556028848164</v>
      </c>
      <c r="M278" s="1111"/>
      <c r="N278" s="1111">
        <v>-0.20855194604981869</v>
      </c>
      <c r="O278" s="1111"/>
      <c r="P278" s="1111">
        <v>1.9901079748979824</v>
      </c>
      <c r="Q278" s="1144"/>
      <c r="R278" s="1069"/>
      <c r="S278" s="1069"/>
      <c r="T278" s="1105"/>
    </row>
    <row r="279" spans="1:20">
      <c r="A279" s="1080"/>
      <c r="B279" s="1105"/>
      <c r="C279" s="1105"/>
      <c r="D279" s="1105" t="s">
        <v>1141</v>
      </c>
      <c r="E279" s="1105"/>
      <c r="G279" s="1105"/>
      <c r="H279" s="1111"/>
      <c r="I279" s="1111"/>
      <c r="J279" s="1111"/>
      <c r="K279" s="1111"/>
      <c r="L279" s="1111"/>
      <c r="M279" s="1111"/>
      <c r="N279" s="1111"/>
      <c r="O279" s="1111"/>
      <c r="P279" s="1111"/>
      <c r="Q279" s="1144"/>
      <c r="R279" s="1069"/>
      <c r="S279" s="1069"/>
      <c r="T279" s="1105"/>
    </row>
    <row r="280" spans="1:20">
      <c r="A280" s="1080">
        <f>MAX(A$229:A279)+1</f>
        <v>132</v>
      </c>
      <c r="B280" s="1105"/>
      <c r="C280" s="1105"/>
      <c r="D280" s="1142" t="s">
        <v>276</v>
      </c>
      <c r="E280" s="1105"/>
      <c r="F280" s="1067" t="s">
        <v>204</v>
      </c>
      <c r="G280" s="1105"/>
      <c r="H280" s="1128">
        <v>0</v>
      </c>
      <c r="I280" s="1128"/>
      <c r="J280" s="1128">
        <f t="shared" si="16"/>
        <v>0</v>
      </c>
      <c r="K280" s="1128"/>
      <c r="L280" s="1128">
        <v>0</v>
      </c>
      <c r="M280" s="1128"/>
      <c r="N280" s="1128">
        <v>0</v>
      </c>
      <c r="O280" s="1128"/>
      <c r="P280" s="1128">
        <v>0</v>
      </c>
      <c r="Q280" s="1144"/>
      <c r="R280" s="1069"/>
      <c r="S280" s="1069"/>
      <c r="T280" s="1105"/>
    </row>
    <row r="281" spans="1:20">
      <c r="A281" s="1080">
        <f>MAX(A$229:A280)+1</f>
        <v>133</v>
      </c>
      <c r="B281" s="1105"/>
      <c r="C281" s="1105"/>
      <c r="D281" s="1142" t="s">
        <v>277</v>
      </c>
      <c r="E281" s="1105"/>
      <c r="F281" s="1067" t="s">
        <v>204</v>
      </c>
      <c r="G281" s="1105"/>
      <c r="H281" s="1128">
        <v>0</v>
      </c>
      <c r="I281" s="1128"/>
      <c r="J281" s="1128">
        <f t="shared" si="16"/>
        <v>0</v>
      </c>
      <c r="K281" s="1128"/>
      <c r="L281" s="1128">
        <v>0</v>
      </c>
      <c r="M281" s="1128"/>
      <c r="N281" s="1128">
        <v>0</v>
      </c>
      <c r="O281" s="1128"/>
      <c r="P281" s="1128">
        <v>0</v>
      </c>
      <c r="Q281" s="1144"/>
      <c r="R281" s="1069"/>
      <c r="S281" s="1069"/>
      <c r="T281" s="1105"/>
    </row>
    <row r="282" spans="1:20">
      <c r="A282" s="1080"/>
      <c r="B282" s="1105"/>
      <c r="C282" s="1105"/>
      <c r="D282" s="1142"/>
      <c r="E282" s="1105"/>
      <c r="F282" s="1067"/>
      <c r="G282" s="1105"/>
      <c r="H282" s="1128"/>
      <c r="I282" s="1128"/>
      <c r="J282" s="1128"/>
      <c r="K282" s="1128"/>
      <c r="L282" s="1128"/>
      <c r="M282" s="1128"/>
      <c r="N282" s="1128"/>
      <c r="O282" s="1128"/>
      <c r="P282" s="1128"/>
      <c r="Q282" s="1144"/>
      <c r="R282" s="1069"/>
      <c r="S282" s="1069"/>
      <c r="T282" s="1105"/>
    </row>
    <row r="283" spans="1:20">
      <c r="A283" s="1080"/>
      <c r="B283" s="1105"/>
      <c r="C283" s="1105"/>
      <c r="D283" s="1105" t="s">
        <v>282</v>
      </c>
      <c r="E283" s="1105"/>
      <c r="G283" s="1105"/>
      <c r="H283" s="1111"/>
      <c r="I283" s="1111"/>
      <c r="J283" s="1111"/>
      <c r="K283" s="1111"/>
      <c r="L283" s="1111"/>
      <c r="M283" s="1111"/>
      <c r="N283" s="1111"/>
      <c r="O283" s="1111"/>
      <c r="P283" s="1111"/>
      <c r="Q283" s="1144"/>
      <c r="R283" s="1069"/>
      <c r="S283" s="1069"/>
      <c r="T283" s="1105"/>
    </row>
    <row r="284" spans="1:20">
      <c r="A284" s="1080">
        <f>MAX(A$229:A283)+1</f>
        <v>134</v>
      </c>
      <c r="B284" s="1105"/>
      <c r="C284" s="1105"/>
      <c r="D284" s="1142" t="s">
        <v>283</v>
      </c>
      <c r="E284" s="1105"/>
      <c r="F284" s="1067" t="s">
        <v>284</v>
      </c>
      <c r="G284" s="1105"/>
      <c r="H284" s="1148">
        <v>18.835000000000001</v>
      </c>
      <c r="I284" s="1148"/>
      <c r="J284" s="1148">
        <f t="shared" si="16"/>
        <v>0.21259999999999835</v>
      </c>
      <c r="K284" s="1148"/>
      <c r="L284" s="1148">
        <v>19.047647381592249</v>
      </c>
      <c r="M284" s="1148"/>
      <c r="N284" s="1148">
        <v>8.0986473815922491</v>
      </c>
      <c r="O284" s="1148"/>
      <c r="P284" s="1148">
        <v>10.949000000000002</v>
      </c>
      <c r="Q284" s="1144"/>
      <c r="R284" s="1069"/>
      <c r="S284" s="1069"/>
      <c r="T284" s="1105"/>
    </row>
    <row r="285" spans="1:20">
      <c r="A285" s="1080">
        <f>MAX(A$229:A284)+1</f>
        <v>135</v>
      </c>
      <c r="B285" s="1105"/>
      <c r="C285" s="1105"/>
      <c r="D285" s="1142" t="s">
        <v>285</v>
      </c>
      <c r="E285" s="1105"/>
      <c r="F285" s="1067" t="s">
        <v>286</v>
      </c>
      <c r="G285" s="1105"/>
      <c r="H285" s="1148">
        <v>0.24</v>
      </c>
      <c r="I285" s="1148"/>
      <c r="J285" s="1148">
        <f t="shared" si="16"/>
        <v>5.6000000000000216E-3</v>
      </c>
      <c r="K285" s="1148"/>
      <c r="L285" s="1148">
        <v>0.24561759595368146</v>
      </c>
      <c r="M285" s="1148"/>
      <c r="N285" s="1148">
        <v>0.14685602023430022</v>
      </c>
      <c r="O285" s="1148"/>
      <c r="P285" s="1148">
        <v>9.8761575719381239E-2</v>
      </c>
      <c r="Q285" s="1144"/>
      <c r="R285" s="1069"/>
      <c r="S285" s="1069"/>
      <c r="T285" s="1105"/>
    </row>
    <row r="286" spans="1:20">
      <c r="A286" s="1080"/>
      <c r="B286" s="1105"/>
      <c r="C286" s="1105"/>
      <c r="D286" s="1142"/>
      <c r="E286" s="1105"/>
      <c r="F286" s="1067"/>
      <c r="G286" s="1105"/>
      <c r="H286" s="1148"/>
      <c r="I286" s="1148"/>
      <c r="J286" s="1148"/>
      <c r="K286" s="1148"/>
      <c r="L286" s="1148"/>
      <c r="M286" s="1148"/>
      <c r="N286" s="1148"/>
      <c r="O286" s="1148"/>
      <c r="P286" s="1148"/>
      <c r="Q286" s="1144"/>
      <c r="R286" s="1069"/>
      <c r="S286" s="1069"/>
      <c r="T286" s="1105"/>
    </row>
    <row r="287" spans="1:20">
      <c r="A287" s="1080">
        <f>MAX(A$229:A285)+1</f>
        <v>136</v>
      </c>
      <c r="B287" s="1105"/>
      <c r="C287" s="1105"/>
      <c r="D287" s="1143" t="s">
        <v>256</v>
      </c>
      <c r="E287" s="1105"/>
      <c r="F287" s="1067" t="s">
        <v>204</v>
      </c>
      <c r="G287" s="1105"/>
      <c r="H287" s="1111">
        <v>17.706099999999999</v>
      </c>
      <c r="I287" s="1111"/>
      <c r="J287" s="1111">
        <f t="shared" si="16"/>
        <v>5.6000000000011596E-3</v>
      </c>
      <c r="K287" s="1111"/>
      <c r="L287" s="1111">
        <v>17.711722239292669</v>
      </c>
      <c r="M287" s="1111"/>
      <c r="N287" s="1111">
        <v>0.21412223929266841</v>
      </c>
      <c r="O287" s="1111"/>
      <c r="P287" s="1111">
        <v>17.497599999999998</v>
      </c>
      <c r="Q287" s="1144"/>
      <c r="R287" s="1069"/>
      <c r="S287" s="1069"/>
      <c r="T287" s="1105"/>
    </row>
    <row r="288" spans="1:20">
      <c r="A288" s="1080">
        <f>MAX(A$229:A287)+1</f>
        <v>137</v>
      </c>
      <c r="B288" s="1105"/>
      <c r="C288" s="1105"/>
      <c r="D288" s="1143" t="s">
        <v>257</v>
      </c>
      <c r="E288" s="1105"/>
      <c r="F288" s="1067" t="s">
        <v>204</v>
      </c>
      <c r="G288" s="1105"/>
      <c r="H288" s="1111">
        <v>20.172700000000003</v>
      </c>
      <c r="I288" s="1111"/>
      <c r="J288" s="1111">
        <f t="shared" si="16"/>
        <v>5.6000000000011596E-3</v>
      </c>
      <c r="K288" s="1111"/>
      <c r="L288" s="1111">
        <v>20.178322239292669</v>
      </c>
      <c r="M288" s="1111"/>
      <c r="N288" s="1111">
        <v>0.21412223929266849</v>
      </c>
      <c r="O288" s="1111"/>
      <c r="P288" s="1111">
        <v>19.964200000000002</v>
      </c>
      <c r="Q288" s="1144"/>
      <c r="R288" s="1069"/>
      <c r="S288" s="1069"/>
      <c r="T288" s="1105"/>
    </row>
    <row r="289" spans="1:20">
      <c r="A289" s="1080"/>
      <c r="B289" s="1105"/>
      <c r="C289" s="1105"/>
      <c r="E289" s="1105"/>
      <c r="G289" s="1105"/>
      <c r="H289" s="1105"/>
      <c r="I289" s="1105"/>
      <c r="J289" s="1105"/>
      <c r="K289" s="1105"/>
      <c r="L289" s="1145"/>
      <c r="M289" s="1105"/>
      <c r="N289" s="1105"/>
      <c r="O289" s="1105"/>
      <c r="P289" s="1105"/>
      <c r="Q289" s="1144"/>
      <c r="R289" s="1069"/>
      <c r="S289" s="1069"/>
      <c r="T289" s="1105"/>
    </row>
    <row r="290" spans="1:20">
      <c r="A290" s="1080"/>
      <c r="B290" s="1105"/>
      <c r="C290" s="1105"/>
      <c r="D290" s="1105"/>
      <c r="E290" s="1105"/>
      <c r="G290" s="1105"/>
      <c r="H290" s="1105"/>
      <c r="I290" s="1105"/>
      <c r="J290" s="1105"/>
      <c r="K290" s="1105"/>
      <c r="L290" s="1145"/>
      <c r="M290" s="1105"/>
      <c r="N290" s="1105"/>
      <c r="O290" s="1105"/>
      <c r="P290" s="1105"/>
      <c r="Q290" s="1144"/>
      <c r="R290" s="1069"/>
      <c r="S290" s="1069"/>
      <c r="T290" s="1105"/>
    </row>
    <row r="291" spans="1:20">
      <c r="A291" s="1080"/>
      <c r="B291" s="1105"/>
      <c r="C291" s="1105"/>
      <c r="E291" s="1105"/>
      <c r="G291" s="1105"/>
      <c r="H291" s="1105"/>
      <c r="I291" s="1105"/>
      <c r="J291" s="1105"/>
      <c r="K291" s="1105"/>
      <c r="L291" s="1145"/>
      <c r="M291" s="1105"/>
      <c r="N291" s="1105"/>
      <c r="O291" s="1105"/>
      <c r="P291" s="1105"/>
      <c r="Q291" s="1144"/>
      <c r="R291" s="1069"/>
      <c r="S291" s="1069"/>
      <c r="T291" s="1105"/>
    </row>
    <row r="292" spans="1:20">
      <c r="A292" s="1080"/>
      <c r="B292" s="1105"/>
      <c r="C292" s="1105"/>
      <c r="E292" s="1105"/>
      <c r="G292" s="1105"/>
      <c r="H292" s="1105"/>
      <c r="I292" s="1105"/>
      <c r="J292" s="1105"/>
      <c r="K292" s="1105"/>
      <c r="L292" s="1145"/>
      <c r="M292" s="1105"/>
      <c r="N292" s="1105"/>
      <c r="O292" s="1105"/>
      <c r="P292" s="1105"/>
      <c r="Q292" s="1144"/>
      <c r="R292" s="1069"/>
      <c r="S292" s="1069"/>
      <c r="T292" s="1105"/>
    </row>
    <row r="293" spans="1:20">
      <c r="A293" s="1080"/>
      <c r="B293" s="1105"/>
      <c r="C293" s="1105"/>
      <c r="E293" s="1105"/>
      <c r="G293" s="1105"/>
      <c r="H293" s="1105"/>
      <c r="I293" s="1105"/>
      <c r="J293" s="1105"/>
      <c r="K293" s="1105"/>
      <c r="L293" s="1145"/>
      <c r="M293" s="1105"/>
      <c r="N293" s="1105"/>
      <c r="O293" s="1105"/>
      <c r="P293" s="1105"/>
      <c r="Q293" s="1144"/>
      <c r="R293" s="1069"/>
      <c r="S293" s="1069"/>
      <c r="T293" s="1105"/>
    </row>
    <row r="294" spans="1:20">
      <c r="A294" s="1336"/>
      <c r="B294" s="1336"/>
      <c r="C294" s="1336"/>
      <c r="D294" s="1335"/>
      <c r="E294" s="1335"/>
      <c r="F294" s="1335"/>
      <c r="G294" s="1335"/>
      <c r="H294" s="1335"/>
      <c r="I294" s="1335"/>
      <c r="J294" s="1335"/>
      <c r="K294" s="1335"/>
      <c r="L294" s="1335"/>
      <c r="M294" s="1335"/>
      <c r="N294" s="1335"/>
      <c r="O294" s="1335"/>
      <c r="P294" s="1335"/>
      <c r="Q294" s="1144"/>
      <c r="R294" s="1069"/>
      <c r="S294" s="1069"/>
      <c r="T294" s="1105"/>
    </row>
    <row r="295" spans="1:20">
      <c r="A295" s="1336" t="s">
        <v>1109</v>
      </c>
      <c r="B295" s="1336"/>
      <c r="C295" s="1336"/>
      <c r="D295" s="1335"/>
      <c r="E295" s="1335"/>
      <c r="F295" s="1335"/>
      <c r="G295" s="1335"/>
      <c r="H295" s="1335"/>
      <c r="I295" s="1335"/>
      <c r="J295" s="1335"/>
      <c r="K295" s="1335"/>
      <c r="L295" s="1335"/>
      <c r="M295" s="1335"/>
      <c r="N295" s="1335"/>
      <c r="O295" s="1335"/>
      <c r="P295" s="1335"/>
      <c r="Q295" s="1144"/>
      <c r="R295" s="1069"/>
      <c r="S295" s="1069"/>
      <c r="T295" s="1105"/>
    </row>
    <row r="296" spans="1:20">
      <c r="A296" s="1334" t="s">
        <v>172</v>
      </c>
      <c r="B296" s="1335"/>
      <c r="C296" s="1335"/>
      <c r="D296" s="1335"/>
      <c r="E296" s="1335"/>
      <c r="F296" s="1335"/>
      <c r="G296" s="1335"/>
      <c r="H296" s="1335"/>
      <c r="I296" s="1335"/>
      <c r="J296" s="1335"/>
      <c r="K296" s="1335"/>
      <c r="L296" s="1335"/>
      <c r="M296" s="1335"/>
      <c r="N296" s="1335"/>
      <c r="O296" s="1335"/>
      <c r="P296" s="1335"/>
      <c r="Q296" s="1144"/>
      <c r="R296" s="1069"/>
      <c r="S296" s="1069"/>
      <c r="T296" s="1105"/>
    </row>
    <row r="297" spans="1:20">
      <c r="Q297" s="1144"/>
      <c r="R297" s="1069"/>
      <c r="S297" s="1069"/>
      <c r="T297" s="1105"/>
    </row>
    <row r="298" spans="1:20" ht="12.75" customHeight="1">
      <c r="G298" s="1074"/>
      <c r="H298" s="1077"/>
      <c r="I298" s="1077"/>
      <c r="J298" s="1077"/>
      <c r="K298" s="1077"/>
      <c r="L298" s="1077"/>
      <c r="M298" s="1077"/>
      <c r="N298" s="1332" t="s">
        <v>1086</v>
      </c>
      <c r="O298" s="1332"/>
      <c r="P298" s="1332"/>
      <c r="Q298" s="1144"/>
      <c r="R298" s="1069"/>
      <c r="S298" s="1069"/>
      <c r="T298" s="1105"/>
    </row>
    <row r="299" spans="1:20">
      <c r="G299" s="1079"/>
      <c r="H299" s="1080"/>
      <c r="I299" s="1081"/>
      <c r="J299" s="1337" t="s">
        <v>1087</v>
      </c>
      <c r="K299" s="1337"/>
      <c r="L299" s="1337"/>
      <c r="N299" s="1333"/>
      <c r="O299" s="1333"/>
      <c r="P299" s="1333"/>
      <c r="Q299" s="1144"/>
      <c r="R299" s="1069"/>
      <c r="S299" s="1069"/>
      <c r="T299" s="1105"/>
    </row>
    <row r="300" spans="1:20">
      <c r="A300" s="1067" t="s">
        <v>1</v>
      </c>
      <c r="C300" s="1082"/>
      <c r="F300" s="1074"/>
      <c r="G300" s="1067"/>
      <c r="H300" s="1080" t="s">
        <v>495</v>
      </c>
      <c r="I300" s="1081"/>
      <c r="J300" s="1083" t="s">
        <v>609</v>
      </c>
      <c r="K300" s="1084"/>
      <c r="L300" s="1080" t="s">
        <v>6</v>
      </c>
      <c r="N300" s="1078"/>
      <c r="O300" s="1078"/>
      <c r="P300" s="1078"/>
      <c r="Q300" s="1144"/>
      <c r="R300" s="1069"/>
      <c r="S300" s="1069"/>
      <c r="T300" s="1105"/>
    </row>
    <row r="301" spans="1:20">
      <c r="A301" s="1085" t="s">
        <v>2</v>
      </c>
      <c r="B301" s="1074"/>
      <c r="C301" s="1075"/>
      <c r="D301" s="1086" t="s">
        <v>3</v>
      </c>
      <c r="F301" s="1087" t="s">
        <v>4</v>
      </c>
      <c r="G301" s="1074"/>
      <c r="H301" s="1088" t="s">
        <v>196</v>
      </c>
      <c r="I301" s="1078"/>
      <c r="J301" s="1089" t="s">
        <v>1088</v>
      </c>
      <c r="L301" s="1088" t="s">
        <v>1089</v>
      </c>
      <c r="N301" s="1090" t="s">
        <v>980</v>
      </c>
      <c r="O301" s="1083"/>
      <c r="P301" s="1090" t="s">
        <v>1090</v>
      </c>
      <c r="Q301" s="1144"/>
      <c r="R301" s="1069"/>
      <c r="S301" s="1069"/>
      <c r="T301" s="1105"/>
    </row>
    <row r="302" spans="1:20">
      <c r="F302" s="1091"/>
      <c r="G302" s="1074"/>
      <c r="H302" s="1080" t="s">
        <v>1091</v>
      </c>
      <c r="I302" s="1080"/>
      <c r="J302" s="1092" t="s">
        <v>1092</v>
      </c>
      <c r="L302" s="1080" t="s">
        <v>1093</v>
      </c>
      <c r="N302" s="1093" t="s">
        <v>79</v>
      </c>
      <c r="O302" s="1083"/>
      <c r="P302" s="1093" t="s">
        <v>115</v>
      </c>
      <c r="Q302" s="1144"/>
      <c r="R302" s="1069"/>
      <c r="S302" s="1069"/>
      <c r="T302" s="1105"/>
    </row>
    <row r="303" spans="1:20">
      <c r="A303" s="1080"/>
      <c r="B303" s="1105"/>
      <c r="C303" s="1105"/>
      <c r="D303" s="1146" t="s">
        <v>176</v>
      </c>
      <c r="E303" s="1105"/>
      <c r="G303" s="1105"/>
      <c r="H303" s="1105"/>
      <c r="I303" s="1105"/>
      <c r="J303" s="1105"/>
      <c r="K303" s="1105"/>
      <c r="L303" s="1105"/>
      <c r="M303" s="1105"/>
      <c r="N303" s="1105"/>
      <c r="O303" s="1105"/>
      <c r="P303" s="1105"/>
      <c r="Q303" s="1144"/>
      <c r="R303" s="1069"/>
      <c r="S303" s="1069"/>
      <c r="T303" s="1105"/>
    </row>
    <row r="304" spans="1:20">
      <c r="A304" s="1080">
        <f>MAX(A$229:A303)+1</f>
        <v>138</v>
      </c>
      <c r="B304" s="1105"/>
      <c r="C304" s="1105"/>
      <c r="D304" s="1105" t="s">
        <v>200</v>
      </c>
      <c r="E304" s="1105"/>
      <c r="F304" s="1067" t="s">
        <v>201</v>
      </c>
      <c r="G304" s="1105"/>
      <c r="H304" s="1100">
        <v>368.56</v>
      </c>
      <c r="I304" s="1105"/>
      <c r="J304" s="1100">
        <f t="shared" ref="J304" si="17">ROUND(L304,4)-ROUND(H304,4)</f>
        <v>9.9382999999999697</v>
      </c>
      <c r="K304" s="1105"/>
      <c r="L304" s="1100">
        <v>378.49828543743831</v>
      </c>
      <c r="M304" s="1105"/>
      <c r="N304" s="1100">
        <v>378.49828543743831</v>
      </c>
      <c r="O304" s="1105"/>
      <c r="P304" s="1128">
        <v>0</v>
      </c>
      <c r="Q304" s="1144"/>
      <c r="R304" s="1069"/>
      <c r="S304" s="1069"/>
      <c r="T304" s="1105"/>
    </row>
    <row r="305" spans="1:20">
      <c r="A305" s="1080">
        <f>MAX(A$229:A304)+1</f>
        <v>139</v>
      </c>
      <c r="B305" s="1105"/>
      <c r="C305" s="1105"/>
      <c r="D305" s="1105" t="s">
        <v>1142</v>
      </c>
      <c r="E305" s="1105"/>
      <c r="F305" s="1067" t="s">
        <v>204</v>
      </c>
      <c r="G305" s="1105"/>
      <c r="H305" s="1111">
        <v>6.6933999999999996</v>
      </c>
      <c r="I305" s="1111"/>
      <c r="J305" s="1111">
        <v>-0.38679999999999914</v>
      </c>
      <c r="K305" s="1111"/>
      <c r="L305" s="1111">
        <v>6.3065632383093844</v>
      </c>
      <c r="M305" s="1111"/>
      <c r="N305" s="1111">
        <v>6.2930645677360335</v>
      </c>
      <c r="O305" s="1111"/>
      <c r="P305" s="1111">
        <v>1.3498179346379957E-2</v>
      </c>
      <c r="Q305" s="1144"/>
      <c r="R305" s="1069"/>
      <c r="S305" s="1069"/>
      <c r="T305" s="1105"/>
    </row>
    <row r="306" spans="1:20">
      <c r="A306" s="1080"/>
      <c r="B306" s="1105"/>
      <c r="C306" s="1105"/>
      <c r="D306" s="1105"/>
      <c r="E306" s="1105"/>
      <c r="F306" s="1067"/>
      <c r="G306" s="1105"/>
      <c r="H306" s="1111"/>
      <c r="I306" s="1111"/>
      <c r="J306" s="1111"/>
      <c r="K306" s="1111"/>
      <c r="L306" s="1111"/>
      <c r="M306" s="1111"/>
      <c r="N306" s="1111"/>
      <c r="O306" s="1111"/>
      <c r="P306" s="1111"/>
      <c r="Q306" s="1144"/>
      <c r="R306" s="1069"/>
      <c r="S306" s="1069"/>
      <c r="T306" s="1105"/>
    </row>
    <row r="307" spans="1:20">
      <c r="A307" s="1080"/>
      <c r="B307" s="1105"/>
      <c r="C307" s="1105"/>
      <c r="D307" s="1105" t="s">
        <v>1143</v>
      </c>
      <c r="E307" s="1105"/>
      <c r="F307" s="1067"/>
      <c r="G307" s="1105"/>
      <c r="H307" s="1111"/>
      <c r="I307" s="1111"/>
      <c r="J307" s="1111"/>
      <c r="K307" s="1111"/>
      <c r="L307" s="1111"/>
      <c r="M307" s="1111"/>
      <c r="N307" s="1111"/>
      <c r="O307" s="1111"/>
      <c r="P307" s="1111"/>
      <c r="Q307" s="1144"/>
      <c r="R307" s="1069"/>
      <c r="S307" s="1069"/>
      <c r="T307" s="1105"/>
    </row>
    <row r="308" spans="1:20">
      <c r="A308" s="1080">
        <f>MAX(A$229:A307)+1</f>
        <v>140</v>
      </c>
      <c r="B308" s="1105"/>
      <c r="C308" s="1105"/>
      <c r="D308" s="1143" t="s">
        <v>1144</v>
      </c>
      <c r="E308" s="1105"/>
      <c r="F308" s="1138" t="s">
        <v>204</v>
      </c>
      <c r="G308" s="1105"/>
      <c r="H308" s="1147">
        <v>1.4847999999999999</v>
      </c>
      <c r="I308" s="1105"/>
      <c r="J308" s="1128">
        <f t="shared" ref="J308:J309" si="18">ROUND(L308,4)-ROUND(H308,4)</f>
        <v>0</v>
      </c>
      <c r="K308" s="1105"/>
      <c r="L308" s="1147">
        <f>H308</f>
        <v>1.4847999999999999</v>
      </c>
      <c r="M308" s="1105"/>
      <c r="N308" s="1128">
        <v>0</v>
      </c>
      <c r="O308" s="1105"/>
      <c r="P308" s="1147">
        <f>L308</f>
        <v>1.4847999999999999</v>
      </c>
      <c r="Q308" s="1144"/>
      <c r="R308" s="1069"/>
      <c r="S308" s="1069"/>
      <c r="T308" s="1105"/>
    </row>
    <row r="309" spans="1:20">
      <c r="A309" s="1080">
        <f>MAX(A$229:A308)+1</f>
        <v>141</v>
      </c>
      <c r="B309" s="1105"/>
      <c r="C309" s="1105"/>
      <c r="D309" s="1143" t="s">
        <v>1145</v>
      </c>
      <c r="E309" s="1105"/>
      <c r="F309" s="1138" t="s">
        <v>204</v>
      </c>
      <c r="G309" s="1105"/>
      <c r="H309" s="1147">
        <v>675.94839999999999</v>
      </c>
      <c r="I309" s="1105"/>
      <c r="J309" s="1128">
        <f t="shared" si="18"/>
        <v>0</v>
      </c>
      <c r="K309" s="1105"/>
      <c r="L309" s="1147">
        <f>H309</f>
        <v>675.94839999999999</v>
      </c>
      <c r="M309" s="1105"/>
      <c r="N309" s="1128">
        <v>0</v>
      </c>
      <c r="O309" s="1105"/>
      <c r="P309" s="1147">
        <f>L309</f>
        <v>675.94839999999999</v>
      </c>
      <c r="Q309" s="1144"/>
      <c r="R309" s="1069"/>
      <c r="S309" s="1069"/>
      <c r="T309" s="1105"/>
    </row>
    <row r="310" spans="1:20">
      <c r="A310" s="1080"/>
      <c r="B310" s="1105"/>
      <c r="C310" s="1105"/>
      <c r="D310" s="1143"/>
      <c r="E310" s="1105"/>
      <c r="G310" s="1105"/>
      <c r="H310" s="1147"/>
      <c r="I310" s="1105"/>
      <c r="J310" s="1105"/>
      <c r="K310" s="1105"/>
      <c r="L310" s="1105"/>
      <c r="M310" s="1105"/>
      <c r="N310" s="1105"/>
      <c r="O310" s="1105"/>
      <c r="P310" s="1105"/>
      <c r="Q310" s="1144"/>
      <c r="R310" s="1069"/>
      <c r="S310" s="1069"/>
      <c r="T310" s="1105"/>
    </row>
    <row r="311" spans="1:20">
      <c r="A311" s="1080"/>
      <c r="B311" s="1105"/>
      <c r="C311" s="1105"/>
      <c r="D311" s="1146" t="s">
        <v>164</v>
      </c>
      <c r="E311" s="1105"/>
      <c r="G311" s="1105"/>
      <c r="H311" s="1147"/>
      <c r="I311" s="1105"/>
      <c r="J311" s="1105"/>
      <c r="K311" s="1105"/>
      <c r="L311" s="1105"/>
      <c r="M311" s="1105"/>
      <c r="N311" s="1105"/>
      <c r="O311" s="1105"/>
      <c r="P311" s="1105"/>
      <c r="Q311" s="1144"/>
      <c r="R311" s="1069"/>
      <c r="S311" s="1069"/>
      <c r="T311" s="1105"/>
    </row>
    <row r="312" spans="1:20">
      <c r="A312" s="1080">
        <f>MAX(A$229:A311)+1</f>
        <v>142</v>
      </c>
      <c r="B312" s="1105"/>
      <c r="C312" s="1105"/>
      <c r="D312" s="1105" t="s">
        <v>200</v>
      </c>
      <c r="E312" s="1105"/>
      <c r="F312" s="1067" t="s">
        <v>201</v>
      </c>
      <c r="G312" s="1105"/>
      <c r="H312" s="1100">
        <v>1620.86</v>
      </c>
      <c r="I312" s="1105"/>
      <c r="J312" s="1100">
        <f>ROUND(L312,4)-ROUND(H312,4)</f>
        <v>43.706800000000158</v>
      </c>
      <c r="K312" s="1105"/>
      <c r="L312" s="1100">
        <v>1664.5667759228518</v>
      </c>
      <c r="M312" s="1105"/>
      <c r="N312" s="1100">
        <v>1664.5667759228518</v>
      </c>
      <c r="O312" s="1105"/>
      <c r="P312" s="1128">
        <v>0</v>
      </c>
      <c r="Q312" s="1144"/>
      <c r="R312" s="1069"/>
      <c r="S312" s="1069"/>
      <c r="T312" s="1105"/>
    </row>
    <row r="313" spans="1:20">
      <c r="A313" s="1080">
        <f>MAX(A$229:A312)+1</f>
        <v>143</v>
      </c>
      <c r="B313" s="1105"/>
      <c r="C313" s="1105"/>
      <c r="D313" s="1105" t="s">
        <v>221</v>
      </c>
      <c r="E313" s="1105"/>
      <c r="F313" s="1067" t="s">
        <v>222</v>
      </c>
      <c r="G313" s="1105"/>
      <c r="H313" s="1111">
        <v>19.945999999999998</v>
      </c>
      <c r="I313" s="1111"/>
      <c r="J313" s="1111">
        <f>ROUND(L313,4)-ROUND(H313,4)</f>
        <v>-6.7300000000003024E-2</v>
      </c>
      <c r="K313" s="1111"/>
      <c r="L313" s="1111">
        <v>19.878717833610953</v>
      </c>
      <c r="M313" s="1111"/>
      <c r="N313" s="1111">
        <v>19.878717833610953</v>
      </c>
      <c r="O313" s="1111"/>
      <c r="P313" s="1128">
        <v>0</v>
      </c>
      <c r="Q313" s="1144"/>
      <c r="R313" s="1069"/>
      <c r="S313" s="1069"/>
      <c r="T313" s="1105"/>
    </row>
    <row r="314" spans="1:20">
      <c r="A314" s="1080">
        <f>MAX(A$229:A313)+1</f>
        <v>144</v>
      </c>
      <c r="B314" s="1105"/>
      <c r="C314" s="1105"/>
      <c r="D314" s="1105" t="s">
        <v>202</v>
      </c>
      <c r="E314" s="1105"/>
      <c r="F314" s="1067" t="s">
        <v>204</v>
      </c>
      <c r="G314" s="1105"/>
      <c r="H314" s="1111">
        <v>0.28710000000000002</v>
      </c>
      <c r="I314" s="1111"/>
      <c r="J314" s="1111">
        <f>ROUND(L314,4)-ROUND(H314,4)</f>
        <v>-1.4000000000000123E-3</v>
      </c>
      <c r="K314" s="1111"/>
      <c r="L314" s="1111">
        <v>0.28570758708539651</v>
      </c>
      <c r="M314" s="1111"/>
      <c r="N314" s="1111">
        <v>0.28373910259738278</v>
      </c>
      <c r="O314" s="1111"/>
      <c r="P314" s="1128">
        <v>1.9684844880137435E-3</v>
      </c>
      <c r="Q314" s="1144"/>
      <c r="R314" s="1069"/>
      <c r="S314" s="1069"/>
      <c r="T314" s="1105"/>
    </row>
    <row r="315" spans="1:20">
      <c r="A315" s="1080"/>
      <c r="B315" s="1105"/>
      <c r="C315" s="1105"/>
      <c r="E315" s="1105"/>
      <c r="G315" s="1105"/>
      <c r="H315" s="1147"/>
      <c r="I315" s="1105"/>
      <c r="J315" s="1069"/>
      <c r="K315" s="1105"/>
      <c r="L315" s="1147"/>
      <c r="M315" s="1105"/>
      <c r="N315" s="1147"/>
      <c r="O315" s="1105"/>
      <c r="P315" s="1147"/>
      <c r="Q315" s="1144"/>
      <c r="R315" s="1069"/>
      <c r="S315" s="1069"/>
      <c r="T315" s="1105"/>
    </row>
    <row r="316" spans="1:20">
      <c r="A316" s="1080"/>
      <c r="B316" s="1105"/>
      <c r="C316" s="1105"/>
      <c r="D316" s="1105" t="s">
        <v>275</v>
      </c>
      <c r="E316" s="1105"/>
      <c r="G316" s="1105"/>
      <c r="H316" s="1147"/>
      <c r="I316" s="1105"/>
      <c r="J316" s="1105"/>
      <c r="K316" s="1105"/>
      <c r="L316" s="1147"/>
      <c r="M316" s="1105"/>
      <c r="N316" s="1105"/>
      <c r="O316" s="1105"/>
      <c r="P316" s="1105"/>
      <c r="Q316" s="1144"/>
      <c r="R316" s="1069"/>
      <c r="S316" s="1069"/>
      <c r="T316" s="1105"/>
    </row>
    <row r="317" spans="1:20">
      <c r="A317" s="1080">
        <f>MAX(A$229:A316)+1</f>
        <v>145</v>
      </c>
      <c r="B317" s="1105"/>
      <c r="C317" s="1105"/>
      <c r="D317" s="1142" t="s">
        <v>276</v>
      </c>
      <c r="E317" s="1105"/>
      <c r="F317" s="1067" t="s">
        <v>222</v>
      </c>
      <c r="G317" s="1105"/>
      <c r="H317" s="1111">
        <v>75.2744</v>
      </c>
      <c r="I317" s="1111"/>
      <c r="J317" s="1111">
        <f t="shared" ref="J317:J328" si="19">L317-H317</f>
        <v>0.27001309800098738</v>
      </c>
      <c r="K317" s="1105"/>
      <c r="L317" s="1147">
        <v>75.544413098000987</v>
      </c>
      <c r="M317" s="1105"/>
      <c r="N317" s="1147">
        <v>10.283413098000992</v>
      </c>
      <c r="O317" s="1147"/>
      <c r="P317" s="1147">
        <v>65.260999999999996</v>
      </c>
      <c r="Q317" s="1144"/>
      <c r="R317" s="1069"/>
      <c r="S317" s="1069"/>
      <c r="T317" s="1105"/>
    </row>
    <row r="318" spans="1:20">
      <c r="A318" s="1080">
        <f>MAX(A$229:A317)+1</f>
        <v>146</v>
      </c>
      <c r="B318" s="1105"/>
      <c r="C318" s="1105"/>
      <c r="D318" s="1142" t="s">
        <v>277</v>
      </c>
      <c r="E318" s="1105"/>
      <c r="F318" s="1067" t="s">
        <v>222</v>
      </c>
      <c r="G318" s="1105"/>
      <c r="H318" s="1111">
        <v>114.0459</v>
      </c>
      <c r="I318" s="1111"/>
      <c r="J318" s="1111">
        <f t="shared" si="19"/>
        <v>0.2291015322703629</v>
      </c>
      <c r="K318" s="1105"/>
      <c r="L318" s="1147">
        <v>114.27500153227037</v>
      </c>
      <c r="M318" s="1105"/>
      <c r="N318" s="1147">
        <v>8.7253015322703593</v>
      </c>
      <c r="O318" s="1147"/>
      <c r="P318" s="1147">
        <v>105.5497</v>
      </c>
      <c r="Q318" s="1144"/>
      <c r="R318" s="1069"/>
      <c r="S318" s="1069"/>
      <c r="T318" s="1105"/>
    </row>
    <row r="319" spans="1:20">
      <c r="A319" s="1080"/>
      <c r="B319" s="1105"/>
      <c r="C319" s="1105"/>
      <c r="D319" s="1105" t="s">
        <v>1146</v>
      </c>
      <c r="E319" s="1105"/>
      <c r="G319" s="1105"/>
      <c r="H319" s="1111"/>
      <c r="I319" s="1111"/>
      <c r="J319" s="1111"/>
      <c r="K319" s="1105"/>
      <c r="L319" s="1147"/>
      <c r="M319" s="1105"/>
      <c r="N319" s="1147"/>
      <c r="O319" s="1147"/>
      <c r="P319" s="1147"/>
      <c r="Q319" s="1144"/>
      <c r="R319" s="1069"/>
      <c r="S319" s="1069"/>
      <c r="T319" s="1105"/>
    </row>
    <row r="320" spans="1:20">
      <c r="A320" s="1080">
        <f>MAX(A$229:A319)+1</f>
        <v>147</v>
      </c>
      <c r="B320" s="1105"/>
      <c r="C320" s="1105"/>
      <c r="D320" s="1142" t="s">
        <v>276</v>
      </c>
      <c r="E320" s="1105"/>
      <c r="F320" s="1067" t="s">
        <v>204</v>
      </c>
      <c r="G320" s="1105"/>
      <c r="H320" s="1111">
        <v>4.2342000000000004</v>
      </c>
      <c r="I320" s="1111"/>
      <c r="J320" s="1111">
        <f t="shared" si="19"/>
        <v>8.9874933153302194E-3</v>
      </c>
      <c r="K320" s="1105"/>
      <c r="L320" s="1147">
        <v>4.2431874933153306</v>
      </c>
      <c r="M320" s="1105"/>
      <c r="N320" s="1147">
        <v>0.34228749331533048</v>
      </c>
      <c r="O320" s="1147"/>
      <c r="P320" s="1147">
        <v>3.9009000000000005</v>
      </c>
      <c r="Q320" s="1144"/>
      <c r="R320" s="1069"/>
      <c r="S320" s="1069"/>
      <c r="T320" s="1105"/>
    </row>
    <row r="321" spans="1:20">
      <c r="A321" s="1080">
        <f>MAX(A$229:A320)+1</f>
        <v>148</v>
      </c>
      <c r="B321" s="1105"/>
      <c r="C321" s="1105"/>
      <c r="D321" s="1142" t="s">
        <v>277</v>
      </c>
      <c r="E321" s="1105"/>
      <c r="F321" s="1067" t="s">
        <v>204</v>
      </c>
      <c r="G321" s="1105"/>
      <c r="H321" s="1111">
        <v>6.54</v>
      </c>
      <c r="I321" s="1111"/>
      <c r="J321" s="1111">
        <f t="shared" si="19"/>
        <v>7.3210454098777689E-3</v>
      </c>
      <c r="K321" s="1105"/>
      <c r="L321" s="1147">
        <v>6.5473210454098778</v>
      </c>
      <c r="M321" s="1105"/>
      <c r="N321" s="1147">
        <v>0.27882104540987768</v>
      </c>
      <c r="O321" s="1147"/>
      <c r="P321" s="1147">
        <v>6.2685000000000004</v>
      </c>
      <c r="Q321" s="1144"/>
      <c r="R321" s="1069"/>
      <c r="S321" s="1069"/>
      <c r="T321" s="1105"/>
    </row>
    <row r="322" spans="1:20">
      <c r="A322" s="1080"/>
      <c r="B322" s="1105"/>
      <c r="C322" s="1105"/>
      <c r="D322" s="1105" t="s">
        <v>1147</v>
      </c>
      <c r="E322" s="1105"/>
      <c r="G322" s="1105"/>
      <c r="H322" s="1111"/>
      <c r="I322" s="1111"/>
      <c r="J322" s="1111"/>
      <c r="K322" s="1105"/>
      <c r="L322" s="1147"/>
      <c r="M322" s="1105"/>
      <c r="N322" s="1105"/>
      <c r="O322" s="1105"/>
      <c r="P322" s="1105"/>
      <c r="Q322" s="1144"/>
      <c r="R322" s="1069"/>
      <c r="S322" s="1069"/>
      <c r="T322" s="1105"/>
    </row>
    <row r="323" spans="1:20">
      <c r="A323" s="1080">
        <f>MAX(A$229:A322)+1</f>
        <v>149</v>
      </c>
      <c r="B323" s="1105"/>
      <c r="C323" s="1105"/>
      <c r="D323" s="1142" t="s">
        <v>276</v>
      </c>
      <c r="E323" s="1105"/>
      <c r="F323" s="1067" t="s">
        <v>204</v>
      </c>
      <c r="G323" s="1105"/>
      <c r="H323" s="1128">
        <v>0</v>
      </c>
      <c r="I323" s="1128"/>
      <c r="J323" s="1128">
        <f t="shared" si="19"/>
        <v>0</v>
      </c>
      <c r="K323" s="1128"/>
      <c r="L323" s="1128">
        <v>0</v>
      </c>
      <c r="M323" s="1128"/>
      <c r="N323" s="1128">
        <v>0</v>
      </c>
      <c r="O323" s="1128"/>
      <c r="P323" s="1128">
        <v>0</v>
      </c>
      <c r="Q323" s="1144"/>
      <c r="R323" s="1069"/>
      <c r="S323" s="1069"/>
      <c r="T323" s="1105"/>
    </row>
    <row r="324" spans="1:20">
      <c r="A324" s="1080">
        <f>MAX(A$229:A323)+1</f>
        <v>150</v>
      </c>
      <c r="B324" s="1105"/>
      <c r="C324" s="1105"/>
      <c r="D324" s="1142" t="s">
        <v>277</v>
      </c>
      <c r="E324" s="1105"/>
      <c r="F324" s="1067" t="s">
        <v>204</v>
      </c>
      <c r="G324" s="1105"/>
      <c r="H324" s="1128">
        <v>0</v>
      </c>
      <c r="I324" s="1128"/>
      <c r="J324" s="1128">
        <f t="shared" si="19"/>
        <v>0</v>
      </c>
      <c r="K324" s="1128"/>
      <c r="L324" s="1128">
        <v>0</v>
      </c>
      <c r="M324" s="1128"/>
      <c r="N324" s="1128">
        <v>0</v>
      </c>
      <c r="O324" s="1128"/>
      <c r="P324" s="1128">
        <v>0</v>
      </c>
      <c r="Q324" s="1144"/>
      <c r="R324" s="1069"/>
      <c r="S324" s="1069"/>
      <c r="T324" s="1105"/>
    </row>
    <row r="325" spans="1:20">
      <c r="A325" s="1080"/>
      <c r="B325" s="1105"/>
      <c r="C325" s="1105"/>
      <c r="D325" s="1142"/>
      <c r="E325" s="1105"/>
      <c r="F325" s="1067"/>
      <c r="G325" s="1105"/>
      <c r="H325" s="1128"/>
      <c r="I325" s="1128"/>
      <c r="J325" s="1128"/>
      <c r="K325" s="1128"/>
      <c r="L325" s="1128"/>
      <c r="M325" s="1128"/>
      <c r="N325" s="1128"/>
      <c r="O325" s="1128"/>
      <c r="P325" s="1128"/>
      <c r="Q325" s="1144"/>
      <c r="R325" s="1069"/>
      <c r="S325" s="1069"/>
      <c r="T325" s="1105"/>
    </row>
    <row r="326" spans="1:20">
      <c r="A326" s="1080"/>
      <c r="B326" s="1105"/>
      <c r="C326" s="1105"/>
      <c r="D326" s="1105" t="s">
        <v>1148</v>
      </c>
      <c r="E326" s="1105"/>
      <c r="G326" s="1105"/>
      <c r="H326" s="1111"/>
      <c r="I326" s="1111"/>
      <c r="J326" s="1111"/>
      <c r="K326" s="1105"/>
      <c r="L326" s="1147"/>
      <c r="M326" s="1105"/>
      <c r="N326" s="1105"/>
      <c r="O326" s="1105"/>
      <c r="P326" s="1105"/>
      <c r="Q326" s="1144"/>
      <c r="R326" s="1069"/>
      <c r="S326" s="1069"/>
      <c r="T326" s="1105"/>
    </row>
    <row r="327" spans="1:20">
      <c r="A327" s="1080">
        <f>MAX(A$229:A326)+1</f>
        <v>151</v>
      </c>
      <c r="B327" s="1105"/>
      <c r="C327" s="1105"/>
      <c r="D327" s="1142" t="s">
        <v>283</v>
      </c>
      <c r="E327" s="1105"/>
      <c r="F327" s="1067" t="s">
        <v>284</v>
      </c>
      <c r="G327" s="1105"/>
      <c r="H327" s="1148">
        <v>18.835000000000001</v>
      </c>
      <c r="I327" s="1148"/>
      <c r="J327" s="1148">
        <f t="shared" si="19"/>
        <v>0.21264738159224805</v>
      </c>
      <c r="K327" s="1149"/>
      <c r="L327" s="1149">
        <v>19.047647381592249</v>
      </c>
      <c r="M327" s="1149"/>
      <c r="N327" s="1149">
        <v>8.0986473815922491</v>
      </c>
      <c r="O327" s="1149"/>
      <c r="P327" s="1149">
        <v>10.949000000000002</v>
      </c>
      <c r="Q327" s="1144"/>
      <c r="R327" s="1069"/>
      <c r="S327" s="1069"/>
      <c r="T327" s="1105"/>
    </row>
    <row r="328" spans="1:20">
      <c r="A328" s="1080">
        <f>MAX(A$229:A327)+1</f>
        <v>152</v>
      </c>
      <c r="B328" s="1105"/>
      <c r="C328" s="1105"/>
      <c r="D328" s="1142" t="s">
        <v>285</v>
      </c>
      <c r="E328" s="1105"/>
      <c r="F328" s="1083" t="s">
        <v>286</v>
      </c>
      <c r="G328" s="1105"/>
      <c r="H328" s="1148">
        <v>0.24</v>
      </c>
      <c r="I328" s="1148"/>
      <c r="J328" s="1148">
        <f t="shared" si="19"/>
        <v>5.6175959536814701E-3</v>
      </c>
      <c r="K328" s="1149"/>
      <c r="L328" s="1149">
        <v>0.24561759595368146</v>
      </c>
      <c r="M328" s="1149"/>
      <c r="N328" s="1149">
        <v>0.14685602023430022</v>
      </c>
      <c r="O328" s="1149"/>
      <c r="P328" s="1149">
        <v>9.8761575719381239E-2</v>
      </c>
      <c r="Q328" s="1144"/>
      <c r="R328" s="1069"/>
      <c r="S328" s="1069"/>
      <c r="T328" s="1105"/>
    </row>
    <row r="329" spans="1:20">
      <c r="A329" s="1080"/>
      <c r="B329" s="1105"/>
      <c r="C329" s="1105"/>
      <c r="D329" s="1142"/>
      <c r="E329" s="1105"/>
      <c r="G329" s="1105"/>
      <c r="H329" s="1147"/>
      <c r="I329" s="1105"/>
      <c r="J329" s="1069"/>
      <c r="K329" s="1105"/>
      <c r="L329" s="1147"/>
      <c r="M329" s="1105"/>
      <c r="N329" s="1105"/>
      <c r="O329" s="1105"/>
      <c r="P329" s="1105"/>
      <c r="Q329" s="1144"/>
      <c r="R329" s="1069"/>
      <c r="S329" s="1069"/>
      <c r="T329" s="1105"/>
    </row>
    <row r="330" spans="1:20">
      <c r="A330" s="1080">
        <f>MAX(A$229:A329)+1</f>
        <v>153</v>
      </c>
      <c r="B330" s="1105"/>
      <c r="C330" s="1105"/>
      <c r="D330" s="1143" t="s">
        <v>256</v>
      </c>
      <c r="E330" s="1105"/>
      <c r="F330" s="1067" t="s">
        <v>204</v>
      </c>
      <c r="G330" s="1105"/>
      <c r="H330" s="1111">
        <v>17.706099999999999</v>
      </c>
      <c r="I330" s="1111"/>
      <c r="J330" s="1111">
        <f t="shared" ref="J330:J331" si="20">ROUND(L330,4)-ROUND(H330,4)</f>
        <v>5.6000000000011596E-3</v>
      </c>
      <c r="K330" s="1111"/>
      <c r="L330" s="1111">
        <v>17.711722239292669</v>
      </c>
      <c r="M330" s="1111"/>
      <c r="N330" s="1111">
        <v>0.21412223929266841</v>
      </c>
      <c r="O330" s="1111"/>
      <c r="P330" s="1111">
        <v>17.497599999999998</v>
      </c>
      <c r="Q330" s="1144"/>
      <c r="R330" s="1069"/>
      <c r="S330" s="1069"/>
      <c r="T330" s="1105"/>
    </row>
    <row r="331" spans="1:20">
      <c r="A331" s="1080">
        <f>MAX(A$229:A330)+1</f>
        <v>154</v>
      </c>
      <c r="B331" s="1105"/>
      <c r="C331" s="1105"/>
      <c r="D331" s="1143" t="s">
        <v>257</v>
      </c>
      <c r="E331" s="1105"/>
      <c r="F331" s="1067" t="s">
        <v>204</v>
      </c>
      <c r="G331" s="1105"/>
      <c r="H331" s="1111">
        <v>20.172700000000003</v>
      </c>
      <c r="I331" s="1111"/>
      <c r="J331" s="1111">
        <f t="shared" si="20"/>
        <v>5.6000000000011596E-3</v>
      </c>
      <c r="K331" s="1111"/>
      <c r="L331" s="1111">
        <v>20.178322239292669</v>
      </c>
      <c r="M331" s="1111"/>
      <c r="N331" s="1111">
        <v>0.21412223929266849</v>
      </c>
      <c r="O331" s="1111"/>
      <c r="P331" s="1111">
        <v>19.964200000000002</v>
      </c>
      <c r="Q331" s="1144"/>
      <c r="R331" s="1069"/>
      <c r="S331" s="1069"/>
      <c r="T331" s="1105"/>
    </row>
    <row r="332" spans="1:20">
      <c r="A332" s="1080"/>
      <c r="B332" s="1105"/>
      <c r="C332" s="1105"/>
      <c r="D332" s="1142"/>
      <c r="E332" s="1105"/>
      <c r="G332" s="1105"/>
      <c r="H332" s="1147"/>
      <c r="I332" s="1105"/>
      <c r="J332" s="1069"/>
      <c r="K332" s="1105"/>
      <c r="L332" s="1147"/>
      <c r="M332" s="1105"/>
      <c r="N332" s="1105"/>
      <c r="O332" s="1105"/>
      <c r="P332" s="1105"/>
      <c r="Q332" s="1144"/>
      <c r="R332" s="1069"/>
      <c r="S332" s="1069"/>
      <c r="T332" s="1105"/>
    </row>
    <row r="333" spans="1:20">
      <c r="A333" s="1080"/>
      <c r="B333" s="1105"/>
      <c r="C333" s="1105"/>
      <c r="E333" s="1105"/>
      <c r="F333" s="1147"/>
      <c r="G333" s="1105"/>
      <c r="H333" s="1145"/>
      <c r="I333" s="1105"/>
      <c r="J333" s="1105"/>
      <c r="K333" s="1105"/>
      <c r="L333" s="1105"/>
      <c r="M333" s="1105"/>
      <c r="N333" s="1105"/>
      <c r="O333" s="1105"/>
      <c r="P333" s="1105"/>
      <c r="Q333" s="1144"/>
      <c r="R333" s="1105"/>
      <c r="S333" s="1105"/>
      <c r="T333" s="1105"/>
    </row>
    <row r="334" spans="1:20">
      <c r="A334" s="1080"/>
      <c r="B334" s="1105"/>
      <c r="C334" s="1105"/>
      <c r="D334" s="1142"/>
      <c r="E334" s="1105"/>
      <c r="F334" s="1147"/>
      <c r="G334" s="1105"/>
      <c r="H334" s="1145"/>
      <c r="I334" s="1105"/>
      <c r="J334" s="1105"/>
      <c r="K334" s="1105"/>
      <c r="L334" s="1105"/>
      <c r="M334" s="1105"/>
      <c r="N334" s="1105"/>
      <c r="O334" s="1105"/>
      <c r="P334" s="1105"/>
      <c r="Q334" s="1144"/>
      <c r="R334" s="1105"/>
      <c r="S334" s="1105"/>
      <c r="T334" s="1105"/>
    </row>
    <row r="335" spans="1:20">
      <c r="A335" s="1080"/>
      <c r="B335" s="1105"/>
      <c r="C335" s="1105"/>
      <c r="D335" s="1142"/>
      <c r="E335" s="1105"/>
      <c r="F335" s="1147"/>
      <c r="G335" s="1105"/>
      <c r="H335" s="1145"/>
      <c r="I335" s="1105"/>
      <c r="J335" s="1105"/>
      <c r="K335" s="1105"/>
      <c r="L335" s="1105"/>
      <c r="M335" s="1105"/>
      <c r="N335" s="1105"/>
      <c r="O335" s="1105"/>
      <c r="P335" s="1105"/>
      <c r="Q335" s="1144"/>
      <c r="R335" s="1105"/>
      <c r="S335" s="1105"/>
      <c r="T335" s="1105"/>
    </row>
    <row r="336" spans="1:20">
      <c r="A336" s="1080"/>
      <c r="B336" s="1105"/>
      <c r="C336" s="1105"/>
      <c r="D336" s="1142"/>
      <c r="E336" s="1105"/>
      <c r="F336" s="1147"/>
      <c r="G336" s="1105"/>
      <c r="H336" s="1145"/>
      <c r="I336" s="1105"/>
      <c r="J336" s="1105"/>
      <c r="K336" s="1105"/>
      <c r="L336" s="1105"/>
      <c r="M336" s="1105"/>
      <c r="N336" s="1105"/>
      <c r="O336" s="1105"/>
      <c r="P336" s="1105"/>
      <c r="Q336" s="1144"/>
      <c r="R336" s="1105"/>
      <c r="S336" s="1105"/>
      <c r="T336" s="1105"/>
    </row>
    <row r="337" spans="1:20">
      <c r="A337" s="1080"/>
      <c r="B337" s="1105"/>
      <c r="C337" s="1105"/>
      <c r="D337" s="1142"/>
      <c r="E337" s="1105"/>
      <c r="F337" s="1147"/>
      <c r="G337" s="1105"/>
      <c r="H337" s="1145"/>
      <c r="I337" s="1105"/>
      <c r="J337" s="1105"/>
      <c r="K337" s="1105"/>
      <c r="L337" s="1105"/>
      <c r="M337" s="1105"/>
      <c r="N337" s="1105"/>
      <c r="O337" s="1105"/>
      <c r="P337" s="1105"/>
      <c r="Q337" s="1144"/>
      <c r="R337" s="1105"/>
      <c r="S337" s="1105"/>
      <c r="T337" s="1105"/>
    </row>
    <row r="338" spans="1:20">
      <c r="A338" s="1336"/>
      <c r="B338" s="1336"/>
      <c r="C338" s="1336"/>
      <c r="D338" s="1335"/>
      <c r="E338" s="1335"/>
      <c r="F338" s="1335"/>
      <c r="G338" s="1335"/>
      <c r="H338" s="1335"/>
      <c r="I338" s="1335"/>
      <c r="J338" s="1335"/>
      <c r="K338" s="1335"/>
      <c r="L338" s="1335"/>
      <c r="M338" s="1335"/>
      <c r="N338" s="1335"/>
      <c r="O338" s="1335"/>
      <c r="P338" s="1335"/>
      <c r="T338" s="1105"/>
    </row>
    <row r="339" spans="1:20">
      <c r="A339" s="1336" t="s">
        <v>1109</v>
      </c>
      <c r="B339" s="1336"/>
      <c r="C339" s="1336"/>
      <c r="D339" s="1335"/>
      <c r="E339" s="1335"/>
      <c r="F339" s="1335"/>
      <c r="G339" s="1335"/>
      <c r="H339" s="1335"/>
      <c r="I339" s="1335"/>
      <c r="J339" s="1335"/>
      <c r="K339" s="1335"/>
      <c r="L339" s="1335"/>
      <c r="M339" s="1335"/>
      <c r="N339" s="1335"/>
      <c r="O339" s="1335"/>
      <c r="P339" s="1335"/>
      <c r="T339" s="1105"/>
    </row>
    <row r="340" spans="1:20">
      <c r="A340" s="1334" t="s">
        <v>177</v>
      </c>
      <c r="B340" s="1335"/>
      <c r="C340" s="1335"/>
      <c r="D340" s="1335"/>
      <c r="E340" s="1335"/>
      <c r="F340" s="1335"/>
      <c r="G340" s="1335"/>
      <c r="H340" s="1335"/>
      <c r="I340" s="1335"/>
      <c r="J340" s="1335"/>
      <c r="K340" s="1335"/>
      <c r="L340" s="1335"/>
      <c r="M340" s="1335"/>
      <c r="N340" s="1335"/>
      <c r="O340" s="1335"/>
      <c r="P340" s="1335"/>
      <c r="T340" s="1105"/>
    </row>
    <row r="341" spans="1:20">
      <c r="A341" s="1080"/>
      <c r="B341" s="1082"/>
      <c r="T341" s="1105"/>
    </row>
    <row r="342" spans="1:20" ht="12.75" customHeight="1">
      <c r="A342" s="1080"/>
      <c r="G342" s="1074"/>
      <c r="H342" s="1077"/>
      <c r="I342" s="1077"/>
      <c r="J342" s="1077"/>
      <c r="K342" s="1077"/>
      <c r="L342" s="1077"/>
      <c r="M342" s="1077"/>
      <c r="N342" s="1332" t="s">
        <v>1086</v>
      </c>
      <c r="O342" s="1332"/>
      <c r="P342" s="1332"/>
      <c r="Q342" s="1078"/>
      <c r="T342" s="1105"/>
    </row>
    <row r="343" spans="1:20">
      <c r="A343" s="1080"/>
      <c r="G343" s="1079"/>
      <c r="H343" s="1080"/>
      <c r="I343" s="1081"/>
      <c r="J343" s="1337" t="s">
        <v>1087</v>
      </c>
      <c r="K343" s="1337"/>
      <c r="L343" s="1337"/>
      <c r="N343" s="1333"/>
      <c r="O343" s="1333"/>
      <c r="P343" s="1333"/>
      <c r="Q343" s="1078"/>
      <c r="T343" s="1105"/>
    </row>
    <row r="344" spans="1:20">
      <c r="A344" s="1080" t="s">
        <v>1</v>
      </c>
      <c r="C344" s="1082"/>
      <c r="F344" s="1074"/>
      <c r="G344" s="1067"/>
      <c r="H344" s="1080" t="s">
        <v>495</v>
      </c>
      <c r="I344" s="1081"/>
      <c r="J344" s="1083" t="s">
        <v>609</v>
      </c>
      <c r="K344" s="1084"/>
      <c r="L344" s="1080" t="s">
        <v>6</v>
      </c>
      <c r="N344" s="1078"/>
      <c r="O344" s="1078"/>
      <c r="P344" s="1078"/>
      <c r="Q344" s="1078"/>
      <c r="T344" s="1105"/>
    </row>
    <row r="345" spans="1:20">
      <c r="A345" s="1085" t="s">
        <v>2</v>
      </c>
      <c r="B345" s="1074"/>
      <c r="C345" s="1075"/>
      <c r="D345" s="1086" t="s">
        <v>3</v>
      </c>
      <c r="F345" s="1087" t="s">
        <v>4</v>
      </c>
      <c r="G345" s="1074"/>
      <c r="H345" s="1088" t="s">
        <v>196</v>
      </c>
      <c r="I345" s="1078"/>
      <c r="J345" s="1089" t="s">
        <v>1088</v>
      </c>
      <c r="L345" s="1088" t="s">
        <v>1089</v>
      </c>
      <c r="N345" s="1090" t="s">
        <v>980</v>
      </c>
      <c r="O345" s="1083"/>
      <c r="P345" s="1090" t="s">
        <v>1090</v>
      </c>
      <c r="Q345" s="1083"/>
      <c r="T345" s="1105"/>
    </row>
    <row r="346" spans="1:20">
      <c r="A346" s="1080"/>
      <c r="F346" s="1091"/>
      <c r="G346" s="1074"/>
      <c r="H346" s="1080" t="s">
        <v>1091</v>
      </c>
      <c r="I346" s="1080"/>
      <c r="J346" s="1092" t="s">
        <v>1092</v>
      </c>
      <c r="L346" s="1080" t="s">
        <v>1093</v>
      </c>
      <c r="N346" s="1093" t="s">
        <v>79</v>
      </c>
      <c r="O346" s="1083"/>
      <c r="P346" s="1093" t="s">
        <v>115</v>
      </c>
      <c r="Q346" s="1093"/>
      <c r="T346" s="1105"/>
    </row>
    <row r="347" spans="1:20">
      <c r="A347" s="1080"/>
      <c r="D347" s="1146" t="s">
        <v>178</v>
      </c>
      <c r="F347" s="1091"/>
      <c r="G347" s="1074"/>
      <c r="H347" s="1080"/>
      <c r="I347" s="1080"/>
      <c r="J347" s="1092"/>
      <c r="L347" s="1080"/>
      <c r="N347" s="1093"/>
      <c r="O347" s="1083"/>
      <c r="P347" s="1093"/>
      <c r="Q347" s="1093"/>
      <c r="T347" s="1105"/>
    </row>
    <row r="348" spans="1:20">
      <c r="A348" s="1080">
        <f>MAX(A$229:A347)+1</f>
        <v>155</v>
      </c>
      <c r="B348" s="1105"/>
      <c r="C348" s="1105"/>
      <c r="D348" s="1105" t="s">
        <v>200</v>
      </c>
      <c r="E348" s="1105"/>
      <c r="F348" s="1067" t="s">
        <v>201</v>
      </c>
      <c r="G348" s="1105"/>
      <c r="H348" s="1100">
        <v>22.98</v>
      </c>
      <c r="I348" s="1105"/>
      <c r="J348" s="1100">
        <f t="shared" ref="J348:J355" si="21">ROUND(L348,4)-ROUND(H348,4)</f>
        <v>2.8719999999999999</v>
      </c>
      <c r="K348" s="1105"/>
      <c r="L348" s="1100">
        <v>25.852025503389029</v>
      </c>
      <c r="M348" s="1105"/>
      <c r="N348" s="1100">
        <v>25.852025503389029</v>
      </c>
      <c r="O348" s="1105"/>
      <c r="P348" s="1128">
        <v>0</v>
      </c>
      <c r="Q348" s="1144"/>
      <c r="R348" s="1069"/>
      <c r="S348" s="1069"/>
      <c r="T348" s="1105"/>
    </row>
    <row r="349" spans="1:20">
      <c r="A349" s="1080"/>
      <c r="B349" s="1105"/>
      <c r="C349" s="1105"/>
      <c r="D349" s="1105" t="s">
        <v>202</v>
      </c>
      <c r="E349" s="1105"/>
      <c r="F349" s="1147"/>
      <c r="G349" s="1105"/>
      <c r="H349" s="1100"/>
      <c r="I349" s="1105"/>
      <c r="J349" s="1100"/>
      <c r="K349" s="1105"/>
      <c r="L349" s="1100"/>
      <c r="M349" s="1105"/>
      <c r="N349" s="1100"/>
      <c r="O349" s="1105"/>
      <c r="P349" s="1100"/>
      <c r="Q349" s="1144"/>
      <c r="R349" s="1069"/>
      <c r="S349" s="1069"/>
      <c r="T349" s="1105"/>
    </row>
    <row r="350" spans="1:20" ht="14.25">
      <c r="A350" s="1080">
        <f>MAX(A$229:A349)+1</f>
        <v>156</v>
      </c>
      <c r="B350" s="1105"/>
      <c r="C350" s="1105"/>
      <c r="D350" s="1105" t="s">
        <v>1149</v>
      </c>
      <c r="E350" s="1105"/>
      <c r="F350" s="1067" t="s">
        <v>204</v>
      </c>
      <c r="G350" s="1105"/>
      <c r="H350" s="1111">
        <v>6.5343999999999998</v>
      </c>
      <c r="I350" s="1111"/>
      <c r="J350" s="1111">
        <f t="shared" si="21"/>
        <v>-0.62589999999999968</v>
      </c>
      <c r="K350" s="1111"/>
      <c r="L350" s="1111">
        <v>5.9085227076981033</v>
      </c>
      <c r="M350" s="1111"/>
      <c r="N350" s="1111">
        <v>5.7623327542666472</v>
      </c>
      <c r="O350" s="1111"/>
      <c r="P350" s="1111">
        <v>0.14618995343145674</v>
      </c>
      <c r="Q350" s="1144"/>
      <c r="R350" s="1069"/>
      <c r="S350" s="1069"/>
      <c r="T350" s="1105"/>
    </row>
    <row r="351" spans="1:20" ht="14.25">
      <c r="A351" s="1080">
        <f>MAX(A$229:A350)+1</f>
        <v>157</v>
      </c>
      <c r="B351" s="1105"/>
      <c r="C351" s="1105"/>
      <c r="D351" s="1082" t="s">
        <v>1150</v>
      </c>
      <c r="E351" s="1105"/>
      <c r="F351" s="1067" t="s">
        <v>204</v>
      </c>
      <c r="G351" s="1105"/>
      <c r="H351" s="1111">
        <v>6.2202999999999999</v>
      </c>
      <c r="I351" s="1111"/>
      <c r="J351" s="1111">
        <f t="shared" si="21"/>
        <v>-0.58370000000000033</v>
      </c>
      <c r="K351" s="1111"/>
      <c r="L351" s="1111">
        <v>5.6365823289705306</v>
      </c>
      <c r="M351" s="1111"/>
      <c r="N351" s="1111">
        <v>5.4903923755390744</v>
      </c>
      <c r="O351" s="1111"/>
      <c r="P351" s="1111">
        <v>0.14618995343145672</v>
      </c>
      <c r="Q351" s="1144"/>
      <c r="R351" s="1069"/>
      <c r="S351" s="1069"/>
      <c r="T351" s="1105"/>
    </row>
    <row r="352" spans="1:20" ht="14.25">
      <c r="A352" s="1080">
        <f>MAX(A$229:A351)+1</f>
        <v>158</v>
      </c>
      <c r="B352" s="1105"/>
      <c r="C352" s="1105"/>
      <c r="D352" s="1082" t="s">
        <v>1151</v>
      </c>
      <c r="E352" s="1105"/>
      <c r="F352" s="1067" t="s">
        <v>204</v>
      </c>
      <c r="G352" s="1105"/>
      <c r="H352" s="1111">
        <v>5.4088000000000003</v>
      </c>
      <c r="I352" s="1111"/>
      <c r="J352" s="1111">
        <f t="shared" si="21"/>
        <v>-0.47480000000000011</v>
      </c>
      <c r="K352" s="1111"/>
      <c r="L352" s="1111">
        <v>4.9340354517517584</v>
      </c>
      <c r="M352" s="1111"/>
      <c r="N352" s="1111">
        <v>4.7878454983203005</v>
      </c>
      <c r="O352" s="1111"/>
      <c r="P352" s="1111">
        <v>0.14618995343145674</v>
      </c>
      <c r="Q352" s="1144"/>
      <c r="R352" s="1069"/>
      <c r="S352" s="1069"/>
      <c r="T352" s="1105"/>
    </row>
    <row r="353" spans="1:20">
      <c r="A353" s="1080"/>
      <c r="B353" s="1105"/>
      <c r="C353" s="1105"/>
      <c r="E353" s="1105"/>
      <c r="F353" s="1147"/>
      <c r="G353" s="1105"/>
      <c r="H353" s="1145"/>
      <c r="I353" s="1105"/>
      <c r="J353" s="1069"/>
      <c r="K353" s="1105"/>
      <c r="L353" s="1145"/>
      <c r="M353" s="1105"/>
      <c r="N353" s="1145"/>
      <c r="O353" s="1105"/>
      <c r="P353" s="1147"/>
      <c r="Q353" s="1144"/>
      <c r="R353" s="1069"/>
      <c r="S353" s="1069"/>
      <c r="T353" s="1105"/>
    </row>
    <row r="354" spans="1:20">
      <c r="A354" s="1080">
        <f>MAX(A$229:A353)+1</f>
        <v>159</v>
      </c>
      <c r="B354" s="1105"/>
      <c r="C354" s="1105"/>
      <c r="D354" s="1105" t="s">
        <v>296</v>
      </c>
      <c r="E354" s="1105"/>
      <c r="F354" s="1067" t="s">
        <v>204</v>
      </c>
      <c r="G354" s="1105"/>
      <c r="H354" s="1111">
        <v>0.90249999999999997</v>
      </c>
      <c r="I354" s="1111"/>
      <c r="J354" s="1111">
        <f t="shared" si="21"/>
        <v>2.750000000000008E-2</v>
      </c>
      <c r="K354" s="1111"/>
      <c r="L354" s="1111">
        <v>0.92997784334071742</v>
      </c>
      <c r="M354" s="1111"/>
      <c r="N354" s="1111">
        <v>0.87476893731172678</v>
      </c>
      <c r="O354" s="1111"/>
      <c r="P354" s="1111">
        <v>5.5208906028990777E-2</v>
      </c>
      <c r="Q354" s="1144"/>
      <c r="R354" s="1069"/>
      <c r="S354" s="1069"/>
      <c r="T354" s="1105"/>
    </row>
    <row r="355" spans="1:20">
      <c r="A355" s="1080">
        <f>MAX(A$229:A354)+1</f>
        <v>160</v>
      </c>
      <c r="B355" s="1105"/>
      <c r="C355" s="1105"/>
      <c r="D355" s="1105" t="s">
        <v>211</v>
      </c>
      <c r="E355" s="1105"/>
      <c r="F355" s="1067" t="s">
        <v>204</v>
      </c>
      <c r="G355" s="1105"/>
      <c r="H355" s="1111">
        <v>20.538400000000003</v>
      </c>
      <c r="I355" s="1111"/>
      <c r="J355" s="1111">
        <f t="shared" si="21"/>
        <v>-1.9999999999988916E-3</v>
      </c>
      <c r="K355" s="1111"/>
      <c r="L355" s="1111">
        <v>20.536407273459339</v>
      </c>
      <c r="M355" s="1111"/>
      <c r="N355" s="1111">
        <v>-7.5892726540662842E-2</v>
      </c>
      <c r="O355" s="1111"/>
      <c r="P355" s="1111">
        <v>20.612300000000001</v>
      </c>
      <c r="Q355" s="1144"/>
      <c r="R355" s="1069"/>
      <c r="S355" s="1069"/>
      <c r="T355" s="1105"/>
    </row>
    <row r="356" spans="1:20">
      <c r="A356" s="1080"/>
      <c r="B356" s="1105"/>
      <c r="C356" s="1105"/>
      <c r="E356" s="1105"/>
      <c r="F356" s="1147"/>
      <c r="G356" s="1105"/>
      <c r="H356" s="1145"/>
      <c r="I356" s="1105"/>
      <c r="J356" s="1069"/>
      <c r="K356" s="1105"/>
      <c r="L356" s="1145"/>
      <c r="M356" s="1105"/>
      <c r="N356" s="1105"/>
      <c r="O356" s="1105"/>
      <c r="P356" s="1105"/>
      <c r="Q356" s="1144"/>
      <c r="R356" s="1105"/>
      <c r="S356" s="1105"/>
      <c r="T356" s="1105"/>
    </row>
    <row r="357" spans="1:20">
      <c r="A357" s="1080"/>
      <c r="B357" s="1105"/>
      <c r="C357" s="1105"/>
      <c r="D357" s="1146" t="s">
        <v>179</v>
      </c>
      <c r="E357" s="1105"/>
      <c r="F357" s="1147"/>
      <c r="G357" s="1105"/>
      <c r="H357" s="1145"/>
      <c r="I357" s="1105"/>
      <c r="J357" s="1069"/>
      <c r="K357" s="1105"/>
      <c r="L357" s="1145"/>
      <c r="M357" s="1105"/>
      <c r="N357" s="1105"/>
      <c r="O357" s="1105"/>
      <c r="P357" s="1105"/>
      <c r="Q357" s="1144"/>
      <c r="R357" s="1105"/>
      <c r="S357" s="1105"/>
      <c r="T357" s="1105"/>
    </row>
    <row r="358" spans="1:20">
      <c r="A358" s="1080">
        <f>MAX(A$229:A357)+1</f>
        <v>161</v>
      </c>
      <c r="B358" s="1105"/>
      <c r="C358" s="1105"/>
      <c r="D358" s="1105" t="s">
        <v>200</v>
      </c>
      <c r="E358" s="1105"/>
      <c r="F358" s="1067" t="s">
        <v>201</v>
      </c>
      <c r="G358" s="1105"/>
      <c r="H358" s="1100">
        <v>76.58</v>
      </c>
      <c r="I358" s="1105"/>
      <c r="J358" s="1100">
        <f t="shared" ref="J358:J366" si="22">ROUND(L358,4)-ROUND(H358,4)</f>
        <v>2.0649999999999977</v>
      </c>
      <c r="K358" s="1105"/>
      <c r="L358" s="1100">
        <v>78.64499321358538</v>
      </c>
      <c r="M358" s="1105"/>
      <c r="N358" s="1100">
        <v>78.64499321358538</v>
      </c>
      <c r="O358" s="1105"/>
      <c r="P358" s="1128">
        <v>0</v>
      </c>
      <c r="Q358" s="1144"/>
      <c r="R358" s="1069"/>
      <c r="S358" s="1069"/>
      <c r="T358" s="1105"/>
    </row>
    <row r="359" spans="1:20">
      <c r="A359" s="1080"/>
      <c r="B359" s="1105"/>
      <c r="C359" s="1105"/>
      <c r="D359" s="1105" t="s">
        <v>202</v>
      </c>
      <c r="E359" s="1105"/>
      <c r="F359" s="1147"/>
      <c r="G359" s="1105"/>
      <c r="H359" s="1100"/>
      <c r="I359" s="1105"/>
      <c r="J359" s="1100"/>
      <c r="K359" s="1105"/>
      <c r="L359" s="1100"/>
      <c r="M359" s="1105"/>
      <c r="N359" s="1100"/>
      <c r="O359" s="1105"/>
      <c r="P359" s="1100"/>
      <c r="Q359" s="1144"/>
      <c r="R359" s="1069"/>
      <c r="S359" s="1069"/>
      <c r="T359" s="1105"/>
    </row>
    <row r="360" spans="1:20" ht="14.25">
      <c r="A360" s="1080">
        <f>MAX(A$229:A359)+1</f>
        <v>162</v>
      </c>
      <c r="B360" s="1105"/>
      <c r="C360" s="1105"/>
      <c r="D360" s="1105" t="s">
        <v>1152</v>
      </c>
      <c r="E360" s="1105"/>
      <c r="F360" s="1067" t="s">
        <v>204</v>
      </c>
      <c r="G360" s="1105"/>
      <c r="H360" s="1111">
        <v>6.2404000000000002</v>
      </c>
      <c r="I360" s="1111"/>
      <c r="J360" s="1111">
        <f t="shared" si="22"/>
        <v>-0.26989999999999981</v>
      </c>
      <c r="K360" s="1111"/>
      <c r="L360" s="1111">
        <v>5.9705284288366762</v>
      </c>
      <c r="M360" s="1111"/>
      <c r="N360" s="1111">
        <v>5.8638451177126871</v>
      </c>
      <c r="O360" s="1111"/>
      <c r="P360" s="1111">
        <v>0.10668331112399047</v>
      </c>
      <c r="Q360" s="1144"/>
      <c r="R360" s="1069"/>
      <c r="S360" s="1069"/>
      <c r="T360" s="1105"/>
    </row>
    <row r="361" spans="1:20" ht="14.25">
      <c r="A361" s="1080">
        <f>MAX(A$229:A360)+1</f>
        <v>163</v>
      </c>
      <c r="B361" s="1105"/>
      <c r="C361" s="1105"/>
      <c r="D361" s="1082" t="s">
        <v>1153</v>
      </c>
      <c r="E361" s="1105"/>
      <c r="F361" s="1067" t="s">
        <v>204</v>
      </c>
      <c r="G361" s="1105"/>
      <c r="H361" s="1111">
        <v>6.1308000000000007</v>
      </c>
      <c r="I361" s="1111"/>
      <c r="J361" s="1111">
        <f t="shared" si="22"/>
        <v>-0.26449999999999996</v>
      </c>
      <c r="K361" s="1111"/>
      <c r="L361" s="1111">
        <v>5.8662850708670167</v>
      </c>
      <c r="M361" s="1111"/>
      <c r="N361" s="1111">
        <v>5.7596017597430258</v>
      </c>
      <c r="O361" s="1111"/>
      <c r="P361" s="1111">
        <v>0.10668331112399046</v>
      </c>
      <c r="Q361" s="1144"/>
      <c r="R361" s="1069"/>
      <c r="S361" s="1069"/>
      <c r="T361" s="1105"/>
    </row>
    <row r="362" spans="1:20" ht="14.25">
      <c r="A362" s="1080">
        <f>MAX(A$229:A361)+1</f>
        <v>164</v>
      </c>
      <c r="B362" s="1105"/>
      <c r="C362" s="1105"/>
      <c r="D362" s="1082" t="s">
        <v>1154</v>
      </c>
      <c r="E362" s="1105"/>
      <c r="F362" s="1067" t="s">
        <v>204</v>
      </c>
      <c r="G362" s="1105"/>
      <c r="H362" s="1111">
        <v>5.7571000000000003</v>
      </c>
      <c r="I362" s="1111"/>
      <c r="J362" s="1111">
        <f t="shared" si="22"/>
        <v>-0.24820000000000064</v>
      </c>
      <c r="K362" s="1111"/>
      <c r="L362" s="1111">
        <v>5.5089248380156688</v>
      </c>
      <c r="M362" s="1111"/>
      <c r="N362" s="1111">
        <v>5.402241526891677</v>
      </c>
      <c r="O362" s="1111"/>
      <c r="P362" s="1111">
        <v>0.10668331112399047</v>
      </c>
      <c r="Q362" s="1144"/>
      <c r="R362" s="1069"/>
      <c r="S362" s="1069"/>
      <c r="T362" s="1105"/>
    </row>
    <row r="363" spans="1:20" ht="14.25">
      <c r="A363" s="1080">
        <f>MAX(A$229:A362)+1</f>
        <v>165</v>
      </c>
      <c r="B363" s="1105"/>
      <c r="C363" s="1105"/>
      <c r="D363" s="1082" t="s">
        <v>1155</v>
      </c>
      <c r="E363" s="1105"/>
      <c r="F363" s="1067" t="s">
        <v>204</v>
      </c>
      <c r="G363" s="1105"/>
      <c r="H363" s="1111">
        <v>5.3672000000000004</v>
      </c>
      <c r="I363" s="1111"/>
      <c r="J363" s="1111">
        <f t="shared" si="22"/>
        <v>-0.22910000000000075</v>
      </c>
      <c r="K363" s="1111"/>
      <c r="L363" s="1111">
        <v>5.1381480843504548</v>
      </c>
      <c r="M363" s="1111"/>
      <c r="N363" s="1111">
        <v>5.0314647732264639</v>
      </c>
      <c r="O363" s="1111"/>
      <c r="P363" s="1111">
        <v>0.10668331112399052</v>
      </c>
      <c r="Q363" s="1144"/>
      <c r="R363" s="1069"/>
      <c r="S363" s="1069"/>
      <c r="T363" s="1105"/>
    </row>
    <row r="364" spans="1:20">
      <c r="A364" s="1080"/>
      <c r="B364" s="1105"/>
      <c r="C364" s="1105"/>
      <c r="E364" s="1105"/>
      <c r="F364" s="1147"/>
      <c r="G364" s="1105"/>
      <c r="H364" s="1111"/>
      <c r="I364" s="1111"/>
      <c r="J364" s="1111"/>
      <c r="K364" s="1111"/>
      <c r="L364" s="1111"/>
      <c r="M364" s="1111"/>
      <c r="N364" s="1111"/>
      <c r="O364" s="1111"/>
      <c r="P364" s="1111"/>
      <c r="Q364" s="1144"/>
      <c r="R364" s="1069"/>
      <c r="S364" s="1069"/>
      <c r="T364" s="1105"/>
    </row>
    <row r="365" spans="1:20">
      <c r="A365" s="1080">
        <f>MAX(A$229:A364)+1</f>
        <v>166</v>
      </c>
      <c r="B365" s="1105"/>
      <c r="C365" s="1105"/>
      <c r="D365" s="1105" t="s">
        <v>296</v>
      </c>
      <c r="E365" s="1105"/>
      <c r="F365" s="1067" t="s">
        <v>204</v>
      </c>
      <c r="G365" s="1105"/>
      <c r="H365" s="1111">
        <v>0.85109999999999997</v>
      </c>
      <c r="I365" s="1111"/>
      <c r="J365" s="1111">
        <f t="shared" si="22"/>
        <v>2.5800000000000045E-2</v>
      </c>
      <c r="K365" s="1111"/>
      <c r="L365" s="1111">
        <v>0.87694284865901073</v>
      </c>
      <c r="M365" s="1111"/>
      <c r="N365" s="1111">
        <v>0.82619348446499663</v>
      </c>
      <c r="O365" s="1111"/>
      <c r="P365" s="1111">
        <v>5.0749364194014178E-2</v>
      </c>
      <c r="Q365" s="1144"/>
      <c r="R365" s="1069"/>
      <c r="S365" s="1069"/>
      <c r="T365" s="1105"/>
    </row>
    <row r="366" spans="1:20">
      <c r="A366" s="1080">
        <f>MAX(A$229:A365)+1</f>
        <v>167</v>
      </c>
      <c r="B366" s="1105"/>
      <c r="C366" s="1105"/>
      <c r="D366" s="1105" t="s">
        <v>211</v>
      </c>
      <c r="E366" s="1105"/>
      <c r="F366" s="1067" t="s">
        <v>204</v>
      </c>
      <c r="G366" s="1105"/>
      <c r="H366" s="1111">
        <v>20.538400000000003</v>
      </c>
      <c r="I366" s="1111"/>
      <c r="J366" s="1111">
        <f t="shared" si="22"/>
        <v>-1.9999999999988916E-3</v>
      </c>
      <c r="K366" s="1111"/>
      <c r="L366" s="1111">
        <v>20.536407273459343</v>
      </c>
      <c r="M366" s="1111"/>
      <c r="N366" s="1111">
        <v>-7.5892726540662842E-2</v>
      </c>
      <c r="O366" s="1111"/>
      <c r="P366" s="1111">
        <v>20.612300000000001</v>
      </c>
      <c r="Q366" s="1144"/>
      <c r="R366" s="1069"/>
      <c r="S366" s="1069"/>
      <c r="T366" s="1105"/>
    </row>
    <row r="367" spans="1:20">
      <c r="A367" s="1080"/>
      <c r="B367" s="1105"/>
      <c r="C367" s="1105"/>
      <c r="D367" s="1105"/>
      <c r="E367" s="1105"/>
      <c r="F367" s="1147"/>
      <c r="G367" s="1105"/>
      <c r="H367" s="1145"/>
      <c r="I367" s="1105"/>
      <c r="J367" s="1069"/>
      <c r="K367" s="1105"/>
      <c r="L367" s="1145"/>
      <c r="M367" s="1105"/>
      <c r="N367" s="1147"/>
      <c r="O367" s="1105"/>
      <c r="P367" s="1105"/>
      <c r="Q367" s="1144"/>
      <c r="R367" s="1105"/>
      <c r="S367" s="1105"/>
      <c r="T367" s="1105"/>
    </row>
    <row r="368" spans="1:20">
      <c r="A368" s="1080"/>
      <c r="B368" s="1105"/>
      <c r="C368" s="1105"/>
      <c r="D368" s="1146" t="s">
        <v>180</v>
      </c>
      <c r="E368" s="1105"/>
      <c r="F368" s="1105"/>
      <c r="G368" s="1105"/>
      <c r="H368" s="1145"/>
      <c r="I368" s="1105"/>
      <c r="J368" s="1069"/>
      <c r="K368" s="1105"/>
      <c r="L368" s="1145"/>
      <c r="M368" s="1105"/>
      <c r="N368" s="1147"/>
      <c r="O368" s="1105"/>
      <c r="P368" s="1105"/>
      <c r="Q368" s="1144"/>
      <c r="R368" s="1105"/>
      <c r="S368" s="1105"/>
      <c r="T368" s="1105"/>
    </row>
    <row r="369" spans="1:20">
      <c r="A369" s="1080"/>
      <c r="B369" s="1105"/>
      <c r="C369" s="1105"/>
      <c r="D369" s="1105" t="s">
        <v>324</v>
      </c>
      <c r="E369" s="1105"/>
      <c r="F369" s="1105"/>
      <c r="G369" s="1105"/>
      <c r="H369" s="1145"/>
      <c r="I369" s="1105"/>
      <c r="J369" s="1069"/>
      <c r="K369" s="1105"/>
      <c r="L369" s="1145"/>
      <c r="M369" s="1105"/>
      <c r="N369" s="1147"/>
      <c r="O369" s="1105"/>
      <c r="P369" s="1105"/>
      <c r="Q369" s="1144"/>
      <c r="R369" s="1105"/>
      <c r="S369" s="1105"/>
      <c r="T369" s="1105"/>
    </row>
    <row r="370" spans="1:20">
      <c r="A370" s="1080"/>
      <c r="B370" s="1105"/>
      <c r="C370" s="1105"/>
      <c r="D370" s="1105" t="s">
        <v>221</v>
      </c>
      <c r="E370" s="1105"/>
      <c r="F370" s="1105"/>
      <c r="G370" s="1105"/>
      <c r="H370" s="1145"/>
      <c r="I370" s="1105"/>
      <c r="J370" s="1069"/>
      <c r="K370" s="1105"/>
      <c r="L370" s="1145"/>
      <c r="M370" s="1105"/>
      <c r="N370" s="1147"/>
      <c r="O370" s="1105"/>
      <c r="P370" s="1105"/>
      <c r="Q370" s="1144"/>
      <c r="R370" s="1105"/>
      <c r="S370" s="1105"/>
      <c r="T370" s="1105"/>
    </row>
    <row r="371" spans="1:20" ht="14.25">
      <c r="A371" s="1080">
        <f>MAX(A$229:A370)+1</f>
        <v>168</v>
      </c>
      <c r="B371" s="1105"/>
      <c r="C371" s="1105"/>
      <c r="D371" s="1082" t="s">
        <v>1156</v>
      </c>
      <c r="E371" s="1105"/>
      <c r="F371" s="1067" t="s">
        <v>204</v>
      </c>
      <c r="G371" s="1105"/>
      <c r="H371" s="1111">
        <v>69.394599999999997</v>
      </c>
      <c r="I371" s="1111"/>
      <c r="J371" s="1111">
        <f t="shared" ref="J371:J378" si="23">ROUND(L371,4)-ROUND(H371,4)</f>
        <v>2.1418000000000035</v>
      </c>
      <c r="K371" s="1111"/>
      <c r="L371" s="1111">
        <v>71.536380244734517</v>
      </c>
      <c r="M371" s="1111"/>
      <c r="N371" s="1111">
        <v>71.536380244734517</v>
      </c>
      <c r="O371" s="1111"/>
      <c r="P371" s="1128">
        <v>0</v>
      </c>
      <c r="Q371" s="1144"/>
      <c r="R371" s="1069"/>
      <c r="S371" s="1069"/>
      <c r="T371" s="1105"/>
    </row>
    <row r="372" spans="1:20" ht="14.25">
      <c r="A372" s="1080">
        <f>MAX(A$229:A371)+1</f>
        <v>169</v>
      </c>
      <c r="B372" s="1105"/>
      <c r="C372" s="1105"/>
      <c r="D372" s="1082" t="s">
        <v>1157</v>
      </c>
      <c r="E372" s="1105"/>
      <c r="F372" s="1067" t="s">
        <v>204</v>
      </c>
      <c r="G372" s="1105"/>
      <c r="H372" s="1111">
        <v>33.057699999999997</v>
      </c>
      <c r="I372" s="1111"/>
      <c r="J372" s="1111">
        <f t="shared" si="23"/>
        <v>1.2950000000000017</v>
      </c>
      <c r="K372" s="1111"/>
      <c r="L372" s="1111">
        <v>34.352742685463546</v>
      </c>
      <c r="M372" s="1111"/>
      <c r="N372" s="1111">
        <v>34.352742685463546</v>
      </c>
      <c r="O372" s="1111"/>
      <c r="P372" s="1128">
        <v>0</v>
      </c>
      <c r="Q372" s="1144"/>
      <c r="R372" s="1069"/>
      <c r="S372" s="1069"/>
      <c r="T372" s="1105"/>
    </row>
    <row r="373" spans="1:20" ht="14.25">
      <c r="A373" s="1080">
        <f>MAX(A$229:A372)+1</f>
        <v>170</v>
      </c>
      <c r="B373" s="1105"/>
      <c r="C373" s="1105"/>
      <c r="D373" s="1082" t="s">
        <v>1158</v>
      </c>
      <c r="E373" s="1105"/>
      <c r="F373" s="1067" t="s">
        <v>204</v>
      </c>
      <c r="G373" s="1105"/>
      <c r="H373" s="1111">
        <v>28.335999999999999</v>
      </c>
      <c r="I373" s="1111"/>
      <c r="J373" s="1111">
        <f t="shared" si="23"/>
        <v>1.185100000000002</v>
      </c>
      <c r="K373" s="1111"/>
      <c r="L373" s="1111">
        <v>29.521074452424372</v>
      </c>
      <c r="M373" s="1111"/>
      <c r="N373" s="1111">
        <v>29.521074452424372</v>
      </c>
      <c r="O373" s="1111"/>
      <c r="P373" s="1128">
        <v>0</v>
      </c>
      <c r="Q373" s="1144"/>
      <c r="R373" s="1069"/>
      <c r="S373" s="1069"/>
      <c r="T373" s="1105"/>
    </row>
    <row r="374" spans="1:20">
      <c r="A374" s="1080"/>
      <c r="B374" s="1105"/>
      <c r="C374" s="1105"/>
      <c r="D374" s="1105" t="s">
        <v>202</v>
      </c>
      <c r="E374" s="1105"/>
      <c r="F374" s="1067"/>
      <c r="G374" s="1105"/>
      <c r="H374" s="1111"/>
      <c r="I374" s="1111"/>
      <c r="J374" s="1111"/>
      <c r="K374" s="1111"/>
      <c r="L374" s="1111"/>
      <c r="M374" s="1111"/>
      <c r="N374" s="1111"/>
      <c r="O374" s="1111"/>
      <c r="P374" s="1111"/>
      <c r="Q374" s="1144"/>
      <c r="R374" s="1069"/>
      <c r="S374" s="1069"/>
      <c r="T374" s="1105"/>
    </row>
    <row r="375" spans="1:20">
      <c r="A375" s="1080">
        <f>MAX(A$229:A374)+1</f>
        <v>171</v>
      </c>
      <c r="B375" s="1105"/>
      <c r="C375" s="1105"/>
      <c r="D375" s="1105" t="s">
        <v>1159</v>
      </c>
      <c r="E375" s="1105"/>
      <c r="F375" s="1067" t="s">
        <v>204</v>
      </c>
      <c r="G375" s="1105"/>
      <c r="H375" s="1111">
        <v>2.0339</v>
      </c>
      <c r="I375" s="1111"/>
      <c r="J375" s="1111">
        <f t="shared" si="23"/>
        <v>7.6999999999999957E-2</v>
      </c>
      <c r="K375" s="1111"/>
      <c r="L375" s="1111">
        <v>2.1109298450932608</v>
      </c>
      <c r="M375" s="1111"/>
      <c r="N375" s="1111">
        <v>1.8746877891596105</v>
      </c>
      <c r="O375" s="1111"/>
      <c r="P375" s="1111">
        <v>0.23624205593365008</v>
      </c>
      <c r="Q375" s="1144"/>
      <c r="R375" s="1069"/>
      <c r="S375" s="1069"/>
      <c r="T375" s="1105"/>
    </row>
    <row r="376" spans="1:20">
      <c r="A376" s="1080">
        <f>MAX(A$229:A375)+1</f>
        <v>172</v>
      </c>
      <c r="B376" s="1105"/>
      <c r="C376" s="1105"/>
      <c r="D376" s="1065" t="s">
        <v>1160</v>
      </c>
      <c r="E376" s="1105"/>
      <c r="F376" s="1067" t="s">
        <v>204</v>
      </c>
      <c r="G376" s="1105"/>
      <c r="H376" s="1111">
        <v>0.87250000000000005</v>
      </c>
      <c r="I376" s="1111"/>
      <c r="J376" s="1111">
        <f t="shared" si="23"/>
        <v>1.7699999999999938E-2</v>
      </c>
      <c r="K376" s="1111"/>
      <c r="L376" s="1128">
        <v>0.89016219058368284</v>
      </c>
      <c r="M376" s="1128"/>
      <c r="N376" s="1128">
        <v>0.67266219058368282</v>
      </c>
      <c r="O376" s="1128"/>
      <c r="P376" s="1128">
        <v>0.2175</v>
      </c>
      <c r="Q376" s="1144"/>
      <c r="R376" s="1069"/>
      <c r="S376" s="1069"/>
      <c r="T376" s="1105"/>
    </row>
    <row r="377" spans="1:20">
      <c r="A377" s="1080"/>
      <c r="B377" s="1105"/>
      <c r="C377" s="1105"/>
      <c r="E377" s="1105"/>
      <c r="F377" s="1105"/>
      <c r="G377" s="1105"/>
      <c r="H377" s="1145"/>
      <c r="I377" s="1105"/>
      <c r="J377" s="1069"/>
      <c r="K377" s="1105"/>
      <c r="L377" s="1145"/>
      <c r="M377" s="1105"/>
      <c r="N377" s="1147"/>
      <c r="O377" s="1105"/>
      <c r="P377" s="1147"/>
      <c r="Q377" s="1144"/>
      <c r="R377" s="1069"/>
      <c r="S377" s="1069"/>
      <c r="T377" s="1105"/>
    </row>
    <row r="378" spans="1:20">
      <c r="A378" s="1080">
        <f>MAX(A$229:A377)+1</f>
        <v>173</v>
      </c>
      <c r="B378" s="1105"/>
      <c r="C378" s="1105"/>
      <c r="D378" s="1105" t="s">
        <v>309</v>
      </c>
      <c r="E378" s="1105"/>
      <c r="F378" s="1067" t="s">
        <v>204</v>
      </c>
      <c r="G378" s="1105"/>
      <c r="H378" s="1111">
        <v>2.2423999999999999</v>
      </c>
      <c r="I378" s="1111"/>
      <c r="J378" s="1111">
        <f t="shared" si="23"/>
        <v>-5.7799999999999851E-2</v>
      </c>
      <c r="K378" s="1111"/>
      <c r="L378" s="1111">
        <v>2.1846331886375236</v>
      </c>
      <c r="M378" s="1111"/>
      <c r="N378" s="1111">
        <v>2.0888100284522788</v>
      </c>
      <c r="O378" s="1111"/>
      <c r="P378" s="1111">
        <v>0.23624205593365008</v>
      </c>
      <c r="Q378" s="1144"/>
      <c r="R378" s="1069"/>
      <c r="S378" s="1069"/>
      <c r="T378" s="1105"/>
    </row>
    <row r="379" spans="1:20">
      <c r="A379" s="1080"/>
      <c r="B379" s="1105"/>
      <c r="C379" s="1105"/>
      <c r="D379" s="1105"/>
      <c r="E379" s="1105"/>
      <c r="F379" s="1067"/>
      <c r="G379" s="1105"/>
      <c r="H379" s="1111"/>
      <c r="I379" s="1111"/>
      <c r="J379" s="1111"/>
      <c r="K379" s="1111"/>
      <c r="L379" s="1111"/>
      <c r="M379" s="1111"/>
      <c r="N379" s="1111"/>
      <c r="O379" s="1111"/>
      <c r="P379" s="1111"/>
      <c r="Q379" s="1144"/>
      <c r="R379" s="1069"/>
      <c r="S379" s="1069"/>
      <c r="T379" s="1105"/>
    </row>
    <row r="380" spans="1:20">
      <c r="A380" s="1080"/>
      <c r="B380" s="1105"/>
      <c r="C380" s="1105"/>
      <c r="D380" s="1105" t="s">
        <v>484</v>
      </c>
      <c r="E380" s="1105"/>
      <c r="F380" s="1105"/>
      <c r="G380" s="1105"/>
      <c r="H380" s="1145"/>
      <c r="I380" s="1105"/>
      <c r="J380" s="1069"/>
      <c r="K380" s="1105"/>
      <c r="L380" s="1145"/>
      <c r="M380" s="1105"/>
      <c r="N380" s="1147"/>
      <c r="O380" s="1105"/>
      <c r="P380" s="1147"/>
      <c r="Q380" s="1144"/>
      <c r="R380" s="1069"/>
      <c r="S380" s="1069"/>
      <c r="T380" s="1105"/>
    </row>
    <row r="381" spans="1:20">
      <c r="A381" s="1080">
        <f>MAX(A$229:A380)+1</f>
        <v>174</v>
      </c>
      <c r="B381" s="1105"/>
      <c r="C381" s="1105"/>
      <c r="D381" s="1142" t="s">
        <v>312</v>
      </c>
      <c r="E381" s="1105"/>
      <c r="F381" s="1067" t="s">
        <v>201</v>
      </c>
      <c r="G381" s="1105"/>
      <c r="H381" s="1100">
        <v>755.88</v>
      </c>
      <c r="I381" s="1105"/>
      <c r="J381" s="1100">
        <f t="shared" ref="J381:J386" si="24">ROUND(L381,4)-ROUND(H381,4)</f>
        <v>20.382399999999961</v>
      </c>
      <c r="K381" s="1105"/>
      <c r="L381" s="1100">
        <v>776.26243758533451</v>
      </c>
      <c r="M381" s="1105"/>
      <c r="N381" s="1100">
        <v>776.26243758533451</v>
      </c>
      <c r="O381" s="1105"/>
      <c r="P381" s="595">
        <v>0</v>
      </c>
      <c r="Q381" s="1144"/>
      <c r="R381" s="1069"/>
      <c r="S381" s="1069"/>
      <c r="T381" s="1105"/>
    </row>
    <row r="382" spans="1:20">
      <c r="A382" s="1080">
        <f>MAX(A$229:A381)+1</f>
        <v>175</v>
      </c>
      <c r="B382" s="1105"/>
      <c r="C382" s="1105"/>
      <c r="D382" s="1142" t="s">
        <v>1161</v>
      </c>
      <c r="E382" s="1105"/>
      <c r="F382" s="1067" t="s">
        <v>204</v>
      </c>
      <c r="G382" s="1105"/>
      <c r="H382" s="1111">
        <v>3.2833000000000001</v>
      </c>
      <c r="I382" s="1111"/>
      <c r="J382" s="1111">
        <f t="shared" si="24"/>
        <v>-1.2000000000000011E-2</v>
      </c>
      <c r="K382" s="1111"/>
      <c r="L382" s="1111">
        <v>3.271267647256467</v>
      </c>
      <c r="M382" s="1111"/>
      <c r="N382" s="1111">
        <v>3.1116138213815785</v>
      </c>
      <c r="O382" s="1111"/>
      <c r="P382" s="1111">
        <v>0.15965382587488777</v>
      </c>
      <c r="Q382" s="1144"/>
      <c r="R382" s="1069"/>
      <c r="S382" s="1069"/>
      <c r="T382" s="1105"/>
    </row>
    <row r="383" spans="1:20">
      <c r="A383" s="1080">
        <f>MAX(A$229:A382)+1</f>
        <v>176</v>
      </c>
      <c r="B383" s="1105"/>
      <c r="C383" s="1105"/>
      <c r="D383" s="1105" t="s">
        <v>313</v>
      </c>
      <c r="E383" s="1105"/>
      <c r="F383" s="1067" t="s">
        <v>204</v>
      </c>
      <c r="G383" s="1105"/>
      <c r="H383" s="1111">
        <v>3.7970999999999999</v>
      </c>
      <c r="I383" s="1111"/>
      <c r="J383" s="1111">
        <f t="shared" si="24"/>
        <v>-0.17079999999999984</v>
      </c>
      <c r="K383" s="1111"/>
      <c r="L383" s="1111">
        <v>3.6262806346960517</v>
      </c>
      <c r="M383" s="1111"/>
      <c r="N383" s="1111">
        <v>3.4828806346960519</v>
      </c>
      <c r="O383" s="1111"/>
      <c r="P383" s="1111">
        <v>0.14340000000000003</v>
      </c>
      <c r="Q383" s="1144"/>
      <c r="R383" s="1069"/>
      <c r="S383" s="1069"/>
      <c r="T383" s="1105"/>
    </row>
    <row r="384" spans="1:20">
      <c r="A384" s="1080"/>
      <c r="B384" s="1105"/>
      <c r="C384" s="1105"/>
      <c r="D384" s="1105"/>
      <c r="E384" s="1105"/>
      <c r="F384" s="1105"/>
      <c r="G384" s="1105"/>
      <c r="H384" s="1111"/>
      <c r="I384" s="1111"/>
      <c r="J384" s="1111"/>
      <c r="K384" s="1111"/>
      <c r="L384" s="1111"/>
      <c r="M384" s="1111"/>
      <c r="N384" s="1111"/>
      <c r="O384" s="1111"/>
      <c r="P384" s="1111"/>
      <c r="Q384" s="1144"/>
      <c r="R384" s="1069"/>
      <c r="S384" s="1069"/>
      <c r="T384" s="1105"/>
    </row>
    <row r="385" spans="1:20">
      <c r="A385" s="1080">
        <f>MAX(A$229:A384)+1</f>
        <v>177</v>
      </c>
      <c r="B385" s="1105"/>
      <c r="C385" s="1105"/>
      <c r="D385" s="1105" t="s">
        <v>314</v>
      </c>
      <c r="E385" s="1105"/>
      <c r="F385" s="1067" t="s">
        <v>204</v>
      </c>
      <c r="G385" s="1105"/>
      <c r="H385" s="1111">
        <v>0.20849999999999999</v>
      </c>
      <c r="I385" s="1111"/>
      <c r="J385" s="1111">
        <f t="shared" si="24"/>
        <v>5.6000000000000216E-3</v>
      </c>
      <c r="K385" s="1111"/>
      <c r="L385" s="1111">
        <v>0.21412223929266846</v>
      </c>
      <c r="M385" s="1111"/>
      <c r="N385" s="1111">
        <v>0.21412223929266846</v>
      </c>
      <c r="O385" s="1111"/>
      <c r="P385" s="595">
        <v>0</v>
      </c>
      <c r="Q385" s="1144"/>
      <c r="R385" s="1069"/>
      <c r="S385" s="1069"/>
      <c r="T385" s="1105"/>
    </row>
    <row r="386" spans="1:20">
      <c r="A386" s="1080">
        <f>MAX(A$229:A385)+1</f>
        <v>178</v>
      </c>
      <c r="B386" s="1105"/>
      <c r="C386" s="1105"/>
      <c r="D386" s="1105" t="s">
        <v>211</v>
      </c>
      <c r="E386" s="1105"/>
      <c r="F386" s="1067" t="s">
        <v>204</v>
      </c>
      <c r="G386" s="1105"/>
      <c r="H386" s="1111">
        <v>20.538400000000003</v>
      </c>
      <c r="I386" s="1111"/>
      <c r="J386" s="1111">
        <f t="shared" si="24"/>
        <v>-1.9999999999988916E-3</v>
      </c>
      <c r="K386" s="1111"/>
      <c r="L386" s="1111">
        <v>20.536407273459339</v>
      </c>
      <c r="M386" s="1111"/>
      <c r="N386" s="1111">
        <v>-7.5892726540662842E-2</v>
      </c>
      <c r="O386" s="1111"/>
      <c r="P386" s="1111">
        <v>20.612300000000001</v>
      </c>
      <c r="Q386" s="1144"/>
      <c r="R386" s="1069"/>
      <c r="S386" s="1069"/>
      <c r="T386" s="1105"/>
    </row>
    <row r="387" spans="1:20">
      <c r="A387" s="1080"/>
      <c r="B387" s="1105"/>
      <c r="C387" s="1105"/>
      <c r="E387" s="1105"/>
      <c r="F387" s="1105"/>
      <c r="G387" s="1105"/>
      <c r="H387" s="1145"/>
      <c r="I387" s="1105"/>
      <c r="J387" s="1069"/>
      <c r="K387" s="1105"/>
      <c r="L387" s="1145"/>
      <c r="M387" s="1105"/>
      <c r="N387" s="1147"/>
      <c r="O387" s="1105"/>
      <c r="P387" s="1105"/>
      <c r="Q387" s="1144"/>
      <c r="R387" s="1105"/>
      <c r="S387" s="1105"/>
      <c r="T387" s="1105"/>
    </row>
    <row r="388" spans="1:20">
      <c r="A388" s="1080"/>
      <c r="B388" s="1105"/>
      <c r="C388" s="1105"/>
      <c r="E388" s="1105"/>
      <c r="F388" s="1105"/>
      <c r="G388" s="1105"/>
      <c r="H388" s="1145"/>
      <c r="I388" s="1105"/>
      <c r="J388" s="1069"/>
      <c r="K388" s="1105"/>
      <c r="L388" s="1145"/>
      <c r="M388" s="1105"/>
      <c r="N388" s="1147"/>
      <c r="O388" s="1105"/>
      <c r="P388" s="1105"/>
      <c r="Q388" s="1144"/>
      <c r="R388" s="1105"/>
      <c r="S388" s="1105"/>
      <c r="T388" s="1105"/>
    </row>
    <row r="389" spans="1:20">
      <c r="A389" s="1080"/>
      <c r="B389" s="1105"/>
      <c r="C389" s="1105"/>
      <c r="E389" s="1105"/>
      <c r="F389" s="1105"/>
      <c r="G389" s="1105"/>
      <c r="H389" s="1145"/>
      <c r="I389" s="1105"/>
      <c r="J389" s="1069"/>
      <c r="K389" s="1105"/>
      <c r="L389" s="1145"/>
      <c r="M389" s="1105"/>
      <c r="N389" s="1147"/>
      <c r="O389" s="1105"/>
      <c r="P389" s="1105"/>
      <c r="Q389" s="1144"/>
      <c r="R389" s="1105"/>
      <c r="S389" s="1105"/>
      <c r="T389" s="1105"/>
    </row>
    <row r="390" spans="1:20">
      <c r="A390" s="1080"/>
      <c r="B390" s="1105"/>
      <c r="C390" s="1105"/>
      <c r="E390" s="1105"/>
      <c r="F390" s="1105"/>
      <c r="G390" s="1105"/>
      <c r="H390" s="1145"/>
      <c r="I390" s="1105"/>
      <c r="J390" s="1069"/>
      <c r="K390" s="1105"/>
      <c r="L390" s="1145"/>
      <c r="M390" s="1105"/>
      <c r="N390" s="1147"/>
      <c r="O390" s="1105"/>
      <c r="P390" s="1105"/>
      <c r="Q390" s="1144"/>
      <c r="R390" s="1105"/>
      <c r="S390" s="1105"/>
      <c r="T390" s="1105"/>
    </row>
    <row r="391" spans="1:20">
      <c r="A391" s="1080"/>
      <c r="B391" s="1105"/>
      <c r="C391" s="1105"/>
      <c r="E391" s="1105"/>
      <c r="F391" s="1105"/>
      <c r="G391" s="1105"/>
      <c r="H391" s="1145"/>
      <c r="I391" s="1105"/>
      <c r="J391" s="1069"/>
      <c r="K391" s="1105"/>
      <c r="L391" s="1145"/>
      <c r="M391" s="1105"/>
      <c r="N391" s="1147"/>
      <c r="O391" s="1105"/>
      <c r="P391" s="1105"/>
      <c r="Q391" s="1144"/>
      <c r="R391" s="1105"/>
      <c r="S391" s="1105"/>
      <c r="T391" s="1105"/>
    </row>
    <row r="392" spans="1:20">
      <c r="A392" s="1336"/>
      <c r="B392" s="1336"/>
      <c r="C392" s="1336"/>
      <c r="D392" s="1335"/>
      <c r="E392" s="1335"/>
      <c r="F392" s="1335"/>
      <c r="G392" s="1335"/>
      <c r="H392" s="1335"/>
      <c r="I392" s="1335"/>
      <c r="J392" s="1335"/>
      <c r="K392" s="1335"/>
      <c r="L392" s="1335"/>
      <c r="M392" s="1335"/>
      <c r="N392" s="1335"/>
      <c r="O392" s="1335"/>
      <c r="P392" s="1335"/>
      <c r="Q392" s="1144"/>
      <c r="R392" s="1105"/>
      <c r="S392" s="1105"/>
      <c r="T392" s="1105"/>
    </row>
    <row r="393" spans="1:20">
      <c r="A393" s="1336" t="s">
        <v>1109</v>
      </c>
      <c r="B393" s="1336"/>
      <c r="C393" s="1336"/>
      <c r="D393" s="1335"/>
      <c r="E393" s="1335"/>
      <c r="F393" s="1335"/>
      <c r="G393" s="1335"/>
      <c r="H393" s="1335"/>
      <c r="I393" s="1335"/>
      <c r="J393" s="1335"/>
      <c r="K393" s="1335"/>
      <c r="L393" s="1335"/>
      <c r="M393" s="1335"/>
      <c r="N393" s="1335"/>
      <c r="O393" s="1335"/>
      <c r="P393" s="1335"/>
      <c r="Q393" s="1144"/>
      <c r="R393" s="1105"/>
      <c r="S393" s="1105"/>
      <c r="T393" s="1105"/>
    </row>
    <row r="394" spans="1:20">
      <c r="A394" s="1334" t="s">
        <v>177</v>
      </c>
      <c r="B394" s="1335"/>
      <c r="C394" s="1335"/>
      <c r="D394" s="1335"/>
      <c r="E394" s="1335"/>
      <c r="F394" s="1335"/>
      <c r="G394" s="1335"/>
      <c r="H394" s="1335"/>
      <c r="I394" s="1335"/>
      <c r="J394" s="1335"/>
      <c r="K394" s="1335"/>
      <c r="L394" s="1335"/>
      <c r="M394" s="1335"/>
      <c r="N394" s="1335"/>
      <c r="O394" s="1335"/>
      <c r="P394" s="1335"/>
      <c r="Q394" s="1144"/>
      <c r="R394" s="1105"/>
      <c r="S394" s="1105"/>
      <c r="T394" s="1105"/>
    </row>
    <row r="395" spans="1:20">
      <c r="A395" s="1080"/>
      <c r="B395" s="1082"/>
      <c r="Q395" s="1144"/>
      <c r="R395" s="1105"/>
      <c r="S395" s="1105"/>
      <c r="T395" s="1105"/>
    </row>
    <row r="396" spans="1:20" ht="12.75" customHeight="1">
      <c r="A396" s="1080"/>
      <c r="G396" s="1074"/>
      <c r="H396" s="1077"/>
      <c r="I396" s="1077"/>
      <c r="J396" s="1077"/>
      <c r="K396" s="1077"/>
      <c r="L396" s="1077"/>
      <c r="M396" s="1077"/>
      <c r="N396" s="1332" t="s">
        <v>1086</v>
      </c>
      <c r="O396" s="1332"/>
      <c r="P396" s="1332"/>
      <c r="Q396" s="1144"/>
      <c r="R396" s="1105"/>
      <c r="S396" s="1105"/>
      <c r="T396" s="1105"/>
    </row>
    <row r="397" spans="1:20">
      <c r="A397" s="1080"/>
      <c r="G397" s="1079"/>
      <c r="H397" s="1080"/>
      <c r="I397" s="1081"/>
      <c r="J397" s="1337" t="s">
        <v>1087</v>
      </c>
      <c r="K397" s="1337"/>
      <c r="L397" s="1337"/>
      <c r="N397" s="1333"/>
      <c r="O397" s="1333"/>
      <c r="P397" s="1333"/>
      <c r="Q397" s="1144"/>
      <c r="R397" s="1105"/>
      <c r="S397" s="1105"/>
      <c r="T397" s="1105"/>
    </row>
    <row r="398" spans="1:20">
      <c r="A398" s="1080" t="s">
        <v>1</v>
      </c>
      <c r="C398" s="1082"/>
      <c r="F398" s="1074"/>
      <c r="G398" s="1067"/>
      <c r="H398" s="1080" t="s">
        <v>495</v>
      </c>
      <c r="I398" s="1081"/>
      <c r="J398" s="1083" t="s">
        <v>609</v>
      </c>
      <c r="K398" s="1084"/>
      <c r="L398" s="1080" t="s">
        <v>6</v>
      </c>
      <c r="N398" s="1078"/>
      <c r="O398" s="1078"/>
      <c r="P398" s="1078"/>
      <c r="Q398" s="1144"/>
      <c r="R398" s="1105"/>
      <c r="S398" s="1105"/>
      <c r="T398" s="1105"/>
    </row>
    <row r="399" spans="1:20">
      <c r="A399" s="1085" t="s">
        <v>2</v>
      </c>
      <c r="B399" s="1074"/>
      <c r="C399" s="1075"/>
      <c r="D399" s="1086" t="s">
        <v>3</v>
      </c>
      <c r="F399" s="1087" t="s">
        <v>4</v>
      </c>
      <c r="G399" s="1074"/>
      <c r="H399" s="1088" t="s">
        <v>196</v>
      </c>
      <c r="I399" s="1078"/>
      <c r="J399" s="1089" t="s">
        <v>1088</v>
      </c>
      <c r="L399" s="1088" t="s">
        <v>1089</v>
      </c>
      <c r="N399" s="1090" t="s">
        <v>980</v>
      </c>
      <c r="O399" s="1083"/>
      <c r="P399" s="1090" t="s">
        <v>1090</v>
      </c>
      <c r="Q399" s="1144"/>
      <c r="R399" s="1105"/>
      <c r="S399" s="1105"/>
      <c r="T399" s="1105"/>
    </row>
    <row r="400" spans="1:20">
      <c r="A400" s="1080"/>
      <c r="F400" s="1091"/>
      <c r="G400" s="1074"/>
      <c r="H400" s="1080" t="s">
        <v>1091</v>
      </c>
      <c r="I400" s="1080"/>
      <c r="J400" s="1092" t="s">
        <v>1092</v>
      </c>
      <c r="L400" s="1080" t="s">
        <v>1093</v>
      </c>
      <c r="N400" s="1093" t="s">
        <v>79</v>
      </c>
      <c r="O400" s="1083"/>
      <c r="P400" s="1093" t="s">
        <v>115</v>
      </c>
      <c r="Q400" s="1144"/>
      <c r="R400" s="1105"/>
      <c r="S400" s="1105"/>
      <c r="T400" s="1105"/>
    </row>
    <row r="401" spans="1:20">
      <c r="A401" s="1080"/>
      <c r="D401" s="1146" t="s">
        <v>181</v>
      </c>
      <c r="F401" s="1091"/>
      <c r="G401" s="1074"/>
      <c r="H401" s="1080"/>
      <c r="I401" s="1080"/>
      <c r="J401" s="1092"/>
      <c r="L401" s="1080"/>
      <c r="N401" s="1093"/>
      <c r="O401" s="1083"/>
      <c r="P401" s="1093"/>
      <c r="Q401" s="1144"/>
      <c r="R401" s="1105"/>
      <c r="S401" s="1105"/>
      <c r="T401" s="1105"/>
    </row>
    <row r="402" spans="1:20">
      <c r="A402" s="1080"/>
      <c r="B402" s="1105"/>
      <c r="C402" s="1105"/>
      <c r="D402" s="1105" t="s">
        <v>324</v>
      </c>
      <c r="E402" s="1105"/>
      <c r="F402" s="1105"/>
      <c r="G402" s="1105"/>
      <c r="H402" s="1145"/>
      <c r="I402" s="1105"/>
      <c r="J402" s="1069"/>
      <c r="K402" s="1105"/>
      <c r="L402" s="1145"/>
      <c r="M402" s="1105"/>
      <c r="N402" s="1147"/>
      <c r="O402" s="1105"/>
      <c r="P402" s="1105"/>
      <c r="Q402" s="1144"/>
      <c r="R402" s="1105"/>
      <c r="S402" s="1105"/>
      <c r="T402" s="1105"/>
    </row>
    <row r="403" spans="1:20">
      <c r="A403" s="1080">
        <f>MAX(A$229:A402)+1</f>
        <v>179</v>
      </c>
      <c r="B403" s="1105"/>
      <c r="C403" s="1105"/>
      <c r="D403" s="1150" t="s">
        <v>221</v>
      </c>
      <c r="E403" s="1105"/>
      <c r="F403" s="1138" t="s">
        <v>222</v>
      </c>
      <c r="G403" s="1105"/>
      <c r="H403" s="1111">
        <v>41.215699999999998</v>
      </c>
      <c r="I403" s="1111"/>
      <c r="J403" s="1111">
        <f t="shared" ref="J403:J404" si="25">ROUND(L403,4)-ROUND(H403,4)</f>
        <v>1.616500000000002</v>
      </c>
      <c r="K403" s="1111"/>
      <c r="L403" s="1111">
        <v>42.832158086759911</v>
      </c>
      <c r="M403" s="1111"/>
      <c r="N403" s="1111">
        <v>42.832158086759911</v>
      </c>
      <c r="O403" s="1111"/>
      <c r="P403" s="1128">
        <v>0</v>
      </c>
      <c r="Q403" s="1144"/>
      <c r="R403" s="1069"/>
      <c r="S403" s="1069"/>
      <c r="T403" s="1105"/>
    </row>
    <row r="404" spans="1:20">
      <c r="A404" s="1080">
        <f>MAX(A$229:A403)+1</f>
        <v>180</v>
      </c>
      <c r="B404" s="1105"/>
      <c r="C404" s="1105"/>
      <c r="D404" s="1150" t="s">
        <v>202</v>
      </c>
      <c r="E404" s="1105"/>
      <c r="F404" s="1138" t="s">
        <v>204</v>
      </c>
      <c r="G404" s="1105"/>
      <c r="H404" s="1111">
        <v>3.5497469625757372</v>
      </c>
      <c r="I404" s="1111"/>
      <c r="J404" s="1111">
        <f t="shared" si="25"/>
        <v>-6.1700000000000088E-2</v>
      </c>
      <c r="K404" s="1111"/>
      <c r="L404" s="1111">
        <v>3.4879553816571462</v>
      </c>
      <c r="M404" s="1111"/>
      <c r="N404" s="1111">
        <v>3.3000574986227487</v>
      </c>
      <c r="O404" s="1111"/>
      <c r="P404" s="1111">
        <v>0.18789788303439781</v>
      </c>
      <c r="Q404" s="1144"/>
      <c r="R404" s="1069"/>
      <c r="S404" s="1069"/>
      <c r="T404" s="1105"/>
    </row>
    <row r="405" spans="1:20">
      <c r="A405" s="1080"/>
      <c r="B405" s="1105"/>
      <c r="C405" s="1105"/>
      <c r="D405" s="1105"/>
      <c r="E405" s="1105"/>
      <c r="F405" s="1105"/>
      <c r="G405" s="1105"/>
      <c r="H405" s="1111"/>
      <c r="I405" s="1111"/>
      <c r="J405" s="1111"/>
      <c r="K405" s="1111"/>
      <c r="L405" s="1111"/>
      <c r="M405" s="1111"/>
      <c r="N405" s="1111"/>
      <c r="O405" s="1111"/>
      <c r="P405" s="1111"/>
      <c r="Q405" s="1144"/>
      <c r="R405" s="1069"/>
      <c r="S405" s="1069"/>
      <c r="T405" s="1105"/>
    </row>
    <row r="406" spans="1:20">
      <c r="A406" s="1080"/>
      <c r="B406" s="1105"/>
      <c r="C406" s="1105"/>
      <c r="D406" s="1105" t="s">
        <v>484</v>
      </c>
      <c r="E406" s="1105"/>
      <c r="F406" s="1105"/>
      <c r="G406" s="1105"/>
      <c r="H406" s="1147"/>
      <c r="I406" s="1105"/>
      <c r="J406" s="1069"/>
      <c r="K406" s="1105"/>
      <c r="L406" s="1147"/>
      <c r="M406" s="1105"/>
      <c r="N406" s="1147"/>
      <c r="O406" s="1105"/>
      <c r="P406" s="1147"/>
      <c r="Q406" s="1144"/>
      <c r="R406" s="1069"/>
      <c r="S406" s="1069"/>
      <c r="T406" s="1105"/>
    </row>
    <row r="407" spans="1:20">
      <c r="A407" s="1080">
        <f>MAX(A$229:A406)+1</f>
        <v>181</v>
      </c>
      <c r="B407" s="1105"/>
      <c r="C407" s="1105"/>
      <c r="D407" s="1150" t="s">
        <v>312</v>
      </c>
      <c r="E407" s="1105"/>
      <c r="F407" s="1067" t="s">
        <v>201</v>
      </c>
      <c r="G407" s="1105"/>
      <c r="H407" s="1100">
        <v>755.88</v>
      </c>
      <c r="I407" s="1105"/>
      <c r="J407" s="1100">
        <f t="shared" ref="J407" si="26">ROUND(L407,4)-ROUND(H407,4)</f>
        <v>20.382399999999961</v>
      </c>
      <c r="K407" s="1105"/>
      <c r="L407" s="1100">
        <v>776.26243758533451</v>
      </c>
      <c r="M407" s="1105"/>
      <c r="N407" s="1100">
        <v>776.26243758533451</v>
      </c>
      <c r="O407" s="1105"/>
      <c r="P407" s="1128">
        <v>0</v>
      </c>
      <c r="Q407" s="1144"/>
      <c r="R407" s="1069"/>
      <c r="S407" s="1069"/>
      <c r="T407" s="1105"/>
    </row>
    <row r="408" spans="1:20">
      <c r="A408" s="1080">
        <f>MAX(A$229:A407)+1</f>
        <v>182</v>
      </c>
      <c r="B408" s="1105"/>
      <c r="C408" s="1105"/>
      <c r="D408" s="1150" t="s">
        <v>289</v>
      </c>
      <c r="E408" s="1105"/>
      <c r="F408" s="1138" t="s">
        <v>204</v>
      </c>
      <c r="G408" s="1105"/>
      <c r="H408" s="1111">
        <v>3.2833000000000001</v>
      </c>
      <c r="I408" s="1111"/>
      <c r="J408" s="1111">
        <f t="shared" ref="J408:J410" si="27">ROUND(L408,4)-ROUND(H408,4)</f>
        <v>-1.2000000000000011E-2</v>
      </c>
      <c r="K408" s="1111"/>
      <c r="L408" s="1111">
        <v>3.271267647256467</v>
      </c>
      <c r="M408" s="1111"/>
      <c r="N408" s="1111">
        <v>3.1116138213815785</v>
      </c>
      <c r="O408" s="1111"/>
      <c r="P408" s="1111">
        <v>0.15965382587488777</v>
      </c>
      <c r="Q408" s="1144"/>
      <c r="R408" s="1069"/>
      <c r="S408" s="1069"/>
      <c r="T408" s="1105"/>
    </row>
    <row r="409" spans="1:20">
      <c r="A409" s="1080"/>
      <c r="B409" s="1105"/>
      <c r="C409" s="1105"/>
      <c r="D409" s="1105"/>
      <c r="E409" s="1105"/>
      <c r="F409" s="1105"/>
      <c r="G409" s="1105"/>
      <c r="H409" s="1111"/>
      <c r="I409" s="1111"/>
      <c r="J409" s="1111"/>
      <c r="K409" s="1111"/>
      <c r="L409" s="1111"/>
      <c r="M409" s="1111"/>
      <c r="N409" s="1111"/>
      <c r="O409" s="1111"/>
      <c r="P409" s="1111"/>
      <c r="Q409" s="1144"/>
      <c r="R409" s="1069"/>
      <c r="S409" s="1069"/>
      <c r="T409" s="1105"/>
    </row>
    <row r="410" spans="1:20">
      <c r="A410" s="1080">
        <f>MAX(A$229:A409)+1</f>
        <v>183</v>
      </c>
      <c r="B410" s="1105"/>
      <c r="C410" s="1105"/>
      <c r="D410" s="1105" t="s">
        <v>313</v>
      </c>
      <c r="E410" s="1105"/>
      <c r="F410" s="1138" t="s">
        <v>204</v>
      </c>
      <c r="G410" s="1105"/>
      <c r="H410" s="1111">
        <v>3.7970999999999999</v>
      </c>
      <c r="I410" s="1111"/>
      <c r="J410" s="1111">
        <f t="shared" si="27"/>
        <v>-0.38079999999999981</v>
      </c>
      <c r="K410" s="1111"/>
      <c r="L410" s="1111">
        <v>3.4163331886375237</v>
      </c>
      <c r="M410" s="1111"/>
      <c r="N410" s="1111">
        <v>3.3257470100191022</v>
      </c>
      <c r="O410" s="1111"/>
      <c r="P410" s="1111">
        <f>L410-N410</f>
        <v>9.0586178618421442E-2</v>
      </c>
      <c r="Q410" s="1144"/>
      <c r="R410" s="1069"/>
      <c r="S410" s="1069"/>
      <c r="T410" s="1105"/>
    </row>
    <row r="411" spans="1:20">
      <c r="A411" s="1080"/>
      <c r="B411" s="1105"/>
      <c r="C411" s="1105"/>
      <c r="E411" s="1105"/>
      <c r="F411" s="1105"/>
      <c r="G411" s="1105"/>
      <c r="H411" s="1111"/>
      <c r="I411" s="1111"/>
      <c r="J411" s="1111"/>
      <c r="K411" s="1111"/>
      <c r="L411" s="1111"/>
      <c r="M411" s="1111"/>
      <c r="N411" s="1111"/>
      <c r="O411" s="1111"/>
      <c r="P411" s="1128"/>
      <c r="Q411" s="1144"/>
      <c r="R411" s="1069"/>
      <c r="S411" s="1069"/>
      <c r="T411" s="1105"/>
    </row>
    <row r="412" spans="1:20">
      <c r="A412" s="1080">
        <f>MAX(A$229:A411)+1</f>
        <v>184</v>
      </c>
      <c r="B412" s="1105"/>
      <c r="C412" s="1105"/>
      <c r="D412" s="1105" t="s">
        <v>314</v>
      </c>
      <c r="E412" s="1105"/>
      <c r="F412" s="1138" t="s">
        <v>204</v>
      </c>
      <c r="G412" s="1105"/>
      <c r="H412" s="1111">
        <v>0.20849999999999999</v>
      </c>
      <c r="I412" s="1111"/>
      <c r="J412" s="1111">
        <f t="shared" ref="J412:J413" si="28">ROUND(L412,4)-ROUND(H412,4)</f>
        <v>5.6000000000000216E-3</v>
      </c>
      <c r="K412" s="1111"/>
      <c r="L412" s="1111">
        <v>0.21412223929266846</v>
      </c>
      <c r="M412" s="1111"/>
      <c r="N412" s="1111">
        <v>0.21412223929266846</v>
      </c>
      <c r="O412" s="1111"/>
      <c r="P412" s="1128">
        <v>0</v>
      </c>
      <c r="Q412" s="1144"/>
      <c r="R412" s="1069"/>
      <c r="S412" s="1069"/>
      <c r="T412" s="1105"/>
    </row>
    <row r="413" spans="1:20">
      <c r="A413" s="1080">
        <f>MAX(A$229:A412)+1</f>
        <v>185</v>
      </c>
      <c r="B413" s="1105"/>
      <c r="C413" s="1105"/>
      <c r="D413" s="1105" t="s">
        <v>211</v>
      </c>
      <c r="E413" s="1105"/>
      <c r="F413" s="1138" t="s">
        <v>204</v>
      </c>
      <c r="G413" s="1105"/>
      <c r="H413" s="1111">
        <v>20.538400000000003</v>
      </c>
      <c r="I413" s="1111"/>
      <c r="J413" s="1111">
        <f t="shared" si="28"/>
        <v>-1.9999999999988916E-3</v>
      </c>
      <c r="K413" s="1111"/>
      <c r="L413" s="1111">
        <v>20.536407273459336</v>
      </c>
      <c r="M413" s="1111"/>
      <c r="N413" s="1111">
        <v>-7.5892726540662828E-2</v>
      </c>
      <c r="O413" s="1111"/>
      <c r="P413" s="1111">
        <v>20.612300000000001</v>
      </c>
      <c r="Q413" s="1144"/>
      <c r="R413" s="1069"/>
      <c r="S413" s="1069"/>
      <c r="T413" s="1105"/>
    </row>
    <row r="414" spans="1:20">
      <c r="A414" s="1080"/>
      <c r="B414" s="1105"/>
      <c r="C414" s="1105"/>
      <c r="D414" s="1105"/>
      <c r="E414" s="1105"/>
      <c r="F414" s="1105"/>
      <c r="G414" s="1105"/>
      <c r="H414" s="1147"/>
      <c r="I414" s="1105"/>
      <c r="J414" s="1069"/>
      <c r="K414" s="1105"/>
      <c r="L414" s="1147"/>
      <c r="M414" s="1105"/>
      <c r="N414" s="1147"/>
      <c r="O414" s="1105"/>
      <c r="P414" s="1105"/>
      <c r="Q414" s="1144"/>
      <c r="R414" s="1105"/>
      <c r="S414" s="1105"/>
      <c r="T414" s="1105"/>
    </row>
    <row r="415" spans="1:20">
      <c r="A415" s="1080"/>
      <c r="B415" s="1105"/>
      <c r="C415" s="1105"/>
      <c r="D415" s="1146" t="s">
        <v>182</v>
      </c>
      <c r="E415" s="1105"/>
      <c r="F415" s="1105"/>
      <c r="G415" s="1105"/>
      <c r="H415" s="1147"/>
      <c r="I415" s="1105"/>
      <c r="J415" s="1069"/>
      <c r="K415" s="1105"/>
      <c r="L415" s="1147"/>
      <c r="M415" s="1105"/>
      <c r="N415" s="1147"/>
      <c r="O415" s="1105"/>
      <c r="P415" s="1105"/>
      <c r="Q415" s="1144"/>
      <c r="R415" s="1105"/>
      <c r="S415" s="1105"/>
      <c r="T415" s="1105"/>
    </row>
    <row r="416" spans="1:20">
      <c r="A416" s="1080"/>
      <c r="B416" s="1105"/>
      <c r="C416" s="1105"/>
      <c r="D416" s="1105" t="s">
        <v>1162</v>
      </c>
      <c r="E416" s="1105"/>
      <c r="F416" s="1105"/>
      <c r="G416" s="1105"/>
      <c r="H416" s="1147"/>
      <c r="I416" s="1105"/>
      <c r="J416" s="1069"/>
      <c r="K416" s="1105"/>
      <c r="L416" s="1147"/>
      <c r="M416" s="1105"/>
      <c r="N416" s="1147"/>
      <c r="O416" s="1105"/>
      <c r="P416" s="1105"/>
      <c r="Q416" s="1144"/>
      <c r="R416" s="1105"/>
      <c r="S416" s="1105"/>
      <c r="T416" s="1105"/>
    </row>
    <row r="417" spans="1:20">
      <c r="A417" s="1080">
        <f>MAX(A$229:A416)+1</f>
        <v>186</v>
      </c>
      <c r="B417" s="1105"/>
      <c r="C417" s="1105"/>
      <c r="D417" s="1150" t="s">
        <v>221</v>
      </c>
      <c r="E417" s="1105"/>
      <c r="F417" s="1138" t="s">
        <v>222</v>
      </c>
      <c r="G417" s="1105"/>
      <c r="H417" s="1111">
        <v>34.034500000000001</v>
      </c>
      <c r="I417" s="1111"/>
      <c r="J417" s="1111">
        <f t="shared" ref="J417:J418" si="29">ROUND(L417,4)-ROUND(H417,4)</f>
        <v>3.1383999999999972</v>
      </c>
      <c r="K417" s="1111"/>
      <c r="L417" s="1111">
        <v>37.172885706923644</v>
      </c>
      <c r="M417" s="1111"/>
      <c r="N417" s="1111">
        <v>37.172885706923644</v>
      </c>
      <c r="O417" s="1111"/>
      <c r="P417" s="1128">
        <v>0</v>
      </c>
      <c r="Q417" s="1144"/>
      <c r="R417" s="1069"/>
      <c r="S417" s="1069"/>
      <c r="T417" s="1105"/>
    </row>
    <row r="418" spans="1:20">
      <c r="A418" s="1080">
        <f>MAX(A$229:A417)+1</f>
        <v>187</v>
      </c>
      <c r="B418" s="1105"/>
      <c r="C418" s="1105"/>
      <c r="D418" s="1150" t="s">
        <v>202</v>
      </c>
      <c r="E418" s="1105"/>
      <c r="F418" s="1138" t="s">
        <v>204</v>
      </c>
      <c r="G418" s="1105"/>
      <c r="H418" s="1111">
        <v>0.45379999999999998</v>
      </c>
      <c r="I418" s="1111"/>
      <c r="J418" s="1111">
        <f t="shared" si="29"/>
        <v>1.6000000000000014E-2</v>
      </c>
      <c r="K418" s="1111"/>
      <c r="L418" s="1111">
        <v>0.46977918719798328</v>
      </c>
      <c r="M418" s="1111"/>
      <c r="N418" s="1111">
        <v>0.23305404563210086</v>
      </c>
      <c r="O418" s="1111"/>
      <c r="P418" s="1111">
        <v>0.23672514156588242</v>
      </c>
      <c r="Q418" s="1144"/>
      <c r="R418" s="1069"/>
      <c r="S418" s="1069"/>
      <c r="T418" s="1105"/>
    </row>
    <row r="419" spans="1:20">
      <c r="A419" s="1080"/>
      <c r="B419" s="1105"/>
      <c r="C419" s="1105"/>
      <c r="D419" s="1105"/>
      <c r="E419" s="1105"/>
      <c r="F419" s="1105"/>
      <c r="G419" s="1105"/>
      <c r="H419" s="1111"/>
      <c r="I419" s="1111"/>
      <c r="J419" s="1111"/>
      <c r="K419" s="1111"/>
      <c r="L419" s="1111"/>
      <c r="M419" s="1111"/>
      <c r="N419" s="1111"/>
      <c r="O419" s="1111"/>
      <c r="P419" s="1111"/>
      <c r="Q419" s="1144"/>
      <c r="R419" s="1069"/>
      <c r="S419" s="1069"/>
      <c r="T419" s="1105"/>
    </row>
    <row r="420" spans="1:20">
      <c r="A420" s="1080"/>
      <c r="B420" s="1105"/>
      <c r="C420" s="1105"/>
      <c r="D420" s="1105" t="s">
        <v>325</v>
      </c>
      <c r="E420" s="1105"/>
      <c r="F420" s="1105"/>
      <c r="G420" s="1105"/>
      <c r="H420" s="1111"/>
      <c r="I420" s="1111"/>
      <c r="J420" s="1111"/>
      <c r="K420" s="1111"/>
      <c r="L420" s="1111"/>
      <c r="M420" s="1111"/>
      <c r="N420" s="1111"/>
      <c r="O420" s="1111"/>
      <c r="P420" s="1111"/>
      <c r="Q420" s="1144"/>
      <c r="R420" s="1069"/>
      <c r="S420" s="1069"/>
      <c r="T420" s="1105"/>
    </row>
    <row r="421" spans="1:20">
      <c r="A421" s="1080">
        <f>MAX(A$229:A420)+1</f>
        <v>188</v>
      </c>
      <c r="B421" s="1105"/>
      <c r="C421" s="1105"/>
      <c r="D421" s="1150" t="s">
        <v>289</v>
      </c>
      <c r="E421" s="1105"/>
      <c r="F421" s="1138" t="s">
        <v>204</v>
      </c>
      <c r="G421" s="1105"/>
      <c r="H421" s="1111">
        <v>2.4513716001416475</v>
      </c>
      <c r="I421" s="1111"/>
      <c r="J421" s="1111">
        <f t="shared" ref="J421:J423" si="30">ROUND(L421,4)-ROUND(H421,4)</f>
        <v>0.34030000000000005</v>
      </c>
      <c r="K421" s="1111"/>
      <c r="L421" s="1111">
        <v>2.7917497920052772</v>
      </c>
      <c r="M421" s="1111"/>
      <c r="N421" s="1111">
        <v>2.5550246504393952</v>
      </c>
      <c r="O421" s="1111"/>
      <c r="P421" s="1111">
        <v>0.23672514156588231</v>
      </c>
      <c r="Q421" s="1144"/>
      <c r="R421" s="1069"/>
      <c r="S421" s="1069"/>
      <c r="T421" s="1105"/>
    </row>
    <row r="422" spans="1:20">
      <c r="A422" s="1080"/>
      <c r="B422" s="1105"/>
      <c r="C422" s="1105"/>
      <c r="D422" s="1105"/>
      <c r="E422" s="1105"/>
      <c r="F422" s="1105"/>
      <c r="G422" s="1105"/>
      <c r="H422" s="1111"/>
      <c r="I422" s="1111"/>
      <c r="J422" s="1111"/>
      <c r="K422" s="1111"/>
      <c r="L422" s="1111"/>
      <c r="M422" s="1111"/>
      <c r="N422" s="1111"/>
      <c r="O422" s="1111"/>
      <c r="P422" s="1111"/>
      <c r="Q422" s="1144"/>
      <c r="R422" s="1069"/>
      <c r="S422" s="1069"/>
      <c r="T422" s="1105"/>
    </row>
    <row r="423" spans="1:20">
      <c r="A423" s="1080">
        <f>MAX(A$229:A422)+1</f>
        <v>189</v>
      </c>
      <c r="B423" s="1105"/>
      <c r="C423" s="1105"/>
      <c r="D423" s="1105" t="s">
        <v>211</v>
      </c>
      <c r="E423" s="1105"/>
      <c r="F423" s="1138" t="s">
        <v>204</v>
      </c>
      <c r="G423" s="1105"/>
      <c r="H423" s="1111">
        <v>20.538400000000003</v>
      </c>
      <c r="I423" s="1111"/>
      <c r="J423" s="1111">
        <f t="shared" si="30"/>
        <v>-1.9999999999988916E-3</v>
      </c>
      <c r="K423" s="1111"/>
      <c r="L423" s="1111">
        <v>20.536407273459343</v>
      </c>
      <c r="M423" s="1111"/>
      <c r="N423" s="1111">
        <v>-7.5892726540662842E-2</v>
      </c>
      <c r="O423" s="1111"/>
      <c r="P423" s="1111">
        <v>20.612300000000001</v>
      </c>
      <c r="Q423" s="1144"/>
      <c r="R423" s="1069"/>
      <c r="S423" s="1069"/>
      <c r="T423" s="1105"/>
    </row>
    <row r="424" spans="1:20">
      <c r="A424" s="1080"/>
      <c r="B424" s="1105"/>
      <c r="C424" s="1105"/>
      <c r="D424" s="1143"/>
      <c r="E424" s="1105"/>
      <c r="F424" s="1105"/>
      <c r="G424" s="1105"/>
      <c r="H424" s="1147"/>
      <c r="I424" s="1105"/>
      <c r="J424" s="1069"/>
      <c r="K424" s="1105"/>
      <c r="L424" s="1147"/>
      <c r="M424" s="1105"/>
      <c r="N424" s="1147"/>
      <c r="O424" s="1105"/>
      <c r="P424" s="1105"/>
      <c r="Q424" s="1144"/>
      <c r="R424" s="1069"/>
      <c r="S424" s="1069"/>
      <c r="T424" s="1105"/>
    </row>
    <row r="425" spans="1:20">
      <c r="A425" s="1080"/>
      <c r="B425" s="1105"/>
      <c r="C425" s="1105"/>
      <c r="D425" s="1146" t="s">
        <v>183</v>
      </c>
      <c r="E425" s="1105"/>
      <c r="F425" s="1105"/>
      <c r="G425" s="1105"/>
      <c r="H425" s="1105"/>
      <c r="I425" s="1105"/>
      <c r="J425" s="1069"/>
      <c r="K425" s="1105"/>
      <c r="L425" s="1105"/>
      <c r="M425" s="1105"/>
      <c r="N425" s="1147"/>
      <c r="O425" s="1105"/>
      <c r="P425" s="1105"/>
      <c r="Q425" s="1144"/>
      <c r="R425" s="1069"/>
      <c r="S425" s="1069"/>
      <c r="T425" s="1105"/>
    </row>
    <row r="426" spans="1:20">
      <c r="A426" s="1080">
        <f>MAX(A$229:A425)+1</f>
        <v>190</v>
      </c>
      <c r="B426" s="1105"/>
      <c r="C426" s="1105"/>
      <c r="D426" s="1143" t="s">
        <v>221</v>
      </c>
      <c r="E426" s="1105"/>
      <c r="F426" s="1138" t="s">
        <v>222</v>
      </c>
      <c r="G426" s="1105"/>
      <c r="H426" s="1111">
        <v>27.228400000000001</v>
      </c>
      <c r="I426" s="1111"/>
      <c r="J426" s="1111">
        <f t="shared" ref="J426:J429" si="31">ROUND(L426,4)-ROUND(H426,4)</f>
        <v>0.74050000000000082</v>
      </c>
      <c r="K426" s="1111"/>
      <c r="L426" s="1111">
        <v>27.968946944173922</v>
      </c>
      <c r="M426" s="1111"/>
      <c r="N426" s="1111">
        <v>27.968946944173922</v>
      </c>
      <c r="O426" s="1111"/>
      <c r="P426" s="1128">
        <v>0</v>
      </c>
      <c r="Q426" s="1144"/>
      <c r="R426" s="1069"/>
      <c r="S426" s="1069"/>
      <c r="T426" s="1105"/>
    </row>
    <row r="427" spans="1:20">
      <c r="A427" s="1080">
        <f>MAX(A$229:A426)+1</f>
        <v>191</v>
      </c>
      <c r="B427" s="1105"/>
      <c r="C427" s="1105"/>
      <c r="D427" s="1143" t="s">
        <v>202</v>
      </c>
      <c r="E427" s="1105"/>
      <c r="F427" s="1138" t="s">
        <v>204</v>
      </c>
      <c r="G427" s="1105"/>
      <c r="H427" s="1111">
        <v>0.30399999999999999</v>
      </c>
      <c r="I427" s="1111"/>
      <c r="J427" s="1111">
        <f t="shared" si="31"/>
        <v>1.369999999999999E-2</v>
      </c>
      <c r="K427" s="1111"/>
      <c r="L427" s="1111">
        <v>0.31772486638198666</v>
      </c>
      <c r="M427" s="1111"/>
      <c r="N427" s="1111">
        <v>0.1572499234533552</v>
      </c>
      <c r="O427" s="1111"/>
      <c r="P427" s="1111">
        <v>0.16047494292863149</v>
      </c>
      <c r="Q427" s="1144"/>
      <c r="R427" s="1069"/>
      <c r="S427" s="1069"/>
      <c r="T427" s="1105"/>
    </row>
    <row r="428" spans="1:20">
      <c r="A428" s="1080"/>
      <c r="B428" s="1105"/>
      <c r="C428" s="1105"/>
      <c r="D428" s="1105"/>
      <c r="E428" s="1105"/>
      <c r="F428" s="1105"/>
      <c r="G428" s="1105"/>
      <c r="H428" s="1111"/>
      <c r="I428" s="1111"/>
      <c r="J428" s="1111"/>
      <c r="K428" s="1111"/>
      <c r="L428" s="1111"/>
      <c r="M428" s="1111"/>
      <c r="N428" s="1111"/>
      <c r="O428" s="1111"/>
      <c r="P428" s="1111"/>
      <c r="Q428" s="1144"/>
      <c r="R428" s="1069"/>
      <c r="S428" s="1069"/>
      <c r="T428" s="1105"/>
    </row>
    <row r="429" spans="1:20">
      <c r="A429" s="1080">
        <f>MAX(A$229:A428)+1</f>
        <v>192</v>
      </c>
      <c r="B429" s="1105"/>
      <c r="C429" s="1105"/>
      <c r="D429" s="1105" t="s">
        <v>211</v>
      </c>
      <c r="E429" s="1105"/>
      <c r="F429" s="1138" t="s">
        <v>204</v>
      </c>
      <c r="G429" s="1105"/>
      <c r="H429" s="1111">
        <v>20.538400000000003</v>
      </c>
      <c r="I429" s="1111"/>
      <c r="J429" s="1111">
        <f t="shared" si="31"/>
        <v>-1.9999999999988916E-3</v>
      </c>
      <c r="K429" s="1111"/>
      <c r="L429" s="1111">
        <v>20.536407273459339</v>
      </c>
      <c r="M429" s="1111"/>
      <c r="N429" s="1111">
        <v>-7.5892726540662814E-2</v>
      </c>
      <c r="O429" s="1111"/>
      <c r="P429" s="1111">
        <v>20.612300000000001</v>
      </c>
      <c r="Q429" s="1144"/>
      <c r="R429" s="1069"/>
      <c r="S429" s="1069"/>
      <c r="T429" s="1105"/>
    </row>
    <row r="430" spans="1:20">
      <c r="A430" s="1080"/>
      <c r="B430" s="1105"/>
      <c r="C430" s="1105"/>
      <c r="D430" s="1105"/>
      <c r="E430" s="1105"/>
      <c r="F430" s="1105"/>
      <c r="G430" s="1105"/>
      <c r="H430" s="1105"/>
      <c r="I430" s="1105"/>
      <c r="J430" s="1069"/>
      <c r="K430" s="1105"/>
      <c r="L430" s="1147"/>
      <c r="M430" s="1105"/>
      <c r="N430" s="1147"/>
      <c r="O430" s="1105"/>
      <c r="P430" s="1105"/>
      <c r="Q430" s="1144"/>
      <c r="R430" s="1069"/>
      <c r="S430" s="1069"/>
      <c r="T430" s="1105"/>
    </row>
    <row r="431" spans="1:20">
      <c r="A431" s="1080"/>
      <c r="B431" s="1105"/>
      <c r="C431" s="1105"/>
      <c r="G431" s="1105"/>
      <c r="H431" s="1105"/>
      <c r="I431" s="1105"/>
      <c r="J431" s="1069"/>
      <c r="K431" s="1105"/>
      <c r="L431" s="1147"/>
      <c r="M431" s="1105"/>
      <c r="N431" s="1147"/>
      <c r="O431" s="1105"/>
      <c r="P431" s="1105"/>
      <c r="Q431" s="1144"/>
      <c r="R431" s="1069"/>
      <c r="S431" s="1069"/>
      <c r="T431" s="1105"/>
    </row>
    <row r="432" spans="1:20">
      <c r="A432" s="1080"/>
      <c r="B432" s="1105"/>
      <c r="C432" s="1105"/>
      <c r="D432" s="1105"/>
      <c r="E432" s="1105"/>
      <c r="F432" s="1105"/>
      <c r="G432" s="1105"/>
      <c r="H432" s="1105"/>
      <c r="I432" s="1105"/>
      <c r="J432" s="1069"/>
      <c r="K432" s="1105"/>
      <c r="L432" s="1147"/>
      <c r="M432" s="1105"/>
      <c r="N432" s="1147"/>
      <c r="O432" s="1105"/>
      <c r="P432" s="1105"/>
      <c r="Q432" s="1144"/>
      <c r="R432" s="1069"/>
      <c r="S432" s="1069"/>
      <c r="T432" s="1105"/>
    </row>
    <row r="433" spans="1:20">
      <c r="A433" s="1080"/>
      <c r="B433" s="1105"/>
      <c r="C433" s="1105"/>
      <c r="D433" s="1105"/>
      <c r="E433" s="1105"/>
      <c r="F433" s="1105"/>
      <c r="G433" s="1105"/>
      <c r="H433" s="1105"/>
      <c r="I433" s="1105"/>
      <c r="J433" s="1069"/>
      <c r="K433" s="1105"/>
      <c r="L433" s="1147"/>
      <c r="M433" s="1105"/>
      <c r="N433" s="1147"/>
      <c r="O433" s="1105"/>
      <c r="P433" s="1105"/>
      <c r="Q433" s="1144"/>
      <c r="R433" s="1069"/>
      <c r="S433" s="1069"/>
      <c r="T433" s="1105"/>
    </row>
    <row r="434" spans="1:20">
      <c r="A434" s="1080"/>
      <c r="B434" s="1105"/>
      <c r="C434" s="1105"/>
      <c r="D434" s="1105"/>
      <c r="E434" s="1105"/>
      <c r="F434" s="1105"/>
      <c r="G434" s="1105"/>
      <c r="H434" s="1105"/>
      <c r="I434" s="1105"/>
      <c r="J434" s="1069"/>
      <c r="K434" s="1105"/>
      <c r="L434" s="1147"/>
      <c r="M434" s="1105"/>
      <c r="N434" s="1147"/>
      <c r="O434" s="1105"/>
      <c r="P434" s="1105"/>
      <c r="Q434" s="1144"/>
      <c r="R434" s="1069"/>
      <c r="S434" s="1069"/>
      <c r="T434" s="1105"/>
    </row>
    <row r="435" spans="1:20">
      <c r="A435" s="1080"/>
      <c r="B435" s="1105"/>
      <c r="C435" s="1105"/>
      <c r="D435" s="1105"/>
      <c r="E435" s="1105"/>
      <c r="F435" s="1105"/>
      <c r="G435" s="1105"/>
      <c r="H435" s="1105"/>
      <c r="I435" s="1105"/>
      <c r="J435" s="1069"/>
      <c r="K435" s="1105"/>
      <c r="L435" s="1147"/>
      <c r="M435" s="1105"/>
      <c r="N435" s="1147"/>
      <c r="O435" s="1105"/>
      <c r="P435" s="1105"/>
      <c r="Q435" s="1144"/>
      <c r="R435" s="1069"/>
      <c r="S435" s="1069"/>
      <c r="T435" s="1105"/>
    </row>
    <row r="436" spans="1:20">
      <c r="A436" s="1336"/>
      <c r="B436" s="1336"/>
      <c r="C436" s="1336"/>
      <c r="D436" s="1335"/>
      <c r="E436" s="1335"/>
      <c r="F436" s="1335"/>
      <c r="G436" s="1335"/>
      <c r="H436" s="1335"/>
      <c r="I436" s="1335"/>
      <c r="J436" s="1335"/>
      <c r="K436" s="1335"/>
      <c r="L436" s="1335"/>
      <c r="M436" s="1335"/>
      <c r="N436" s="1335"/>
      <c r="O436" s="1335"/>
      <c r="P436" s="1335"/>
      <c r="Q436" s="1144"/>
      <c r="R436" s="1069"/>
      <c r="S436" s="1069"/>
      <c r="T436" s="1105"/>
    </row>
    <row r="437" spans="1:20">
      <c r="A437" s="1336" t="s">
        <v>1109</v>
      </c>
      <c r="B437" s="1336"/>
      <c r="C437" s="1336"/>
      <c r="D437" s="1335"/>
      <c r="E437" s="1335"/>
      <c r="F437" s="1335"/>
      <c r="G437" s="1335"/>
      <c r="H437" s="1335"/>
      <c r="I437" s="1335"/>
      <c r="J437" s="1335"/>
      <c r="K437" s="1335"/>
      <c r="L437" s="1335"/>
      <c r="M437" s="1335"/>
      <c r="N437" s="1335"/>
      <c r="O437" s="1335"/>
      <c r="P437" s="1335"/>
      <c r="Q437" s="1144"/>
      <c r="R437" s="1069"/>
      <c r="S437" s="1069"/>
      <c r="T437" s="1105"/>
    </row>
    <row r="438" spans="1:20">
      <c r="A438" s="1334" t="s">
        <v>177</v>
      </c>
      <c r="B438" s="1335"/>
      <c r="C438" s="1335"/>
      <c r="D438" s="1335"/>
      <c r="E438" s="1335"/>
      <c r="F438" s="1335"/>
      <c r="G438" s="1335"/>
      <c r="H438" s="1335"/>
      <c r="I438" s="1335"/>
      <c r="J438" s="1335"/>
      <c r="K438" s="1335"/>
      <c r="L438" s="1335"/>
      <c r="M438" s="1335"/>
      <c r="N438" s="1335"/>
      <c r="O438" s="1335"/>
      <c r="P438" s="1335"/>
      <c r="Q438" s="1144"/>
      <c r="R438" s="1069"/>
      <c r="S438" s="1069"/>
      <c r="T438" s="1105"/>
    </row>
    <row r="439" spans="1:20">
      <c r="A439" s="1080"/>
      <c r="B439" s="1082"/>
      <c r="Q439" s="1144"/>
      <c r="R439" s="1069"/>
      <c r="S439" s="1069"/>
      <c r="T439" s="1105"/>
    </row>
    <row r="440" spans="1:20" ht="12.75" customHeight="1">
      <c r="A440" s="1080"/>
      <c r="G440" s="1074"/>
      <c r="H440" s="1077"/>
      <c r="I440" s="1077"/>
      <c r="J440" s="1077"/>
      <c r="K440" s="1077"/>
      <c r="L440" s="1077"/>
      <c r="M440" s="1077"/>
      <c r="N440" s="1332" t="s">
        <v>1086</v>
      </c>
      <c r="O440" s="1332"/>
      <c r="P440" s="1332"/>
      <c r="Q440" s="1144"/>
      <c r="R440" s="1069"/>
      <c r="S440" s="1069"/>
      <c r="T440" s="1105"/>
    </row>
    <row r="441" spans="1:20">
      <c r="A441" s="1080"/>
      <c r="G441" s="1079"/>
      <c r="H441" s="1080"/>
      <c r="I441" s="1081"/>
      <c r="J441" s="1337" t="s">
        <v>1087</v>
      </c>
      <c r="K441" s="1337"/>
      <c r="L441" s="1337"/>
      <c r="N441" s="1333"/>
      <c r="O441" s="1333"/>
      <c r="P441" s="1333"/>
      <c r="Q441" s="1144"/>
      <c r="R441" s="1069"/>
      <c r="S441" s="1069"/>
      <c r="T441" s="1105"/>
    </row>
    <row r="442" spans="1:20">
      <c r="A442" s="1080" t="s">
        <v>1</v>
      </c>
      <c r="C442" s="1082"/>
      <c r="F442" s="1074"/>
      <c r="G442" s="1067"/>
      <c r="H442" s="1080" t="s">
        <v>495</v>
      </c>
      <c r="I442" s="1081"/>
      <c r="J442" s="1083" t="s">
        <v>609</v>
      </c>
      <c r="K442" s="1084"/>
      <c r="L442" s="1080" t="s">
        <v>6</v>
      </c>
      <c r="N442" s="1078"/>
      <c r="O442" s="1078"/>
      <c r="P442" s="1078"/>
      <c r="Q442" s="1144"/>
      <c r="R442" s="1069"/>
      <c r="S442" s="1069"/>
      <c r="T442" s="1105"/>
    </row>
    <row r="443" spans="1:20">
      <c r="A443" s="1085" t="s">
        <v>2</v>
      </c>
      <c r="B443" s="1074"/>
      <c r="C443" s="1075"/>
      <c r="D443" s="1086" t="s">
        <v>3</v>
      </c>
      <c r="F443" s="1087" t="s">
        <v>4</v>
      </c>
      <c r="G443" s="1074"/>
      <c r="H443" s="1088" t="s">
        <v>196</v>
      </c>
      <c r="I443" s="1078"/>
      <c r="J443" s="1089" t="s">
        <v>1088</v>
      </c>
      <c r="L443" s="1088" t="s">
        <v>1089</v>
      </c>
      <c r="N443" s="1090" t="s">
        <v>980</v>
      </c>
      <c r="O443" s="1083"/>
      <c r="P443" s="1090" t="s">
        <v>1090</v>
      </c>
      <c r="Q443" s="1144"/>
      <c r="R443" s="1069"/>
      <c r="S443" s="1069"/>
      <c r="T443" s="1105"/>
    </row>
    <row r="444" spans="1:20">
      <c r="A444" s="1080"/>
      <c r="F444" s="1091"/>
      <c r="G444" s="1074"/>
      <c r="H444" s="1080" t="s">
        <v>1091</v>
      </c>
      <c r="I444" s="1080"/>
      <c r="J444" s="1092" t="s">
        <v>1092</v>
      </c>
      <c r="L444" s="1080" t="s">
        <v>1093</v>
      </c>
      <c r="N444" s="1093" t="s">
        <v>79</v>
      </c>
      <c r="O444" s="1083"/>
      <c r="P444" s="1093" t="s">
        <v>115</v>
      </c>
      <c r="Q444" s="1144"/>
      <c r="R444" s="1069"/>
      <c r="S444" s="1069"/>
      <c r="T444" s="1105"/>
    </row>
    <row r="445" spans="1:20">
      <c r="A445" s="1080"/>
      <c r="B445" s="1105"/>
      <c r="C445" s="1105"/>
      <c r="D445" s="1146" t="s">
        <v>184</v>
      </c>
      <c r="E445" s="1105"/>
      <c r="F445" s="1105"/>
      <c r="G445" s="1105"/>
      <c r="H445" s="1105"/>
      <c r="I445" s="1105"/>
      <c r="J445" s="1069"/>
      <c r="K445" s="1105"/>
      <c r="L445" s="1147"/>
      <c r="M445" s="1105"/>
      <c r="N445" s="1147"/>
      <c r="O445" s="1105"/>
      <c r="P445" s="1105"/>
      <c r="Q445" s="1144"/>
      <c r="R445" s="1069"/>
      <c r="S445" s="1069"/>
      <c r="T445" s="1105"/>
    </row>
    <row r="446" spans="1:20">
      <c r="A446" s="1080"/>
      <c r="B446" s="1105"/>
      <c r="C446" s="1105"/>
      <c r="D446" s="1105" t="s">
        <v>611</v>
      </c>
      <c r="E446" s="1105"/>
      <c r="F446" s="1105"/>
      <c r="G446" s="1105"/>
      <c r="H446" s="1105"/>
      <c r="I446" s="1105"/>
      <c r="J446" s="1069"/>
      <c r="K446" s="1105"/>
      <c r="L446" s="1147"/>
      <c r="M446" s="1105"/>
      <c r="N446" s="1147"/>
      <c r="O446" s="1105"/>
      <c r="P446" s="1105"/>
      <c r="Q446" s="1144"/>
      <c r="R446" s="1069"/>
      <c r="S446" s="1069"/>
      <c r="T446" s="1105"/>
    </row>
    <row r="447" spans="1:20">
      <c r="A447" s="1080"/>
      <c r="B447" s="1105"/>
      <c r="C447" s="1105"/>
      <c r="D447" s="1150" t="s">
        <v>340</v>
      </c>
      <c r="E447" s="1105"/>
      <c r="F447" s="1105"/>
      <c r="G447" s="1105"/>
      <c r="H447" s="1105"/>
      <c r="I447" s="1105"/>
      <c r="J447" s="1069"/>
      <c r="K447" s="1105"/>
      <c r="L447" s="1147"/>
      <c r="M447" s="1105"/>
      <c r="N447" s="1147"/>
      <c r="O447" s="1105"/>
      <c r="P447" s="1105"/>
      <c r="Q447" s="1144"/>
      <c r="R447" s="1069"/>
      <c r="S447" s="1069"/>
      <c r="T447" s="1105"/>
    </row>
    <row r="448" spans="1:20">
      <c r="A448" s="1080">
        <f>MAX(A$229:A447)+1</f>
        <v>193</v>
      </c>
      <c r="B448" s="1105"/>
      <c r="C448" s="1105"/>
      <c r="D448" s="1151" t="s">
        <v>341</v>
      </c>
      <c r="E448" s="1105"/>
      <c r="F448" s="1083" t="s">
        <v>284</v>
      </c>
      <c r="G448" s="1105"/>
      <c r="H448" s="1148">
        <v>1.2E-2</v>
      </c>
      <c r="I448" s="1148"/>
      <c r="J448" s="1148">
        <f t="shared" ref="J448:J455" si="32">ROUND(L448,4)-ROUND(H448,4)</f>
        <v>2.9999999999999992E-4</v>
      </c>
      <c r="K448" s="1148"/>
      <c r="L448" s="1148">
        <v>1.2323582117563655E-2</v>
      </c>
      <c r="M448" s="1148"/>
      <c r="N448" s="1148">
        <v>1.2323582117563655E-2</v>
      </c>
      <c r="O448" s="1111"/>
      <c r="P448" s="1128">
        <v>0</v>
      </c>
      <c r="Q448" s="1144"/>
      <c r="R448" s="1069"/>
      <c r="S448" s="1069"/>
      <c r="T448" s="1105"/>
    </row>
    <row r="449" spans="1:20">
      <c r="A449" s="1080"/>
      <c r="B449" s="1105"/>
      <c r="C449" s="1105"/>
      <c r="D449" s="1150" t="s">
        <v>342</v>
      </c>
      <c r="E449" s="1105"/>
      <c r="F449" s="1105"/>
      <c r="G449" s="1105"/>
      <c r="H449" s="1148"/>
      <c r="I449" s="1148"/>
      <c r="J449" s="1148"/>
      <c r="K449" s="1148"/>
      <c r="L449" s="1148"/>
      <c r="M449" s="1148"/>
      <c r="N449" s="1148"/>
      <c r="O449" s="1111"/>
      <c r="P449" s="1128"/>
      <c r="Q449" s="1144"/>
      <c r="R449" s="1069"/>
      <c r="S449" s="1069"/>
      <c r="T449" s="1105"/>
    </row>
    <row r="450" spans="1:20">
      <c r="A450" s="1080">
        <f>MAX(A$229:A449)+1</f>
        <v>194</v>
      </c>
      <c r="B450" s="1105"/>
      <c r="C450" s="1105"/>
      <c r="D450" s="1151" t="s">
        <v>343</v>
      </c>
      <c r="E450" s="1105"/>
      <c r="F450" s="1083" t="s">
        <v>284</v>
      </c>
      <c r="G450" s="1105"/>
      <c r="H450" s="1148">
        <v>1.8779999999999999</v>
      </c>
      <c r="I450" s="1148"/>
      <c r="J450" s="1148">
        <f t="shared" si="32"/>
        <v>4.8000000000000043E-2</v>
      </c>
      <c r="K450" s="1148"/>
      <c r="L450" s="1148">
        <v>1.9259999999999999</v>
      </c>
      <c r="M450" s="1148"/>
      <c r="N450" s="1148">
        <v>1.9259999999999999</v>
      </c>
      <c r="O450" s="1111"/>
      <c r="P450" s="1128">
        <v>0</v>
      </c>
      <c r="Q450" s="1144"/>
      <c r="R450" s="1069"/>
      <c r="S450" s="1069"/>
      <c r="T450" s="1105"/>
    </row>
    <row r="451" spans="1:20">
      <c r="A451" s="1080">
        <f>MAX(A$229:A450)+1</f>
        <v>195</v>
      </c>
      <c r="B451" s="1105"/>
      <c r="C451" s="1105"/>
      <c r="D451" s="1151" t="s">
        <v>344</v>
      </c>
      <c r="E451" s="1105"/>
      <c r="F451" s="1083" t="s">
        <v>284</v>
      </c>
      <c r="G451" s="1105"/>
      <c r="H451" s="1148">
        <v>1.4730000000000001</v>
      </c>
      <c r="I451" s="1148"/>
      <c r="J451" s="1148">
        <f t="shared" si="32"/>
        <v>4.5099999999999918E-2</v>
      </c>
      <c r="K451" s="1148"/>
      <c r="L451" s="1148">
        <v>1.5181292016499417</v>
      </c>
      <c r="M451" s="1148"/>
      <c r="N451" s="1148">
        <v>1.5181292016499417</v>
      </c>
      <c r="O451" s="1111"/>
      <c r="P451" s="1128">
        <v>0</v>
      </c>
      <c r="Q451" s="1144"/>
      <c r="R451" s="1069"/>
      <c r="S451" s="1069"/>
      <c r="T451" s="1105"/>
    </row>
    <row r="452" spans="1:20">
      <c r="A452" s="1080">
        <f>MAX(A$229:A451)+1</f>
        <v>196</v>
      </c>
      <c r="B452" s="1105"/>
      <c r="C452" s="1105"/>
      <c r="D452" s="1151" t="s">
        <v>345</v>
      </c>
      <c r="E452" s="1105"/>
      <c r="F452" s="1083" t="s">
        <v>284</v>
      </c>
      <c r="G452" s="1105"/>
      <c r="H452" s="1148">
        <v>1.4730000000000001</v>
      </c>
      <c r="I452" s="1148"/>
      <c r="J452" s="1148">
        <f t="shared" si="32"/>
        <v>4.5099999999999918E-2</v>
      </c>
      <c r="K452" s="1148"/>
      <c r="L452" s="1148">
        <v>1.5181292016499417</v>
      </c>
      <c r="M452" s="1148"/>
      <c r="N452" s="1148">
        <v>1.5181292016499417</v>
      </c>
      <c r="O452" s="1111"/>
      <c r="P452" s="1128">
        <v>0</v>
      </c>
      <c r="Q452" s="1144"/>
      <c r="R452" s="1069"/>
      <c r="S452" s="1069"/>
      <c r="T452" s="1105"/>
    </row>
    <row r="453" spans="1:20">
      <c r="A453" s="1080">
        <f>MAX(A$229:A452)+1</f>
        <v>197</v>
      </c>
      <c r="B453" s="1105"/>
      <c r="C453" s="1105"/>
      <c r="D453" s="1151" t="s">
        <v>346</v>
      </c>
      <c r="E453" s="1105"/>
      <c r="F453" s="1083" t="s">
        <v>284</v>
      </c>
      <c r="G453" s="1105"/>
      <c r="H453" s="1148">
        <v>1.4730000000000001</v>
      </c>
      <c r="I453" s="1148"/>
      <c r="J453" s="1148">
        <f t="shared" si="32"/>
        <v>4.5099999999999918E-2</v>
      </c>
      <c r="K453" s="1148"/>
      <c r="L453" s="1148">
        <v>1.5181292016499417</v>
      </c>
      <c r="M453" s="1148"/>
      <c r="N453" s="1148">
        <v>1.5181292016499417</v>
      </c>
      <c r="O453" s="1111"/>
      <c r="P453" s="1128">
        <v>0</v>
      </c>
      <c r="Q453" s="1144"/>
      <c r="R453" s="1069"/>
      <c r="S453" s="1069"/>
      <c r="T453" s="1105"/>
    </row>
    <row r="454" spans="1:20">
      <c r="A454" s="1080"/>
      <c r="B454" s="1105"/>
      <c r="C454" s="1105"/>
      <c r="D454" s="1150" t="s">
        <v>1163</v>
      </c>
      <c r="E454" s="1105"/>
      <c r="F454" s="1105"/>
      <c r="G454" s="1105"/>
      <c r="H454" s="1148"/>
      <c r="I454" s="1148"/>
      <c r="J454" s="1148"/>
      <c r="K454" s="1148"/>
      <c r="L454" s="1148"/>
      <c r="M454" s="1148"/>
      <c r="N454" s="1148"/>
      <c r="O454" s="1111"/>
      <c r="P454" s="1128"/>
      <c r="Q454" s="1144"/>
      <c r="R454" s="1069"/>
      <c r="S454" s="1069"/>
      <c r="T454" s="1105"/>
    </row>
    <row r="455" spans="1:20">
      <c r="A455" s="1080">
        <f>MAX(A$229:A454)+1</f>
        <v>198</v>
      </c>
      <c r="B455" s="1105"/>
      <c r="C455" s="1105"/>
      <c r="D455" s="1151" t="s">
        <v>347</v>
      </c>
      <c r="E455" s="1105"/>
      <c r="F455" s="1083" t="s">
        <v>286</v>
      </c>
      <c r="G455" s="1105"/>
      <c r="H455" s="1148">
        <v>1.2E-2</v>
      </c>
      <c r="I455" s="1148"/>
      <c r="J455" s="1148">
        <f t="shared" si="32"/>
        <v>2.9999999999999992E-4</v>
      </c>
      <c r="K455" s="1148"/>
      <c r="L455" s="1148">
        <v>1.2323582117563655E-2</v>
      </c>
      <c r="M455" s="1148"/>
      <c r="N455" s="1148">
        <v>1.2323582117563655E-2</v>
      </c>
      <c r="O455" s="1111"/>
      <c r="P455" s="1128">
        <v>0</v>
      </c>
      <c r="Q455" s="1144"/>
      <c r="R455" s="1069"/>
      <c r="S455" s="1069"/>
      <c r="T455" s="1105"/>
    </row>
    <row r="456" spans="1:20">
      <c r="A456" s="1080">
        <f>MAX(A$229:A455)+1</f>
        <v>199</v>
      </c>
      <c r="B456" s="1105"/>
      <c r="C456" s="1105"/>
      <c r="D456" s="1143" t="s">
        <v>1164</v>
      </c>
      <c r="E456" s="1105"/>
      <c r="F456" s="1138" t="s">
        <v>1165</v>
      </c>
      <c r="G456" s="1105"/>
      <c r="H456" s="1152">
        <v>4.45E-3</v>
      </c>
      <c r="I456" s="1111"/>
      <c r="J456" s="1152">
        <f>ROUND(L456,8)-ROUND(H456,8)</f>
        <v>5.1148999999999986E-4</v>
      </c>
      <c r="K456" s="1111"/>
      <c r="L456" s="1152">
        <v>4.9614910854222875E-3</v>
      </c>
      <c r="M456" s="1111"/>
      <c r="N456" s="1128">
        <v>0</v>
      </c>
      <c r="O456" s="1111"/>
      <c r="P456" s="1152">
        <v>4.9614910854222875E-3</v>
      </c>
      <c r="Q456" s="1144"/>
      <c r="R456" s="1069"/>
      <c r="S456" s="1069"/>
      <c r="T456" s="1105"/>
    </row>
    <row r="457" spans="1:20">
      <c r="A457" s="1080"/>
      <c r="B457" s="1105"/>
      <c r="C457" s="1105"/>
      <c r="D457" s="1105"/>
      <c r="E457" s="1105"/>
      <c r="F457" s="1105"/>
      <c r="G457" s="1105"/>
      <c r="H457" s="1111"/>
      <c r="I457" s="1111"/>
      <c r="J457" s="1111"/>
      <c r="K457" s="1111"/>
      <c r="L457" s="1111"/>
      <c r="M457" s="1111"/>
      <c r="N457" s="1111"/>
      <c r="O457" s="1111"/>
      <c r="P457" s="1111"/>
      <c r="Q457" s="1144"/>
      <c r="R457" s="1069"/>
      <c r="S457" s="1069"/>
      <c r="T457" s="1105"/>
    </row>
    <row r="458" spans="1:20">
      <c r="A458" s="1080"/>
      <c r="B458" s="1105"/>
      <c r="C458" s="1105"/>
      <c r="D458" s="1105" t="s">
        <v>1166</v>
      </c>
      <c r="E458" s="1105"/>
      <c r="F458" s="1105"/>
      <c r="G458" s="1105"/>
      <c r="H458" s="1111"/>
      <c r="I458" s="1111"/>
      <c r="J458" s="1111"/>
      <c r="K458" s="1111"/>
      <c r="L458" s="1111"/>
      <c r="M458" s="1111"/>
      <c r="N458" s="1111"/>
      <c r="O458" s="1111"/>
      <c r="P458" s="1111"/>
      <c r="Q458" s="1144"/>
      <c r="R458" s="1069"/>
      <c r="S458" s="1069"/>
      <c r="T458" s="1105"/>
    </row>
    <row r="459" spans="1:20">
      <c r="A459" s="1080"/>
      <c r="B459" s="1105"/>
      <c r="C459" s="1105"/>
      <c r="D459" s="1150" t="s">
        <v>1167</v>
      </c>
      <c r="E459" s="1105"/>
      <c r="F459" s="1105"/>
      <c r="G459" s="1105"/>
      <c r="H459" s="1111"/>
      <c r="I459" s="1111"/>
      <c r="J459" s="1111"/>
      <c r="K459" s="1111"/>
      <c r="L459" s="1111"/>
      <c r="M459" s="1111"/>
      <c r="N459" s="1111"/>
      <c r="O459" s="1111"/>
      <c r="P459" s="1111"/>
      <c r="Q459" s="1144"/>
      <c r="R459" s="1069"/>
      <c r="S459" s="1069"/>
      <c r="T459" s="1105"/>
    </row>
    <row r="460" spans="1:20">
      <c r="A460" s="1080">
        <f>MAX(A$229:A459)+1</f>
        <v>200</v>
      </c>
      <c r="B460" s="1105"/>
      <c r="C460" s="1105"/>
      <c r="D460" s="1151" t="s">
        <v>1168</v>
      </c>
      <c r="E460" s="1105"/>
      <c r="F460" s="1138" t="s">
        <v>222</v>
      </c>
      <c r="G460" s="1105"/>
      <c r="H460" s="1111">
        <v>44.595399999999998</v>
      </c>
      <c r="I460" s="1111"/>
      <c r="J460" s="1111">
        <f t="shared" ref="J460:J466" si="33">ROUND(L460,4)-ROUND(H460,4)</f>
        <v>-1.8222999999999985</v>
      </c>
      <c r="K460" s="1111"/>
      <c r="L460" s="1111">
        <v>42.773067996166418</v>
      </c>
      <c r="M460" s="1111"/>
      <c r="N460" s="1111">
        <v>42.773067996166418</v>
      </c>
      <c r="O460" s="1111"/>
      <c r="P460" s="1128">
        <v>0</v>
      </c>
      <c r="Q460" s="1144"/>
      <c r="R460" s="1069"/>
      <c r="S460" s="1069"/>
      <c r="T460" s="1105"/>
    </row>
    <row r="461" spans="1:20">
      <c r="A461" s="1080">
        <f>MAX(A$229:A460)+1</f>
        <v>201</v>
      </c>
      <c r="B461" s="1105"/>
      <c r="C461" s="1105"/>
      <c r="D461" s="1151" t="s">
        <v>1169</v>
      </c>
      <c r="E461" s="1105"/>
      <c r="F461" s="1138" t="s">
        <v>222</v>
      </c>
      <c r="G461" s="1105"/>
      <c r="H461" s="1111">
        <v>31.676299999999998</v>
      </c>
      <c r="I461" s="1111"/>
      <c r="J461" s="1111">
        <f t="shared" si="33"/>
        <v>-1.1473000000000013</v>
      </c>
      <c r="K461" s="1111"/>
      <c r="L461" s="1111">
        <v>30.529045398588394</v>
      </c>
      <c r="M461" s="1111"/>
      <c r="N461" s="1111">
        <v>30.529045398588394</v>
      </c>
      <c r="O461" s="1111"/>
      <c r="P461" s="1128">
        <v>0</v>
      </c>
      <c r="Q461" s="1144"/>
      <c r="R461" s="1069"/>
      <c r="S461" s="1069"/>
      <c r="T461" s="1105"/>
    </row>
    <row r="462" spans="1:20">
      <c r="A462" s="1080"/>
      <c r="B462" s="1105"/>
      <c r="C462" s="1105"/>
      <c r="D462" s="1150" t="s">
        <v>347</v>
      </c>
      <c r="E462" s="1105"/>
      <c r="F462" s="1105"/>
      <c r="G462" s="1105"/>
      <c r="H462" s="1111"/>
      <c r="I462" s="1111"/>
      <c r="J462" s="1111"/>
      <c r="K462" s="1111"/>
      <c r="L462" s="1111"/>
      <c r="M462" s="1111"/>
      <c r="N462" s="1111"/>
      <c r="O462" s="1111"/>
      <c r="P462" s="1111"/>
      <c r="Q462" s="1144"/>
      <c r="R462" s="1069"/>
      <c r="S462" s="1069"/>
      <c r="T462" s="1105"/>
    </row>
    <row r="463" spans="1:20">
      <c r="A463" s="1080">
        <f>MAX(A$229:A462)+1</f>
        <v>202</v>
      </c>
      <c r="B463" s="1105"/>
      <c r="C463" s="1105"/>
      <c r="D463" s="1151" t="s">
        <v>1170</v>
      </c>
      <c r="E463" s="1105"/>
      <c r="F463" s="1138" t="s">
        <v>204</v>
      </c>
      <c r="G463" s="1105"/>
      <c r="H463" s="1111">
        <v>0.14000000000000001</v>
      </c>
      <c r="I463" s="1111"/>
      <c r="J463" s="1111">
        <f t="shared" si="33"/>
        <v>-4.0000000000000036E-3</v>
      </c>
      <c r="K463" s="1111"/>
      <c r="L463" s="1111">
        <v>0.13600309066815311</v>
      </c>
      <c r="M463" s="1111"/>
      <c r="N463" s="1111">
        <v>0.12405739331680747</v>
      </c>
      <c r="O463" s="1111"/>
      <c r="P463" s="1111">
        <v>1.1945697351345645E-2</v>
      </c>
      <c r="Q463" s="1144"/>
      <c r="R463" s="1069"/>
      <c r="S463" s="1069"/>
      <c r="T463" s="1105"/>
    </row>
    <row r="464" spans="1:20">
      <c r="A464" s="1080">
        <f>MAX(A$229:A463)+1</f>
        <v>203</v>
      </c>
      <c r="B464" s="1105"/>
      <c r="C464" s="1105"/>
      <c r="D464" s="1151" t="s">
        <v>1171</v>
      </c>
      <c r="E464" s="1105"/>
      <c r="F464" s="1138" t="s">
        <v>204</v>
      </c>
      <c r="G464" s="1105"/>
      <c r="H464" s="1111">
        <v>2.1870000000000003</v>
      </c>
      <c r="I464" s="1111"/>
      <c r="J464" s="1111">
        <f t="shared" si="33"/>
        <v>-4.2399999999999771E-2</v>
      </c>
      <c r="K464" s="1111"/>
      <c r="L464" s="1111">
        <v>2.1446106275413133</v>
      </c>
      <c r="M464" s="1111"/>
      <c r="N464" s="1111">
        <v>2.1326649301899674</v>
      </c>
      <c r="O464" s="1111"/>
      <c r="P464" s="1111">
        <v>1.1945697351345643E-2</v>
      </c>
      <c r="Q464" s="1144"/>
      <c r="R464" s="1069"/>
      <c r="S464" s="1069"/>
      <c r="T464" s="1105"/>
    </row>
    <row r="465" spans="1:20">
      <c r="A465" s="1080"/>
      <c r="B465" s="1105"/>
      <c r="C465" s="1105"/>
      <c r="D465" s="1151"/>
      <c r="E465" s="1105"/>
      <c r="F465" s="1105"/>
      <c r="G465" s="1105"/>
      <c r="H465" s="1111"/>
      <c r="I465" s="1111"/>
      <c r="J465" s="1111"/>
      <c r="K465" s="1111"/>
      <c r="L465" s="1111"/>
      <c r="M465" s="1111"/>
      <c r="N465" s="1111"/>
      <c r="O465" s="1111"/>
      <c r="P465" s="1111"/>
      <c r="Q465" s="1144"/>
      <c r="R465" s="1069"/>
      <c r="S465" s="1069"/>
      <c r="T465" s="1105"/>
    </row>
    <row r="466" spans="1:20">
      <c r="A466" s="1080">
        <f>MAX(A$229:A465)+1</f>
        <v>204</v>
      </c>
      <c r="B466" s="1105"/>
      <c r="C466" s="1105"/>
      <c r="D466" s="1105" t="s">
        <v>1172</v>
      </c>
      <c r="E466" s="1105"/>
      <c r="F466" s="1083" t="s">
        <v>201</v>
      </c>
      <c r="G466" s="1105"/>
      <c r="H466" s="1100">
        <v>2155.61</v>
      </c>
      <c r="I466" s="1105"/>
      <c r="J466" s="1100">
        <f t="shared" si="33"/>
        <v>58.126399999999649</v>
      </c>
      <c r="K466" s="1105"/>
      <c r="L466" s="1100">
        <v>2213.7364040367825</v>
      </c>
      <c r="M466" s="1153"/>
      <c r="N466" s="1100">
        <v>2213.7364040367825</v>
      </c>
      <c r="O466" s="1105"/>
      <c r="P466" s="595">
        <v>0</v>
      </c>
      <c r="Q466" s="1144"/>
      <c r="S466" s="1069"/>
      <c r="T466" s="1105"/>
    </row>
    <row r="467" spans="1:20">
      <c r="A467" s="1080">
        <f>MAX(A$229:A466)+1</f>
        <v>205</v>
      </c>
      <c r="B467" s="1105"/>
      <c r="C467" s="1105"/>
      <c r="D467" s="1143" t="s">
        <v>1173</v>
      </c>
      <c r="E467" s="1105"/>
      <c r="F467" s="1138" t="s">
        <v>1165</v>
      </c>
      <c r="G467" s="1105"/>
      <c r="H467" s="1152">
        <v>3.5799999999999998E-3</v>
      </c>
      <c r="I467" s="1111"/>
      <c r="J467" s="1152">
        <f>ROUND(L467,8)-ROUND(H467,8)</f>
        <v>6.1417999999999976E-4</v>
      </c>
      <c r="K467" s="1111"/>
      <c r="L467" s="1152">
        <v>4.1941789342021703E-3</v>
      </c>
      <c r="M467" s="1111"/>
      <c r="N467" s="1128">
        <v>0</v>
      </c>
      <c r="O467" s="1111"/>
      <c r="P467" s="1152">
        <v>4.1941789342021703E-3</v>
      </c>
      <c r="Q467" s="1144"/>
      <c r="R467" s="1069"/>
      <c r="S467" s="1069"/>
      <c r="T467" s="1105"/>
    </row>
    <row r="468" spans="1:20">
      <c r="A468" s="1080"/>
      <c r="B468" s="1105"/>
      <c r="C468" s="1105"/>
      <c r="D468" s="1105"/>
      <c r="E468" s="1105"/>
      <c r="F468" s="1105"/>
      <c r="G468" s="1105"/>
      <c r="H468" s="1105"/>
      <c r="I468" s="1105"/>
      <c r="J468" s="1069"/>
      <c r="K468" s="1105"/>
      <c r="L468" s="1147"/>
      <c r="M468" s="1105"/>
      <c r="N468" s="1147"/>
      <c r="O468" s="1105"/>
      <c r="P468" s="1105"/>
      <c r="Q468" s="1144"/>
      <c r="R468" s="1069"/>
      <c r="S468" s="1069"/>
      <c r="T468" s="1105"/>
    </row>
    <row r="469" spans="1:20">
      <c r="A469" s="1080"/>
      <c r="B469" s="1105"/>
      <c r="C469" s="1105"/>
      <c r="D469" s="1105"/>
      <c r="E469" s="1105"/>
      <c r="F469" s="1105"/>
      <c r="G469" s="1105"/>
      <c r="H469" s="1105"/>
      <c r="I469" s="1105"/>
      <c r="J469" s="1069"/>
      <c r="K469" s="1105"/>
      <c r="L469" s="1147"/>
      <c r="M469" s="1105"/>
      <c r="N469" s="1147"/>
      <c r="O469" s="1105"/>
      <c r="P469" s="1105"/>
      <c r="Q469" s="1144"/>
      <c r="R469" s="1069"/>
      <c r="S469" s="1069"/>
      <c r="T469" s="1105"/>
    </row>
    <row r="470" spans="1:20">
      <c r="A470" s="1080"/>
      <c r="B470" s="1105"/>
      <c r="C470" s="1105"/>
      <c r="D470" s="1146" t="s">
        <v>185</v>
      </c>
      <c r="E470" s="1105"/>
      <c r="F470" s="1105"/>
      <c r="G470" s="1105"/>
      <c r="H470" s="1105"/>
      <c r="I470" s="1105"/>
      <c r="J470" s="1069"/>
      <c r="K470" s="1105"/>
      <c r="L470" s="1147"/>
      <c r="M470" s="1105"/>
      <c r="N470" s="1147"/>
      <c r="O470" s="1105"/>
      <c r="P470" s="1105"/>
      <c r="Q470" s="1144"/>
      <c r="R470" s="1069"/>
      <c r="S470" s="1069"/>
      <c r="T470" s="1105"/>
    </row>
    <row r="471" spans="1:20">
      <c r="A471" s="1080"/>
      <c r="B471" s="1105"/>
      <c r="C471" s="1105"/>
      <c r="D471" s="1105" t="s">
        <v>1174</v>
      </c>
      <c r="E471" s="1105"/>
      <c r="F471" s="1105"/>
      <c r="G471" s="1105"/>
      <c r="H471" s="1105"/>
      <c r="I471" s="1105"/>
      <c r="J471" s="1069"/>
      <c r="K471" s="1105"/>
      <c r="L471" s="1147"/>
      <c r="M471" s="1105"/>
      <c r="N471" s="1147"/>
      <c r="O471" s="1105"/>
      <c r="P471" s="1105"/>
      <c r="Q471" s="1144"/>
      <c r="R471" s="1069"/>
      <c r="S471" s="1069"/>
      <c r="T471" s="1105"/>
    </row>
    <row r="472" spans="1:20">
      <c r="A472" s="1080"/>
      <c r="B472" s="1105"/>
      <c r="C472" s="1105"/>
      <c r="D472" s="1150" t="s">
        <v>340</v>
      </c>
      <c r="E472" s="1105"/>
      <c r="F472" s="1105"/>
      <c r="G472" s="1105"/>
      <c r="H472" s="1105"/>
      <c r="I472" s="1105"/>
      <c r="J472" s="1069"/>
      <c r="K472" s="1105"/>
      <c r="L472" s="1147"/>
      <c r="M472" s="1105"/>
      <c r="N472" s="1147"/>
      <c r="O472" s="1105"/>
      <c r="P472" s="1105"/>
      <c r="Q472" s="1144"/>
      <c r="R472" s="1069"/>
      <c r="S472" s="1069"/>
      <c r="T472" s="1105"/>
    </row>
    <row r="473" spans="1:20">
      <c r="A473" s="1080">
        <f>MAX(A$229:A472)+1</f>
        <v>206</v>
      </c>
      <c r="B473" s="1105"/>
      <c r="C473" s="1105"/>
      <c r="D473" s="1151" t="s">
        <v>341</v>
      </c>
      <c r="E473" s="1105"/>
      <c r="F473" s="1083" t="s">
        <v>284</v>
      </c>
      <c r="G473" s="1105"/>
      <c r="H473" s="1148">
        <v>1.2E-2</v>
      </c>
      <c r="I473" s="1148"/>
      <c r="J473" s="1148">
        <f t="shared" ref="J473:J480" si="34">ROUND(L473,4)-ROUND(H473,4)</f>
        <v>2.9999999999999992E-4</v>
      </c>
      <c r="K473" s="1148"/>
      <c r="L473" s="1148">
        <v>1.2323582117563655E-2</v>
      </c>
      <c r="M473" s="1148"/>
      <c r="N473" s="1148">
        <v>1.2323582117563655E-2</v>
      </c>
      <c r="O473" s="1111"/>
      <c r="P473" s="1128">
        <v>0</v>
      </c>
      <c r="Q473" s="1144"/>
      <c r="R473" s="1069"/>
      <c r="S473" s="1069"/>
      <c r="T473" s="1105"/>
    </row>
    <row r="474" spans="1:20">
      <c r="A474" s="1080"/>
      <c r="B474" s="1105"/>
      <c r="C474" s="1105"/>
      <c r="D474" s="1150" t="s">
        <v>342</v>
      </c>
      <c r="E474" s="1105"/>
      <c r="F474" s="1105"/>
      <c r="G474" s="1105"/>
      <c r="H474" s="1148"/>
      <c r="I474" s="1148"/>
      <c r="J474" s="1148"/>
      <c r="K474" s="1148"/>
      <c r="L474" s="1148"/>
      <c r="M474" s="1148"/>
      <c r="N474" s="1148"/>
      <c r="O474" s="1111"/>
      <c r="P474" s="1128"/>
      <c r="Q474" s="1144"/>
      <c r="R474" s="1069"/>
      <c r="S474" s="1069"/>
      <c r="T474" s="1105"/>
    </row>
    <row r="475" spans="1:20">
      <c r="A475" s="1080">
        <f>MAX(A$229:A474)+1</f>
        <v>207</v>
      </c>
      <c r="B475" s="1105"/>
      <c r="C475" s="1105"/>
      <c r="D475" s="1151" t="s">
        <v>343</v>
      </c>
      <c r="E475" s="1105"/>
      <c r="F475" s="1083" t="s">
        <v>284</v>
      </c>
      <c r="G475" s="1105"/>
      <c r="H475" s="1148">
        <v>1.8779999999999999</v>
      </c>
      <c r="I475" s="1148"/>
      <c r="J475" s="1148">
        <f t="shared" si="34"/>
        <v>4.8000000000000043E-2</v>
      </c>
      <c r="K475" s="1148"/>
      <c r="L475" s="1148">
        <v>1.9259999999999999</v>
      </c>
      <c r="M475" s="1148"/>
      <c r="N475" s="1148">
        <v>1.9259999999999999</v>
      </c>
      <c r="O475" s="1111"/>
      <c r="P475" s="1128">
        <v>0</v>
      </c>
      <c r="Q475" s="1144"/>
      <c r="R475" s="1069"/>
      <c r="S475" s="1069"/>
      <c r="T475" s="1105"/>
    </row>
    <row r="476" spans="1:20">
      <c r="A476" s="1080">
        <f>MAX(A$229:A475)+1</f>
        <v>208</v>
      </c>
      <c r="B476" s="1105"/>
      <c r="C476" s="1105"/>
      <c r="D476" s="1151" t="s">
        <v>344</v>
      </c>
      <c r="E476" s="1105"/>
      <c r="F476" s="1083" t="s">
        <v>284</v>
      </c>
      <c r="G476" s="1105"/>
      <c r="H476" s="1148">
        <v>1.4730000000000001</v>
      </c>
      <c r="I476" s="1148"/>
      <c r="J476" s="1148">
        <f t="shared" si="34"/>
        <v>4.5099999999999918E-2</v>
      </c>
      <c r="K476" s="1148"/>
      <c r="L476" s="1148">
        <v>1.5181292016499417</v>
      </c>
      <c r="M476" s="1148"/>
      <c r="N476" s="1148">
        <v>1.5181292016499417</v>
      </c>
      <c r="O476" s="1111"/>
      <c r="P476" s="1128">
        <v>0</v>
      </c>
      <c r="Q476" s="1144"/>
      <c r="R476" s="1069"/>
      <c r="S476" s="1069"/>
      <c r="T476" s="1105"/>
    </row>
    <row r="477" spans="1:20">
      <c r="A477" s="1080">
        <f>MAX(A$229:A476)+1</f>
        <v>209</v>
      </c>
      <c r="B477" s="1105"/>
      <c r="C477" s="1105"/>
      <c r="D477" s="1151" t="s">
        <v>345</v>
      </c>
      <c r="E477" s="1105"/>
      <c r="F477" s="1083" t="s">
        <v>284</v>
      </c>
      <c r="G477" s="1105"/>
      <c r="H477" s="1148">
        <v>1.4730000000000001</v>
      </c>
      <c r="I477" s="1148"/>
      <c r="J477" s="1148">
        <f t="shared" si="34"/>
        <v>4.5099999999999918E-2</v>
      </c>
      <c r="K477" s="1148"/>
      <c r="L477" s="1148">
        <v>1.5181292016499417</v>
      </c>
      <c r="M477" s="1148"/>
      <c r="N477" s="1148">
        <v>1.5181292016499417</v>
      </c>
      <c r="O477" s="1111"/>
      <c r="P477" s="1128">
        <v>0</v>
      </c>
      <c r="Q477" s="1144"/>
      <c r="R477" s="1069"/>
      <c r="S477" s="1069"/>
      <c r="T477" s="1105"/>
    </row>
    <row r="478" spans="1:20">
      <c r="A478" s="1080">
        <f>MAX(A$229:A477)+1</f>
        <v>210</v>
      </c>
      <c r="B478" s="1105"/>
      <c r="C478" s="1105"/>
      <c r="D478" s="1151" t="s">
        <v>346</v>
      </c>
      <c r="E478" s="1105"/>
      <c r="F478" s="1083" t="s">
        <v>284</v>
      </c>
      <c r="G478" s="1105"/>
      <c r="H478" s="1148">
        <v>1.4730000000000001</v>
      </c>
      <c r="I478" s="1148"/>
      <c r="J478" s="1148">
        <f t="shared" si="34"/>
        <v>4.5099999999999918E-2</v>
      </c>
      <c r="K478" s="1148"/>
      <c r="L478" s="1148">
        <v>1.5181292016499417</v>
      </c>
      <c r="M478" s="1148"/>
      <c r="N478" s="1148">
        <v>1.5181292016499417</v>
      </c>
      <c r="O478" s="1111"/>
      <c r="P478" s="1128">
        <v>0</v>
      </c>
      <c r="Q478" s="1144"/>
      <c r="R478" s="1069"/>
      <c r="S478" s="1069"/>
      <c r="T478" s="1105"/>
    </row>
    <row r="479" spans="1:20">
      <c r="A479" s="1080"/>
      <c r="B479" s="1105"/>
      <c r="C479" s="1105"/>
      <c r="D479" s="1150" t="s">
        <v>1163</v>
      </c>
      <c r="E479" s="1105"/>
      <c r="F479" s="1105"/>
      <c r="G479" s="1105"/>
      <c r="H479" s="1148"/>
      <c r="I479" s="1148"/>
      <c r="J479" s="1148"/>
      <c r="K479" s="1148"/>
      <c r="L479" s="1148"/>
      <c r="M479" s="1148"/>
      <c r="N479" s="1148"/>
      <c r="O479" s="1111"/>
      <c r="P479" s="1128"/>
      <c r="Q479" s="1144"/>
      <c r="R479" s="1069"/>
      <c r="S479" s="1069"/>
      <c r="T479" s="1105"/>
    </row>
    <row r="480" spans="1:20">
      <c r="A480" s="1080">
        <f>MAX(A$229:A479)+1</f>
        <v>211</v>
      </c>
      <c r="B480" s="1105"/>
      <c r="C480" s="1105"/>
      <c r="D480" s="1151" t="s">
        <v>347</v>
      </c>
      <c r="E480" s="1105"/>
      <c r="F480" s="1083" t="s">
        <v>286</v>
      </c>
      <c r="G480" s="1105"/>
      <c r="H480" s="1148">
        <v>1.2E-2</v>
      </c>
      <c r="I480" s="1148"/>
      <c r="J480" s="1148">
        <f t="shared" si="34"/>
        <v>2.9999999999999992E-4</v>
      </c>
      <c r="K480" s="1148"/>
      <c r="L480" s="1148">
        <v>1.2323582117563656E-2</v>
      </c>
      <c r="M480" s="1148"/>
      <c r="N480" s="1148">
        <v>1.2323582117563656E-2</v>
      </c>
      <c r="O480" s="1111"/>
      <c r="P480" s="1128">
        <v>0</v>
      </c>
      <c r="Q480" s="1144"/>
      <c r="R480" s="1069"/>
      <c r="S480" s="1069"/>
      <c r="T480" s="1105"/>
    </row>
    <row r="481" spans="1:20">
      <c r="A481" s="1080">
        <f>MAX(A$229:A480)+1</f>
        <v>212</v>
      </c>
      <c r="B481" s="1105"/>
      <c r="C481" s="1105"/>
      <c r="D481" s="1143" t="s">
        <v>1164</v>
      </c>
      <c r="E481" s="1105"/>
      <c r="F481" s="1138" t="s">
        <v>1165</v>
      </c>
      <c r="G481" s="1105"/>
      <c r="H481" s="1152">
        <v>4.45E-3</v>
      </c>
      <c r="I481" s="1111"/>
      <c r="J481" s="1152">
        <f>ROUND(L481,8)-ROUND(H481,8)</f>
        <v>5.1148999999999986E-4</v>
      </c>
      <c r="K481" s="1111"/>
      <c r="L481" s="1152">
        <v>4.9614910854222875E-3</v>
      </c>
      <c r="M481" s="1111"/>
      <c r="N481" s="1128">
        <v>0</v>
      </c>
      <c r="O481" s="1111"/>
      <c r="P481" s="1152">
        <v>4.9614910854222875E-3</v>
      </c>
      <c r="Q481" s="1144"/>
      <c r="R481" s="1069"/>
      <c r="S481" s="1069"/>
      <c r="T481" s="1105"/>
    </row>
    <row r="482" spans="1:20" ht="12" customHeight="1">
      <c r="A482" s="1080"/>
      <c r="B482" s="1105"/>
      <c r="C482" s="1105"/>
      <c r="D482" s="1105"/>
      <c r="E482" s="1105"/>
      <c r="F482" s="1105"/>
      <c r="G482" s="1105"/>
      <c r="H482" s="1111"/>
      <c r="I482" s="1111"/>
      <c r="J482" s="1111"/>
      <c r="K482" s="1111"/>
      <c r="L482" s="1111"/>
      <c r="M482" s="1111"/>
      <c r="N482" s="1111"/>
      <c r="O482" s="1111"/>
      <c r="P482" s="1111"/>
      <c r="Q482" s="1144"/>
      <c r="R482" s="1069"/>
      <c r="S482" s="1069"/>
      <c r="T482" s="1105"/>
    </row>
    <row r="483" spans="1:20">
      <c r="A483" s="1080"/>
      <c r="B483" s="1105"/>
      <c r="C483" s="1105"/>
      <c r="D483" s="1105" t="s">
        <v>988</v>
      </c>
      <c r="E483" s="1105"/>
      <c r="F483" s="1105"/>
      <c r="G483" s="1105"/>
      <c r="H483" s="1111"/>
      <c r="I483" s="1111"/>
      <c r="J483" s="1111"/>
      <c r="K483" s="1111"/>
      <c r="L483" s="1111"/>
      <c r="M483" s="1111"/>
      <c r="N483" s="1111"/>
      <c r="O483" s="1111"/>
      <c r="P483" s="1111"/>
      <c r="Q483" s="1144"/>
      <c r="R483" s="1069"/>
      <c r="S483" s="1069"/>
      <c r="T483" s="1105"/>
    </row>
    <row r="484" spans="1:20">
      <c r="A484" s="1080"/>
      <c r="B484" s="1105"/>
      <c r="C484" s="1105"/>
      <c r="D484" s="1150" t="s">
        <v>1167</v>
      </c>
      <c r="E484" s="1105"/>
      <c r="F484" s="1105"/>
      <c r="G484" s="1105"/>
      <c r="H484" s="1111"/>
      <c r="I484" s="1111"/>
      <c r="J484" s="1111"/>
      <c r="K484" s="1111"/>
      <c r="L484" s="1111"/>
      <c r="M484" s="1111"/>
      <c r="N484" s="1111"/>
      <c r="O484" s="1111"/>
      <c r="P484" s="1111"/>
      <c r="Q484" s="1144"/>
      <c r="R484" s="1069"/>
      <c r="S484" s="1069"/>
      <c r="T484" s="1105"/>
    </row>
    <row r="485" spans="1:20">
      <c r="A485" s="1080">
        <f>MAX(A$229:A484)+1</f>
        <v>213</v>
      </c>
      <c r="B485" s="1105"/>
      <c r="C485" s="1105"/>
      <c r="D485" s="1151" t="s">
        <v>351</v>
      </c>
      <c r="E485" s="1105"/>
      <c r="F485" s="1138" t="s">
        <v>222</v>
      </c>
      <c r="G485" s="1105"/>
      <c r="H485" s="1111">
        <v>33.160600000000002</v>
      </c>
      <c r="I485" s="1111"/>
      <c r="J485" s="1111">
        <f t="shared" ref="J485:J491" si="35">ROUND(L485,4)-ROUND(H485,4)</f>
        <v>8.8999999999998636E-2</v>
      </c>
      <c r="K485" s="1111"/>
      <c r="L485" s="1111">
        <v>33.249587166831333</v>
      </c>
      <c r="M485" s="1111"/>
      <c r="N485" s="1111">
        <v>33.249587166831333</v>
      </c>
      <c r="O485" s="1111"/>
      <c r="P485" s="1128">
        <v>0</v>
      </c>
      <c r="Q485" s="1144"/>
      <c r="R485" s="1069"/>
      <c r="S485" s="1069"/>
      <c r="T485" s="1105"/>
    </row>
    <row r="486" spans="1:20">
      <c r="A486" s="1080">
        <f>MAX(A$229:A485)+1</f>
        <v>214</v>
      </c>
      <c r="B486" s="1105"/>
      <c r="C486" s="1105"/>
      <c r="D486" s="1151" t="s">
        <v>352</v>
      </c>
      <c r="E486" s="1105"/>
      <c r="F486" s="1138" t="s">
        <v>222</v>
      </c>
      <c r="G486" s="1105"/>
      <c r="H486" s="1111">
        <v>18.477399999999999</v>
      </c>
      <c r="I486" s="1111"/>
      <c r="J486" s="1111">
        <f t="shared" si="35"/>
        <v>0.12560000000000215</v>
      </c>
      <c r="K486" s="1111"/>
      <c r="L486" s="1111">
        <v>18.603013150091311</v>
      </c>
      <c r="M486" s="1111"/>
      <c r="N486" s="1111">
        <v>18.603013150091311</v>
      </c>
      <c r="O486" s="1111"/>
      <c r="P486" s="1128">
        <v>0</v>
      </c>
      <c r="Q486" s="1144"/>
      <c r="R486" s="1069"/>
      <c r="S486" s="1069"/>
      <c r="T486" s="1105"/>
    </row>
    <row r="487" spans="1:20">
      <c r="A487" s="1080"/>
      <c r="B487" s="1105"/>
      <c r="C487" s="1105"/>
      <c r="D487" s="1150" t="s">
        <v>347</v>
      </c>
      <c r="E487" s="1105"/>
      <c r="F487" s="1105"/>
      <c r="G487" s="1105"/>
      <c r="H487" s="1111"/>
      <c r="I487" s="1111"/>
      <c r="J487" s="1111"/>
      <c r="K487" s="1111"/>
      <c r="L487" s="1111"/>
      <c r="M487" s="1111"/>
      <c r="N487" s="1111"/>
      <c r="O487" s="1111"/>
      <c r="P487" s="1111"/>
      <c r="Q487" s="1144"/>
      <c r="R487" s="1069"/>
      <c r="S487" s="1069"/>
      <c r="T487" s="1105"/>
    </row>
    <row r="488" spans="1:20">
      <c r="A488" s="1080">
        <f>MAX(A$229:A487)+1</f>
        <v>215</v>
      </c>
      <c r="B488" s="1105"/>
      <c r="C488" s="1105"/>
      <c r="D488" s="1151" t="s">
        <v>1170</v>
      </c>
      <c r="E488" s="1105"/>
      <c r="F488" s="1138" t="s">
        <v>204</v>
      </c>
      <c r="G488" s="1105"/>
      <c r="H488" s="1111">
        <v>3.0599999999999999E-2</v>
      </c>
      <c r="I488" s="1111"/>
      <c r="J488" s="1111">
        <f t="shared" si="35"/>
        <v>-1.7000000000000001E-3</v>
      </c>
      <c r="K488" s="1111"/>
      <c r="L488" s="1111">
        <v>2.8900084448025175E-2</v>
      </c>
      <c r="M488" s="1111"/>
      <c r="N488" s="1111">
        <v>1.8485373176345479E-2</v>
      </c>
      <c r="O488" s="1111"/>
      <c r="P488" s="1111">
        <v>1.04147112716797E-2</v>
      </c>
      <c r="Q488" s="1144"/>
      <c r="R488" s="1069"/>
      <c r="S488" s="1069"/>
      <c r="T488" s="1105"/>
    </row>
    <row r="489" spans="1:20">
      <c r="A489" s="1080">
        <f>MAX(A$229:A488)+1</f>
        <v>216</v>
      </c>
      <c r="B489" s="1105"/>
      <c r="C489" s="1105"/>
      <c r="D489" s="1151" t="s">
        <v>1171</v>
      </c>
      <c r="E489" s="1105"/>
      <c r="F489" s="1138" t="s">
        <v>204</v>
      </c>
      <c r="G489" s="1105"/>
      <c r="H489" s="1111">
        <v>2.7176999999999998</v>
      </c>
      <c r="I489" s="1111"/>
      <c r="J489" s="1111">
        <f t="shared" si="35"/>
        <v>0.11700000000000044</v>
      </c>
      <c r="K489" s="1111"/>
      <c r="L489" s="1111">
        <v>2.8347253577668186</v>
      </c>
      <c r="M489" s="1111"/>
      <c r="N489" s="1111">
        <v>2.8243100710374538</v>
      </c>
      <c r="O489" s="1111"/>
      <c r="P489" s="1111">
        <v>1.0414711271679701E-2</v>
      </c>
      <c r="Q489" s="1144"/>
      <c r="R489" s="1069"/>
      <c r="S489" s="1069"/>
      <c r="T489" s="1105"/>
    </row>
    <row r="490" spans="1:20">
      <c r="A490" s="1080"/>
      <c r="B490" s="1105"/>
      <c r="C490" s="1105"/>
      <c r="D490" s="1151"/>
      <c r="E490" s="1105"/>
      <c r="F490" s="1105"/>
      <c r="G490" s="1105"/>
      <c r="H490" s="1111"/>
      <c r="I490" s="1111"/>
      <c r="J490" s="1111"/>
      <c r="K490" s="1111"/>
      <c r="L490" s="1111"/>
      <c r="M490" s="1111"/>
      <c r="N490" s="1111"/>
      <c r="O490" s="1111"/>
      <c r="P490" s="1111"/>
      <c r="Q490" s="1144"/>
      <c r="R490" s="1069"/>
      <c r="S490" s="1069"/>
      <c r="T490" s="1105"/>
    </row>
    <row r="491" spans="1:20">
      <c r="A491" s="1080">
        <f>MAX(A$229:A490)+1</f>
        <v>217</v>
      </c>
      <c r="B491" s="1105"/>
      <c r="C491" s="1105"/>
      <c r="D491" s="1105" t="s">
        <v>1172</v>
      </c>
      <c r="E491" s="1105"/>
      <c r="F491" s="1083" t="s">
        <v>201</v>
      </c>
      <c r="G491" s="1105"/>
      <c r="H491" s="1100">
        <v>6803.81</v>
      </c>
      <c r="I491" s="1105"/>
      <c r="J491" s="1100">
        <f t="shared" si="35"/>
        <v>183.46589999999924</v>
      </c>
      <c r="K491" s="1105"/>
      <c r="L491" s="1100">
        <v>6987.2759372750643</v>
      </c>
      <c r="M491" s="1105"/>
      <c r="N491" s="1100">
        <v>6987.2759372750643</v>
      </c>
      <c r="O491" s="1105"/>
      <c r="P491" s="595">
        <v>0</v>
      </c>
      <c r="Q491" s="1144"/>
      <c r="R491" s="1069"/>
      <c r="S491" s="1069"/>
      <c r="T491" s="1105"/>
    </row>
    <row r="492" spans="1:20">
      <c r="A492" s="1080">
        <f>MAX(A$229:A491)+1</f>
        <v>218</v>
      </c>
      <c r="B492" s="1105"/>
      <c r="C492" s="1105"/>
      <c r="D492" s="1143" t="s">
        <v>337</v>
      </c>
      <c r="E492" s="1105"/>
      <c r="F492" s="1138" t="s">
        <v>1165</v>
      </c>
      <c r="G492" s="1105"/>
      <c r="H492" s="1152">
        <v>3.0899999999999999E-3</v>
      </c>
      <c r="I492" s="1152"/>
      <c r="J492" s="1152">
        <f>ROUND(L492,8)-ROUND(H492,8)</f>
        <v>5.4630999999999994E-4</v>
      </c>
      <c r="K492" s="1152"/>
      <c r="L492" s="1152">
        <v>3.6363108297250506E-3</v>
      </c>
      <c r="M492" s="1152"/>
      <c r="N492" s="1128">
        <v>0</v>
      </c>
      <c r="O492" s="1152"/>
      <c r="P492" s="1152">
        <v>3.6363108297250506E-3</v>
      </c>
      <c r="Q492" s="1144"/>
      <c r="R492" s="1069"/>
      <c r="S492" s="1069"/>
      <c r="T492" s="1105"/>
    </row>
    <row r="493" spans="1:20">
      <c r="A493" s="1080"/>
      <c r="B493" s="1105"/>
      <c r="C493" s="1105"/>
      <c r="D493" s="1105"/>
      <c r="E493" s="1105"/>
      <c r="F493" s="1105"/>
      <c r="G493" s="1105"/>
      <c r="H493" s="1105"/>
      <c r="I493" s="1105"/>
      <c r="J493" s="1069"/>
      <c r="K493" s="1105"/>
      <c r="L493" s="1147"/>
      <c r="M493" s="1105"/>
      <c r="N493" s="1147"/>
      <c r="O493" s="1105"/>
      <c r="P493" s="1105"/>
      <c r="Q493" s="1144"/>
      <c r="R493" s="1069"/>
      <c r="S493" s="1069"/>
      <c r="T493" s="1105"/>
    </row>
    <row r="494" spans="1:20">
      <c r="A494" s="1080"/>
      <c r="B494" s="1105"/>
      <c r="C494" s="1105"/>
      <c r="D494" s="1105"/>
      <c r="E494" s="1105"/>
      <c r="F494" s="1105"/>
      <c r="G494" s="1105"/>
      <c r="H494" s="1105"/>
      <c r="I494" s="1105"/>
      <c r="J494" s="1069"/>
      <c r="K494" s="1105"/>
      <c r="L494" s="1147"/>
      <c r="M494" s="1105"/>
      <c r="N494" s="1147"/>
      <c r="O494" s="1105"/>
      <c r="P494" s="1105"/>
      <c r="Q494" s="1144"/>
      <c r="R494" s="1069"/>
      <c r="S494" s="1069"/>
      <c r="T494" s="1105"/>
    </row>
    <row r="495" spans="1:20">
      <c r="A495" s="1080"/>
      <c r="B495" s="1105"/>
      <c r="C495" s="1105"/>
      <c r="D495" s="1105"/>
      <c r="E495" s="1105"/>
      <c r="F495" s="1105"/>
      <c r="G495" s="1105"/>
      <c r="H495" s="1105"/>
      <c r="I495" s="1105"/>
      <c r="J495" s="1069"/>
      <c r="K495" s="1105"/>
      <c r="L495" s="1147"/>
      <c r="M495" s="1105"/>
      <c r="N495" s="1147"/>
      <c r="O495" s="1105"/>
      <c r="P495" s="1105"/>
      <c r="Q495" s="1144"/>
      <c r="R495" s="1069"/>
      <c r="S495" s="1069"/>
      <c r="T495" s="1105"/>
    </row>
    <row r="496" spans="1:20">
      <c r="A496" s="1080"/>
      <c r="B496" s="1105"/>
      <c r="C496" s="1105"/>
      <c r="D496" s="1105"/>
      <c r="E496" s="1105"/>
      <c r="F496" s="1105"/>
      <c r="G496" s="1105"/>
      <c r="H496" s="1105"/>
      <c r="I496" s="1105"/>
      <c r="J496" s="1069"/>
      <c r="K496" s="1105"/>
      <c r="L496" s="1147"/>
      <c r="M496" s="1105"/>
      <c r="N496" s="1147"/>
      <c r="O496" s="1105"/>
      <c r="P496" s="1105"/>
      <c r="Q496" s="1144"/>
      <c r="R496" s="1069"/>
      <c r="S496" s="1069"/>
      <c r="T496" s="1105"/>
    </row>
    <row r="497" spans="1:20">
      <c r="A497" s="1080"/>
      <c r="B497" s="1105"/>
      <c r="C497" s="1105"/>
      <c r="D497" s="1105"/>
      <c r="E497" s="1105"/>
      <c r="F497" s="1105"/>
      <c r="G497" s="1105"/>
      <c r="H497" s="1105"/>
      <c r="I497" s="1105"/>
      <c r="J497" s="1069"/>
      <c r="K497" s="1105"/>
      <c r="L497" s="1147"/>
      <c r="M497" s="1105"/>
      <c r="N497" s="1147"/>
      <c r="O497" s="1105"/>
      <c r="P497" s="1105"/>
      <c r="Q497" s="1144"/>
      <c r="R497" s="1069"/>
      <c r="S497" s="1069"/>
      <c r="T497" s="1105"/>
    </row>
    <row r="498" spans="1:20">
      <c r="A498" s="1080"/>
      <c r="B498" s="1105"/>
      <c r="C498" s="1105"/>
      <c r="D498" s="1105"/>
      <c r="E498" s="1105"/>
      <c r="F498" s="1105"/>
      <c r="G498" s="1105"/>
      <c r="H498" s="1105"/>
      <c r="I498" s="1105"/>
      <c r="J498" s="1069"/>
      <c r="K498" s="1105"/>
      <c r="L498" s="1147"/>
      <c r="M498" s="1105"/>
      <c r="N498" s="1147"/>
      <c r="O498" s="1105"/>
      <c r="P498" s="1105"/>
      <c r="Q498" s="1144"/>
      <c r="R498" s="1069"/>
      <c r="S498" s="1069"/>
      <c r="T498" s="1105"/>
    </row>
    <row r="499" spans="1:20">
      <c r="A499" s="1336"/>
      <c r="B499" s="1336"/>
      <c r="C499" s="1336"/>
      <c r="D499" s="1335"/>
      <c r="E499" s="1335"/>
      <c r="F499" s="1335"/>
      <c r="G499" s="1335"/>
      <c r="H499" s="1335"/>
      <c r="I499" s="1335"/>
      <c r="J499" s="1335"/>
      <c r="K499" s="1335"/>
      <c r="L499" s="1335"/>
      <c r="M499" s="1335"/>
      <c r="N499" s="1335"/>
      <c r="O499" s="1335"/>
      <c r="P499" s="1335"/>
      <c r="Q499" s="1144"/>
      <c r="R499" s="1069"/>
      <c r="S499" s="1069"/>
      <c r="T499" s="1105"/>
    </row>
    <row r="500" spans="1:20">
      <c r="A500" s="1336" t="s">
        <v>1109</v>
      </c>
      <c r="B500" s="1336"/>
      <c r="C500" s="1336"/>
      <c r="D500" s="1335"/>
      <c r="E500" s="1335"/>
      <c r="F500" s="1335"/>
      <c r="G500" s="1335"/>
      <c r="H500" s="1335"/>
      <c r="I500" s="1335"/>
      <c r="J500" s="1335"/>
      <c r="K500" s="1335"/>
      <c r="L500" s="1335"/>
      <c r="M500" s="1335"/>
      <c r="N500" s="1335"/>
      <c r="O500" s="1335"/>
      <c r="P500" s="1335"/>
      <c r="Q500" s="1144"/>
      <c r="R500" s="1069"/>
      <c r="S500" s="1069"/>
      <c r="T500" s="1105"/>
    </row>
    <row r="501" spans="1:20">
      <c r="A501" s="1334" t="s">
        <v>177</v>
      </c>
      <c r="B501" s="1335"/>
      <c r="C501" s="1335"/>
      <c r="D501" s="1335"/>
      <c r="E501" s="1335"/>
      <c r="F501" s="1335"/>
      <c r="G501" s="1335"/>
      <c r="H501" s="1335"/>
      <c r="I501" s="1335"/>
      <c r="J501" s="1335"/>
      <c r="K501" s="1335"/>
      <c r="L501" s="1335"/>
      <c r="M501" s="1335"/>
      <c r="N501" s="1335"/>
      <c r="O501" s="1335"/>
      <c r="P501" s="1335"/>
      <c r="Q501" s="1144"/>
      <c r="R501" s="1069"/>
      <c r="S501" s="1069"/>
      <c r="T501" s="1105"/>
    </row>
    <row r="502" spans="1:20">
      <c r="A502" s="1080"/>
      <c r="B502" s="1082"/>
      <c r="Q502" s="1144"/>
      <c r="R502" s="1069"/>
      <c r="S502" s="1069"/>
      <c r="T502" s="1105"/>
    </row>
    <row r="503" spans="1:20" ht="12.75" customHeight="1">
      <c r="A503" s="1080"/>
      <c r="G503" s="1074"/>
      <c r="H503" s="1077"/>
      <c r="I503" s="1077"/>
      <c r="J503" s="1077"/>
      <c r="K503" s="1077"/>
      <c r="L503" s="1077"/>
      <c r="M503" s="1077"/>
      <c r="N503" s="1332" t="s">
        <v>1086</v>
      </c>
      <c r="O503" s="1332"/>
      <c r="P503" s="1332"/>
      <c r="Q503" s="1144"/>
      <c r="R503" s="1069"/>
      <c r="S503" s="1069"/>
      <c r="T503" s="1105"/>
    </row>
    <row r="504" spans="1:20">
      <c r="A504" s="1080"/>
      <c r="G504" s="1079"/>
      <c r="H504" s="1080"/>
      <c r="I504" s="1081"/>
      <c r="J504" s="1337" t="s">
        <v>1087</v>
      </c>
      <c r="K504" s="1337"/>
      <c r="L504" s="1337"/>
      <c r="N504" s="1333"/>
      <c r="O504" s="1333"/>
      <c r="P504" s="1333"/>
      <c r="Q504" s="1144"/>
      <c r="R504" s="1069"/>
      <c r="S504" s="1069"/>
      <c r="T504" s="1105"/>
    </row>
    <row r="505" spans="1:20">
      <c r="A505" s="1080" t="s">
        <v>1</v>
      </c>
      <c r="C505" s="1082"/>
      <c r="F505" s="1074"/>
      <c r="G505" s="1067"/>
      <c r="H505" s="1080" t="s">
        <v>495</v>
      </c>
      <c r="I505" s="1081"/>
      <c r="J505" s="1083" t="s">
        <v>609</v>
      </c>
      <c r="K505" s="1084"/>
      <c r="L505" s="1080" t="s">
        <v>6</v>
      </c>
      <c r="N505" s="1078"/>
      <c r="O505" s="1078"/>
      <c r="P505" s="1078"/>
      <c r="Q505" s="1144"/>
      <c r="R505" s="1069"/>
      <c r="S505" s="1069"/>
      <c r="T505" s="1105"/>
    </row>
    <row r="506" spans="1:20">
      <c r="A506" s="1085" t="s">
        <v>2</v>
      </c>
      <c r="B506" s="1074"/>
      <c r="C506" s="1075"/>
      <c r="D506" s="1086" t="s">
        <v>3</v>
      </c>
      <c r="F506" s="1087" t="s">
        <v>4</v>
      </c>
      <c r="G506" s="1074"/>
      <c r="H506" s="1088" t="s">
        <v>196</v>
      </c>
      <c r="I506" s="1078"/>
      <c r="J506" s="1089" t="s">
        <v>1088</v>
      </c>
      <c r="L506" s="1088" t="s">
        <v>1089</v>
      </c>
      <c r="N506" s="1090" t="s">
        <v>980</v>
      </c>
      <c r="O506" s="1083"/>
      <c r="P506" s="1090" t="s">
        <v>1090</v>
      </c>
      <c r="Q506" s="1144"/>
      <c r="R506" s="1069"/>
      <c r="S506" s="1069"/>
      <c r="T506" s="1105"/>
    </row>
    <row r="507" spans="1:20">
      <c r="A507" s="1080"/>
      <c r="F507" s="1091"/>
      <c r="G507" s="1074"/>
      <c r="H507" s="1080" t="s">
        <v>1091</v>
      </c>
      <c r="I507" s="1080"/>
      <c r="J507" s="1092" t="s">
        <v>1092</v>
      </c>
      <c r="L507" s="1080" t="s">
        <v>1093</v>
      </c>
      <c r="N507" s="1093" t="s">
        <v>79</v>
      </c>
      <c r="O507" s="1083"/>
      <c r="P507" s="1093" t="s">
        <v>115</v>
      </c>
      <c r="Q507" s="1144"/>
      <c r="R507" s="1069"/>
      <c r="S507" s="1069"/>
      <c r="T507" s="1105"/>
    </row>
    <row r="508" spans="1:20">
      <c r="A508" s="1080"/>
      <c r="B508" s="1105"/>
      <c r="C508" s="1105"/>
      <c r="D508" s="1146" t="s">
        <v>186</v>
      </c>
      <c r="E508" s="1105"/>
      <c r="F508" s="1105"/>
      <c r="G508" s="1105"/>
      <c r="H508" s="1105"/>
      <c r="I508" s="1105"/>
      <c r="J508" s="1069"/>
      <c r="K508" s="1105"/>
      <c r="L508" s="1147"/>
      <c r="M508" s="1105"/>
      <c r="N508" s="1147"/>
      <c r="O508" s="1105"/>
      <c r="P508" s="1105"/>
      <c r="Q508" s="1144"/>
      <c r="R508" s="1069"/>
      <c r="S508" s="1069"/>
      <c r="T508" s="1105"/>
    </row>
    <row r="509" spans="1:20">
      <c r="A509" s="1080"/>
      <c r="B509" s="1105"/>
      <c r="C509" s="1105"/>
      <c r="D509" s="1105" t="s">
        <v>1174</v>
      </c>
      <c r="E509" s="1105"/>
      <c r="F509" s="1105"/>
      <c r="G509" s="1105"/>
      <c r="H509" s="1105"/>
      <c r="I509" s="1105"/>
      <c r="J509" s="1069"/>
      <c r="K509" s="1105"/>
      <c r="L509" s="1147"/>
      <c r="M509" s="1105"/>
      <c r="N509" s="1147"/>
      <c r="O509" s="1105"/>
      <c r="P509" s="1105"/>
      <c r="Q509" s="1144"/>
      <c r="R509" s="1069"/>
      <c r="S509" s="1069"/>
      <c r="T509" s="1105"/>
    </row>
    <row r="510" spans="1:20">
      <c r="A510" s="1080"/>
      <c r="B510" s="1105"/>
      <c r="C510" s="1105"/>
      <c r="D510" s="1150" t="s">
        <v>340</v>
      </c>
      <c r="E510" s="1105"/>
      <c r="F510" s="1105"/>
      <c r="G510" s="1105"/>
      <c r="H510" s="1105"/>
      <c r="I510" s="1105"/>
      <c r="J510" s="1069"/>
      <c r="K510" s="1105"/>
      <c r="L510" s="1147"/>
      <c r="M510" s="1105"/>
      <c r="N510" s="1147"/>
      <c r="O510" s="1105"/>
      <c r="P510" s="1105"/>
      <c r="Q510" s="1144"/>
      <c r="R510" s="1069"/>
      <c r="S510" s="1069"/>
      <c r="T510" s="1105"/>
    </row>
    <row r="511" spans="1:20">
      <c r="A511" s="1080">
        <f>MAX(A$229:A510)+1</f>
        <v>219</v>
      </c>
      <c r="B511" s="1105"/>
      <c r="C511" s="1105"/>
      <c r="D511" s="1151" t="s">
        <v>341</v>
      </c>
      <c r="E511" s="1105"/>
      <c r="F511" s="1083" t="s">
        <v>284</v>
      </c>
      <c r="G511" s="1105"/>
      <c r="H511" s="1148">
        <v>1.2E-2</v>
      </c>
      <c r="I511" s="1148"/>
      <c r="J511" s="1148">
        <f t="shared" ref="J511:J518" si="36">ROUND(L511,4)-ROUND(H511,4)</f>
        <v>2.9999999999999992E-4</v>
      </c>
      <c r="K511" s="1148"/>
      <c r="L511" s="1148">
        <v>1.2323582117563656E-2</v>
      </c>
      <c r="M511" s="1148"/>
      <c r="N511" s="1148">
        <v>1.2323582117563656E-2</v>
      </c>
      <c r="O511" s="1111"/>
      <c r="P511" s="1128">
        <v>0</v>
      </c>
      <c r="Q511" s="1144"/>
      <c r="R511" s="1069"/>
      <c r="S511" s="1069"/>
      <c r="T511" s="1105"/>
    </row>
    <row r="512" spans="1:20">
      <c r="A512" s="1080"/>
      <c r="B512" s="1105"/>
      <c r="C512" s="1105"/>
      <c r="D512" s="1150" t="s">
        <v>342</v>
      </c>
      <c r="E512" s="1105"/>
      <c r="F512" s="1105"/>
      <c r="G512" s="1105"/>
      <c r="H512" s="1148"/>
      <c r="I512" s="1148"/>
      <c r="J512" s="1148"/>
      <c r="K512" s="1148"/>
      <c r="L512" s="1148"/>
      <c r="M512" s="1148"/>
      <c r="N512" s="1148"/>
      <c r="O512" s="1111"/>
      <c r="P512" s="1128">
        <v>0</v>
      </c>
      <c r="Q512" s="1144"/>
      <c r="R512" s="1069"/>
      <c r="S512" s="1069"/>
      <c r="T512" s="1105"/>
    </row>
    <row r="513" spans="1:20">
      <c r="A513" s="1080">
        <f>MAX(A$229:A512)+1</f>
        <v>220</v>
      </c>
      <c r="B513" s="1105"/>
      <c r="C513" s="1105"/>
      <c r="D513" s="1151" t="s">
        <v>343</v>
      </c>
      <c r="E513" s="1105"/>
      <c r="F513" s="1083" t="s">
        <v>284</v>
      </c>
      <c r="G513" s="1105"/>
      <c r="H513" s="1148">
        <v>1.8779999999999999</v>
      </c>
      <c r="I513" s="1148"/>
      <c r="J513" s="1148">
        <f t="shared" si="36"/>
        <v>4.8000000000000043E-2</v>
      </c>
      <c r="K513" s="1148"/>
      <c r="L513" s="1148">
        <v>1.9259999999999999</v>
      </c>
      <c r="M513" s="1148"/>
      <c r="N513" s="1148">
        <v>1.9259999999999999</v>
      </c>
      <c r="O513" s="1111"/>
      <c r="P513" s="1128">
        <v>0</v>
      </c>
      <c r="Q513" s="1144"/>
      <c r="R513" s="1069"/>
      <c r="S513" s="1069"/>
      <c r="T513" s="1105"/>
    </row>
    <row r="514" spans="1:20">
      <c r="A514" s="1080">
        <f>MAX(A$229:A513)+1</f>
        <v>221</v>
      </c>
      <c r="B514" s="1105"/>
      <c r="C514" s="1105"/>
      <c r="D514" s="1151" t="s">
        <v>344</v>
      </c>
      <c r="E514" s="1105"/>
      <c r="F514" s="1083" t="s">
        <v>284</v>
      </c>
      <c r="G514" s="1105"/>
      <c r="H514" s="1148">
        <v>1.4730000000000001</v>
      </c>
      <c r="I514" s="1148"/>
      <c r="J514" s="1148">
        <f t="shared" si="36"/>
        <v>4.5099999999999918E-2</v>
      </c>
      <c r="K514" s="1148"/>
      <c r="L514" s="1148">
        <v>1.5181292016499417</v>
      </c>
      <c r="M514" s="1148"/>
      <c r="N514" s="1148">
        <v>1.5181292016499417</v>
      </c>
      <c r="O514" s="1111"/>
      <c r="P514" s="1128">
        <v>0</v>
      </c>
      <c r="Q514" s="1144"/>
      <c r="R514" s="1069"/>
      <c r="S514" s="1069"/>
      <c r="T514" s="1105"/>
    </row>
    <row r="515" spans="1:20">
      <c r="A515" s="1080">
        <f>MAX(A$229:A514)+1</f>
        <v>222</v>
      </c>
      <c r="B515" s="1105"/>
      <c r="C515" s="1105"/>
      <c r="D515" s="1151" t="s">
        <v>345</v>
      </c>
      <c r="E515" s="1105"/>
      <c r="F515" s="1083" t="s">
        <v>284</v>
      </c>
      <c r="G515" s="1105"/>
      <c r="H515" s="1148">
        <v>1.4730000000000001</v>
      </c>
      <c r="I515" s="1148"/>
      <c r="J515" s="1148">
        <f t="shared" si="36"/>
        <v>4.5099999999999918E-2</v>
      </c>
      <c r="K515" s="1148"/>
      <c r="L515" s="1148">
        <v>1.5181292016499417</v>
      </c>
      <c r="M515" s="1148"/>
      <c r="N515" s="1148">
        <v>1.5181292016499417</v>
      </c>
      <c r="O515" s="1111"/>
      <c r="P515" s="1128">
        <v>0</v>
      </c>
      <c r="Q515" s="1144"/>
      <c r="R515" s="1069"/>
      <c r="S515" s="1069"/>
      <c r="T515" s="1105"/>
    </row>
    <row r="516" spans="1:20">
      <c r="A516" s="1080">
        <f>MAX(A$229:A515)+1</f>
        <v>223</v>
      </c>
      <c r="B516" s="1105"/>
      <c r="C516" s="1105"/>
      <c r="D516" s="1151" t="s">
        <v>346</v>
      </c>
      <c r="E516" s="1105"/>
      <c r="F516" s="1083" t="s">
        <v>284</v>
      </c>
      <c r="G516" s="1105"/>
      <c r="H516" s="1148">
        <v>1.4730000000000001</v>
      </c>
      <c r="I516" s="1148"/>
      <c r="J516" s="1148">
        <f t="shared" si="36"/>
        <v>4.5099999999999918E-2</v>
      </c>
      <c r="K516" s="1148"/>
      <c r="L516" s="1148">
        <v>1.5181292016499417</v>
      </c>
      <c r="M516" s="1148"/>
      <c r="N516" s="1148">
        <v>1.5181292016499417</v>
      </c>
      <c r="O516" s="1111"/>
      <c r="P516" s="1128">
        <v>0</v>
      </c>
      <c r="Q516" s="1144"/>
      <c r="R516" s="1069"/>
      <c r="S516" s="1069"/>
      <c r="T516" s="1105"/>
    </row>
    <row r="517" spans="1:20">
      <c r="A517" s="1080"/>
      <c r="B517" s="1105"/>
      <c r="C517" s="1105"/>
      <c r="D517" s="1150" t="s">
        <v>1163</v>
      </c>
      <c r="E517" s="1105"/>
      <c r="F517" s="1105"/>
      <c r="G517" s="1105"/>
      <c r="H517" s="1148"/>
      <c r="I517" s="1148"/>
      <c r="J517" s="1148"/>
      <c r="K517" s="1148"/>
      <c r="L517" s="1148"/>
      <c r="M517" s="1148"/>
      <c r="N517" s="1148"/>
      <c r="O517" s="1111"/>
      <c r="P517" s="1128">
        <v>0</v>
      </c>
      <c r="Q517" s="1144"/>
      <c r="R517" s="1069"/>
      <c r="S517" s="1069"/>
      <c r="T517" s="1105"/>
    </row>
    <row r="518" spans="1:20">
      <c r="A518" s="1080">
        <f>MAX(A$229:A517)+1</f>
        <v>224</v>
      </c>
      <c r="B518" s="1105"/>
      <c r="C518" s="1105"/>
      <c r="D518" s="1151" t="s">
        <v>347</v>
      </c>
      <c r="E518" s="1105"/>
      <c r="F518" s="1138" t="s">
        <v>204</v>
      </c>
      <c r="G518" s="1105"/>
      <c r="H518" s="1148">
        <v>1.2E-2</v>
      </c>
      <c r="I518" s="1148"/>
      <c r="J518" s="1148">
        <f t="shared" si="36"/>
        <v>2.9999999999999992E-4</v>
      </c>
      <c r="K518" s="1148"/>
      <c r="L518" s="1148">
        <v>1.2323582117563655E-2</v>
      </c>
      <c r="M518" s="1148"/>
      <c r="N518" s="1148">
        <v>1.2323582117563655E-2</v>
      </c>
      <c r="O518" s="1111"/>
      <c r="P518" s="1128">
        <v>0</v>
      </c>
      <c r="Q518" s="1144"/>
      <c r="R518" s="1069"/>
      <c r="S518" s="1069"/>
      <c r="T518" s="1105"/>
    </row>
    <row r="519" spans="1:20">
      <c r="A519" s="1080">
        <f>MAX(A$229:A518)+1</f>
        <v>225</v>
      </c>
      <c r="B519" s="1105"/>
      <c r="C519" s="1105"/>
      <c r="D519" s="1143" t="s">
        <v>1164</v>
      </c>
      <c r="E519" s="1105"/>
      <c r="F519" s="1138" t="s">
        <v>1165</v>
      </c>
      <c r="G519" s="1105"/>
      <c r="H519" s="1152">
        <v>4.45E-3</v>
      </c>
      <c r="I519" s="1111"/>
      <c r="J519" s="1152">
        <f>ROUND(L519,8)-ROUND(H519,8)</f>
        <v>5.1148999999999986E-4</v>
      </c>
      <c r="K519" s="1111"/>
      <c r="L519" s="1152">
        <v>4.9614910854222875E-3</v>
      </c>
      <c r="M519" s="1111"/>
      <c r="N519" s="1128">
        <v>0</v>
      </c>
      <c r="O519" s="1111"/>
      <c r="P519" s="1152">
        <v>4.9614910854222875E-3</v>
      </c>
      <c r="Q519" s="1144"/>
      <c r="R519" s="1069"/>
      <c r="S519" s="1069"/>
      <c r="T519" s="1105"/>
    </row>
    <row r="520" spans="1:20">
      <c r="A520" s="1080"/>
      <c r="B520" s="1105"/>
      <c r="C520" s="1105"/>
      <c r="D520" s="1105"/>
      <c r="E520" s="1105"/>
      <c r="F520" s="1105"/>
      <c r="G520" s="1105"/>
      <c r="H520" s="1111"/>
      <c r="I520" s="1111"/>
      <c r="J520" s="1111"/>
      <c r="K520" s="1111"/>
      <c r="L520" s="1111"/>
      <c r="M520" s="1111"/>
      <c r="N520" s="1111"/>
      <c r="O520" s="1111"/>
      <c r="P520" s="1111"/>
      <c r="Q520" s="1144"/>
      <c r="R520" s="1069"/>
      <c r="S520" s="1069"/>
      <c r="T520" s="1105"/>
    </row>
    <row r="521" spans="1:20">
      <c r="A521" s="1080"/>
      <c r="B521" s="1105"/>
      <c r="C521" s="1105"/>
      <c r="D521" s="1105" t="s">
        <v>988</v>
      </c>
      <c r="E521" s="1105"/>
      <c r="F521" s="1105"/>
      <c r="G521" s="1105"/>
      <c r="H521" s="1111"/>
      <c r="I521" s="1111"/>
      <c r="J521" s="1111"/>
      <c r="K521" s="1111"/>
      <c r="L521" s="1111"/>
      <c r="M521" s="1111"/>
      <c r="N521" s="1111"/>
      <c r="O521" s="1111"/>
      <c r="P521" s="1111"/>
      <c r="Q521" s="1144"/>
      <c r="R521" s="1069"/>
      <c r="S521" s="1069"/>
      <c r="T521" s="1105"/>
    </row>
    <row r="522" spans="1:20">
      <c r="A522" s="1080">
        <f>MAX(A$229:A521)+1</f>
        <v>226</v>
      </c>
      <c r="B522" s="1105"/>
      <c r="C522" s="1105"/>
      <c r="D522" s="1142" t="s">
        <v>1167</v>
      </c>
      <c r="E522" s="1105"/>
      <c r="F522" s="1138" t="s">
        <v>222</v>
      </c>
      <c r="G522" s="1105"/>
      <c r="H522" s="1111">
        <v>20.7133</v>
      </c>
      <c r="I522" s="1111"/>
      <c r="J522" s="1111">
        <f t="shared" ref="J522:J524" si="37">ROUND(L522,4)-ROUND(H522,4)</f>
        <v>0.56700000000000017</v>
      </c>
      <c r="K522" s="1111"/>
      <c r="L522" s="1111">
        <v>21.280281033834548</v>
      </c>
      <c r="M522" s="1111"/>
      <c r="N522" s="1111">
        <v>21.280281033834548</v>
      </c>
      <c r="O522" s="1111"/>
      <c r="P522" s="1128">
        <v>0</v>
      </c>
      <c r="Q522" s="1144"/>
      <c r="R522" s="1069"/>
      <c r="S522" s="1069"/>
      <c r="T522" s="1105"/>
    </row>
    <row r="523" spans="1:20">
      <c r="A523" s="1080">
        <f>MAX(A$229:A522)+1</f>
        <v>227</v>
      </c>
      <c r="B523" s="1105"/>
      <c r="C523" s="1105"/>
      <c r="D523" s="1142" t="s">
        <v>1175</v>
      </c>
      <c r="E523" s="1105"/>
      <c r="F523" s="1138" t="s">
        <v>204</v>
      </c>
      <c r="G523" s="1105"/>
      <c r="H523" s="1111">
        <v>8.2100000000000006E-2</v>
      </c>
      <c r="I523" s="1111"/>
      <c r="J523" s="1111">
        <f t="shared" si="37"/>
        <v>-2.0000000000000018E-3</v>
      </c>
      <c r="K523" s="1111"/>
      <c r="L523" s="1111">
        <v>8.0103283764163744E-2</v>
      </c>
      <c r="M523" s="1111"/>
      <c r="N523" s="1111">
        <v>8.0103283764163744E-2</v>
      </c>
      <c r="O523" s="1111"/>
      <c r="P523" s="1128">
        <v>0</v>
      </c>
      <c r="Q523" s="1144"/>
      <c r="R523" s="1069"/>
      <c r="S523" s="1069"/>
      <c r="T523" s="1105"/>
    </row>
    <row r="524" spans="1:20">
      <c r="A524" s="1080">
        <f>MAX(A$229:A523)+1</f>
        <v>228</v>
      </c>
      <c r="B524" s="1105"/>
      <c r="C524" s="1105"/>
      <c r="D524" s="1142" t="s">
        <v>1172</v>
      </c>
      <c r="E524" s="1105"/>
      <c r="F524" s="1083" t="s">
        <v>201</v>
      </c>
      <c r="G524" s="1105"/>
      <c r="H524" s="1100">
        <v>22703.73</v>
      </c>
      <c r="I524" s="1105"/>
      <c r="J524" s="1100">
        <f t="shared" si="37"/>
        <v>612.21010000000024</v>
      </c>
      <c r="K524" s="1105"/>
      <c r="L524" s="1100">
        <v>23315.94008583279</v>
      </c>
      <c r="M524" s="1105"/>
      <c r="N524" s="1100">
        <v>23315.94008583279</v>
      </c>
      <c r="O524" s="1105"/>
      <c r="P524" s="1128">
        <v>0</v>
      </c>
      <c r="Q524" s="1144"/>
      <c r="R524" s="595"/>
      <c r="S524" s="1069"/>
      <c r="T524" s="1105"/>
    </row>
    <row r="525" spans="1:20">
      <c r="A525" s="1080">
        <f>MAX(A$229:A524)+1</f>
        <v>229</v>
      </c>
      <c r="B525" s="1105"/>
      <c r="C525" s="1105"/>
      <c r="D525" s="1143" t="s">
        <v>1173</v>
      </c>
      <c r="E525" s="1105"/>
      <c r="F525" s="1138" t="s">
        <v>1165</v>
      </c>
      <c r="G525" s="1105"/>
      <c r="H525" s="1152">
        <v>4.1900000000000001E-3</v>
      </c>
      <c r="I525" s="1152"/>
      <c r="J525" s="1152">
        <f>ROUND(L525,8)-ROUND(H525,8)</f>
        <v>6.2005999999999954E-4</v>
      </c>
      <c r="K525" s="1152"/>
      <c r="L525" s="1152">
        <v>4.8100636621914127E-3</v>
      </c>
      <c r="M525" s="1152"/>
      <c r="N525" s="1128">
        <v>0</v>
      </c>
      <c r="O525" s="1152"/>
      <c r="P525" s="1152">
        <f>L525</f>
        <v>4.8100636621914127E-3</v>
      </c>
      <c r="Q525" s="1144"/>
      <c r="R525" s="1069"/>
      <c r="S525" s="1069"/>
      <c r="T525" s="1105"/>
    </row>
    <row r="526" spans="1:20">
      <c r="A526" s="1080"/>
      <c r="B526" s="1105"/>
      <c r="C526" s="1105"/>
      <c r="D526" s="1105"/>
      <c r="E526" s="1105"/>
      <c r="F526" s="1105"/>
      <c r="G526" s="1105"/>
      <c r="H526" s="1147"/>
      <c r="I526" s="1105"/>
      <c r="J526" s="1069"/>
      <c r="K526" s="1105"/>
      <c r="L526" s="1147"/>
      <c r="M526" s="1105"/>
      <c r="N526" s="1147"/>
      <c r="O526" s="1105"/>
      <c r="P526" s="1105"/>
      <c r="Q526" s="1144"/>
      <c r="R526" s="1105"/>
      <c r="S526" s="1105"/>
      <c r="T526" s="1105"/>
    </row>
    <row r="527" spans="1:20">
      <c r="A527" s="1080"/>
      <c r="B527" s="1105"/>
      <c r="C527" s="1105"/>
      <c r="D527" s="1105"/>
      <c r="E527" s="1105"/>
      <c r="F527" s="1105"/>
      <c r="G527" s="1105"/>
      <c r="H527" s="1147"/>
      <c r="I527" s="1105"/>
      <c r="J527" s="1069"/>
      <c r="K527" s="1105"/>
      <c r="L527" s="1147"/>
      <c r="M527" s="1105"/>
      <c r="N527" s="1147"/>
      <c r="O527" s="1105"/>
      <c r="P527" s="1105"/>
      <c r="Q527" s="1144"/>
      <c r="R527" s="1105"/>
      <c r="S527" s="1105"/>
      <c r="T527" s="1105"/>
    </row>
    <row r="528" spans="1:20">
      <c r="A528" s="1080"/>
      <c r="B528" s="1105"/>
      <c r="C528" s="1105"/>
      <c r="D528" s="1105"/>
      <c r="E528" s="1105"/>
      <c r="F528" s="1105"/>
      <c r="G528" s="1105"/>
      <c r="H528" s="1147"/>
      <c r="I528" s="1105"/>
      <c r="J528" s="1069"/>
      <c r="K528" s="1105"/>
      <c r="L528" s="1147"/>
      <c r="M528" s="1105"/>
      <c r="N528" s="1147"/>
      <c r="O528" s="1105"/>
      <c r="P528" s="1105"/>
      <c r="Q528" s="1144"/>
      <c r="R528" s="1105"/>
      <c r="S528" s="1105"/>
      <c r="T528" s="1105"/>
    </row>
    <row r="529" spans="1:20">
      <c r="A529" s="1080"/>
      <c r="B529" s="1105"/>
      <c r="C529" s="1105"/>
      <c r="D529" s="1105"/>
      <c r="E529" s="1105"/>
      <c r="F529" s="1105"/>
      <c r="G529" s="1105"/>
      <c r="H529" s="1147"/>
      <c r="I529" s="1105"/>
      <c r="J529" s="1069"/>
      <c r="K529" s="1105"/>
      <c r="L529" s="1147"/>
      <c r="M529" s="1105"/>
      <c r="N529" s="1147"/>
      <c r="O529" s="1105"/>
      <c r="P529" s="1105"/>
      <c r="Q529" s="1144"/>
      <c r="R529" s="1105"/>
      <c r="S529" s="1105"/>
      <c r="T529" s="1105"/>
    </row>
    <row r="530" spans="1:20">
      <c r="A530" s="1080"/>
      <c r="B530" s="1105"/>
      <c r="C530" s="1105"/>
      <c r="D530" s="1105"/>
      <c r="E530" s="1105"/>
      <c r="F530" s="1105"/>
      <c r="G530" s="1105"/>
      <c r="H530" s="1147"/>
      <c r="I530" s="1105"/>
      <c r="J530" s="1069"/>
      <c r="K530" s="1105"/>
      <c r="L530" s="1147"/>
      <c r="M530" s="1105"/>
      <c r="N530" s="1147"/>
      <c r="O530" s="1105"/>
      <c r="P530" s="1105"/>
      <c r="Q530" s="1144"/>
      <c r="R530" s="1105"/>
      <c r="S530" s="1105"/>
      <c r="T530" s="1105"/>
    </row>
    <row r="531" spans="1:20">
      <c r="A531" s="1080"/>
      <c r="B531" s="1105"/>
      <c r="C531" s="1105"/>
      <c r="D531" s="1105"/>
      <c r="E531" s="1105"/>
      <c r="F531" s="1105"/>
      <c r="G531" s="1105"/>
      <c r="H531" s="1147"/>
      <c r="I531" s="1105"/>
      <c r="J531" s="1069"/>
      <c r="K531" s="1105"/>
      <c r="L531" s="1147"/>
      <c r="M531" s="1105"/>
      <c r="N531" s="1147"/>
      <c r="O531" s="1105"/>
      <c r="P531" s="1105"/>
      <c r="Q531" s="1144"/>
      <c r="R531" s="1105"/>
      <c r="S531" s="1105"/>
      <c r="T531" s="1105"/>
    </row>
    <row r="532" spans="1:20">
      <c r="A532" s="1080"/>
      <c r="B532" s="1105"/>
      <c r="C532" s="1105"/>
      <c r="D532" s="1105"/>
      <c r="E532" s="1105"/>
      <c r="F532" s="1105"/>
      <c r="G532" s="1105"/>
      <c r="H532" s="1147"/>
      <c r="I532" s="1105"/>
      <c r="J532" s="1069"/>
      <c r="K532" s="1105"/>
      <c r="L532" s="1147"/>
      <c r="M532" s="1105"/>
      <c r="N532" s="1147"/>
      <c r="O532" s="1105"/>
      <c r="P532" s="1105"/>
      <c r="Q532" s="1144"/>
      <c r="R532" s="1105"/>
      <c r="S532" s="1105"/>
      <c r="T532" s="1105"/>
    </row>
    <row r="533" spans="1:20">
      <c r="A533" s="1080"/>
      <c r="B533" s="1105"/>
      <c r="C533" s="1105"/>
      <c r="D533" s="1105"/>
      <c r="E533" s="1105"/>
      <c r="F533" s="1105"/>
      <c r="G533" s="1105"/>
      <c r="H533" s="1147"/>
      <c r="I533" s="1105"/>
      <c r="J533" s="1069"/>
      <c r="K533" s="1105"/>
      <c r="L533" s="1147"/>
      <c r="M533" s="1105"/>
      <c r="N533" s="1147"/>
      <c r="O533" s="1105"/>
      <c r="P533" s="1105"/>
      <c r="Q533" s="1144"/>
      <c r="R533" s="1105"/>
      <c r="S533" s="1105"/>
      <c r="T533" s="1105"/>
    </row>
    <row r="534" spans="1:20">
      <c r="A534" s="1080"/>
      <c r="B534" s="1105"/>
      <c r="C534" s="1105"/>
      <c r="D534" s="1105"/>
      <c r="E534" s="1105"/>
      <c r="F534" s="1105"/>
      <c r="G534" s="1105"/>
      <c r="H534" s="1147"/>
      <c r="I534" s="1105"/>
      <c r="J534" s="1069"/>
      <c r="K534" s="1105"/>
      <c r="L534" s="1147"/>
      <c r="M534" s="1105"/>
      <c r="N534" s="1147"/>
      <c r="O534" s="1105"/>
      <c r="P534" s="1105"/>
      <c r="Q534" s="1144"/>
      <c r="R534" s="1105"/>
      <c r="S534" s="1105"/>
      <c r="T534" s="1105"/>
    </row>
    <row r="535" spans="1:20">
      <c r="A535" s="1080"/>
      <c r="B535" s="1105"/>
      <c r="C535" s="1105"/>
      <c r="D535" s="1105"/>
      <c r="E535" s="1105"/>
      <c r="F535" s="1105"/>
      <c r="G535" s="1105"/>
      <c r="H535" s="1147"/>
      <c r="I535" s="1105"/>
      <c r="J535" s="1069"/>
      <c r="K535" s="1105"/>
      <c r="L535" s="1147"/>
      <c r="M535" s="1105"/>
      <c r="N535" s="1147"/>
      <c r="O535" s="1105"/>
      <c r="P535" s="1105"/>
      <c r="Q535" s="1144"/>
      <c r="R535" s="1105"/>
      <c r="S535" s="1105"/>
      <c r="T535" s="1105"/>
    </row>
    <row r="536" spans="1:20">
      <c r="A536" s="1080"/>
      <c r="B536" s="1105"/>
      <c r="C536" s="1105"/>
      <c r="D536" s="1105"/>
      <c r="E536" s="1105"/>
      <c r="F536" s="1105"/>
      <c r="G536" s="1105"/>
      <c r="H536" s="1147"/>
      <c r="I536" s="1105"/>
      <c r="J536" s="1069"/>
      <c r="K536" s="1105"/>
      <c r="L536" s="1147"/>
      <c r="M536" s="1105"/>
      <c r="N536" s="1147"/>
      <c r="O536" s="1105"/>
      <c r="P536" s="1105"/>
      <c r="Q536" s="1144"/>
      <c r="R536" s="1105"/>
      <c r="S536" s="1105"/>
      <c r="T536" s="1105"/>
    </row>
    <row r="537" spans="1:20">
      <c r="A537" s="1080"/>
      <c r="B537" s="1082"/>
      <c r="H537" s="1073"/>
      <c r="I537" s="1064"/>
      <c r="J537" s="1067"/>
      <c r="T537" s="1105"/>
    </row>
    <row r="538" spans="1:20">
      <c r="A538" s="1080"/>
      <c r="B538" s="1082"/>
      <c r="H538" s="1073"/>
      <c r="I538" s="1064"/>
      <c r="J538" s="1067"/>
      <c r="T538" s="1105"/>
    </row>
    <row r="539" spans="1:20">
      <c r="A539" s="1080"/>
      <c r="B539" s="1082"/>
      <c r="H539" s="1073"/>
      <c r="I539" s="1064"/>
      <c r="J539" s="1067"/>
      <c r="T539" s="1105"/>
    </row>
    <row r="540" spans="1:20">
      <c r="A540" s="1080"/>
      <c r="B540" s="1082"/>
      <c r="H540" s="1073"/>
      <c r="I540" s="1064"/>
      <c r="J540" s="1067"/>
      <c r="T540" s="1105"/>
    </row>
    <row r="541" spans="1:20">
      <c r="A541" s="1336"/>
      <c r="B541" s="1336"/>
      <c r="C541" s="1336"/>
      <c r="D541" s="1335"/>
      <c r="E541" s="1335"/>
      <c r="F541" s="1335"/>
      <c r="G541" s="1335"/>
      <c r="H541" s="1335"/>
      <c r="I541" s="1335"/>
      <c r="J541" s="1335"/>
      <c r="K541" s="1335"/>
      <c r="L541" s="1335"/>
      <c r="M541" s="1335"/>
      <c r="N541" s="1335"/>
      <c r="O541" s="1335"/>
      <c r="P541" s="1335"/>
      <c r="T541" s="1105"/>
    </row>
    <row r="542" spans="1:20">
      <c r="A542" s="1336" t="s">
        <v>1109</v>
      </c>
      <c r="B542" s="1336"/>
      <c r="C542" s="1336"/>
      <c r="D542" s="1335"/>
      <c r="E542" s="1335"/>
      <c r="F542" s="1335"/>
      <c r="G542" s="1335"/>
      <c r="H542" s="1335"/>
      <c r="I542" s="1335"/>
      <c r="J542" s="1335"/>
      <c r="K542" s="1335"/>
      <c r="L542" s="1335"/>
      <c r="M542" s="1335"/>
      <c r="N542" s="1335"/>
      <c r="O542" s="1335"/>
      <c r="P542" s="1335"/>
      <c r="T542" s="1105"/>
    </row>
    <row r="543" spans="1:20">
      <c r="A543" s="1334" t="s">
        <v>652</v>
      </c>
      <c r="B543" s="1335"/>
      <c r="C543" s="1335"/>
      <c r="D543" s="1335"/>
      <c r="E543" s="1335"/>
      <c r="F543" s="1335"/>
      <c r="G543" s="1335"/>
      <c r="H543" s="1335"/>
      <c r="I543" s="1335"/>
      <c r="J543" s="1335"/>
      <c r="K543" s="1335"/>
      <c r="L543" s="1335"/>
      <c r="M543" s="1335"/>
      <c r="N543" s="1335"/>
      <c r="O543" s="1335"/>
      <c r="P543" s="1335"/>
      <c r="T543" s="1105"/>
    </row>
    <row r="544" spans="1:20">
      <c r="A544" s="1080"/>
      <c r="B544" s="1082"/>
      <c r="T544" s="1105"/>
    </row>
    <row r="545" spans="1:20" ht="12.75" customHeight="1">
      <c r="A545" s="1080"/>
      <c r="G545" s="1074"/>
      <c r="H545" s="1077"/>
      <c r="I545" s="1077"/>
      <c r="J545" s="1077"/>
      <c r="K545" s="1077"/>
      <c r="L545" s="1077"/>
      <c r="M545" s="1077"/>
      <c r="N545" s="1332" t="s">
        <v>1086</v>
      </c>
      <c r="O545" s="1332"/>
      <c r="P545" s="1332"/>
      <c r="T545" s="1105"/>
    </row>
    <row r="546" spans="1:20">
      <c r="A546" s="1080"/>
      <c r="G546" s="1079"/>
      <c r="H546" s="1080"/>
      <c r="I546" s="1081"/>
      <c r="J546" s="1337" t="s">
        <v>1087</v>
      </c>
      <c r="K546" s="1337"/>
      <c r="L546" s="1337"/>
      <c r="N546" s="1333"/>
      <c r="O546" s="1333"/>
      <c r="P546" s="1333"/>
      <c r="T546" s="1105"/>
    </row>
    <row r="547" spans="1:20">
      <c r="A547" s="1080" t="s">
        <v>1</v>
      </c>
      <c r="C547" s="1082"/>
      <c r="F547" s="1074"/>
      <c r="G547" s="1067"/>
      <c r="H547" s="1080" t="s">
        <v>495</v>
      </c>
      <c r="I547" s="1081"/>
      <c r="J547" s="1083" t="s">
        <v>609</v>
      </c>
      <c r="K547" s="1084"/>
      <c r="L547" s="1080" t="s">
        <v>6</v>
      </c>
      <c r="N547" s="1078"/>
      <c r="O547" s="1078"/>
      <c r="P547" s="1078"/>
      <c r="T547" s="1105"/>
    </row>
    <row r="548" spans="1:20">
      <c r="A548" s="1085" t="s">
        <v>2</v>
      </c>
      <c r="B548" s="1074"/>
      <c r="C548" s="1075"/>
      <c r="D548" s="1086" t="s">
        <v>3</v>
      </c>
      <c r="F548" s="1087" t="s">
        <v>4</v>
      </c>
      <c r="G548" s="1074"/>
      <c r="H548" s="1088" t="s">
        <v>196</v>
      </c>
      <c r="I548" s="1078"/>
      <c r="J548" s="1089" t="s">
        <v>1088</v>
      </c>
      <c r="L548" s="1088" t="s">
        <v>1089</v>
      </c>
      <c r="N548" s="1090" t="s">
        <v>980</v>
      </c>
      <c r="O548" s="1083"/>
      <c r="P548" s="1090" t="s">
        <v>1090</v>
      </c>
      <c r="T548" s="1105"/>
    </row>
    <row r="549" spans="1:20" ht="13.5" customHeight="1">
      <c r="A549" s="1080"/>
      <c r="F549" s="1091"/>
      <c r="G549" s="1074"/>
      <c r="H549" s="1080" t="s">
        <v>1091</v>
      </c>
      <c r="I549" s="1080"/>
      <c r="J549" s="1092" t="s">
        <v>1092</v>
      </c>
      <c r="L549" s="1080" t="s">
        <v>1093</v>
      </c>
      <c r="N549" s="1093" t="s">
        <v>79</v>
      </c>
      <c r="O549" s="1083"/>
      <c r="P549" s="1093" t="s">
        <v>115</v>
      </c>
      <c r="Q549" s="1144"/>
      <c r="R549" s="1105"/>
      <c r="S549" s="1105"/>
      <c r="T549" s="1105"/>
    </row>
    <row r="550" spans="1:20" ht="12.75" customHeight="1">
      <c r="A550" s="1143"/>
      <c r="B550" s="1143"/>
      <c r="C550" s="1143"/>
      <c r="D550" s="1154" t="s">
        <v>525</v>
      </c>
      <c r="E550" s="1143"/>
      <c r="F550" s="1143"/>
      <c r="G550" s="1143"/>
      <c r="H550" s="1143"/>
      <c r="I550" s="1143"/>
      <c r="J550" s="1143"/>
      <c r="K550" s="1143"/>
      <c r="L550" s="1143"/>
      <c r="M550" s="1143"/>
      <c r="N550" s="1143"/>
      <c r="O550" s="1143"/>
      <c r="P550" s="1143"/>
    </row>
    <row r="551" spans="1:20" ht="12.75" customHeight="1">
      <c r="A551" s="1080">
        <f>MAX(A$229:A550)+1</f>
        <v>230</v>
      </c>
      <c r="B551" s="1143"/>
      <c r="C551" s="1143"/>
      <c r="D551" s="1143" t="s">
        <v>1176</v>
      </c>
      <c r="E551" s="1143"/>
      <c r="F551" s="1099" t="s">
        <v>284</v>
      </c>
      <c r="G551" s="1143"/>
      <c r="H551" s="1148">
        <v>0.15459999999999999</v>
      </c>
      <c r="I551" s="1148"/>
      <c r="J551" s="1148">
        <f>ROUND(L551,3)-ROUND(H551,3)</f>
        <v>4.0000000000000036E-3</v>
      </c>
      <c r="K551" s="1148"/>
      <c r="L551" s="1148">
        <v>0.159</v>
      </c>
      <c r="M551" s="1148"/>
      <c r="N551" s="1148">
        <v>0.159</v>
      </c>
      <c r="O551" s="1155"/>
      <c r="P551" s="1128">
        <v>0</v>
      </c>
    </row>
    <row r="552" spans="1:20" ht="12.75" customHeight="1">
      <c r="A552" s="1080">
        <f>MAX(A$229:A551)+1</f>
        <v>231</v>
      </c>
      <c r="B552" s="1143"/>
      <c r="C552" s="1143"/>
      <c r="D552" s="1143" t="s">
        <v>1177</v>
      </c>
      <c r="E552" s="1143"/>
      <c r="F552" s="1083" t="s">
        <v>286</v>
      </c>
      <c r="G552" s="1143"/>
      <c r="H552" s="1148">
        <v>5.8999999999999999E-3</v>
      </c>
      <c r="I552" s="1148"/>
      <c r="J552" s="1128">
        <f>ROUND(L552,3)-ROUND(H552,3)</f>
        <v>0</v>
      </c>
      <c r="K552" s="1148"/>
      <c r="L552" s="1148">
        <v>6.2728767123287664E-3</v>
      </c>
      <c r="M552" s="1148"/>
      <c r="N552" s="1148">
        <v>6.2728767123287664E-3</v>
      </c>
      <c r="O552" s="1148"/>
      <c r="P552" s="1128">
        <v>0</v>
      </c>
    </row>
    <row r="553" spans="1:20" ht="12.75" customHeight="1">
      <c r="A553" s="1143"/>
      <c r="B553" s="1143"/>
      <c r="C553" s="1143"/>
      <c r="D553" s="1143"/>
      <c r="E553" s="1143"/>
      <c r="F553" s="1143"/>
      <c r="G553" s="1143"/>
      <c r="H553" s="1111"/>
      <c r="I553" s="1111"/>
      <c r="J553" s="1111"/>
      <c r="K553" s="1111"/>
      <c r="L553" s="1111"/>
      <c r="M553" s="1111"/>
      <c r="N553" s="1111"/>
      <c r="O553" s="1111"/>
      <c r="P553" s="1128"/>
    </row>
    <row r="554" spans="1:20" ht="12.75" customHeight="1">
      <c r="A554" s="1143"/>
      <c r="B554" s="1143"/>
      <c r="C554" s="1143"/>
      <c r="D554" s="1154" t="s">
        <v>526</v>
      </c>
      <c r="E554" s="1143"/>
      <c r="F554" s="1143"/>
      <c r="G554" s="1143"/>
      <c r="H554" s="1111"/>
      <c r="I554" s="1111"/>
      <c r="J554" s="1111"/>
      <c r="K554" s="1111"/>
      <c r="L554" s="1111"/>
      <c r="M554" s="1111"/>
      <c r="N554" s="1111"/>
      <c r="O554" s="1111"/>
      <c r="P554" s="1128"/>
    </row>
    <row r="555" spans="1:20" ht="12.75" customHeight="1">
      <c r="A555" s="1080">
        <f>MAX(A$229:A554)+1</f>
        <v>232</v>
      </c>
      <c r="B555" s="1143"/>
      <c r="C555" s="1143"/>
      <c r="D555" s="1143" t="s">
        <v>1178</v>
      </c>
      <c r="E555" s="1143"/>
      <c r="F555" s="1099" t="s">
        <v>284</v>
      </c>
      <c r="G555" s="1143"/>
      <c r="H555" s="1148">
        <v>1.3209</v>
      </c>
      <c r="I555" s="1148"/>
      <c r="J555" s="1148">
        <f>ROUND(L555,3)-ROUND(H555,3)</f>
        <v>3.6000000000000032E-2</v>
      </c>
      <c r="K555" s="1148"/>
      <c r="L555" s="1148">
        <v>1.357</v>
      </c>
      <c r="M555" s="1148"/>
      <c r="N555" s="1148">
        <v>1.357</v>
      </c>
      <c r="O555" s="1148"/>
      <c r="P555" s="1128">
        <v>0</v>
      </c>
    </row>
    <row r="556" spans="1:20" ht="12.75" customHeight="1">
      <c r="A556" s="1080">
        <f>MAX(A$229:A555)+1</f>
        <v>233</v>
      </c>
      <c r="B556" s="1143"/>
      <c r="C556" s="1143"/>
      <c r="D556" s="1143" t="s">
        <v>1179</v>
      </c>
      <c r="E556" s="1143"/>
      <c r="F556" s="1156" t="s">
        <v>286</v>
      </c>
      <c r="G556" s="1143"/>
      <c r="H556" s="1148">
        <f>ROUND(H555*12/365*1.2,4)</f>
        <v>5.21E-2</v>
      </c>
      <c r="I556" s="1148"/>
      <c r="J556" s="1148">
        <f>ROUND(L556,3)-ROUND(H556,3)</f>
        <v>2.0000000000000018E-3</v>
      </c>
      <c r="K556" s="1148"/>
      <c r="L556" s="1148">
        <f>ROUND(L555*12/365*1.2,4)</f>
        <v>5.3499999999999999E-2</v>
      </c>
      <c r="M556" s="1148"/>
      <c r="N556" s="1148">
        <f>L556</f>
        <v>5.3499999999999999E-2</v>
      </c>
      <c r="O556" s="1148"/>
      <c r="P556" s="1128"/>
    </row>
    <row r="557" spans="1:20" ht="12.75" customHeight="1">
      <c r="A557" s="1143"/>
      <c r="B557" s="1143"/>
      <c r="C557" s="1143"/>
      <c r="D557" s="1143"/>
      <c r="E557" s="1143"/>
      <c r="F557" s="1143"/>
      <c r="G557" s="1143"/>
      <c r="H557" s="1111"/>
      <c r="I557" s="1111"/>
      <c r="J557" s="1111"/>
      <c r="K557" s="1111"/>
      <c r="L557" s="1111"/>
      <c r="M557" s="1111"/>
      <c r="N557" s="1111"/>
      <c r="O557" s="1111"/>
      <c r="P557" s="1128"/>
    </row>
    <row r="558" spans="1:20" ht="13.35" customHeight="1">
      <c r="A558" s="1143"/>
      <c r="B558" s="1143"/>
      <c r="C558" s="1143"/>
      <c r="D558" s="1154" t="s">
        <v>1180</v>
      </c>
      <c r="E558" s="1143"/>
      <c r="F558" s="1143"/>
      <c r="G558" s="1143"/>
      <c r="H558" s="1111"/>
      <c r="I558" s="1111"/>
      <c r="J558" s="1111"/>
      <c r="K558" s="1111"/>
      <c r="L558" s="1111"/>
      <c r="M558" s="1111"/>
      <c r="N558" s="1111"/>
      <c r="O558" s="1111"/>
      <c r="P558" s="1128"/>
      <c r="Q558" s="1144"/>
      <c r="R558" s="1105"/>
      <c r="S558" s="1105"/>
      <c r="T558" s="1105"/>
    </row>
    <row r="559" spans="1:20">
      <c r="A559" s="1080"/>
      <c r="B559" s="1143"/>
      <c r="C559" s="1143"/>
      <c r="D559" s="1143" t="s">
        <v>353</v>
      </c>
      <c r="E559" s="1143"/>
      <c r="F559" s="1143"/>
      <c r="G559" s="1143"/>
      <c r="H559" s="1111"/>
      <c r="I559" s="1111"/>
      <c r="J559" s="1111"/>
      <c r="K559" s="1111"/>
      <c r="L559" s="1111"/>
      <c r="M559" s="1111"/>
      <c r="N559" s="1111"/>
      <c r="O559" s="1111"/>
      <c r="P559" s="1128"/>
      <c r="Q559" s="1144"/>
      <c r="R559" s="1105"/>
      <c r="S559" s="1105"/>
      <c r="T559" s="1105"/>
    </row>
    <row r="560" spans="1:20">
      <c r="A560" s="1080">
        <f>MAX(A$229:A559)+1</f>
        <v>234</v>
      </c>
      <c r="B560" s="1143"/>
      <c r="C560" s="1143"/>
      <c r="D560" s="1157" t="s">
        <v>1181</v>
      </c>
      <c r="E560" s="1143"/>
      <c r="F560" s="1099" t="s">
        <v>284</v>
      </c>
      <c r="G560" s="1143"/>
      <c r="H560" s="1148">
        <v>3.76</v>
      </c>
      <c r="I560" s="1148"/>
      <c r="J560" s="1148">
        <f>ROUND(L560,3)-ROUND(H560,3)</f>
        <v>0.10400000000000009</v>
      </c>
      <c r="K560" s="1148"/>
      <c r="L560" s="1148">
        <v>3.8639253585133231</v>
      </c>
      <c r="M560" s="1148"/>
      <c r="N560" s="1148">
        <v>3.8639253585133231</v>
      </c>
      <c r="O560" s="1148"/>
      <c r="P560" s="1128">
        <v>0</v>
      </c>
      <c r="Q560" s="1144"/>
      <c r="R560" s="1105"/>
      <c r="S560" s="1105"/>
      <c r="T560" s="1105"/>
    </row>
    <row r="561" spans="1:20">
      <c r="A561" s="1080">
        <f>MAX(A$229:A560)+1</f>
        <v>235</v>
      </c>
      <c r="B561" s="1143"/>
      <c r="C561" s="1143"/>
      <c r="D561" s="1157" t="s">
        <v>1182</v>
      </c>
      <c r="E561" s="1143"/>
      <c r="F561" s="1099" t="s">
        <v>284</v>
      </c>
      <c r="G561" s="1143"/>
      <c r="H561" s="1148">
        <v>3.19</v>
      </c>
      <c r="I561" s="1148"/>
      <c r="J561" s="1148">
        <f>ROUND(L561,3)-ROUND(H561,3)</f>
        <v>9.1000000000000192E-2</v>
      </c>
      <c r="K561" s="1148"/>
      <c r="L561" s="1148">
        <v>3.2806721077802852</v>
      </c>
      <c r="M561" s="1148"/>
      <c r="N561" s="1148">
        <v>3.2806721077802852</v>
      </c>
      <c r="O561" s="1148"/>
      <c r="P561" s="1128">
        <v>0</v>
      </c>
    </row>
    <row r="562" spans="1:20">
      <c r="A562" s="1080">
        <f>MAX(A$229:A561)+1</f>
        <v>236</v>
      </c>
      <c r="B562" s="1143"/>
      <c r="C562" s="1143"/>
      <c r="D562" s="1157" t="s">
        <v>1183</v>
      </c>
      <c r="E562" s="1143"/>
      <c r="F562" s="1099" t="s">
        <v>284</v>
      </c>
      <c r="G562" s="1143"/>
      <c r="H562" s="1148">
        <v>0.56999999999999995</v>
      </c>
      <c r="I562" s="1148"/>
      <c r="J562" s="1148">
        <f t="shared" ref="J562:J564" si="38">ROUND(L562,3)-ROUND(H562,3)</f>
        <v>1.3000000000000012E-2</v>
      </c>
      <c r="K562" s="1148"/>
      <c r="L562" s="1148">
        <v>0.58325325073303746</v>
      </c>
      <c r="M562" s="1148"/>
      <c r="N562" s="1148">
        <v>0.58325325073303746</v>
      </c>
      <c r="O562" s="1148"/>
      <c r="P562" s="1128">
        <v>0</v>
      </c>
      <c r="Q562" s="1144"/>
      <c r="R562" s="1105"/>
      <c r="S562" s="1105"/>
      <c r="T562" s="1105"/>
    </row>
    <row r="563" spans="1:20">
      <c r="A563" s="1080">
        <f>MAX(A$229:A562)+1</f>
        <v>237</v>
      </c>
      <c r="B563" s="1143"/>
      <c r="C563" s="1143"/>
      <c r="D563" s="1157" t="s">
        <v>1184</v>
      </c>
      <c r="E563" s="1143"/>
      <c r="F563" s="1099" t="s">
        <v>284</v>
      </c>
      <c r="G563" s="1143"/>
      <c r="H563" s="1148">
        <v>4.6479999999999997</v>
      </c>
      <c r="I563" s="1148"/>
      <c r="J563" s="1148">
        <f t="shared" si="38"/>
        <v>0.12400000000000055</v>
      </c>
      <c r="K563" s="1148"/>
      <c r="L563" s="1148">
        <v>4.7723823098644536</v>
      </c>
      <c r="M563" s="1148"/>
      <c r="N563" s="1148">
        <v>4.7723823098644536</v>
      </c>
      <c r="O563" s="1148"/>
      <c r="P563" s="1128">
        <v>0</v>
      </c>
      <c r="Q563" s="1144"/>
      <c r="R563" s="1105"/>
      <c r="S563" s="1105"/>
      <c r="T563" s="1105"/>
    </row>
    <row r="564" spans="1:20">
      <c r="A564" s="1080">
        <f>MAX(A$229:A563)+1</f>
        <v>238</v>
      </c>
      <c r="B564" s="1143"/>
      <c r="C564" s="1143"/>
      <c r="D564" s="1157" t="s">
        <v>1185</v>
      </c>
      <c r="E564" s="1143"/>
      <c r="F564" s="1099" t="s">
        <v>284</v>
      </c>
      <c r="G564" s="1143"/>
      <c r="H564" s="1148">
        <v>7.6999999999999999E-2</v>
      </c>
      <c r="I564" s="1148"/>
      <c r="J564" s="1148">
        <f t="shared" si="38"/>
        <v>2.0000000000000018E-3</v>
      </c>
      <c r="K564" s="1148"/>
      <c r="L564" s="1148">
        <v>7.9076318587700117E-2</v>
      </c>
      <c r="M564" s="1148"/>
      <c r="N564" s="1148">
        <v>7.9076318587700117E-2</v>
      </c>
      <c r="O564" s="1148"/>
      <c r="P564" s="1128">
        <v>0</v>
      </c>
      <c r="Q564" s="1144"/>
      <c r="R564" s="1105"/>
      <c r="S564" s="1105"/>
      <c r="T564" s="1105"/>
    </row>
    <row r="565" spans="1:20">
      <c r="A565" s="1143"/>
      <c r="B565" s="1143"/>
      <c r="C565" s="1143"/>
      <c r="D565" s="1143"/>
      <c r="E565" s="1143"/>
      <c r="F565" s="1143"/>
      <c r="G565" s="1143"/>
      <c r="H565" s="1111"/>
      <c r="I565" s="1158"/>
      <c r="J565" s="1111"/>
      <c r="K565" s="1111"/>
      <c r="L565" s="1111"/>
      <c r="M565" s="1111"/>
      <c r="N565" s="1111"/>
      <c r="O565" s="1111"/>
      <c r="P565" s="1111"/>
      <c r="Q565" s="1144"/>
      <c r="R565" s="1105"/>
      <c r="S565" s="1105"/>
      <c r="T565" s="1105"/>
    </row>
    <row r="566" spans="1:20">
      <c r="A566" s="1080"/>
      <c r="B566" s="1143"/>
      <c r="C566" s="1143"/>
      <c r="D566" s="1143" t="s">
        <v>1186</v>
      </c>
      <c r="E566" s="1143"/>
      <c r="F566" s="1143"/>
      <c r="G566" s="1143"/>
      <c r="H566" s="1143"/>
      <c r="I566" s="1144"/>
      <c r="J566" s="1143"/>
      <c r="K566" s="1143"/>
      <c r="L566" s="1143"/>
      <c r="M566" s="1144"/>
      <c r="N566" s="1143"/>
      <c r="O566" s="1143"/>
      <c r="P566" s="1143"/>
      <c r="Q566" s="1144"/>
      <c r="R566" s="1105"/>
      <c r="S566" s="1105"/>
      <c r="T566" s="1105"/>
    </row>
    <row r="567" spans="1:20">
      <c r="A567" s="1080">
        <f>MAX(A$229:A566)+1</f>
        <v>239</v>
      </c>
      <c r="B567" s="1143"/>
      <c r="C567" s="1143"/>
      <c r="D567" s="1143" t="s">
        <v>1187</v>
      </c>
      <c r="E567" s="1143"/>
      <c r="F567" s="1083" t="s">
        <v>286</v>
      </c>
      <c r="G567" s="1143"/>
      <c r="H567" s="1159" t="s">
        <v>1188</v>
      </c>
      <c r="I567" s="1160" t="s">
        <v>46</v>
      </c>
      <c r="J567" s="1128">
        <v>0</v>
      </c>
      <c r="K567" s="1159"/>
      <c r="L567" s="1159" t="s">
        <v>1188</v>
      </c>
      <c r="M567" s="1160" t="s">
        <v>46</v>
      </c>
      <c r="N567" s="1128">
        <v>0</v>
      </c>
      <c r="O567" s="1159"/>
      <c r="P567" s="1159" t="s">
        <v>1188</v>
      </c>
      <c r="Q567" s="1160" t="s">
        <v>46</v>
      </c>
      <c r="R567" s="1105"/>
      <c r="S567" s="1105"/>
      <c r="T567" s="1105"/>
    </row>
    <row r="568" spans="1:20">
      <c r="A568" s="1080">
        <f>MAX(A$229:A567)+1</f>
        <v>240</v>
      </c>
      <c r="B568" s="1143"/>
      <c r="C568" s="1143"/>
      <c r="D568" s="1143" t="s">
        <v>1189</v>
      </c>
      <c r="E568" s="1143"/>
      <c r="F568" s="1083" t="s">
        <v>286</v>
      </c>
      <c r="G568" s="1143"/>
      <c r="H568" s="1159" t="s">
        <v>1188</v>
      </c>
      <c r="I568" s="1160" t="s">
        <v>46</v>
      </c>
      <c r="J568" s="1128">
        <v>0</v>
      </c>
      <c r="K568" s="1159"/>
      <c r="L568" s="1159" t="s">
        <v>1188</v>
      </c>
      <c r="M568" s="1160" t="s">
        <v>46</v>
      </c>
      <c r="N568" s="1128">
        <v>0</v>
      </c>
      <c r="O568" s="1159"/>
      <c r="P568" s="1159" t="s">
        <v>1188</v>
      </c>
      <c r="Q568" s="1160" t="s">
        <v>46</v>
      </c>
      <c r="R568" s="1105"/>
      <c r="S568" s="1105"/>
      <c r="T568" s="1105"/>
    </row>
    <row r="569" spans="1:20">
      <c r="A569" s="1143"/>
      <c r="B569" s="1143"/>
      <c r="C569" s="1143"/>
      <c r="D569" s="1143"/>
      <c r="E569" s="1143"/>
      <c r="F569" s="1143"/>
      <c r="G569" s="1143"/>
      <c r="H569" s="1143"/>
      <c r="I569" s="1144"/>
      <c r="J569" s="1143"/>
      <c r="K569" s="1143"/>
      <c r="L569" s="1143"/>
      <c r="M569" s="1144"/>
      <c r="N569" s="1143"/>
      <c r="O569" s="1143"/>
      <c r="P569" s="1143"/>
      <c r="Q569" s="1144"/>
      <c r="R569" s="1105"/>
      <c r="S569" s="1105"/>
      <c r="T569" s="1105"/>
    </row>
    <row r="570" spans="1:20">
      <c r="A570" s="1080"/>
      <c r="B570" s="1143"/>
      <c r="C570" s="1143"/>
      <c r="D570" s="1143" t="s">
        <v>1190</v>
      </c>
      <c r="E570" s="1143"/>
      <c r="F570" s="1143"/>
      <c r="G570" s="1143"/>
      <c r="H570" s="1143"/>
      <c r="I570" s="1144"/>
      <c r="J570" s="1143"/>
      <c r="K570" s="1143"/>
      <c r="L570" s="1143"/>
      <c r="M570" s="1144"/>
      <c r="N570" s="1143"/>
      <c r="O570" s="1143"/>
      <c r="P570" s="1143"/>
      <c r="Q570" s="1144"/>
      <c r="R570" s="1105"/>
      <c r="S570" s="1105"/>
      <c r="T570" s="1105"/>
    </row>
    <row r="571" spans="1:20">
      <c r="A571" s="1080">
        <f>MAX(A$229:A570)+1</f>
        <v>241</v>
      </c>
      <c r="B571" s="1143"/>
      <c r="C571" s="1143"/>
      <c r="D571" s="1143" t="s">
        <v>1191</v>
      </c>
      <c r="E571" s="1143"/>
      <c r="F571" s="1099" t="s">
        <v>284</v>
      </c>
      <c r="G571" s="1143"/>
      <c r="H571" s="1148">
        <v>9.0239999999999991</v>
      </c>
      <c r="I571" s="1144"/>
      <c r="J571" s="1148">
        <f t="shared" ref="J571" si="39">ROUND(L571,3)-ROUND(H571,3)</f>
        <v>0.24900000000000055</v>
      </c>
      <c r="K571" s="1143"/>
      <c r="L571" s="1148">
        <f>L560*12/5</f>
        <v>9.2734208604319743</v>
      </c>
      <c r="M571" s="1144"/>
      <c r="N571" s="1148">
        <f>L571</f>
        <v>9.2734208604319743</v>
      </c>
      <c r="O571" s="1143"/>
      <c r="P571" s="1128">
        <v>0</v>
      </c>
      <c r="Q571" s="1144"/>
      <c r="R571" s="1105"/>
      <c r="S571" s="1105"/>
      <c r="T571" s="1105"/>
    </row>
    <row r="572" spans="1:20">
      <c r="A572" s="1143"/>
      <c r="B572" s="1143"/>
      <c r="C572" s="1143"/>
      <c r="D572" s="1143"/>
      <c r="E572" s="1143"/>
      <c r="F572" s="1143"/>
      <c r="G572" s="1143"/>
      <c r="H572" s="1143"/>
      <c r="I572" s="1144"/>
      <c r="J572" s="1143"/>
      <c r="K572" s="1143"/>
      <c r="L572" s="1143"/>
      <c r="M572" s="1144"/>
      <c r="N572" s="1143"/>
      <c r="O572" s="1143"/>
      <c r="P572" s="1143"/>
      <c r="Q572" s="1144"/>
      <c r="R572" s="1105"/>
      <c r="S572" s="1105"/>
      <c r="T572" s="1105"/>
    </row>
    <row r="573" spans="1:20">
      <c r="A573" s="1080"/>
      <c r="B573" s="1143"/>
      <c r="C573" s="1143"/>
      <c r="D573" s="1143" t="s">
        <v>1192</v>
      </c>
      <c r="E573" s="1143"/>
      <c r="F573" s="1143"/>
      <c r="G573" s="1143"/>
      <c r="H573" s="1143"/>
      <c r="I573" s="1144"/>
      <c r="J573" s="1143"/>
      <c r="K573" s="1143"/>
      <c r="L573" s="1143"/>
      <c r="M573" s="1144"/>
      <c r="N573" s="1143"/>
      <c r="O573" s="1143"/>
      <c r="P573" s="1143"/>
      <c r="Q573" s="1144"/>
      <c r="R573" s="1105"/>
      <c r="S573" s="1105"/>
      <c r="T573" s="1105"/>
    </row>
    <row r="574" spans="1:20">
      <c r="A574" s="1080"/>
      <c r="B574" s="1143"/>
      <c r="C574" s="1143"/>
      <c r="D574" s="1157" t="s">
        <v>1193</v>
      </c>
      <c r="E574" s="1143"/>
      <c r="F574" s="1143"/>
      <c r="G574" s="1143"/>
      <c r="H574" s="1143"/>
      <c r="I574" s="1144"/>
      <c r="J574" s="1143"/>
      <c r="K574" s="1143"/>
      <c r="L574" s="1143"/>
      <c r="M574" s="1144"/>
      <c r="N574" s="1143"/>
      <c r="O574" s="1143"/>
      <c r="P574" s="1143"/>
      <c r="Q574" s="1144"/>
      <c r="R574" s="1105"/>
      <c r="S574" s="1105"/>
      <c r="T574" s="1105"/>
    </row>
    <row r="575" spans="1:20">
      <c r="A575" s="1080">
        <f>MAX(A$229:A574)+1</f>
        <v>242</v>
      </c>
      <c r="B575" s="1143"/>
      <c r="C575" s="1143"/>
      <c r="D575" s="1161" t="s">
        <v>1181</v>
      </c>
      <c r="E575" s="1143"/>
      <c r="F575" s="1083" t="s">
        <v>286</v>
      </c>
      <c r="G575" s="1143"/>
      <c r="H575" s="1148">
        <v>0.124</v>
      </c>
      <c r="I575" s="1160" t="s">
        <v>46</v>
      </c>
      <c r="J575" s="1148">
        <f>ROUND(L575,3)-ROUND(H575,3)</f>
        <v>3.0000000000000027E-3</v>
      </c>
      <c r="K575" s="1148"/>
      <c r="L575" s="1148">
        <v>0.12703316247167087</v>
      </c>
      <c r="M575" s="1160" t="s">
        <v>46</v>
      </c>
      <c r="N575" s="1162">
        <f>L575</f>
        <v>0.12703316247167087</v>
      </c>
      <c r="O575" s="1148"/>
      <c r="P575" s="1159" t="s">
        <v>1188</v>
      </c>
      <c r="Q575" s="1160" t="s">
        <v>46</v>
      </c>
      <c r="R575" s="1105"/>
      <c r="S575" s="1105"/>
      <c r="T575" s="1105"/>
    </row>
    <row r="576" spans="1:20">
      <c r="A576" s="1080">
        <f>MAX(A$229:A575)+1</f>
        <v>243</v>
      </c>
      <c r="B576" s="1143"/>
      <c r="C576" s="1143"/>
      <c r="D576" s="1161" t="s">
        <v>1182</v>
      </c>
      <c r="E576" s="1143"/>
      <c r="F576" s="1083" t="s">
        <v>286</v>
      </c>
      <c r="G576" s="1143"/>
      <c r="H576" s="1148">
        <v>0.105</v>
      </c>
      <c r="I576" s="1160" t="s">
        <v>46</v>
      </c>
      <c r="J576" s="1148">
        <f>ROUND(L576,3)-ROUND(H576,3)</f>
        <v>3.0000000000000027E-3</v>
      </c>
      <c r="K576" s="1148"/>
      <c r="L576" s="1148">
        <v>0.10785771313250253</v>
      </c>
      <c r="M576" s="1160" t="s">
        <v>46</v>
      </c>
      <c r="N576" s="1162">
        <f t="shared" ref="N576:N578" si="40">L576</f>
        <v>0.10785771313250253</v>
      </c>
      <c r="O576" s="1148"/>
      <c r="P576" s="1159" t="s">
        <v>1188</v>
      </c>
      <c r="Q576" s="1160" t="s">
        <v>46</v>
      </c>
    </row>
    <row r="577" spans="1:20">
      <c r="A577" s="1080">
        <f>MAX(A$229:A576)+1</f>
        <v>244</v>
      </c>
      <c r="B577" s="1143"/>
      <c r="C577" s="1143"/>
      <c r="D577" s="1161" t="s">
        <v>1183</v>
      </c>
      <c r="E577" s="1143"/>
      <c r="F577" s="1083" t="s">
        <v>286</v>
      </c>
      <c r="G577" s="1143"/>
      <c r="H577" s="1148">
        <v>1.9E-2</v>
      </c>
      <c r="I577" s="1160" t="s">
        <v>46</v>
      </c>
      <c r="J577" s="1148">
        <f t="shared" ref="J577:J578" si="41">ROUND(L577,3)-ROUND(H577,3)</f>
        <v>0</v>
      </c>
      <c r="K577" s="1148"/>
      <c r="L577" s="1148">
        <v>1.9175449339168354E-2</v>
      </c>
      <c r="M577" s="1160" t="s">
        <v>46</v>
      </c>
      <c r="N577" s="1162">
        <f t="shared" si="40"/>
        <v>1.9175449339168354E-2</v>
      </c>
      <c r="O577" s="1148"/>
      <c r="P577" s="1159" t="s">
        <v>1188</v>
      </c>
      <c r="Q577" s="1160" t="s">
        <v>46</v>
      </c>
      <c r="R577" s="1105"/>
      <c r="S577" s="1105"/>
      <c r="T577" s="1105"/>
    </row>
    <row r="578" spans="1:20">
      <c r="A578" s="1080">
        <f>MAX(A$229:A577)+1</f>
        <v>245</v>
      </c>
      <c r="B578" s="1143"/>
      <c r="C578" s="1143"/>
      <c r="D578" s="1161" t="s">
        <v>1184</v>
      </c>
      <c r="E578" s="1143"/>
      <c r="F578" s="1083" t="s">
        <v>286</v>
      </c>
      <c r="G578" s="1143"/>
      <c r="H578" s="1148">
        <v>0.153</v>
      </c>
      <c r="I578" s="1160" t="s">
        <v>46</v>
      </c>
      <c r="J578" s="1148">
        <f t="shared" si="41"/>
        <v>4.0000000000000036E-3</v>
      </c>
      <c r="K578" s="1148"/>
      <c r="L578" s="1148">
        <v>0.1569002403243108</v>
      </c>
      <c r="M578" s="1160" t="s">
        <v>46</v>
      </c>
      <c r="N578" s="1162">
        <f t="shared" si="40"/>
        <v>0.1569002403243108</v>
      </c>
      <c r="O578" s="1148"/>
      <c r="P578" s="1159" t="s">
        <v>1188</v>
      </c>
      <c r="Q578" s="1160" t="s">
        <v>46</v>
      </c>
      <c r="R578" s="1105"/>
      <c r="S578" s="1105"/>
      <c r="T578" s="1105"/>
    </row>
    <row r="579" spans="1:20">
      <c r="A579" s="1143"/>
      <c r="B579" s="1143"/>
      <c r="C579" s="1143"/>
      <c r="D579" s="1143"/>
      <c r="E579" s="1143"/>
      <c r="F579" s="1143"/>
      <c r="G579" s="1143"/>
      <c r="H579" s="1143"/>
      <c r="I579" s="1144"/>
      <c r="J579" s="1143"/>
      <c r="K579" s="1143"/>
      <c r="L579" s="1143"/>
      <c r="M579" s="1144"/>
      <c r="N579" s="1143"/>
      <c r="O579" s="1143"/>
      <c r="P579" s="1143"/>
      <c r="Q579" s="1144"/>
      <c r="R579" s="1105"/>
      <c r="S579" s="1105"/>
      <c r="T579" s="1105"/>
    </row>
    <row r="580" spans="1:20">
      <c r="A580" s="1143"/>
      <c r="B580" s="1143"/>
      <c r="C580" s="1143"/>
      <c r="D580" s="1154" t="s">
        <v>896</v>
      </c>
      <c r="E580" s="1143"/>
      <c r="F580" s="1143"/>
      <c r="G580" s="1143"/>
      <c r="H580" s="1143"/>
      <c r="I580" s="1144"/>
      <c r="J580" s="1143"/>
      <c r="K580" s="1143"/>
      <c r="L580" s="1143"/>
      <c r="M580" s="1144"/>
      <c r="N580" s="1143"/>
      <c r="O580" s="1143"/>
      <c r="P580" s="1143"/>
      <c r="Q580" s="1144"/>
      <c r="R580" s="1105"/>
      <c r="S580" s="1105"/>
      <c r="T580" s="1105"/>
    </row>
    <row r="581" spans="1:20">
      <c r="A581" s="1080">
        <f>MAX(A$229:A580)+1</f>
        <v>246</v>
      </c>
      <c r="B581" s="1143"/>
      <c r="C581" s="1143"/>
      <c r="D581" s="1163" t="s">
        <v>1194</v>
      </c>
      <c r="E581" s="1143"/>
      <c r="F581" s="1083" t="s">
        <v>201</v>
      </c>
      <c r="G581" s="1143"/>
      <c r="H581" s="1100">
        <v>1047.53</v>
      </c>
      <c r="I581" s="1164"/>
      <c r="J581" s="595">
        <f t="shared" ref="J581:J583" si="42">ROUND(L581,3)-ROUND(H581,3)</f>
        <v>0</v>
      </c>
      <c r="K581" s="1165"/>
      <c r="L581" s="1100">
        <v>1047.53</v>
      </c>
      <c r="M581" s="1164"/>
      <c r="N581" s="1100">
        <v>1047.53</v>
      </c>
      <c r="O581" s="1143"/>
      <c r="P581" s="595">
        <v>0</v>
      </c>
      <c r="Q581" s="1144"/>
      <c r="R581" s="1105"/>
      <c r="S581" s="1105"/>
      <c r="T581" s="1105"/>
    </row>
    <row r="582" spans="1:20">
      <c r="A582" s="1080">
        <f>MAX(A$229:A581)+1</f>
        <v>247</v>
      </c>
      <c r="B582" s="1143"/>
      <c r="C582" s="1143"/>
      <c r="D582" s="1163" t="s">
        <v>1195</v>
      </c>
      <c r="E582" s="1143"/>
      <c r="F582" s="1083" t="s">
        <v>286</v>
      </c>
      <c r="G582" s="1143"/>
      <c r="H582" s="1148">
        <v>3.7999999999999999E-2</v>
      </c>
      <c r="I582" s="1166"/>
      <c r="J582" s="1148">
        <f t="shared" si="42"/>
        <v>1.0000000000000009E-3</v>
      </c>
      <c r="K582" s="1148"/>
      <c r="L582" s="1148">
        <v>3.9E-2</v>
      </c>
      <c r="M582" s="1166"/>
      <c r="N582" s="1148">
        <v>3.9E-2</v>
      </c>
      <c r="O582" s="1148"/>
      <c r="P582" s="595">
        <v>0</v>
      </c>
      <c r="Q582" s="1144"/>
      <c r="R582" s="1105"/>
      <c r="S582" s="1105"/>
      <c r="T582" s="1105"/>
    </row>
    <row r="583" spans="1:20">
      <c r="A583" s="1080">
        <f>MAX(A$229:A582)+1</f>
        <v>248</v>
      </c>
      <c r="B583" s="1143"/>
      <c r="C583" s="1143"/>
      <c r="D583" s="1163" t="s">
        <v>1196</v>
      </c>
      <c r="E583" s="1143"/>
      <c r="F583" s="1083" t="s">
        <v>286</v>
      </c>
      <c r="G583" s="1143"/>
      <c r="H583" s="1148">
        <v>8.9999999999999993E-3</v>
      </c>
      <c r="I583" s="1166"/>
      <c r="J583" s="421">
        <f t="shared" si="42"/>
        <v>2E-3</v>
      </c>
      <c r="K583" s="1148"/>
      <c r="L583" s="1148">
        <v>1.0999999999999999E-2</v>
      </c>
      <c r="M583" s="1166"/>
      <c r="N583" s="595">
        <v>0</v>
      </c>
      <c r="O583" s="1148"/>
      <c r="P583" s="1148">
        <v>1.0999999999999999E-2</v>
      </c>
      <c r="Q583" s="1144"/>
      <c r="R583" s="1105"/>
      <c r="S583" s="1105"/>
      <c r="T583" s="1105"/>
    </row>
    <row r="584" spans="1:20">
      <c r="A584" s="1080">
        <f>MAX(A$229:A583)+1</f>
        <v>249</v>
      </c>
      <c r="B584" s="1143"/>
      <c r="C584" s="1143"/>
      <c r="D584" s="1163" t="s">
        <v>1197</v>
      </c>
      <c r="E584" s="1143"/>
      <c r="F584" s="1083" t="s">
        <v>286</v>
      </c>
      <c r="G584" s="1143"/>
      <c r="H584" s="1159" t="s">
        <v>1188</v>
      </c>
      <c r="I584" s="1160" t="s">
        <v>48</v>
      </c>
      <c r="J584" s="1143"/>
      <c r="K584" s="1143"/>
      <c r="L584" s="1159" t="s">
        <v>1188</v>
      </c>
      <c r="M584" s="1160" t="s">
        <v>48</v>
      </c>
      <c r="N584" s="1128">
        <f t="shared" ref="N584" si="43">IFERROR(L584-P584,0)</f>
        <v>0</v>
      </c>
      <c r="O584" s="1143"/>
      <c r="P584" s="1159" t="s">
        <v>1188</v>
      </c>
      <c r="Q584" s="1160" t="s">
        <v>48</v>
      </c>
      <c r="R584" s="1105"/>
      <c r="S584" s="1105"/>
      <c r="T584" s="1105"/>
    </row>
    <row r="585" spans="1:20">
      <c r="A585" s="1143"/>
      <c r="B585" s="1143"/>
      <c r="C585" s="1143"/>
      <c r="D585" s="1143"/>
      <c r="E585" s="1143"/>
      <c r="F585" s="1143"/>
      <c r="G585" s="1143"/>
      <c r="H585" s="1143"/>
      <c r="I585" s="1144"/>
      <c r="J585" s="1143"/>
      <c r="K585" s="1143"/>
      <c r="L585" s="1143"/>
      <c r="M585" s="1144"/>
      <c r="N585" s="1143"/>
      <c r="O585" s="1143"/>
      <c r="P585" s="1143"/>
      <c r="Q585" s="1144"/>
      <c r="R585" s="1105"/>
      <c r="S585" s="1105"/>
      <c r="T585" s="1105"/>
    </row>
    <row r="586" spans="1:20">
      <c r="A586" s="1080">
        <f>MAX(A$229:A585)+1</f>
        <v>250</v>
      </c>
      <c r="B586" s="1143"/>
      <c r="C586" s="1143"/>
      <c r="D586" s="1143" t="s">
        <v>1198</v>
      </c>
      <c r="E586" s="1143"/>
      <c r="F586" s="1083" t="s">
        <v>286</v>
      </c>
      <c r="G586" s="1143"/>
      <c r="H586" s="1148">
        <v>0.124</v>
      </c>
      <c r="I586" s="1144"/>
      <c r="J586" s="1148">
        <f t="shared" ref="J586:J587" si="44">ROUND(L586,3)-ROUND(H586,3)</f>
        <v>4.0000000000000036E-3</v>
      </c>
      <c r="K586" s="1148"/>
      <c r="L586" s="1148">
        <v>0.12849303609236321</v>
      </c>
      <c r="M586" s="1166"/>
      <c r="N586" s="1167">
        <f>IFERROR(L586-P586,0)</f>
        <v>0.11737808219178084</v>
      </c>
      <c r="O586" s="1148"/>
      <c r="P586" s="1148">
        <v>1.1114953900582371E-2</v>
      </c>
      <c r="Q586" s="1144"/>
      <c r="R586" s="1105"/>
      <c r="S586" s="1105"/>
      <c r="T586" s="1105"/>
    </row>
    <row r="587" spans="1:20">
      <c r="A587" s="1080">
        <f>MAX(A$229:A586)+1</f>
        <v>251</v>
      </c>
      <c r="B587" s="1143"/>
      <c r="C587" s="1143"/>
      <c r="D587" s="1143" t="s">
        <v>1199</v>
      </c>
      <c r="E587" s="1143"/>
      <c r="F587" s="1083" t="s">
        <v>286</v>
      </c>
      <c r="G587" s="1143"/>
      <c r="H587" s="1148">
        <v>0.115</v>
      </c>
      <c r="I587" s="1160" t="s">
        <v>48</v>
      </c>
      <c r="J587" s="1148">
        <f t="shared" si="44"/>
        <v>2.0000000000000018E-3</v>
      </c>
      <c r="K587" s="1148"/>
      <c r="L587" s="1148">
        <v>0.11737808219178084</v>
      </c>
      <c r="M587" s="1160" t="s">
        <v>48</v>
      </c>
      <c r="N587" s="1148">
        <f>N586</f>
        <v>0.11737808219178084</v>
      </c>
      <c r="O587" s="1148"/>
      <c r="P587" s="1159" t="s">
        <v>1188</v>
      </c>
      <c r="Q587" s="1160" t="s">
        <v>48</v>
      </c>
      <c r="R587" s="1149"/>
      <c r="S587" s="1105"/>
      <c r="T587" s="1105"/>
    </row>
    <row r="588" spans="1:20">
      <c r="A588" s="1143"/>
      <c r="B588" s="1143"/>
      <c r="C588" s="1143"/>
      <c r="D588" s="1143"/>
      <c r="E588" s="1143"/>
      <c r="F588" s="1143"/>
      <c r="G588" s="1143"/>
      <c r="H588" s="1143"/>
      <c r="I588" s="1143"/>
      <c r="J588" s="1143"/>
      <c r="K588" s="1143"/>
      <c r="L588" s="1143"/>
      <c r="M588" s="1144"/>
      <c r="N588" s="1143"/>
      <c r="O588" s="1143"/>
      <c r="P588" s="1143"/>
      <c r="Q588" s="1144"/>
      <c r="R588" s="1105"/>
      <c r="S588" s="1105"/>
      <c r="T588" s="1105"/>
    </row>
    <row r="589" spans="1:20">
      <c r="A589" s="1143"/>
      <c r="B589" s="1143"/>
      <c r="C589" s="1143"/>
      <c r="D589" s="1143"/>
      <c r="E589" s="1143"/>
      <c r="F589" s="1143"/>
      <c r="G589" s="1143"/>
      <c r="H589" s="1143"/>
      <c r="I589" s="1143"/>
      <c r="J589" s="1143"/>
      <c r="K589" s="1143"/>
      <c r="L589" s="1143"/>
      <c r="M589" s="1143"/>
      <c r="N589" s="1143"/>
      <c r="O589" s="1143"/>
      <c r="P589" s="1143"/>
      <c r="Q589" s="1144"/>
      <c r="R589" s="1105"/>
      <c r="S589" s="1105"/>
      <c r="T589" s="1105"/>
    </row>
    <row r="590" spans="1:20">
      <c r="A590" s="1143"/>
      <c r="B590" s="1143"/>
      <c r="C590" s="1143"/>
      <c r="D590" s="1143"/>
      <c r="E590" s="1143"/>
      <c r="F590" s="1143"/>
      <c r="G590" s="1143"/>
      <c r="H590" s="1143"/>
      <c r="I590" s="1143"/>
      <c r="J590" s="1143"/>
      <c r="K590" s="1143"/>
      <c r="L590" s="1143"/>
      <c r="M590" s="1143"/>
      <c r="N590" s="1143"/>
      <c r="O590" s="1143"/>
      <c r="P590" s="1143"/>
      <c r="Q590" s="1144"/>
      <c r="R590" s="1105"/>
      <c r="S590" s="1105"/>
      <c r="T590" s="1105"/>
    </row>
    <row r="591" spans="1:20">
      <c r="A591" s="1143"/>
      <c r="B591" s="1143"/>
      <c r="C591" s="1143"/>
      <c r="D591" s="1143"/>
      <c r="E591" s="1143"/>
      <c r="F591" s="1143"/>
      <c r="G591" s="1143"/>
      <c r="H591" s="1143"/>
      <c r="I591" s="1143"/>
      <c r="J591" s="1143"/>
      <c r="K591" s="1143"/>
      <c r="L591" s="1143"/>
      <c r="M591" s="1143"/>
      <c r="N591" s="1143"/>
      <c r="O591" s="1143"/>
      <c r="P591" s="1143"/>
      <c r="Q591" s="1144"/>
      <c r="R591" s="1105"/>
      <c r="S591" s="1105"/>
      <c r="T591" s="1105"/>
    </row>
    <row r="592" spans="1:20">
      <c r="A592" s="1143"/>
      <c r="B592" s="1143"/>
      <c r="C592" s="1143"/>
      <c r="D592" s="1143"/>
      <c r="E592" s="1143"/>
      <c r="F592" s="1143"/>
      <c r="G592" s="1143"/>
      <c r="H592" s="1143"/>
      <c r="I592" s="1143"/>
      <c r="J592" s="1143"/>
      <c r="K592" s="1143"/>
      <c r="L592" s="1143"/>
      <c r="M592" s="1143"/>
      <c r="N592" s="1143"/>
      <c r="O592" s="1143"/>
      <c r="P592" s="1143"/>
      <c r="Q592" s="1144"/>
      <c r="R592" s="1105"/>
      <c r="S592" s="1105"/>
      <c r="T592" s="1105"/>
    </row>
    <row r="593" spans="1:20">
      <c r="A593" s="1143"/>
      <c r="B593" s="1143"/>
      <c r="C593" s="1143"/>
      <c r="D593" s="1143"/>
      <c r="E593" s="1143"/>
      <c r="F593" s="1143"/>
      <c r="G593" s="1143"/>
      <c r="H593" s="1143"/>
      <c r="I593" s="1143"/>
      <c r="J593" s="1143"/>
      <c r="K593" s="1143"/>
      <c r="L593" s="1143"/>
      <c r="M593" s="1143"/>
      <c r="N593" s="1143"/>
      <c r="O593" s="1143"/>
      <c r="P593" s="1143"/>
      <c r="Q593" s="1144"/>
      <c r="R593" s="1105"/>
      <c r="S593" s="1105"/>
      <c r="T593" s="1105"/>
    </row>
    <row r="594" spans="1:20">
      <c r="A594" s="1336"/>
      <c r="B594" s="1336"/>
      <c r="C594" s="1336"/>
      <c r="D594" s="1335"/>
      <c r="E594" s="1335"/>
      <c r="F594" s="1335"/>
      <c r="G594" s="1335"/>
      <c r="H594" s="1335"/>
      <c r="I594" s="1335"/>
      <c r="J594" s="1335"/>
      <c r="K594" s="1335"/>
      <c r="L594" s="1335"/>
      <c r="M594" s="1335"/>
      <c r="N594" s="1335"/>
      <c r="O594" s="1335"/>
      <c r="P594" s="1335"/>
      <c r="Q594" s="1144"/>
      <c r="R594" s="1105"/>
      <c r="S594" s="1105"/>
      <c r="T594" s="1105"/>
    </row>
    <row r="595" spans="1:20">
      <c r="A595" s="1336" t="s">
        <v>1109</v>
      </c>
      <c r="B595" s="1336"/>
      <c r="C595" s="1336"/>
      <c r="D595" s="1335"/>
      <c r="E595" s="1335"/>
      <c r="F595" s="1335"/>
      <c r="G595" s="1335"/>
      <c r="H595" s="1335"/>
      <c r="I595" s="1335"/>
      <c r="J595" s="1335"/>
      <c r="K595" s="1335"/>
      <c r="L595" s="1335"/>
      <c r="M595" s="1335"/>
      <c r="N595" s="1335"/>
      <c r="O595" s="1335"/>
      <c r="P595" s="1335"/>
      <c r="Q595" s="1144"/>
      <c r="R595" s="1105"/>
      <c r="S595" s="1105"/>
      <c r="T595" s="1105"/>
    </row>
    <row r="596" spans="1:20">
      <c r="A596" s="1334" t="s">
        <v>652</v>
      </c>
      <c r="B596" s="1335"/>
      <c r="C596" s="1335"/>
      <c r="D596" s="1335"/>
      <c r="E596" s="1335"/>
      <c r="F596" s="1335"/>
      <c r="G596" s="1335"/>
      <c r="H596" s="1335"/>
      <c r="I596" s="1335"/>
      <c r="J596" s="1335"/>
      <c r="K596" s="1335"/>
      <c r="L596" s="1335"/>
      <c r="M596" s="1335"/>
      <c r="N596" s="1335"/>
      <c r="O596" s="1335"/>
      <c r="P596" s="1335"/>
      <c r="Q596" s="1144"/>
      <c r="R596" s="1105"/>
      <c r="S596" s="1105"/>
      <c r="T596" s="1105"/>
    </row>
    <row r="597" spans="1:20">
      <c r="A597" s="1080"/>
      <c r="B597" s="1082"/>
      <c r="Q597" s="1144"/>
      <c r="R597" s="1105"/>
      <c r="S597" s="1105"/>
      <c r="T597" s="1105"/>
    </row>
    <row r="598" spans="1:20" ht="12.75" customHeight="1">
      <c r="A598" s="1080"/>
      <c r="G598" s="1074"/>
      <c r="H598" s="1077"/>
      <c r="I598" s="1077"/>
      <c r="J598" s="1077"/>
      <c r="K598" s="1077"/>
      <c r="L598" s="1077"/>
      <c r="M598" s="1077"/>
      <c r="N598" s="1332" t="s">
        <v>1086</v>
      </c>
      <c r="O598" s="1332"/>
      <c r="P598" s="1332"/>
      <c r="Q598" s="1144"/>
      <c r="R598" s="1105"/>
      <c r="S598" s="1105"/>
      <c r="T598" s="1105"/>
    </row>
    <row r="599" spans="1:20">
      <c r="A599" s="1080"/>
      <c r="G599" s="1079"/>
      <c r="H599" s="1080"/>
      <c r="I599" s="1081"/>
      <c r="J599" s="1337" t="s">
        <v>1087</v>
      </c>
      <c r="K599" s="1337"/>
      <c r="L599" s="1337"/>
      <c r="N599" s="1333"/>
      <c r="O599" s="1333"/>
      <c r="P599" s="1333"/>
      <c r="Q599" s="1144"/>
      <c r="R599" s="1105"/>
      <c r="S599" s="1105"/>
      <c r="T599" s="1105"/>
    </row>
    <row r="600" spans="1:20">
      <c r="A600" s="1080" t="s">
        <v>1</v>
      </c>
      <c r="C600" s="1082"/>
      <c r="F600" s="1074"/>
      <c r="G600" s="1067"/>
      <c r="H600" s="1080" t="s">
        <v>495</v>
      </c>
      <c r="I600" s="1081"/>
      <c r="J600" s="1083" t="s">
        <v>609</v>
      </c>
      <c r="K600" s="1084"/>
      <c r="L600" s="1080" t="s">
        <v>6</v>
      </c>
      <c r="N600" s="1078"/>
      <c r="O600" s="1078"/>
      <c r="P600" s="1078"/>
      <c r="Q600" s="1144"/>
      <c r="R600" s="1105"/>
      <c r="S600" s="1105"/>
      <c r="T600" s="1105"/>
    </row>
    <row r="601" spans="1:20">
      <c r="A601" s="1085" t="s">
        <v>2</v>
      </c>
      <c r="B601" s="1074"/>
      <c r="C601" s="1075"/>
      <c r="D601" s="1086" t="s">
        <v>3</v>
      </c>
      <c r="F601" s="1087" t="s">
        <v>4</v>
      </c>
      <c r="G601" s="1074"/>
      <c r="H601" s="1088" t="s">
        <v>196</v>
      </c>
      <c r="I601" s="1078"/>
      <c r="J601" s="1089" t="s">
        <v>1088</v>
      </c>
      <c r="L601" s="1088" t="s">
        <v>1089</v>
      </c>
      <c r="N601" s="1090" t="s">
        <v>980</v>
      </c>
      <c r="O601" s="1083"/>
      <c r="P601" s="1090" t="s">
        <v>1090</v>
      </c>
      <c r="Q601" s="1144"/>
      <c r="R601" s="1105"/>
      <c r="S601" s="1105"/>
      <c r="T601" s="1105"/>
    </row>
    <row r="602" spans="1:20">
      <c r="A602" s="1080"/>
      <c r="F602" s="1091"/>
      <c r="G602" s="1074"/>
      <c r="H602" s="1080" t="s">
        <v>1091</v>
      </c>
      <c r="I602" s="1080"/>
      <c r="J602" s="1092" t="s">
        <v>1092</v>
      </c>
      <c r="L602" s="1080" t="s">
        <v>1093</v>
      </c>
      <c r="N602" s="1093" t="s">
        <v>79</v>
      </c>
      <c r="O602" s="1083"/>
      <c r="P602" s="1093" t="s">
        <v>115</v>
      </c>
      <c r="Q602" s="1144"/>
      <c r="R602" s="1105"/>
      <c r="S602" s="1105"/>
      <c r="T602" s="1105"/>
    </row>
    <row r="603" spans="1:20">
      <c r="A603" s="1143"/>
      <c r="B603" s="1143"/>
      <c r="C603" s="1143"/>
      <c r="D603" s="1154" t="s">
        <v>531</v>
      </c>
      <c r="E603" s="1143"/>
      <c r="F603" s="1143"/>
      <c r="G603" s="1143"/>
      <c r="H603" s="1143"/>
      <c r="I603" s="1143"/>
      <c r="J603" s="1143"/>
      <c r="K603" s="1143"/>
      <c r="L603" s="1143"/>
      <c r="M603" s="1143"/>
      <c r="N603" s="1143"/>
      <c r="O603" s="1143"/>
      <c r="P603" s="1143"/>
      <c r="Q603" s="1144"/>
      <c r="R603" s="1105"/>
      <c r="S603" s="1105"/>
      <c r="T603" s="1105"/>
    </row>
    <row r="604" spans="1:20">
      <c r="A604" s="1080">
        <f>MAX(A$229:A603)+1</f>
        <v>252</v>
      </c>
      <c r="B604" s="1143"/>
      <c r="C604" s="1143"/>
      <c r="D604" s="1143" t="s">
        <v>1200</v>
      </c>
      <c r="E604" s="1143"/>
      <c r="F604" s="1083" t="s">
        <v>201</v>
      </c>
      <c r="G604" s="1143"/>
      <c r="H604" s="1100">
        <v>1666.51</v>
      </c>
      <c r="I604" s="1168"/>
      <c r="J604" s="1100">
        <f t="shared" ref="J604:J611" si="45">ROUND(L604,3)-ROUND(H604,3)</f>
        <v>44.938000000000102</v>
      </c>
      <c r="K604" s="1168"/>
      <c r="L604" s="1100">
        <v>1711.4480000000001</v>
      </c>
      <c r="M604" s="1168"/>
      <c r="N604" s="1100">
        <v>1711.4480000000001</v>
      </c>
      <c r="O604" s="1168"/>
      <c r="P604" s="595">
        <v>0</v>
      </c>
      <c r="Q604" s="1144"/>
      <c r="R604" s="1105"/>
      <c r="S604" s="1105"/>
      <c r="T604" s="1105"/>
    </row>
    <row r="605" spans="1:20">
      <c r="A605" s="1080"/>
      <c r="B605" s="1143"/>
      <c r="C605" s="1143"/>
      <c r="D605" s="1143" t="s">
        <v>340</v>
      </c>
      <c r="E605" s="1143"/>
      <c r="F605" s="1143"/>
      <c r="G605" s="1143"/>
      <c r="H605" s="1143"/>
      <c r="I605" s="1143"/>
      <c r="J605" s="1143"/>
      <c r="K605" s="1143"/>
      <c r="L605" s="1143"/>
      <c r="M605" s="1143"/>
      <c r="N605" s="1143"/>
      <c r="O605" s="1143"/>
      <c r="P605" s="364"/>
      <c r="Q605" s="1144"/>
      <c r="R605" s="1105"/>
      <c r="S605" s="1105"/>
      <c r="T605" s="1105"/>
    </row>
    <row r="606" spans="1:20">
      <c r="A606" s="1080">
        <f>MAX(A$229:A605)+1</f>
        <v>253</v>
      </c>
      <c r="B606" s="1143"/>
      <c r="C606" s="1143"/>
      <c r="D606" s="1157" t="s">
        <v>1201</v>
      </c>
      <c r="E606" s="1143"/>
      <c r="F606" s="1099" t="s">
        <v>284</v>
      </c>
      <c r="G606" s="1143"/>
      <c r="H606" s="1148">
        <v>0.84199999999999997</v>
      </c>
      <c r="I606" s="1148"/>
      <c r="J606" s="1148">
        <f t="shared" si="45"/>
        <v>2.300000000000002E-2</v>
      </c>
      <c r="K606" s="1148"/>
      <c r="L606" s="1148">
        <v>0.86470467858238298</v>
      </c>
      <c r="M606" s="1148"/>
      <c r="N606" s="1148">
        <v>0.86470467858238298</v>
      </c>
      <c r="O606" s="1148"/>
      <c r="P606" s="595">
        <v>0</v>
      </c>
      <c r="Q606" s="1144"/>
      <c r="R606" s="1105"/>
      <c r="S606" s="1105"/>
      <c r="T606" s="1105"/>
    </row>
    <row r="607" spans="1:20">
      <c r="A607" s="1080">
        <f>MAX(A$229:A606)+1</f>
        <v>254</v>
      </c>
      <c r="B607" s="1143"/>
      <c r="C607" s="1143"/>
      <c r="D607" s="1157" t="s">
        <v>1202</v>
      </c>
      <c r="E607" s="1143"/>
      <c r="F607" s="1099" t="s">
        <v>284</v>
      </c>
      <c r="G607" s="1143"/>
      <c r="H607" s="1148">
        <v>2.3260000000000001</v>
      </c>
      <c r="I607" s="1148"/>
      <c r="J607" s="1148">
        <f t="shared" si="45"/>
        <v>5.7999999999999829E-2</v>
      </c>
      <c r="K607" s="1148"/>
      <c r="L607" s="1148">
        <v>2.3844166666666671</v>
      </c>
      <c r="M607" s="1148"/>
      <c r="N607" s="1148">
        <v>2.2244166666666669</v>
      </c>
      <c r="O607" s="1148"/>
      <c r="P607" s="1148">
        <v>0.16</v>
      </c>
      <c r="Q607" s="1144"/>
      <c r="R607" s="1105"/>
      <c r="S607" s="1105"/>
      <c r="T607" s="1105"/>
    </row>
    <row r="608" spans="1:20">
      <c r="A608" s="1080">
        <f>MAX(A$229:A607)+1</f>
        <v>255</v>
      </c>
      <c r="B608" s="1143"/>
      <c r="C608" s="1143"/>
      <c r="D608" s="1143" t="s">
        <v>1195</v>
      </c>
      <c r="E608" s="1143"/>
      <c r="F608" s="1083" t="s">
        <v>286</v>
      </c>
      <c r="G608" s="1143"/>
      <c r="H608" s="1148">
        <v>3.7999999999999999E-2</v>
      </c>
      <c r="I608" s="1148"/>
      <c r="J608" s="1148">
        <f t="shared" si="45"/>
        <v>1.0000000000000009E-3</v>
      </c>
      <c r="K608" s="1148"/>
      <c r="L608" s="1148">
        <v>3.9E-2</v>
      </c>
      <c r="M608" s="1148"/>
      <c r="N608" s="1148">
        <v>3.9E-2</v>
      </c>
      <c r="O608" s="1148"/>
      <c r="P608" s="595">
        <v>0</v>
      </c>
      <c r="Q608" s="1144"/>
      <c r="R608" s="1105"/>
      <c r="S608" s="1105"/>
      <c r="T608" s="1105"/>
    </row>
    <row r="609" spans="1:20">
      <c r="A609" s="1080"/>
      <c r="B609" s="1143"/>
      <c r="C609" s="1143"/>
      <c r="D609" s="1143" t="s">
        <v>1203</v>
      </c>
      <c r="E609" s="1143"/>
      <c r="F609" s="1143"/>
      <c r="G609" s="1143"/>
      <c r="H609" s="1143"/>
      <c r="I609" s="1144"/>
      <c r="J609" s="1143"/>
      <c r="K609" s="1143"/>
      <c r="L609" s="1143"/>
      <c r="M609" s="1143"/>
      <c r="N609" s="1143"/>
      <c r="O609" s="1143"/>
      <c r="P609" s="1143"/>
      <c r="Q609" s="1144"/>
      <c r="R609" s="1105"/>
      <c r="S609" s="1105"/>
      <c r="T609" s="1105"/>
    </row>
    <row r="610" spans="1:20">
      <c r="A610" s="1080">
        <f>MAX(A$229:A609)+1</f>
        <v>256</v>
      </c>
      <c r="B610" s="1143"/>
      <c r="C610" s="1143"/>
      <c r="D610" s="1157" t="s">
        <v>1204</v>
      </c>
      <c r="E610" s="1143"/>
      <c r="F610" s="1083" t="s">
        <v>286</v>
      </c>
      <c r="G610" s="1143"/>
      <c r="H610" s="1148">
        <v>8.9999999999999993E-3</v>
      </c>
      <c r="I610" s="1166"/>
      <c r="J610" s="1148">
        <f t="shared" si="45"/>
        <v>2E-3</v>
      </c>
      <c r="K610" s="1148"/>
      <c r="L610" s="1148">
        <v>1.1114953900582371E-2</v>
      </c>
      <c r="M610" s="1148"/>
      <c r="N610" s="595">
        <v>0</v>
      </c>
      <c r="O610" s="1148"/>
      <c r="P610" s="1148">
        <v>1.1114953900582371E-2</v>
      </c>
      <c r="Q610" s="1144"/>
      <c r="R610" s="1105"/>
      <c r="S610" s="1105"/>
      <c r="T610" s="1105"/>
    </row>
    <row r="611" spans="1:20">
      <c r="A611" s="1080">
        <f>MAX(A$229:A610)+1</f>
        <v>257</v>
      </c>
      <c r="B611" s="1143"/>
      <c r="C611" s="1143"/>
      <c r="D611" s="1157" t="s">
        <v>1205</v>
      </c>
      <c r="E611" s="1143"/>
      <c r="F611" s="1083" t="s">
        <v>286</v>
      </c>
      <c r="G611" s="1143"/>
      <c r="H611" s="1148">
        <v>8.9999999999999993E-3</v>
      </c>
      <c r="I611" s="1166"/>
      <c r="J611" s="1148">
        <f t="shared" si="45"/>
        <v>2E-3</v>
      </c>
      <c r="K611" s="1148"/>
      <c r="L611" s="1148">
        <v>1.1114953900582371E-2</v>
      </c>
      <c r="M611" s="1148"/>
      <c r="N611" s="595">
        <v>0</v>
      </c>
      <c r="O611" s="1148"/>
      <c r="P611" s="1148">
        <v>1.1114953900582371E-2</v>
      </c>
      <c r="Q611" s="1144"/>
      <c r="R611" s="1105"/>
      <c r="S611" s="1105"/>
      <c r="T611" s="1105"/>
    </row>
    <row r="612" spans="1:20">
      <c r="A612" s="1080">
        <f>MAX(A$229:A611)+1</f>
        <v>258</v>
      </c>
      <c r="B612" s="1143"/>
      <c r="C612" s="1143"/>
      <c r="D612" s="1157" t="s">
        <v>1206</v>
      </c>
      <c r="E612" s="1143"/>
      <c r="F612" s="1083" t="s">
        <v>286</v>
      </c>
      <c r="G612" s="1143"/>
      <c r="H612" s="1159" t="s">
        <v>1188</v>
      </c>
      <c r="I612" s="1160" t="s">
        <v>48</v>
      </c>
      <c r="J612" s="595">
        <f t="shared" ref="J612:J613" si="46">L612-H612</f>
        <v>0</v>
      </c>
      <c r="K612" s="1143"/>
      <c r="L612" s="1159" t="s">
        <v>1188</v>
      </c>
      <c r="M612" s="1169" t="s">
        <v>48</v>
      </c>
      <c r="N612" s="595">
        <v>0</v>
      </c>
      <c r="O612" s="1143"/>
      <c r="P612" s="1159" t="s">
        <v>1188</v>
      </c>
      <c r="Q612" s="1160" t="s">
        <v>48</v>
      </c>
      <c r="R612" s="1105"/>
      <c r="S612" s="1105"/>
      <c r="T612" s="1105"/>
    </row>
    <row r="613" spans="1:20">
      <c r="A613" s="1080">
        <f>MAX(A$229:A612)+1</f>
        <v>259</v>
      </c>
      <c r="B613" s="1143"/>
      <c r="C613" s="1143"/>
      <c r="D613" s="1157" t="s">
        <v>1207</v>
      </c>
      <c r="E613" s="1143"/>
      <c r="F613" s="1083" t="s">
        <v>286</v>
      </c>
      <c r="G613" s="1143"/>
      <c r="H613" s="1159" t="s">
        <v>1188</v>
      </c>
      <c r="I613" s="1160" t="s">
        <v>48</v>
      </c>
      <c r="J613" s="595">
        <f t="shared" si="46"/>
        <v>0</v>
      </c>
      <c r="K613" s="1143"/>
      <c r="L613" s="1159" t="s">
        <v>1188</v>
      </c>
      <c r="M613" s="1169" t="s">
        <v>48</v>
      </c>
      <c r="N613" s="595">
        <v>0</v>
      </c>
      <c r="O613" s="1143"/>
      <c r="P613" s="1159" t="s">
        <v>1188</v>
      </c>
      <c r="Q613" s="1160" t="s">
        <v>48</v>
      </c>
      <c r="R613" s="1105"/>
      <c r="S613" s="1105"/>
      <c r="T613" s="1105"/>
    </row>
    <row r="614" spans="1:20">
      <c r="A614" s="1080"/>
      <c r="B614" s="1143"/>
      <c r="C614" s="1143"/>
      <c r="D614" s="1143" t="s">
        <v>1208</v>
      </c>
      <c r="E614" s="1143"/>
      <c r="F614" s="1143"/>
      <c r="G614" s="1143"/>
      <c r="H614" s="1143"/>
      <c r="I614" s="1144"/>
      <c r="J614" s="1143"/>
      <c r="K614" s="1143"/>
      <c r="L614" s="1143"/>
      <c r="M614" s="1143"/>
      <c r="N614" s="1143"/>
      <c r="O614" s="1143"/>
      <c r="P614" s="1143"/>
      <c r="Q614" s="1144"/>
      <c r="R614" s="1105"/>
      <c r="S614" s="1105"/>
      <c r="T614" s="1105"/>
    </row>
    <row r="615" spans="1:20">
      <c r="A615" s="1080">
        <f>MAX(A$229:A614)+1</f>
        <v>260</v>
      </c>
      <c r="B615" s="1143"/>
      <c r="C615" s="1143"/>
      <c r="D615" s="1157" t="s">
        <v>1204</v>
      </c>
      <c r="E615" s="1143"/>
      <c r="F615" s="1083" t="s">
        <v>286</v>
      </c>
      <c r="G615" s="1143"/>
      <c r="H615" s="1148">
        <v>1.0999999999999999E-2</v>
      </c>
      <c r="I615" s="1166"/>
      <c r="J615" s="1148">
        <f t="shared" ref="J615:J616" si="47">ROUND(L615,3)-ROUND(H615,3)</f>
        <v>2E-3</v>
      </c>
      <c r="K615" s="1148"/>
      <c r="L615" s="1148">
        <v>1.2535931725174244E-2</v>
      </c>
      <c r="M615" s="1148"/>
      <c r="N615" s="595">
        <v>0</v>
      </c>
      <c r="O615" s="1148"/>
      <c r="P615" s="1148">
        <v>1.2535931725174244E-2</v>
      </c>
      <c r="Q615" s="1144"/>
      <c r="R615" s="1105"/>
      <c r="S615" s="1105"/>
      <c r="T615" s="1105"/>
    </row>
    <row r="616" spans="1:20">
      <c r="A616" s="1080">
        <f>MAX(A$229:A615)+1</f>
        <v>261</v>
      </c>
      <c r="B616" s="1143"/>
      <c r="C616" s="1143"/>
      <c r="D616" s="1157" t="s">
        <v>1205</v>
      </c>
      <c r="E616" s="1143"/>
      <c r="F616" s="1083" t="s">
        <v>286</v>
      </c>
      <c r="G616" s="1143"/>
      <c r="H616" s="1148">
        <v>2.5999999999999999E-2</v>
      </c>
      <c r="I616" s="1166"/>
      <c r="J616" s="1148">
        <f t="shared" si="47"/>
        <v>2.0000000000000018E-3</v>
      </c>
      <c r="K616" s="1148"/>
      <c r="L616" s="1148">
        <v>2.7814130862144702E-2</v>
      </c>
      <c r="M616" s="1148"/>
      <c r="N616" s="595">
        <v>0</v>
      </c>
      <c r="O616" s="1148"/>
      <c r="P616" s="1148">
        <v>2.7814130862144702E-2</v>
      </c>
      <c r="Q616" s="1144"/>
      <c r="R616" s="1105"/>
      <c r="S616" s="1105"/>
      <c r="T616" s="1105"/>
    </row>
    <row r="617" spans="1:20">
      <c r="A617" s="1080">
        <f>MAX(A$229:A616)+1</f>
        <v>262</v>
      </c>
      <c r="B617" s="1143"/>
      <c r="C617" s="1143"/>
      <c r="D617" s="1157" t="s">
        <v>1206</v>
      </c>
      <c r="E617" s="1143"/>
      <c r="F617" s="1083" t="s">
        <v>286</v>
      </c>
      <c r="G617" s="1143"/>
      <c r="H617" s="1159" t="s">
        <v>1188</v>
      </c>
      <c r="I617" s="1160" t="s">
        <v>48</v>
      </c>
      <c r="J617" s="595">
        <f t="shared" ref="J617:J618" si="48">L617-H617</f>
        <v>0</v>
      </c>
      <c r="K617" s="1143"/>
      <c r="L617" s="1159" t="s">
        <v>1188</v>
      </c>
      <c r="M617" s="1169" t="s">
        <v>48</v>
      </c>
      <c r="N617" s="595">
        <v>0</v>
      </c>
      <c r="O617" s="1143"/>
      <c r="P617" s="1159" t="s">
        <v>1188</v>
      </c>
      <c r="Q617" s="1160" t="s">
        <v>48</v>
      </c>
      <c r="R617" s="1105"/>
      <c r="S617" s="1105"/>
      <c r="T617" s="1105"/>
    </row>
    <row r="618" spans="1:20">
      <c r="A618" s="1080">
        <f>MAX(A$229:A617)+1</f>
        <v>263</v>
      </c>
      <c r="B618" s="1143"/>
      <c r="C618" s="1143"/>
      <c r="D618" s="1157" t="s">
        <v>1207</v>
      </c>
      <c r="E618" s="1143"/>
      <c r="F618" s="1083" t="s">
        <v>286</v>
      </c>
      <c r="G618" s="1143"/>
      <c r="H618" s="1159" t="s">
        <v>1188</v>
      </c>
      <c r="I618" s="1160" t="s">
        <v>48</v>
      </c>
      <c r="J618" s="595">
        <f t="shared" si="48"/>
        <v>0</v>
      </c>
      <c r="K618" s="1143"/>
      <c r="L618" s="1159" t="s">
        <v>1188</v>
      </c>
      <c r="M618" s="1169" t="s">
        <v>48</v>
      </c>
      <c r="N618" s="595">
        <v>0</v>
      </c>
      <c r="O618" s="1143"/>
      <c r="P618" s="1159" t="s">
        <v>1188</v>
      </c>
      <c r="Q618" s="1160" t="s">
        <v>48</v>
      </c>
      <c r="R618" s="1105"/>
      <c r="S618" s="1105"/>
      <c r="T618" s="1105"/>
    </row>
    <row r="619" spans="1:20" ht="15" customHeight="1">
      <c r="A619" s="1143"/>
      <c r="B619" s="1143"/>
      <c r="C619" s="1143"/>
      <c r="D619" s="1143"/>
      <c r="E619" s="1143"/>
      <c r="F619" s="1143"/>
      <c r="G619" s="1143"/>
      <c r="H619" s="1143"/>
      <c r="I619" s="1144"/>
      <c r="J619" s="1143"/>
      <c r="K619" s="1143"/>
      <c r="L619" s="1143"/>
      <c r="M619" s="1143"/>
      <c r="N619" s="1143"/>
      <c r="O619" s="1143"/>
      <c r="P619" s="1143"/>
      <c r="Q619" s="1144"/>
      <c r="R619" s="1105"/>
      <c r="S619" s="1105"/>
      <c r="T619" s="1105"/>
    </row>
    <row r="620" spans="1:20">
      <c r="A620" s="1080"/>
      <c r="B620" s="1143"/>
      <c r="C620" s="1143"/>
      <c r="D620" s="1143" t="s">
        <v>1179</v>
      </c>
      <c r="E620" s="1143"/>
      <c r="F620" s="1143"/>
      <c r="G620" s="1143"/>
      <c r="H620" s="1143"/>
      <c r="I620" s="1144"/>
      <c r="J620" s="1143"/>
      <c r="K620" s="1143"/>
      <c r="L620" s="1143"/>
      <c r="M620" s="1143"/>
      <c r="N620" s="1143"/>
      <c r="O620" s="1143"/>
      <c r="P620" s="1143"/>
      <c r="Q620" s="1144"/>
      <c r="R620" s="1105"/>
      <c r="S620" s="1105"/>
      <c r="T620" s="1105"/>
    </row>
    <row r="621" spans="1:20">
      <c r="A621" s="1080"/>
      <c r="B621" s="1143"/>
      <c r="C621" s="1143"/>
      <c r="D621" s="1143" t="s">
        <v>1203</v>
      </c>
      <c r="E621" s="1143"/>
      <c r="F621" s="1143"/>
      <c r="G621" s="1143"/>
      <c r="H621" s="1143"/>
      <c r="I621" s="1144"/>
      <c r="J621" s="1143"/>
      <c r="K621" s="1143"/>
      <c r="L621" s="1143"/>
      <c r="M621" s="1143"/>
      <c r="N621" s="1143"/>
      <c r="O621" s="1143"/>
      <c r="P621" s="1143"/>
      <c r="Q621" s="1144"/>
      <c r="R621" s="1105"/>
      <c r="S621" s="1105"/>
      <c r="T621" s="1105"/>
    </row>
    <row r="622" spans="1:20">
      <c r="A622" s="1080">
        <f>MAX(A$229:A621)+1</f>
        <v>264</v>
      </c>
      <c r="B622" s="1143"/>
      <c r="C622" s="1143"/>
      <c r="D622" s="1157" t="s">
        <v>1204</v>
      </c>
      <c r="E622" s="1143"/>
      <c r="F622" s="1083" t="s">
        <v>286</v>
      </c>
      <c r="G622" s="1143"/>
      <c r="H622" s="1148">
        <v>7.4790608299641487E-2</v>
      </c>
      <c r="I622" s="1144"/>
      <c r="J622" s="1148">
        <f t="shared" ref="J622:J630" si="49">ROUND(L622,3)-ROUND(H622,3)</f>
        <v>4.0000000000000036E-3</v>
      </c>
      <c r="K622" s="1148"/>
      <c r="L622" s="1148">
        <v>7.854360086767441E-2</v>
      </c>
      <c r="M622" s="1143"/>
      <c r="N622" s="422">
        <f>N624</f>
        <v>6.742864696709204E-2</v>
      </c>
      <c r="O622" s="1143"/>
      <c r="P622" s="1148">
        <f>L622-N622</f>
        <v>1.1114953900582369E-2</v>
      </c>
      <c r="Q622" s="1144"/>
      <c r="R622" s="1105"/>
      <c r="S622" s="1105"/>
      <c r="T622" s="1105"/>
    </row>
    <row r="623" spans="1:20">
      <c r="A623" s="1080">
        <f>MAX(A$229:A622)+1</f>
        <v>265</v>
      </c>
      <c r="B623" s="1143"/>
      <c r="C623" s="1143"/>
      <c r="D623" s="1157" t="s">
        <v>1205</v>
      </c>
      <c r="E623" s="1143"/>
      <c r="F623" s="1083" t="s">
        <v>286</v>
      </c>
      <c r="G623" s="1143"/>
      <c r="H623" s="1148">
        <v>0.1235796493955319</v>
      </c>
      <c r="I623" s="1144"/>
      <c r="J623" s="1148">
        <f t="shared" si="49"/>
        <v>4.0000000000000036E-3</v>
      </c>
      <c r="K623" s="1148"/>
      <c r="L623" s="1148">
        <v>0.12849303609236321</v>
      </c>
      <c r="M623" s="1143"/>
      <c r="N623" s="422">
        <f>N625</f>
        <v>0.11737808219178084</v>
      </c>
      <c r="O623" s="1143"/>
      <c r="P623" s="1148">
        <f>L623-N623</f>
        <v>1.1114953900582369E-2</v>
      </c>
      <c r="Q623" s="1144"/>
      <c r="R623" s="1105"/>
      <c r="S623" s="1105"/>
      <c r="T623" s="1105"/>
    </row>
    <row r="624" spans="1:20">
      <c r="A624" s="1080">
        <f>MAX(A$229:A623)+1</f>
        <v>266</v>
      </c>
      <c r="B624" s="1143"/>
      <c r="C624" s="1143"/>
      <c r="D624" s="1157" t="s">
        <v>1206</v>
      </c>
      <c r="E624" s="1143"/>
      <c r="F624" s="1138" t="s">
        <v>1165</v>
      </c>
      <c r="G624" s="1143"/>
      <c r="H624" s="1148">
        <v>6.5682191780821908E-2</v>
      </c>
      <c r="I624" s="1160" t="s">
        <v>48</v>
      </c>
      <c r="J624" s="1148">
        <f t="shared" si="49"/>
        <v>1.0000000000000009E-3</v>
      </c>
      <c r="K624" s="1148"/>
      <c r="L624" s="1148">
        <v>6.742864696709204E-2</v>
      </c>
      <c r="M624" s="1169" t="s">
        <v>48</v>
      </c>
      <c r="N624" s="422">
        <f>L624</f>
        <v>6.742864696709204E-2</v>
      </c>
      <c r="O624" s="1143"/>
      <c r="P624" s="1159" t="s">
        <v>1188</v>
      </c>
      <c r="Q624" s="1160" t="s">
        <v>48</v>
      </c>
      <c r="R624" s="1105"/>
      <c r="S624" s="1105"/>
      <c r="T624" s="1105"/>
    </row>
    <row r="625" spans="1:20">
      <c r="A625" s="1080">
        <f>MAX(A$229:A624)+1</f>
        <v>267</v>
      </c>
      <c r="B625" s="1143"/>
      <c r="C625" s="1143"/>
      <c r="D625" s="1157" t="s">
        <v>1207</v>
      </c>
      <c r="E625" s="1143"/>
      <c r="F625" s="1138" t="s">
        <v>1165</v>
      </c>
      <c r="G625" s="1143"/>
      <c r="H625" s="1148">
        <v>0.11447123287671232</v>
      </c>
      <c r="I625" s="1160" t="s">
        <v>48</v>
      </c>
      <c r="J625" s="1148">
        <f t="shared" si="49"/>
        <v>3.0000000000000027E-3</v>
      </c>
      <c r="K625" s="1148"/>
      <c r="L625" s="1148">
        <v>0.11737808219178084</v>
      </c>
      <c r="M625" s="1169" t="s">
        <v>48</v>
      </c>
      <c r="N625" s="422">
        <f>L625</f>
        <v>0.11737808219178084</v>
      </c>
      <c r="O625" s="1143"/>
      <c r="P625" s="1159" t="s">
        <v>1188</v>
      </c>
      <c r="Q625" s="1160" t="s">
        <v>48</v>
      </c>
      <c r="R625" s="1105"/>
      <c r="S625" s="1105"/>
      <c r="T625" s="1105"/>
    </row>
    <row r="626" spans="1:20">
      <c r="A626" s="1080"/>
      <c r="B626" s="1143"/>
      <c r="C626" s="1143"/>
      <c r="D626" s="1143" t="s">
        <v>1208</v>
      </c>
      <c r="E626" s="1143"/>
      <c r="F626" s="1143"/>
      <c r="G626" s="1143"/>
      <c r="H626" s="1148"/>
      <c r="I626" s="1144"/>
      <c r="J626" s="1148"/>
      <c r="K626" s="1148"/>
      <c r="L626" s="1148"/>
      <c r="M626" s="1143"/>
      <c r="N626" s="364"/>
      <c r="O626" s="1143"/>
      <c r="P626" s="1148"/>
      <c r="Q626" s="1144"/>
      <c r="R626" s="1105"/>
      <c r="S626" s="1105"/>
      <c r="T626" s="1105"/>
    </row>
    <row r="627" spans="1:20">
      <c r="A627" s="1080">
        <f>MAX(A$229:A626)+1</f>
        <v>268</v>
      </c>
      <c r="B627" s="1143"/>
      <c r="C627" s="1143"/>
      <c r="D627" s="1157" t="s">
        <v>1204</v>
      </c>
      <c r="E627" s="1143"/>
      <c r="F627" s="1083" t="s">
        <v>286</v>
      </c>
      <c r="G627" s="1143"/>
      <c r="H627" s="1148">
        <v>3.821941834650619E-2</v>
      </c>
      <c r="I627" s="1144"/>
      <c r="J627" s="1148">
        <f t="shared" si="49"/>
        <v>3.0000000000000027E-3</v>
      </c>
      <c r="K627" s="1148"/>
      <c r="L627" s="1148">
        <v>4.0964578692266287E-2</v>
      </c>
      <c r="M627" s="1143"/>
      <c r="N627" s="422">
        <f>N629</f>
        <v>2.8428646967092044E-2</v>
      </c>
      <c r="O627" s="1143"/>
      <c r="P627" s="1148">
        <f>L627-N627</f>
        <v>1.2535931725174244E-2</v>
      </c>
      <c r="Q627" s="1144"/>
      <c r="R627" s="1105"/>
      <c r="S627" s="1105"/>
      <c r="T627" s="1105"/>
    </row>
    <row r="628" spans="1:20">
      <c r="A628" s="1080">
        <f>MAX(A$229:A627)+1</f>
        <v>269</v>
      </c>
      <c r="B628" s="1143"/>
      <c r="C628" s="1143"/>
      <c r="D628" s="1157" t="s">
        <v>1205</v>
      </c>
      <c r="E628" s="1143"/>
      <c r="F628" s="1083" t="s">
        <v>286</v>
      </c>
      <c r="G628" s="1143"/>
      <c r="H628" s="1148">
        <v>0.10237086978203205</v>
      </c>
      <c r="I628" s="1144"/>
      <c r="J628" s="1148">
        <f t="shared" si="49"/>
        <v>4.0000000000000036E-3</v>
      </c>
      <c r="K628" s="1148"/>
      <c r="L628" s="1148">
        <v>0.10619221305392554</v>
      </c>
      <c r="M628" s="1143"/>
      <c r="N628" s="422">
        <f>N630</f>
        <v>7.8378082191780829E-2</v>
      </c>
      <c r="O628" s="1143"/>
      <c r="P628" s="1148">
        <f>L628-N628</f>
        <v>2.7814130862144709E-2</v>
      </c>
      <c r="Q628" s="1144"/>
      <c r="R628" s="1105"/>
      <c r="S628" s="1105"/>
      <c r="T628" s="1105"/>
    </row>
    <row r="629" spans="1:20">
      <c r="A629" s="1080">
        <f>MAX(A$229:A628)+1</f>
        <v>270</v>
      </c>
      <c r="B629" s="1143"/>
      <c r="C629" s="1143"/>
      <c r="D629" s="1157" t="s">
        <v>1206</v>
      </c>
      <c r="E629" s="1143"/>
      <c r="F629" s="1138" t="s">
        <v>1165</v>
      </c>
      <c r="G629" s="1143"/>
      <c r="H629" s="1148">
        <v>2.7682191780821916E-2</v>
      </c>
      <c r="I629" s="1160" t="s">
        <v>48</v>
      </c>
      <c r="J629" s="364">
        <f t="shared" si="49"/>
        <v>0</v>
      </c>
      <c r="K629" s="1148"/>
      <c r="L629" s="1148">
        <v>2.8428646967092044E-2</v>
      </c>
      <c r="M629" s="1169" t="s">
        <v>48</v>
      </c>
      <c r="N629" s="422">
        <f>L629</f>
        <v>2.8428646967092044E-2</v>
      </c>
      <c r="O629" s="1143"/>
      <c r="P629" s="1159" t="s">
        <v>1188</v>
      </c>
      <c r="Q629" s="1160" t="s">
        <v>48</v>
      </c>
      <c r="R629" s="1105"/>
      <c r="S629" s="1105"/>
      <c r="T629" s="1105"/>
    </row>
    <row r="630" spans="1:20">
      <c r="A630" s="1080">
        <f>MAX(A$229:A629)+1</f>
        <v>271</v>
      </c>
      <c r="B630" s="1143"/>
      <c r="C630" s="1143"/>
      <c r="D630" s="1157" t="s">
        <v>1207</v>
      </c>
      <c r="E630" s="1143"/>
      <c r="F630" s="1138" t="s">
        <v>1165</v>
      </c>
      <c r="G630" s="1143"/>
      <c r="H630" s="1148">
        <v>7.6471232876712328E-2</v>
      </c>
      <c r="I630" s="1160" t="s">
        <v>48</v>
      </c>
      <c r="J630" s="1148">
        <f t="shared" si="49"/>
        <v>2.0000000000000018E-3</v>
      </c>
      <c r="K630" s="1148"/>
      <c r="L630" s="1148">
        <v>7.8378082191780829E-2</v>
      </c>
      <c r="M630" s="1169" t="s">
        <v>48</v>
      </c>
      <c r="N630" s="422">
        <f>L630</f>
        <v>7.8378082191780829E-2</v>
      </c>
      <c r="O630" s="1143"/>
      <c r="P630" s="1159" t="s">
        <v>1188</v>
      </c>
      <c r="Q630" s="1160" t="s">
        <v>48</v>
      </c>
      <c r="R630" s="1105"/>
      <c r="S630" s="1105"/>
      <c r="T630" s="1105"/>
    </row>
    <row r="631" spans="1:20">
      <c r="A631" s="1080"/>
      <c r="B631" s="1143"/>
      <c r="C631" s="1143"/>
      <c r="D631" s="1143"/>
      <c r="E631" s="1143"/>
      <c r="F631" s="1138"/>
      <c r="G631" s="1143"/>
      <c r="H631" s="1148"/>
      <c r="I631" s="1160"/>
      <c r="J631" s="1148"/>
      <c r="K631" s="1148"/>
      <c r="L631" s="1148"/>
      <c r="M631" s="1169"/>
      <c r="N631" s="364"/>
      <c r="O631" s="1143"/>
      <c r="P631" s="1148"/>
      <c r="Q631" s="1144"/>
      <c r="R631" s="1105"/>
      <c r="S631" s="1105"/>
      <c r="T631" s="1105"/>
    </row>
    <row r="632" spans="1:20">
      <c r="A632" s="1143"/>
      <c r="B632" s="1143"/>
      <c r="C632" s="1143"/>
      <c r="D632" s="1154" t="s">
        <v>532</v>
      </c>
      <c r="E632" s="1143"/>
      <c r="F632" s="1143"/>
      <c r="G632" s="1143"/>
      <c r="H632" s="1143"/>
      <c r="I632" s="1144"/>
      <c r="J632" s="1143"/>
      <c r="K632" s="1143"/>
      <c r="L632" s="1143"/>
      <c r="M632" s="1143"/>
      <c r="N632" s="364"/>
      <c r="O632" s="1143"/>
      <c r="P632" s="1143"/>
      <c r="Q632" s="1144"/>
      <c r="R632" s="1105"/>
      <c r="S632" s="1105"/>
      <c r="T632" s="1105"/>
    </row>
    <row r="633" spans="1:20">
      <c r="A633" s="1080">
        <f>MAX(A$229:A632)+1</f>
        <v>272</v>
      </c>
      <c r="B633" s="1143"/>
      <c r="C633" s="1143"/>
      <c r="D633" s="1163" t="s">
        <v>1200</v>
      </c>
      <c r="E633" s="1143"/>
      <c r="F633" s="1083" t="s">
        <v>201</v>
      </c>
      <c r="G633" s="1143"/>
      <c r="H633" s="1100">
        <v>2135.348</v>
      </c>
      <c r="I633" s="1144"/>
      <c r="J633" s="1108">
        <f t="shared" ref="J633:J638" si="50">ROUND(L633,3)-ROUND(H633,3)</f>
        <v>57.579999999999927</v>
      </c>
      <c r="K633" s="1170"/>
      <c r="L633" s="1108">
        <v>2192.9279999999999</v>
      </c>
      <c r="M633" s="1170"/>
      <c r="N633" s="1108">
        <v>2192.9279999999999</v>
      </c>
      <c r="O633" s="1143"/>
      <c r="P633" s="595">
        <v>0</v>
      </c>
      <c r="Q633" s="1144"/>
      <c r="R633" s="1105"/>
      <c r="S633" s="1105"/>
      <c r="T633" s="1105"/>
    </row>
    <row r="634" spans="1:20">
      <c r="A634" s="1080"/>
      <c r="B634" s="1143"/>
      <c r="C634" s="1143"/>
      <c r="D634" s="1163" t="s">
        <v>1209</v>
      </c>
      <c r="E634" s="1143"/>
      <c r="F634" s="1143"/>
      <c r="G634" s="1143"/>
      <c r="H634" s="1143"/>
      <c r="I634" s="1144"/>
      <c r="J634" s="1143"/>
      <c r="K634" s="1143"/>
      <c r="L634" s="1143"/>
      <c r="M634" s="1143"/>
      <c r="N634" s="1143"/>
      <c r="O634" s="1143"/>
      <c r="P634" s="1143"/>
      <c r="Q634" s="1144"/>
      <c r="R634" s="1105"/>
      <c r="S634" s="1105"/>
      <c r="T634" s="1105"/>
    </row>
    <row r="635" spans="1:20">
      <c r="A635" s="1080"/>
      <c r="B635" s="1143"/>
      <c r="C635" s="1143"/>
      <c r="D635" s="1157" t="s">
        <v>353</v>
      </c>
      <c r="E635" s="1143"/>
      <c r="F635" s="1143"/>
      <c r="G635" s="1143"/>
      <c r="H635" s="1143"/>
      <c r="I635" s="1144"/>
      <c r="J635" s="1143"/>
      <c r="K635" s="1143"/>
      <c r="L635" s="1143"/>
      <c r="M635" s="1143"/>
      <c r="N635" s="1143"/>
      <c r="O635" s="1143"/>
      <c r="P635" s="1143"/>
      <c r="Q635" s="1144"/>
      <c r="R635" s="1105"/>
      <c r="S635" s="1105"/>
      <c r="T635" s="1105"/>
    </row>
    <row r="636" spans="1:20">
      <c r="A636" s="1080">
        <f>MAX(A$229:A635)+1</f>
        <v>273</v>
      </c>
      <c r="B636" s="1143"/>
      <c r="C636" s="1143"/>
      <c r="D636" s="1161" t="s">
        <v>1210</v>
      </c>
      <c r="E636" s="1143"/>
      <c r="F636" s="1099" t="s">
        <v>284</v>
      </c>
      <c r="G636" s="1143"/>
      <c r="H636" s="1148">
        <v>4.734</v>
      </c>
      <c r="I636" s="1166"/>
      <c r="J636" s="1148">
        <f t="shared" si="50"/>
        <v>0.12800000000000011</v>
      </c>
      <c r="K636" s="1148"/>
      <c r="L636" s="1148">
        <v>4.8620000000000001</v>
      </c>
      <c r="M636" s="1148"/>
      <c r="N636" s="1148">
        <v>4.8620000000000001</v>
      </c>
      <c r="O636" s="1148"/>
      <c r="P636" s="595">
        <v>0</v>
      </c>
      <c r="Q636" s="1144"/>
      <c r="R636" s="1105"/>
      <c r="S636" s="1105"/>
      <c r="T636" s="1105"/>
    </row>
    <row r="637" spans="1:20">
      <c r="A637" s="1080">
        <f>MAX(A$229:A636)+1</f>
        <v>274</v>
      </c>
      <c r="B637" s="1143"/>
      <c r="C637" s="1143"/>
      <c r="D637" s="1161" t="s">
        <v>1211</v>
      </c>
      <c r="E637" s="1143"/>
      <c r="F637" s="1099" t="s">
        <v>284</v>
      </c>
      <c r="G637" s="1143"/>
      <c r="H637" s="1148">
        <v>2.9039999999999999</v>
      </c>
      <c r="I637" s="1166"/>
      <c r="J637" s="1148">
        <f t="shared" si="50"/>
        <v>7.8000000000000291E-2</v>
      </c>
      <c r="K637" s="1148"/>
      <c r="L637" s="1148">
        <v>2.9823068724504043</v>
      </c>
      <c r="M637" s="1148"/>
      <c r="N637" s="1148">
        <v>2.9823068724504043</v>
      </c>
      <c r="O637" s="1148"/>
      <c r="P637" s="595">
        <v>0</v>
      </c>
      <c r="Q637" s="1144"/>
      <c r="R637" s="1105"/>
      <c r="S637" s="1105"/>
      <c r="T637" s="1105"/>
    </row>
    <row r="638" spans="1:20">
      <c r="A638" s="1080">
        <f>MAX(A$229:A637)+1</f>
        <v>275</v>
      </c>
      <c r="B638" s="1143"/>
      <c r="C638" s="1143"/>
      <c r="D638" s="1161" t="s">
        <v>1212</v>
      </c>
      <c r="E638" s="1143"/>
      <c r="F638" s="1099" t="s">
        <v>284</v>
      </c>
      <c r="G638" s="1143"/>
      <c r="H638" s="1148">
        <v>2.9039999999999999</v>
      </c>
      <c r="I638" s="1166"/>
      <c r="J638" s="1148">
        <f t="shared" si="50"/>
        <v>7.8000000000000291E-2</v>
      </c>
      <c r="K638" s="1148"/>
      <c r="L638" s="1148">
        <v>2.9823068724504043</v>
      </c>
      <c r="M638" s="1148"/>
      <c r="N638" s="1148">
        <v>2.9823068724504043</v>
      </c>
      <c r="O638" s="1148"/>
      <c r="P638" s="595">
        <v>0</v>
      </c>
      <c r="Q638" s="1144"/>
      <c r="R638" s="1105"/>
      <c r="S638" s="1105"/>
      <c r="T638" s="1105"/>
    </row>
    <row r="639" spans="1:20">
      <c r="A639" s="1080"/>
      <c r="B639" s="1143"/>
      <c r="C639" s="1143"/>
      <c r="D639" s="1143" t="s">
        <v>1213</v>
      </c>
      <c r="E639" s="1143"/>
      <c r="F639" s="1143"/>
      <c r="G639" s="1143"/>
      <c r="H639" s="1143"/>
      <c r="I639" s="1144"/>
      <c r="J639" s="1143"/>
      <c r="K639" s="1143"/>
      <c r="L639" s="1143"/>
      <c r="M639" s="1143"/>
      <c r="N639" s="1143"/>
      <c r="O639" s="1143"/>
      <c r="P639" s="1143"/>
      <c r="Q639" s="1144"/>
      <c r="R639" s="1105"/>
      <c r="S639" s="1105"/>
      <c r="T639" s="1105"/>
    </row>
    <row r="640" spans="1:20">
      <c r="A640" s="1080">
        <f>MAX(A$229:A639)+1</f>
        <v>276</v>
      </c>
      <c r="B640" s="1143"/>
      <c r="C640" s="1143"/>
      <c r="D640" s="1143" t="s">
        <v>1214</v>
      </c>
      <c r="E640" s="1143"/>
      <c r="F640" s="1083" t="s">
        <v>286</v>
      </c>
      <c r="G640" s="1143"/>
      <c r="H640" s="1159" t="s">
        <v>1188</v>
      </c>
      <c r="I640" s="1160" t="s">
        <v>48</v>
      </c>
      <c r="J640" s="364">
        <v>0</v>
      </c>
      <c r="K640" s="1159"/>
      <c r="L640" s="1159" t="s">
        <v>1188</v>
      </c>
      <c r="M640" s="1169" t="s">
        <v>48</v>
      </c>
      <c r="N640" s="364">
        <v>0</v>
      </c>
      <c r="O640" s="1159"/>
      <c r="P640" s="1159" t="s">
        <v>1188</v>
      </c>
      <c r="Q640" s="1160" t="s">
        <v>48</v>
      </c>
      <c r="R640" s="1105"/>
      <c r="S640" s="1105"/>
      <c r="T640" s="1105"/>
    </row>
    <row r="641" spans="1:20">
      <c r="A641" s="1080">
        <f>MAX(A$229:A640)+1</f>
        <v>277</v>
      </c>
      <c r="B641" s="1143"/>
      <c r="C641" s="1143"/>
      <c r="D641" s="1143" t="s">
        <v>1215</v>
      </c>
      <c r="E641" s="1143"/>
      <c r="F641" s="1083" t="s">
        <v>286</v>
      </c>
      <c r="G641" s="1143"/>
      <c r="H641" s="1159" t="s">
        <v>1188</v>
      </c>
      <c r="I641" s="1160" t="s">
        <v>48</v>
      </c>
      <c r="J641" s="364">
        <v>0</v>
      </c>
      <c r="K641" s="1159"/>
      <c r="L641" s="1159" t="s">
        <v>1188</v>
      </c>
      <c r="M641" s="1169" t="s">
        <v>48</v>
      </c>
      <c r="N641" s="364">
        <v>0</v>
      </c>
      <c r="O641" s="1159"/>
      <c r="P641" s="1159" t="s">
        <v>1188</v>
      </c>
      <c r="Q641" s="1160" t="s">
        <v>48</v>
      </c>
      <c r="R641" s="1105"/>
      <c r="S641" s="1105"/>
      <c r="T641" s="1105"/>
    </row>
    <row r="642" spans="1:20">
      <c r="A642" s="1080">
        <f>MAX(A$229:A641)+1</f>
        <v>278</v>
      </c>
      <c r="B642" s="1143"/>
      <c r="C642" s="1143"/>
      <c r="D642" s="1143" t="s">
        <v>1216</v>
      </c>
      <c r="E642" s="1143"/>
      <c r="F642" s="1083" t="s">
        <v>286</v>
      </c>
      <c r="G642" s="1143"/>
      <c r="H642" s="1159" t="s">
        <v>1188</v>
      </c>
      <c r="I642" s="1160" t="s">
        <v>48</v>
      </c>
      <c r="J642" s="364">
        <v>0</v>
      </c>
      <c r="K642" s="1159"/>
      <c r="L642" s="1159" t="s">
        <v>1188</v>
      </c>
      <c r="M642" s="1169" t="s">
        <v>48</v>
      </c>
      <c r="N642" s="364">
        <v>0</v>
      </c>
      <c r="O642" s="1159"/>
      <c r="P642" s="1159" t="s">
        <v>1188</v>
      </c>
      <c r="Q642" s="1160" t="s">
        <v>48</v>
      </c>
      <c r="R642" s="1105"/>
      <c r="S642" s="1105"/>
      <c r="T642" s="1105"/>
    </row>
    <row r="643" spans="1:20">
      <c r="A643" s="1080">
        <f>MAX(A$229:A642)+1</f>
        <v>279</v>
      </c>
      <c r="B643" s="1143"/>
      <c r="C643" s="1143"/>
      <c r="D643" s="1143" t="s">
        <v>1217</v>
      </c>
      <c r="E643" s="1143"/>
      <c r="F643" s="1083" t="s">
        <v>286</v>
      </c>
      <c r="G643" s="1143"/>
      <c r="H643" s="1159" t="s">
        <v>1188</v>
      </c>
      <c r="I643" s="1160" t="s">
        <v>48</v>
      </c>
      <c r="J643" s="364">
        <v>0</v>
      </c>
      <c r="K643" s="1159"/>
      <c r="L643" s="1159" t="s">
        <v>1188</v>
      </c>
      <c r="M643" s="1169" t="s">
        <v>48</v>
      </c>
      <c r="N643" s="364">
        <v>0</v>
      </c>
      <c r="O643" s="1159"/>
      <c r="P643" s="1159" t="s">
        <v>1188</v>
      </c>
      <c r="Q643" s="1160" t="s">
        <v>48</v>
      </c>
      <c r="R643" s="1105"/>
      <c r="S643" s="1105"/>
      <c r="T643" s="1105"/>
    </row>
    <row r="644" spans="1:20">
      <c r="A644" s="1080">
        <f>MAX(A$229:A643)+1</f>
        <v>280</v>
      </c>
      <c r="B644" s="1143"/>
      <c r="C644" s="1143"/>
      <c r="D644" s="1143" t="s">
        <v>1218</v>
      </c>
      <c r="E644" s="1143"/>
      <c r="F644" s="1083" t="s">
        <v>286</v>
      </c>
      <c r="G644" s="1143"/>
      <c r="H644" s="1159" t="s">
        <v>1188</v>
      </c>
      <c r="I644" s="1160" t="s">
        <v>48</v>
      </c>
      <c r="J644" s="364">
        <v>0</v>
      </c>
      <c r="K644" s="1159"/>
      <c r="L644" s="1159" t="s">
        <v>1188</v>
      </c>
      <c r="M644" s="1169" t="s">
        <v>48</v>
      </c>
      <c r="N644" s="364">
        <v>0</v>
      </c>
      <c r="O644" s="1159"/>
      <c r="P644" s="1159" t="s">
        <v>1188</v>
      </c>
      <c r="Q644" s="1160" t="s">
        <v>48</v>
      </c>
      <c r="R644" s="1105"/>
      <c r="S644" s="1105"/>
      <c r="T644" s="1105"/>
    </row>
    <row r="645" spans="1:20">
      <c r="A645" s="1080">
        <f>MAX(A$229:A644)+1</f>
        <v>281</v>
      </c>
      <c r="B645" s="1143"/>
      <c r="C645" s="1143"/>
      <c r="D645" s="1143" t="s">
        <v>1219</v>
      </c>
      <c r="E645" s="1143"/>
      <c r="F645" s="1083" t="s">
        <v>286</v>
      </c>
      <c r="G645" s="1143"/>
      <c r="H645" s="1159" t="s">
        <v>1188</v>
      </c>
      <c r="I645" s="1160" t="s">
        <v>48</v>
      </c>
      <c r="J645" s="364">
        <v>0</v>
      </c>
      <c r="K645" s="1159"/>
      <c r="L645" s="1159" t="s">
        <v>1188</v>
      </c>
      <c r="M645" s="1169" t="s">
        <v>48</v>
      </c>
      <c r="N645" s="364">
        <v>0</v>
      </c>
      <c r="O645" s="1159"/>
      <c r="P645" s="1159" t="s">
        <v>1188</v>
      </c>
      <c r="Q645" s="1160" t="s">
        <v>48</v>
      </c>
      <c r="R645" s="1105"/>
      <c r="S645" s="1105"/>
      <c r="T645" s="1105"/>
    </row>
    <row r="646" spans="1:20">
      <c r="A646" s="1143"/>
      <c r="B646" s="1143"/>
      <c r="C646" s="1143"/>
      <c r="D646" s="1143"/>
      <c r="E646" s="1143"/>
      <c r="F646" s="1143"/>
      <c r="G646" s="1143"/>
      <c r="H646" s="1143"/>
      <c r="I646" s="1144"/>
      <c r="J646" s="1143"/>
      <c r="K646" s="1143"/>
      <c r="L646" s="1143"/>
      <c r="M646" s="1143"/>
      <c r="N646" s="1143"/>
      <c r="O646" s="1143"/>
      <c r="P646" s="1143"/>
      <c r="Q646" s="1144"/>
      <c r="R646" s="1105"/>
      <c r="S646" s="1105"/>
      <c r="T646" s="1105"/>
    </row>
    <row r="647" spans="1:20">
      <c r="A647" s="1080"/>
      <c r="B647" s="1143"/>
      <c r="C647" s="1143"/>
      <c r="D647" s="1143" t="s">
        <v>1179</v>
      </c>
      <c r="E647" s="1143"/>
      <c r="F647" s="1143"/>
      <c r="G647" s="1143"/>
      <c r="H647" s="1143"/>
      <c r="I647" s="1144"/>
      <c r="J647" s="1143"/>
      <c r="K647" s="1143"/>
      <c r="L647" s="1143"/>
      <c r="M647" s="1143"/>
      <c r="N647" s="1143"/>
      <c r="O647" s="1143"/>
      <c r="P647" s="1143"/>
      <c r="Q647" s="1144"/>
      <c r="R647" s="1105"/>
      <c r="S647" s="1105"/>
      <c r="T647" s="1105"/>
    </row>
    <row r="648" spans="1:20">
      <c r="A648" s="1080"/>
      <c r="B648" s="1143"/>
      <c r="C648" s="1143"/>
      <c r="D648" s="1143" t="s">
        <v>1220</v>
      </c>
      <c r="E648" s="1143"/>
      <c r="F648" s="1143"/>
      <c r="G648" s="1143"/>
      <c r="H648" s="1143"/>
      <c r="I648" s="1144"/>
      <c r="J648" s="1143"/>
      <c r="K648" s="1143"/>
      <c r="L648" s="1143"/>
      <c r="M648" s="1143"/>
      <c r="N648" s="1143"/>
      <c r="O648" s="1143"/>
      <c r="P648" s="1143"/>
      <c r="Q648" s="1144"/>
      <c r="R648" s="1105"/>
      <c r="S648" s="1105"/>
      <c r="T648" s="1105"/>
    </row>
    <row r="649" spans="1:20">
      <c r="A649" s="1080">
        <f>MAX(A$229:A648)+1</f>
        <v>282</v>
      </c>
      <c r="B649" s="1143"/>
      <c r="C649" s="1143"/>
      <c r="D649" s="1157" t="s">
        <v>1221</v>
      </c>
      <c r="E649" s="1143"/>
      <c r="F649" s="1083" t="s">
        <v>286</v>
      </c>
      <c r="G649" s="1143"/>
      <c r="H649" s="1148">
        <v>0.156</v>
      </c>
      <c r="I649" s="1160" t="s">
        <v>48</v>
      </c>
      <c r="J649" s="1148">
        <f t="shared" ref="J649:J654" si="51">ROUND(L649,3)-ROUND(H649,3)</f>
        <v>4.0000000000000036E-3</v>
      </c>
      <c r="K649" s="1148"/>
      <c r="L649" s="1148">
        <v>0.15984657534246577</v>
      </c>
      <c r="M649" s="1169" t="s">
        <v>48</v>
      </c>
      <c r="N649" s="422">
        <f>L649</f>
        <v>0.15984657534246577</v>
      </c>
      <c r="O649" s="1143"/>
      <c r="P649" s="1159" t="s">
        <v>1188</v>
      </c>
      <c r="Q649" s="1160" t="s">
        <v>48</v>
      </c>
      <c r="R649" s="1105"/>
      <c r="S649" s="1105"/>
      <c r="T649" s="1105"/>
    </row>
    <row r="650" spans="1:20">
      <c r="A650" s="1080">
        <f>MAX(A$229:A649)+1</f>
        <v>283</v>
      </c>
      <c r="B650" s="1143"/>
      <c r="C650" s="1143"/>
      <c r="D650" s="1157" t="s">
        <v>1222</v>
      </c>
      <c r="E650" s="1143"/>
      <c r="F650" s="1083" t="s">
        <v>286</v>
      </c>
      <c r="G650" s="1143"/>
      <c r="H650" s="1148">
        <v>0.156</v>
      </c>
      <c r="I650" s="1160" t="s">
        <v>48</v>
      </c>
      <c r="J650" s="1148">
        <f t="shared" si="51"/>
        <v>4.0000000000000036E-3</v>
      </c>
      <c r="K650" s="1148"/>
      <c r="L650" s="1148">
        <v>0.15984657534246577</v>
      </c>
      <c r="M650" s="1169" t="s">
        <v>48</v>
      </c>
      <c r="N650" s="422">
        <f t="shared" ref="N650:N654" si="52">L650</f>
        <v>0.15984657534246577</v>
      </c>
      <c r="O650" s="1143"/>
      <c r="P650" s="1159" t="s">
        <v>1188</v>
      </c>
      <c r="Q650" s="1160" t="s">
        <v>48</v>
      </c>
      <c r="R650" s="1105"/>
      <c r="S650" s="1105"/>
      <c r="T650" s="1105"/>
    </row>
    <row r="651" spans="1:20">
      <c r="A651" s="1080">
        <f>MAX(A$229:A650)+1</f>
        <v>284</v>
      </c>
      <c r="B651" s="1143"/>
      <c r="C651" s="1143"/>
      <c r="D651" s="1157" t="s">
        <v>1223</v>
      </c>
      <c r="E651" s="1143"/>
      <c r="F651" s="1083" t="s">
        <v>286</v>
      </c>
      <c r="G651" s="1143"/>
      <c r="H651" s="1148">
        <v>9.5000000000000001E-2</v>
      </c>
      <c r="I651" s="1160" t="s">
        <v>48</v>
      </c>
      <c r="J651" s="1148">
        <f t="shared" si="51"/>
        <v>3.0000000000000027E-3</v>
      </c>
      <c r="K651" s="1148"/>
      <c r="L651" s="1148">
        <v>9.8048445121657127E-2</v>
      </c>
      <c r="M651" s="1169" t="s">
        <v>48</v>
      </c>
      <c r="N651" s="422">
        <f t="shared" si="52"/>
        <v>9.8048445121657127E-2</v>
      </c>
      <c r="O651" s="1143"/>
      <c r="P651" s="1159" t="s">
        <v>1188</v>
      </c>
      <c r="Q651" s="1160" t="s">
        <v>48</v>
      </c>
      <c r="R651" s="1105"/>
      <c r="S651" s="1105"/>
      <c r="T651" s="1105"/>
    </row>
    <row r="652" spans="1:20">
      <c r="A652" s="1080">
        <f>MAX(A$229:A651)+1</f>
        <v>285</v>
      </c>
      <c r="B652" s="1143"/>
      <c r="C652" s="1143"/>
      <c r="D652" s="1157" t="s">
        <v>1224</v>
      </c>
      <c r="E652" s="1143"/>
      <c r="F652" s="1083" t="s">
        <v>286</v>
      </c>
      <c r="G652" s="1143"/>
      <c r="H652" s="1148">
        <v>9.5000000000000001E-2</v>
      </c>
      <c r="I652" s="1160" t="s">
        <v>48</v>
      </c>
      <c r="J652" s="1148">
        <f t="shared" si="51"/>
        <v>3.0000000000000027E-3</v>
      </c>
      <c r="K652" s="1148"/>
      <c r="L652" s="1148">
        <v>9.8048445121657127E-2</v>
      </c>
      <c r="M652" s="1169" t="s">
        <v>48</v>
      </c>
      <c r="N652" s="422">
        <f t="shared" si="52"/>
        <v>9.8048445121657127E-2</v>
      </c>
      <c r="O652" s="1143"/>
      <c r="P652" s="1159" t="s">
        <v>1188</v>
      </c>
      <c r="Q652" s="1160" t="s">
        <v>48</v>
      </c>
      <c r="R652" s="1105"/>
      <c r="S652" s="1105"/>
      <c r="T652" s="1105"/>
    </row>
    <row r="653" spans="1:20">
      <c r="A653" s="1080">
        <f>MAX(A$229:A652)+1</f>
        <v>286</v>
      </c>
      <c r="B653" s="1143"/>
      <c r="C653" s="1143"/>
      <c r="D653" s="1157" t="s">
        <v>1225</v>
      </c>
      <c r="E653" s="1143"/>
      <c r="F653" s="1083" t="s">
        <v>286</v>
      </c>
      <c r="G653" s="1143"/>
      <c r="H653" s="1148">
        <v>9.5000000000000001E-2</v>
      </c>
      <c r="I653" s="1160" t="s">
        <v>48</v>
      </c>
      <c r="J653" s="1148">
        <f t="shared" si="51"/>
        <v>3.0000000000000027E-3</v>
      </c>
      <c r="K653" s="1148"/>
      <c r="L653" s="1148">
        <v>9.8048445121657127E-2</v>
      </c>
      <c r="M653" s="1169" t="s">
        <v>48</v>
      </c>
      <c r="N653" s="422">
        <f t="shared" si="52"/>
        <v>9.8048445121657127E-2</v>
      </c>
      <c r="O653" s="1143"/>
      <c r="P653" s="1159" t="s">
        <v>1188</v>
      </c>
      <c r="Q653" s="1160" t="s">
        <v>48</v>
      </c>
      <c r="R653" s="1105"/>
      <c r="S653" s="1105"/>
      <c r="T653" s="1105"/>
    </row>
    <row r="654" spans="1:20">
      <c r="A654" s="1080">
        <f>MAX(A$229:A653)+1</f>
        <v>287</v>
      </c>
      <c r="B654" s="1143"/>
      <c r="C654" s="1143"/>
      <c r="D654" s="1157" t="s">
        <v>1226</v>
      </c>
      <c r="E654" s="1143"/>
      <c r="F654" s="1083" t="s">
        <v>286</v>
      </c>
      <c r="G654" s="1143"/>
      <c r="H654" s="1148">
        <v>9.5000000000000001E-2</v>
      </c>
      <c r="I654" s="1160" t="s">
        <v>48</v>
      </c>
      <c r="J654" s="1148">
        <f t="shared" si="51"/>
        <v>3.0000000000000027E-3</v>
      </c>
      <c r="K654" s="1148"/>
      <c r="L654" s="1148">
        <v>9.8048445121657127E-2</v>
      </c>
      <c r="M654" s="1169" t="s">
        <v>48</v>
      </c>
      <c r="N654" s="422">
        <f t="shared" si="52"/>
        <v>9.8048445121657127E-2</v>
      </c>
      <c r="O654" s="1143"/>
      <c r="P654" s="1159" t="s">
        <v>1188</v>
      </c>
      <c r="Q654" s="1160" t="s">
        <v>48</v>
      </c>
      <c r="R654" s="1105"/>
      <c r="S654" s="1105"/>
      <c r="T654" s="1105"/>
    </row>
    <row r="655" spans="1:20">
      <c r="A655" s="1143"/>
      <c r="B655" s="1143"/>
      <c r="C655" s="1143"/>
      <c r="D655" s="1143"/>
      <c r="E655" s="1143"/>
      <c r="F655" s="1143"/>
      <c r="G655" s="1143"/>
      <c r="H655" s="1143"/>
      <c r="I655" s="1143"/>
      <c r="J655" s="1143"/>
      <c r="K655" s="1143"/>
      <c r="L655" s="1143"/>
      <c r="M655" s="1143"/>
      <c r="N655" s="1143"/>
      <c r="O655" s="1143"/>
      <c r="P655" s="1143"/>
      <c r="Q655" s="1144"/>
      <c r="R655" s="1105"/>
      <c r="S655" s="1105"/>
      <c r="T655" s="1105"/>
    </row>
    <row r="656" spans="1:20">
      <c r="A656" s="1143"/>
      <c r="B656" s="1143"/>
      <c r="C656" s="1143"/>
      <c r="D656" s="1143"/>
      <c r="E656" s="1143"/>
      <c r="F656" s="1143"/>
      <c r="G656" s="1143"/>
      <c r="H656" s="1143"/>
      <c r="I656" s="1143"/>
      <c r="J656" s="1143"/>
      <c r="K656" s="1143"/>
      <c r="L656" s="1143"/>
      <c r="M656" s="1143"/>
      <c r="N656" s="1143"/>
      <c r="O656" s="1143"/>
      <c r="P656" s="1143"/>
      <c r="Q656" s="1144"/>
      <c r="R656" s="1105"/>
      <c r="S656" s="1105"/>
      <c r="T656" s="1105"/>
    </row>
    <row r="657" spans="1:20">
      <c r="A657" s="1143"/>
      <c r="B657" s="1143"/>
      <c r="C657" s="1143"/>
      <c r="D657" s="1143"/>
      <c r="E657" s="1143"/>
      <c r="F657" s="1143"/>
      <c r="G657" s="1143"/>
      <c r="H657" s="1143"/>
      <c r="I657" s="1143"/>
      <c r="J657" s="1143"/>
      <c r="K657" s="1143"/>
      <c r="L657" s="1143"/>
      <c r="M657" s="1143"/>
      <c r="N657" s="1143"/>
      <c r="O657" s="1143"/>
      <c r="P657" s="1143"/>
      <c r="Q657" s="1144"/>
      <c r="R657" s="1105"/>
      <c r="S657" s="1105"/>
      <c r="T657" s="1105"/>
    </row>
    <row r="658" spans="1:20">
      <c r="A658" s="1143"/>
      <c r="B658" s="1143"/>
      <c r="C658" s="1143"/>
      <c r="D658" s="1143"/>
      <c r="E658" s="1143"/>
      <c r="F658" s="1143"/>
      <c r="G658" s="1143"/>
      <c r="H658" s="1143"/>
      <c r="I658" s="1143"/>
      <c r="J658" s="1143"/>
      <c r="K658" s="1143"/>
      <c r="L658" s="1143"/>
      <c r="M658" s="1143"/>
      <c r="N658" s="1143"/>
      <c r="O658" s="1143"/>
      <c r="P658" s="1143"/>
      <c r="Q658" s="1144"/>
      <c r="R658" s="1105"/>
      <c r="S658" s="1105"/>
      <c r="T658" s="1105"/>
    </row>
    <row r="659" spans="1:20">
      <c r="A659" s="1143"/>
      <c r="B659" s="1143"/>
      <c r="C659" s="1143"/>
      <c r="D659" s="1143"/>
      <c r="E659" s="1143"/>
      <c r="F659" s="1143"/>
      <c r="G659" s="1143"/>
      <c r="H659" s="1143"/>
      <c r="I659" s="1143"/>
      <c r="J659" s="1143"/>
      <c r="K659" s="1143"/>
      <c r="L659" s="1143"/>
      <c r="M659" s="1143"/>
      <c r="N659" s="1143"/>
      <c r="O659" s="1143"/>
      <c r="P659" s="1143"/>
      <c r="Q659" s="1144"/>
      <c r="R659" s="1105"/>
      <c r="S659" s="1105"/>
      <c r="T659" s="1105"/>
    </row>
    <row r="660" spans="1:20">
      <c r="A660" s="1336"/>
      <c r="B660" s="1336"/>
      <c r="C660" s="1336"/>
      <c r="D660" s="1335"/>
      <c r="E660" s="1335"/>
      <c r="F660" s="1335"/>
      <c r="G660" s="1335"/>
      <c r="H660" s="1335"/>
      <c r="I660" s="1335"/>
      <c r="J660" s="1335"/>
      <c r="K660" s="1335"/>
      <c r="L660" s="1335"/>
      <c r="M660" s="1335"/>
      <c r="N660" s="1335"/>
      <c r="O660" s="1335"/>
      <c r="P660" s="1335"/>
      <c r="Q660" s="1144"/>
      <c r="R660" s="1105"/>
      <c r="S660" s="1105"/>
      <c r="T660" s="1105"/>
    </row>
    <row r="661" spans="1:20">
      <c r="A661" s="1336" t="s">
        <v>1109</v>
      </c>
      <c r="B661" s="1336"/>
      <c r="C661" s="1336"/>
      <c r="D661" s="1335"/>
      <c r="E661" s="1335"/>
      <c r="F661" s="1335"/>
      <c r="G661" s="1335"/>
      <c r="H661" s="1335"/>
      <c r="I661" s="1335"/>
      <c r="J661" s="1335"/>
      <c r="K661" s="1335"/>
      <c r="L661" s="1335"/>
      <c r="M661" s="1335"/>
      <c r="N661" s="1335"/>
      <c r="O661" s="1335"/>
      <c r="P661" s="1335"/>
      <c r="Q661" s="1144"/>
      <c r="R661" s="1105"/>
      <c r="S661" s="1105"/>
      <c r="T661" s="1105"/>
    </row>
    <row r="662" spans="1:20">
      <c r="A662" s="1334" t="s">
        <v>652</v>
      </c>
      <c r="B662" s="1335"/>
      <c r="C662" s="1335"/>
      <c r="D662" s="1335"/>
      <c r="E662" s="1335"/>
      <c r="F662" s="1335"/>
      <c r="G662" s="1335"/>
      <c r="H662" s="1335"/>
      <c r="I662" s="1335"/>
      <c r="J662" s="1335"/>
      <c r="K662" s="1335"/>
      <c r="L662" s="1335"/>
      <c r="M662" s="1335"/>
      <c r="N662" s="1335"/>
      <c r="O662" s="1335"/>
      <c r="P662" s="1335"/>
      <c r="Q662" s="1144"/>
      <c r="R662" s="1105"/>
      <c r="S662" s="1105"/>
      <c r="T662" s="1105"/>
    </row>
    <row r="663" spans="1:20">
      <c r="A663" s="1080"/>
      <c r="B663" s="1082"/>
      <c r="Q663" s="1144"/>
      <c r="R663" s="1105"/>
      <c r="S663" s="1105"/>
      <c r="T663" s="1105"/>
    </row>
    <row r="664" spans="1:20" ht="12.75" customHeight="1">
      <c r="A664" s="1080"/>
      <c r="G664" s="1074"/>
      <c r="H664" s="1077"/>
      <c r="I664" s="1077"/>
      <c r="J664" s="1077"/>
      <c r="K664" s="1077"/>
      <c r="L664" s="1077"/>
      <c r="M664" s="1077"/>
      <c r="N664" s="1332" t="s">
        <v>1086</v>
      </c>
      <c r="O664" s="1332"/>
      <c r="P664" s="1332"/>
      <c r="Q664" s="1144"/>
      <c r="R664" s="1105"/>
      <c r="S664" s="1105"/>
      <c r="T664" s="1105"/>
    </row>
    <row r="665" spans="1:20">
      <c r="A665" s="1080"/>
      <c r="G665" s="1079"/>
      <c r="H665" s="1080"/>
      <c r="I665" s="1081"/>
      <c r="J665" s="1337" t="s">
        <v>1087</v>
      </c>
      <c r="K665" s="1337"/>
      <c r="L665" s="1337"/>
      <c r="N665" s="1333"/>
      <c r="O665" s="1333"/>
      <c r="P665" s="1333"/>
      <c r="Q665" s="1144"/>
      <c r="R665" s="1105"/>
      <c r="S665" s="1105"/>
      <c r="T665" s="1105"/>
    </row>
    <row r="666" spans="1:20">
      <c r="A666" s="1080" t="s">
        <v>1</v>
      </c>
      <c r="C666" s="1082"/>
      <c r="F666" s="1074"/>
      <c r="G666" s="1067"/>
      <c r="H666" s="1080" t="s">
        <v>495</v>
      </c>
      <c r="I666" s="1081"/>
      <c r="J666" s="1083" t="s">
        <v>609</v>
      </c>
      <c r="K666" s="1084"/>
      <c r="L666" s="1080" t="s">
        <v>6</v>
      </c>
      <c r="N666" s="1078"/>
      <c r="O666" s="1078"/>
      <c r="P666" s="1078"/>
      <c r="Q666" s="1144"/>
      <c r="R666" s="1105"/>
      <c r="S666" s="1105"/>
      <c r="T666" s="1105"/>
    </row>
    <row r="667" spans="1:20">
      <c r="A667" s="1085" t="s">
        <v>2</v>
      </c>
      <c r="B667" s="1074"/>
      <c r="C667" s="1075"/>
      <c r="D667" s="1086" t="s">
        <v>3</v>
      </c>
      <c r="F667" s="1087" t="s">
        <v>4</v>
      </c>
      <c r="G667" s="1074"/>
      <c r="H667" s="1088" t="s">
        <v>196</v>
      </c>
      <c r="I667" s="1078"/>
      <c r="J667" s="1089" t="s">
        <v>1088</v>
      </c>
      <c r="L667" s="1088" t="s">
        <v>1089</v>
      </c>
      <c r="N667" s="1090" t="s">
        <v>980</v>
      </c>
      <c r="O667" s="1083"/>
      <c r="P667" s="1090" t="s">
        <v>1090</v>
      </c>
      <c r="Q667" s="1144"/>
      <c r="R667" s="1105"/>
      <c r="S667" s="1105"/>
      <c r="T667" s="1105"/>
    </row>
    <row r="668" spans="1:20">
      <c r="A668" s="1080"/>
      <c r="F668" s="1091"/>
      <c r="G668" s="1074"/>
      <c r="H668" s="1080" t="s">
        <v>1091</v>
      </c>
      <c r="I668" s="1080"/>
      <c r="J668" s="1092" t="s">
        <v>1092</v>
      </c>
      <c r="L668" s="1080" t="s">
        <v>1093</v>
      </c>
      <c r="N668" s="1093" t="s">
        <v>79</v>
      </c>
      <c r="O668" s="1083"/>
      <c r="P668" s="1093" t="s">
        <v>115</v>
      </c>
      <c r="Q668" s="1144"/>
      <c r="R668" s="1105"/>
      <c r="S668" s="1105"/>
      <c r="T668" s="1105"/>
    </row>
    <row r="669" spans="1:20">
      <c r="A669" s="1143"/>
      <c r="B669" s="1143"/>
      <c r="C669" s="1143"/>
      <c r="D669" s="1154" t="s">
        <v>529</v>
      </c>
      <c r="E669" s="1143"/>
      <c r="F669" s="1143"/>
      <c r="G669" s="1143"/>
      <c r="H669" s="1143"/>
      <c r="I669" s="1143"/>
      <c r="J669" s="1143"/>
      <c r="K669" s="1143"/>
      <c r="L669" s="1143"/>
      <c r="M669" s="1143"/>
      <c r="N669" s="1143"/>
      <c r="O669" s="1143"/>
      <c r="P669" s="1143"/>
      <c r="Q669" s="1144"/>
      <c r="R669" s="1105"/>
      <c r="S669" s="1105"/>
      <c r="T669" s="1105"/>
    </row>
    <row r="670" spans="1:20">
      <c r="A670" s="1080">
        <f>MAX(A$229:A669)+1</f>
        <v>288</v>
      </c>
      <c r="B670" s="1143"/>
      <c r="C670" s="1143"/>
      <c r="D670" s="1171" t="s">
        <v>353</v>
      </c>
      <c r="E670" s="1143"/>
      <c r="F670" s="1143"/>
      <c r="G670" s="1143"/>
      <c r="H670" s="1143"/>
      <c r="I670" s="1143"/>
      <c r="J670" s="1143"/>
      <c r="K670" s="1143"/>
      <c r="L670" s="1143"/>
      <c r="M670" s="1143"/>
      <c r="N670" s="1143"/>
      <c r="O670" s="1143"/>
      <c r="P670" s="1143"/>
      <c r="Q670" s="1144"/>
      <c r="R670" s="1105"/>
      <c r="S670" s="1105"/>
      <c r="T670" s="1105"/>
    </row>
    <row r="671" spans="1:20">
      <c r="A671" s="1080">
        <f>MAX(A$229:A670)+1</f>
        <v>289</v>
      </c>
      <c r="B671" s="1143"/>
      <c r="C671" s="1143"/>
      <c r="D671" s="1157" t="s">
        <v>1227</v>
      </c>
      <c r="E671" s="1143"/>
      <c r="F671" s="1099" t="s">
        <v>284</v>
      </c>
      <c r="G671" s="1143"/>
      <c r="H671" s="1148">
        <v>3.76</v>
      </c>
      <c r="I671" s="1148"/>
      <c r="J671" s="1148">
        <f t="shared" ref="J671:J679" si="53">ROUND(L671,3)-ROUND(H671,3)</f>
        <v>0.10400000000000009</v>
      </c>
      <c r="K671" s="1148"/>
      <c r="L671" s="1148">
        <v>3.8639253585133231</v>
      </c>
      <c r="M671" s="1148"/>
      <c r="N671" s="1148">
        <v>3.8639253585133231</v>
      </c>
      <c r="O671" s="1148"/>
      <c r="P671" s="595">
        <v>0</v>
      </c>
      <c r="Q671" s="1144"/>
    </row>
    <row r="672" spans="1:20">
      <c r="A672" s="1080">
        <f>MAX(A$229:A671)+1</f>
        <v>290</v>
      </c>
      <c r="B672" s="1143"/>
      <c r="C672" s="1143"/>
      <c r="D672" s="1157" t="s">
        <v>1182</v>
      </c>
      <c r="E672" s="1143"/>
      <c r="F672" s="1099" t="s">
        <v>284</v>
      </c>
      <c r="G672" s="1143"/>
      <c r="H672" s="1148">
        <v>3.19</v>
      </c>
      <c r="I672" s="1148"/>
      <c r="J672" s="1148">
        <f t="shared" si="53"/>
        <v>9.1000000000000192E-2</v>
      </c>
      <c r="K672" s="1148"/>
      <c r="L672" s="1148">
        <v>3.2806721077802852</v>
      </c>
      <c r="M672" s="1148"/>
      <c r="N672" s="1148">
        <v>3.2806721077802852</v>
      </c>
      <c r="O672" s="1148"/>
      <c r="P672" s="595">
        <v>0</v>
      </c>
      <c r="Q672" s="1144"/>
    </row>
    <row r="673" spans="1:29">
      <c r="A673" s="1080">
        <f>MAX(A$229:A672)+1</f>
        <v>291</v>
      </c>
      <c r="B673" s="1143"/>
      <c r="C673" s="1143"/>
      <c r="D673" s="1157" t="s">
        <v>1183</v>
      </c>
      <c r="E673" s="1143"/>
      <c r="F673" s="1099" t="s">
        <v>284</v>
      </c>
      <c r="G673" s="1143"/>
      <c r="H673" s="1148">
        <v>0.56999999999999995</v>
      </c>
      <c r="I673" s="1148"/>
      <c r="J673" s="1148">
        <f t="shared" si="53"/>
        <v>1.3000000000000012E-2</v>
      </c>
      <c r="K673" s="1148"/>
      <c r="L673" s="1148">
        <v>0.58325325073303746</v>
      </c>
      <c r="M673" s="1148"/>
      <c r="N673" s="1148">
        <v>0.58325325073303746</v>
      </c>
      <c r="O673" s="1148"/>
      <c r="P673" s="595">
        <v>0</v>
      </c>
      <c r="Q673" s="1144"/>
    </row>
    <row r="674" spans="1:29">
      <c r="A674" s="1080">
        <f>MAX(A$229:A673)+1</f>
        <v>292</v>
      </c>
      <c r="B674" s="1143"/>
      <c r="C674" s="1143"/>
      <c r="D674" s="1157" t="s">
        <v>1228</v>
      </c>
      <c r="E674" s="1143"/>
      <c r="F674" s="1099" t="s">
        <v>284</v>
      </c>
      <c r="G674" s="1143"/>
      <c r="H674" s="1148">
        <v>0.88800000000000001</v>
      </c>
      <c r="I674" s="1148"/>
      <c r="J674" s="1148">
        <f t="shared" si="53"/>
        <v>2.0000000000000018E-2</v>
      </c>
      <c r="K674" s="1148"/>
      <c r="L674" s="1148">
        <v>0.90845695135113047</v>
      </c>
      <c r="M674" s="1148"/>
      <c r="N674" s="1148">
        <v>0.90845695135113047</v>
      </c>
      <c r="O674" s="1148"/>
      <c r="P674" s="595">
        <v>0</v>
      </c>
      <c r="Q674" s="1144"/>
    </row>
    <row r="675" spans="1:29">
      <c r="A675" s="1080">
        <f>MAX(A$229:A674)+1</f>
        <v>293</v>
      </c>
      <c r="B675" s="1143"/>
      <c r="C675" s="1143"/>
      <c r="D675" s="1157" t="s">
        <v>1229</v>
      </c>
      <c r="E675" s="1143"/>
      <c r="F675" s="1099" t="s">
        <v>284</v>
      </c>
      <c r="G675" s="1143"/>
      <c r="H675" s="1148">
        <v>0.88800000000000001</v>
      </c>
      <c r="I675" s="1148"/>
      <c r="J675" s="1148">
        <f t="shared" si="53"/>
        <v>2.0000000000000018E-2</v>
      </c>
      <c r="K675" s="1148"/>
      <c r="L675" s="1148">
        <v>0.90845695135113047</v>
      </c>
      <c r="M675" s="1148"/>
      <c r="N675" s="1148">
        <v>0.90845695135113047</v>
      </c>
      <c r="O675" s="1148"/>
      <c r="P675" s="595">
        <v>0</v>
      </c>
    </row>
    <row r="676" spans="1:29">
      <c r="A676" s="1080">
        <f>MAX(A$229:A675)+1</f>
        <v>294</v>
      </c>
      <c r="B676" s="1143"/>
      <c r="C676" s="1143"/>
      <c r="D676" s="1157" t="s">
        <v>1230</v>
      </c>
      <c r="E676" s="1143"/>
      <c r="F676" s="1099" t="s">
        <v>284</v>
      </c>
      <c r="G676" s="1143"/>
      <c r="H676" s="1148">
        <v>1.5669999999999999</v>
      </c>
      <c r="I676" s="1148"/>
      <c r="J676" s="1148">
        <f t="shared" si="53"/>
        <v>3.5000000000000142E-2</v>
      </c>
      <c r="K676" s="1148"/>
      <c r="L676" s="1148">
        <v>1.6021356960095834</v>
      </c>
      <c r="M676" s="1148"/>
      <c r="N676" s="1148">
        <v>1.6021356960095834</v>
      </c>
      <c r="O676" s="1148"/>
      <c r="P676" s="595">
        <v>0</v>
      </c>
      <c r="Q676" s="1144"/>
    </row>
    <row r="677" spans="1:29">
      <c r="A677" s="1080">
        <f>MAX(A$229:A676)+1</f>
        <v>295</v>
      </c>
      <c r="B677" s="1143"/>
      <c r="C677" s="1143"/>
      <c r="D677" s="1157" t="s">
        <v>1231</v>
      </c>
      <c r="E677" s="1143"/>
      <c r="F677" s="1099" t="s">
        <v>284</v>
      </c>
      <c r="G677" s="1143"/>
      <c r="H677" s="1148">
        <v>2.3260000000000001</v>
      </c>
      <c r="I677" s="1148"/>
      <c r="J677" s="1148">
        <f t="shared" si="53"/>
        <v>5.7999999999999829E-2</v>
      </c>
      <c r="K677" s="1148"/>
      <c r="L677" s="1148">
        <v>2.3840000000000003</v>
      </c>
      <c r="M677" s="1148"/>
      <c r="N677" s="1148">
        <v>2.2240000000000002</v>
      </c>
      <c r="O677" s="1148"/>
      <c r="P677" s="421">
        <v>0.16</v>
      </c>
      <c r="Q677" s="1144"/>
      <c r="R677" s="1105"/>
      <c r="S677" s="1105"/>
      <c r="T677" s="1105"/>
    </row>
    <row r="678" spans="1:29">
      <c r="A678" s="1080">
        <f>MAX(A$229:A677)+1</f>
        <v>296</v>
      </c>
      <c r="B678" s="1143"/>
      <c r="C678" s="1143"/>
      <c r="D678" s="1157" t="s">
        <v>1232</v>
      </c>
      <c r="E678" s="1143"/>
      <c r="F678" s="1099" t="s">
        <v>284</v>
      </c>
      <c r="G678" s="1143"/>
      <c r="H678" s="1148">
        <v>3.2000000000000001E-2</v>
      </c>
      <c r="I678" s="1148"/>
      <c r="J678" s="1148">
        <f t="shared" si="53"/>
        <v>1.0000000000000009E-3</v>
      </c>
      <c r="K678" s="1148"/>
      <c r="L678" s="1148">
        <v>3.3000000000000002E-2</v>
      </c>
      <c r="M678" s="1148"/>
      <c r="N678" s="1148">
        <v>3.3000000000000002E-2</v>
      </c>
      <c r="O678" s="1148"/>
      <c r="P678" s="595">
        <v>0</v>
      </c>
      <c r="Q678" s="1144"/>
      <c r="R678" s="1105"/>
      <c r="S678" s="1105"/>
      <c r="T678" s="1105"/>
    </row>
    <row r="679" spans="1:29">
      <c r="A679" s="1080">
        <f>MAX(A$229:A678)+1</f>
        <v>297</v>
      </c>
      <c r="B679" s="1143"/>
      <c r="C679" s="1143"/>
      <c r="D679" s="1157" t="s">
        <v>1233</v>
      </c>
      <c r="E679" s="1143"/>
      <c r="F679" s="1099" t="s">
        <v>284</v>
      </c>
      <c r="G679" s="1143"/>
      <c r="H679" s="1148">
        <v>0.152</v>
      </c>
      <c r="I679" s="1148"/>
      <c r="J679" s="1148">
        <f t="shared" si="53"/>
        <v>4.0000000000000036E-3</v>
      </c>
      <c r="K679" s="1148"/>
      <c r="L679" s="1148">
        <v>0.156</v>
      </c>
      <c r="M679" s="1148"/>
      <c r="N679" s="1148">
        <v>0.156</v>
      </c>
      <c r="O679" s="1148"/>
      <c r="P679" s="595">
        <v>0</v>
      </c>
      <c r="Q679" s="1144"/>
      <c r="R679" s="1105"/>
      <c r="S679" s="1105"/>
      <c r="T679" s="1105"/>
    </row>
    <row r="680" spans="1:29">
      <c r="A680" s="1143"/>
      <c r="B680" s="1143"/>
      <c r="C680" s="1143"/>
      <c r="D680" s="1143"/>
      <c r="E680" s="1143"/>
      <c r="F680" s="1143"/>
      <c r="G680" s="1143"/>
      <c r="H680" s="1143"/>
      <c r="I680" s="1143"/>
      <c r="J680" s="1143"/>
      <c r="K680" s="1143"/>
      <c r="L680" s="1143"/>
      <c r="M680" s="1143"/>
      <c r="N680" s="1143"/>
      <c r="O680" s="1143"/>
      <c r="P680" s="1143"/>
      <c r="Q680" s="1144"/>
      <c r="R680" s="1105"/>
      <c r="S680" s="1105"/>
      <c r="T680" s="1105"/>
    </row>
    <row r="681" spans="1:29">
      <c r="A681" s="1080">
        <f>MAX(A$229:A680)+1</f>
        <v>298</v>
      </c>
      <c r="B681" s="1143"/>
      <c r="C681" s="1143"/>
      <c r="D681" s="1143" t="s">
        <v>1213</v>
      </c>
      <c r="E681" s="1143"/>
      <c r="F681" s="1156" t="s">
        <v>286</v>
      </c>
      <c r="G681" s="1143"/>
      <c r="H681" s="1159" t="s">
        <v>1188</v>
      </c>
      <c r="I681" s="1169" t="s">
        <v>48</v>
      </c>
      <c r="J681" s="1159" t="s">
        <v>1188</v>
      </c>
      <c r="K681" s="1169" t="s">
        <v>48</v>
      </c>
      <c r="L681" s="1159" t="s">
        <v>1188</v>
      </c>
      <c r="M681" s="1169" t="s">
        <v>48</v>
      </c>
      <c r="N681" s="1159" t="s">
        <v>1188</v>
      </c>
      <c r="O681" s="1169" t="s">
        <v>48</v>
      </c>
      <c r="P681" s="1159" t="s">
        <v>1188</v>
      </c>
      <c r="Q681" s="1160" t="s">
        <v>48</v>
      </c>
      <c r="R681" s="1105"/>
      <c r="S681" s="1105"/>
      <c r="T681" s="1105"/>
    </row>
    <row r="682" spans="1:29">
      <c r="A682" s="1080"/>
      <c r="B682" s="1143"/>
      <c r="C682" s="1143"/>
      <c r="D682" s="1163"/>
      <c r="E682" s="1143"/>
      <c r="Q682" s="1144"/>
      <c r="R682" s="1105"/>
      <c r="S682" s="1105"/>
      <c r="T682" s="1105"/>
    </row>
    <row r="683" spans="1:29">
      <c r="A683" s="1080"/>
      <c r="B683" s="1143"/>
      <c r="C683" s="1143"/>
      <c r="D683" s="1143" t="s">
        <v>1179</v>
      </c>
      <c r="E683" s="1143"/>
      <c r="F683" s="1143"/>
      <c r="G683" s="1143"/>
      <c r="H683" s="1143"/>
      <c r="I683" s="1143"/>
      <c r="J683" s="1143"/>
      <c r="K683" s="1143"/>
      <c r="L683" s="1143"/>
      <c r="M683" s="1143"/>
      <c r="N683" s="1143"/>
      <c r="O683" s="1143"/>
      <c r="P683" s="1143"/>
      <c r="Q683" s="1144"/>
      <c r="R683" s="1105"/>
      <c r="S683" s="1105"/>
      <c r="T683" s="1105"/>
    </row>
    <row r="684" spans="1:29">
      <c r="A684" s="1080"/>
      <c r="B684" s="1143"/>
      <c r="C684" s="1143"/>
      <c r="D684" s="1143" t="s">
        <v>1220</v>
      </c>
      <c r="E684" s="1143"/>
      <c r="F684" s="1143"/>
      <c r="G684" s="1143"/>
      <c r="H684" s="1143"/>
      <c r="I684" s="1143"/>
      <c r="J684" s="1143"/>
      <c r="K684" s="1143"/>
      <c r="L684" s="1143"/>
      <c r="M684" s="1143"/>
      <c r="N684" s="1143"/>
      <c r="O684" s="1143"/>
      <c r="P684" s="1143"/>
      <c r="Q684" s="1144"/>
      <c r="R684" s="1105"/>
      <c r="S684" s="1105"/>
      <c r="T684" s="1105"/>
    </row>
    <row r="685" spans="1:29">
      <c r="A685" s="1080">
        <f>MAX(A$229:A683)+1</f>
        <v>299</v>
      </c>
      <c r="B685" s="1143"/>
      <c r="C685" s="1143"/>
      <c r="D685" s="1157" t="s">
        <v>1227</v>
      </c>
      <c r="E685" s="1143"/>
      <c r="F685" s="1083" t="s">
        <v>286</v>
      </c>
      <c r="G685" s="1143"/>
      <c r="H685" s="1148">
        <v>0.124</v>
      </c>
      <c r="I685" s="1169" t="s">
        <v>48</v>
      </c>
      <c r="J685" s="421">
        <f t="shared" ref="J685:J692" si="54">ROUND(L685,3)-ROUND(H685,3)</f>
        <v>3.0000000000000027E-3</v>
      </c>
      <c r="K685" s="1143"/>
      <c r="L685" s="1148">
        <v>0.12703316247167087</v>
      </c>
      <c r="M685" s="1169" t="s">
        <v>48</v>
      </c>
      <c r="N685" s="1148">
        <v>0.12703316247167087</v>
      </c>
      <c r="O685" s="1143"/>
      <c r="P685" s="1159" t="s">
        <v>1188</v>
      </c>
      <c r="Q685" s="1160" t="s">
        <v>48</v>
      </c>
      <c r="T685" s="1065"/>
    </row>
    <row r="686" spans="1:29">
      <c r="A686" s="1080">
        <f>MAX(A$229:A685)+1</f>
        <v>300</v>
      </c>
      <c r="B686" s="1143"/>
      <c r="C686" s="1143"/>
      <c r="D686" s="1157" t="s">
        <v>1234</v>
      </c>
      <c r="E686" s="1143"/>
      <c r="F686" s="1083" t="s">
        <v>286</v>
      </c>
      <c r="G686" s="1143"/>
      <c r="H686" s="1148">
        <v>0.105</v>
      </c>
      <c r="I686" s="1169" t="s">
        <v>48</v>
      </c>
      <c r="J686" s="421">
        <f t="shared" si="54"/>
        <v>3.0000000000000027E-3</v>
      </c>
      <c r="K686" s="1143"/>
      <c r="L686" s="1148">
        <v>0.10785771313250253</v>
      </c>
      <c r="M686" s="1169" t="s">
        <v>48</v>
      </c>
      <c r="N686" s="1148">
        <v>0.10785771313250253</v>
      </c>
      <c r="O686" s="1143"/>
      <c r="P686" s="1159" t="s">
        <v>1188</v>
      </c>
      <c r="Q686" s="1160" t="s">
        <v>48</v>
      </c>
      <c r="R686" s="1143"/>
      <c r="S686" s="1083"/>
      <c r="T686" s="1143"/>
      <c r="U686" s="1148"/>
      <c r="V686" s="1169"/>
      <c r="W686" s="421"/>
      <c r="X686" s="1143"/>
      <c r="Y686" s="1148"/>
      <c r="Z686" s="1169"/>
      <c r="AA686" s="1148"/>
      <c r="AB686" s="1143"/>
      <c r="AC686" s="1159"/>
    </row>
    <row r="687" spans="1:29">
      <c r="A687" s="1080">
        <f>MAX(A$229:A686)+1</f>
        <v>301</v>
      </c>
      <c r="B687" s="1143"/>
      <c r="C687" s="1143"/>
      <c r="D687" s="1157" t="s">
        <v>1183</v>
      </c>
      <c r="E687" s="1143"/>
      <c r="F687" s="1083" t="s">
        <v>286</v>
      </c>
      <c r="G687" s="1143"/>
      <c r="H687" s="1148">
        <v>1.9E-2</v>
      </c>
      <c r="I687" s="1169" t="s">
        <v>48</v>
      </c>
      <c r="J687" s="421">
        <f t="shared" si="54"/>
        <v>0</v>
      </c>
      <c r="K687" s="1143"/>
      <c r="L687" s="1148">
        <v>1.9175449339168354E-2</v>
      </c>
      <c r="M687" s="1169" t="s">
        <v>48</v>
      </c>
      <c r="N687" s="1148">
        <v>1.9175449339168354E-2</v>
      </c>
      <c r="O687" s="1143"/>
      <c r="P687" s="1159" t="s">
        <v>1188</v>
      </c>
      <c r="Q687" s="1160" t="s">
        <v>48</v>
      </c>
      <c r="R687" s="1143"/>
      <c r="S687" s="1083"/>
      <c r="T687" s="1143"/>
      <c r="U687" s="1148"/>
      <c r="V687" s="1169"/>
      <c r="W687" s="421"/>
      <c r="X687" s="1143"/>
      <c r="Y687" s="1148"/>
      <c r="Z687" s="1169"/>
      <c r="AA687" s="1148"/>
      <c r="AB687" s="1143"/>
      <c r="AC687" s="1159"/>
    </row>
    <row r="688" spans="1:29">
      <c r="A688" s="1080">
        <f>MAX(A$229:A687)+1</f>
        <v>302</v>
      </c>
      <c r="B688" s="1143"/>
      <c r="C688" s="1143"/>
      <c r="D688" s="1157" t="s">
        <v>1235</v>
      </c>
      <c r="E688" s="1143"/>
      <c r="F688" s="1083" t="s">
        <v>286</v>
      </c>
      <c r="G688" s="1143"/>
      <c r="H688" s="1148">
        <v>5.1999999999999998E-2</v>
      </c>
      <c r="I688" s="1169" t="s">
        <v>48</v>
      </c>
      <c r="J688" s="421">
        <f t="shared" si="54"/>
        <v>1.0000000000000009E-3</v>
      </c>
      <c r="K688" s="1143"/>
      <c r="L688" s="1148">
        <v>5.2672954389356173E-2</v>
      </c>
      <c r="M688" s="1169" t="s">
        <v>48</v>
      </c>
      <c r="N688" s="1148">
        <v>5.2672954389356173E-2</v>
      </c>
      <c r="O688" s="1143"/>
      <c r="P688" s="1159" t="s">
        <v>1188</v>
      </c>
      <c r="Q688" s="1160" t="s">
        <v>48</v>
      </c>
      <c r="R688" s="1143"/>
      <c r="S688" s="1083"/>
      <c r="T688" s="1143"/>
      <c r="U688" s="1148"/>
      <c r="V688" s="1169"/>
      <c r="W688" s="421"/>
      <c r="X688" s="1143"/>
      <c r="Y688" s="1148"/>
      <c r="Z688" s="1169"/>
      <c r="AA688" s="1148"/>
      <c r="AB688" s="1143"/>
      <c r="AC688" s="1159"/>
    </row>
    <row r="689" spans="1:29">
      <c r="A689" s="1080">
        <f>MAX(A$229:A688)+1</f>
        <v>303</v>
      </c>
      <c r="B689" s="1143"/>
      <c r="C689" s="1143"/>
      <c r="D689" s="1157" t="s">
        <v>1236</v>
      </c>
      <c r="E689" s="1143"/>
      <c r="F689" s="1083" t="s">
        <v>286</v>
      </c>
      <c r="G689" s="1143"/>
      <c r="H689" s="1148">
        <v>0.124</v>
      </c>
      <c r="I689" s="1169" t="s">
        <v>48</v>
      </c>
      <c r="J689" s="421">
        <f t="shared" si="54"/>
        <v>3.0000000000000027E-3</v>
      </c>
      <c r="K689" s="1143"/>
      <c r="L689" s="1148">
        <v>0.12703316247167087</v>
      </c>
      <c r="M689" s="1169" t="s">
        <v>48</v>
      </c>
      <c r="N689" s="1148">
        <v>0.12703316247167087</v>
      </c>
      <c r="O689" s="1143"/>
      <c r="P689" s="1159" t="s">
        <v>1188</v>
      </c>
      <c r="Q689" s="1160" t="s">
        <v>48</v>
      </c>
      <c r="T689" s="1065"/>
    </row>
    <row r="690" spans="1:29">
      <c r="A690" s="1080">
        <f>MAX(A$229:A689)+1</f>
        <v>304</v>
      </c>
      <c r="B690" s="1143"/>
      <c r="C690" s="1143"/>
      <c r="D690" s="1157" t="s">
        <v>1231</v>
      </c>
      <c r="E690" s="1143"/>
      <c r="F690" s="1083" t="s">
        <v>286</v>
      </c>
      <c r="G690" s="1143"/>
      <c r="H690" s="1148">
        <v>7.5999999999999998E-2</v>
      </c>
      <c r="I690" s="1169" t="s">
        <v>48</v>
      </c>
      <c r="J690" s="421">
        <f t="shared" si="54"/>
        <v>2.0000000000000018E-3</v>
      </c>
      <c r="K690" s="1143"/>
      <c r="L690" s="1148">
        <v>7.8378082191780829E-2</v>
      </c>
      <c r="M690" s="1169" t="s">
        <v>48</v>
      </c>
      <c r="N690" s="1148">
        <v>7.8378082191780829E-2</v>
      </c>
      <c r="O690" s="1143"/>
      <c r="P690" s="1159" t="s">
        <v>1188</v>
      </c>
      <c r="Q690" s="1160" t="s">
        <v>48</v>
      </c>
      <c r="R690" s="1143"/>
      <c r="S690" s="1083"/>
      <c r="T690" s="1143"/>
      <c r="U690" s="1148"/>
      <c r="V690" s="1169"/>
      <c r="W690" s="421"/>
      <c r="X690" s="1143"/>
      <c r="Y690" s="1148"/>
      <c r="Z690" s="1169"/>
      <c r="AA690" s="1148"/>
      <c r="AB690" s="1143"/>
      <c r="AC690" s="1159"/>
    </row>
    <row r="691" spans="1:29">
      <c r="A691" s="1080">
        <f>MAX(A$229:A690)+1</f>
        <v>305</v>
      </c>
      <c r="B691" s="1143"/>
      <c r="C691" s="1143"/>
      <c r="D691" s="1157" t="s">
        <v>1232</v>
      </c>
      <c r="E691" s="1143"/>
      <c r="F691" s="1083" t="s">
        <v>286</v>
      </c>
      <c r="G691" s="1143"/>
      <c r="H691" s="1148">
        <v>1E-3</v>
      </c>
      <c r="I691" s="1169" t="s">
        <v>48</v>
      </c>
      <c r="J691" s="421">
        <f t="shared" si="54"/>
        <v>0</v>
      </c>
      <c r="K691" s="1143"/>
      <c r="L691" s="1148">
        <v>1.084931506849315E-3</v>
      </c>
      <c r="M691" s="1169" t="s">
        <v>48</v>
      </c>
      <c r="N691" s="1148">
        <v>1.084931506849315E-3</v>
      </c>
      <c r="O691" s="1143"/>
      <c r="P691" s="1159" t="s">
        <v>1188</v>
      </c>
      <c r="Q691" s="1160" t="s">
        <v>48</v>
      </c>
      <c r="T691" s="1065"/>
    </row>
    <row r="692" spans="1:29">
      <c r="A692" s="1080">
        <f>MAX(A$229:A691)+1</f>
        <v>306</v>
      </c>
      <c r="B692" s="1143"/>
      <c r="C692" s="1143"/>
      <c r="D692" s="1157" t="s">
        <v>1233</v>
      </c>
      <c r="E692" s="1143"/>
      <c r="F692" s="1083" t="s">
        <v>286</v>
      </c>
      <c r="G692" s="1143"/>
      <c r="H692" s="1148">
        <v>5.0000000000000001E-3</v>
      </c>
      <c r="I692" s="1169" t="s">
        <v>48</v>
      </c>
      <c r="J692" s="421">
        <f t="shared" si="54"/>
        <v>0</v>
      </c>
      <c r="K692" s="1143"/>
      <c r="L692" s="1148">
        <v>5.1287671232876711E-3</v>
      </c>
      <c r="M692" s="1169" t="s">
        <v>48</v>
      </c>
      <c r="N692" s="1148">
        <v>5.1287671232876711E-3</v>
      </c>
      <c r="O692" s="1143"/>
      <c r="P692" s="1159" t="s">
        <v>1188</v>
      </c>
      <c r="Q692" s="1160" t="s">
        <v>48</v>
      </c>
      <c r="R692" s="1143"/>
      <c r="S692" s="1083"/>
      <c r="T692" s="1143"/>
      <c r="U692" s="1148"/>
      <c r="V692" s="1169"/>
      <c r="W692" s="421"/>
      <c r="X692" s="1143"/>
      <c r="Y692" s="1148"/>
      <c r="Z692" s="1169"/>
      <c r="AA692" s="1148"/>
      <c r="AB692" s="1143"/>
      <c r="AC692" s="1159"/>
    </row>
    <row r="693" spans="1:29">
      <c r="A693" s="1080"/>
      <c r="B693" s="1143"/>
      <c r="C693" s="1143"/>
      <c r="T693" s="1065"/>
    </row>
    <row r="694" spans="1:29">
      <c r="A694" s="1080"/>
      <c r="B694" s="1143"/>
      <c r="C694" s="1143"/>
      <c r="Q694" s="1144"/>
      <c r="R694" s="1105"/>
      <c r="S694" s="1105"/>
      <c r="T694" s="1105"/>
    </row>
    <row r="695" spans="1:29">
      <c r="A695" s="1143"/>
      <c r="C695" s="1143"/>
      <c r="D695" s="1143"/>
      <c r="E695" s="1143"/>
      <c r="F695" s="1143"/>
      <c r="G695" s="1143"/>
      <c r="H695" s="1143"/>
      <c r="I695" s="1143"/>
      <c r="J695" s="1143"/>
      <c r="K695" s="1143"/>
      <c r="L695" s="1143"/>
      <c r="M695" s="1143"/>
      <c r="N695" s="1143"/>
      <c r="O695" s="1143"/>
      <c r="P695" s="1143"/>
      <c r="Q695" s="1144"/>
      <c r="R695" s="1105"/>
      <c r="S695" s="1105"/>
      <c r="T695" s="1105"/>
    </row>
    <row r="696" spans="1:29">
      <c r="A696" s="1154" t="s">
        <v>39</v>
      </c>
      <c r="C696" s="1143"/>
      <c r="D696" s="1143"/>
      <c r="E696" s="1143"/>
      <c r="F696" s="1143"/>
      <c r="G696" s="1143"/>
      <c r="H696" s="1143"/>
      <c r="I696" s="1143"/>
      <c r="J696" s="1143"/>
      <c r="K696" s="1143"/>
      <c r="L696" s="1143"/>
      <c r="M696" s="1143"/>
      <c r="N696" s="1143"/>
      <c r="O696" s="1143"/>
      <c r="P696" s="1143"/>
      <c r="Q696" s="1144"/>
      <c r="R696" s="1105"/>
      <c r="S696" s="1105"/>
      <c r="T696" s="1105"/>
    </row>
    <row r="697" spans="1:29">
      <c r="A697" s="1144" t="s">
        <v>40</v>
      </c>
      <c r="C697" s="1143"/>
      <c r="D697" s="1143" t="s">
        <v>972</v>
      </c>
      <c r="E697" s="1143"/>
      <c r="F697" s="1143"/>
      <c r="G697" s="1143"/>
      <c r="H697" s="1143"/>
      <c r="I697" s="1143"/>
      <c r="J697" s="1143"/>
      <c r="K697" s="1143"/>
      <c r="L697" s="1143"/>
      <c r="M697" s="1143"/>
      <c r="N697" s="1143"/>
      <c r="O697" s="1143"/>
      <c r="P697" s="1143"/>
      <c r="Q697" s="1144"/>
      <c r="R697" s="1105"/>
      <c r="S697" s="1105"/>
      <c r="T697" s="1105"/>
    </row>
    <row r="698" spans="1:29">
      <c r="A698" s="1144" t="s">
        <v>42</v>
      </c>
      <c r="B698" s="1105"/>
      <c r="C698" s="1105"/>
      <c r="D698" s="1105" t="s">
        <v>1237</v>
      </c>
      <c r="E698" s="1105"/>
      <c r="F698" s="1105"/>
      <c r="G698" s="1105"/>
      <c r="H698" s="1105"/>
      <c r="I698" s="1105"/>
      <c r="J698" s="1105"/>
      <c r="K698" s="1105"/>
      <c r="L698" s="1105"/>
      <c r="M698" s="1105"/>
      <c r="N698" s="1105"/>
      <c r="O698" s="1105"/>
      <c r="P698" s="1105"/>
      <c r="Q698" s="1144"/>
      <c r="R698" s="1105"/>
      <c r="S698" s="1105"/>
      <c r="T698" s="1105"/>
    </row>
    <row r="699" spans="1:29">
      <c r="A699" s="1160" t="s">
        <v>44</v>
      </c>
      <c r="B699" s="1105"/>
      <c r="C699" s="1105"/>
      <c r="D699" s="1105" t="s">
        <v>1238</v>
      </c>
      <c r="E699" s="1105"/>
      <c r="F699" s="1105"/>
      <c r="G699" s="1105"/>
      <c r="H699" s="1105"/>
      <c r="I699" s="1105"/>
      <c r="J699" s="1105"/>
      <c r="K699" s="1105"/>
      <c r="L699" s="1105"/>
      <c r="M699" s="1105"/>
      <c r="N699" s="1105"/>
      <c r="O699" s="1105"/>
      <c r="P699" s="1105"/>
      <c r="Q699" s="1144"/>
      <c r="R699" s="1105"/>
      <c r="S699" s="1105"/>
      <c r="T699" s="1105"/>
    </row>
    <row r="700" spans="1:29">
      <c r="A700" s="1160" t="s">
        <v>46</v>
      </c>
      <c r="B700" s="1105"/>
      <c r="C700" s="1105"/>
      <c r="D700" s="1105" t="s">
        <v>1239</v>
      </c>
      <c r="E700" s="1105"/>
      <c r="F700" s="1105"/>
      <c r="G700" s="1105"/>
      <c r="H700" s="1105"/>
      <c r="I700" s="1105"/>
      <c r="J700" s="1105"/>
      <c r="K700" s="1105"/>
      <c r="L700" s="1105"/>
      <c r="M700" s="1105"/>
      <c r="N700" s="1105"/>
      <c r="O700" s="1105"/>
      <c r="P700" s="1105"/>
      <c r="Q700" s="1144"/>
      <c r="R700" s="1105"/>
      <c r="S700" s="1105"/>
      <c r="T700" s="1105"/>
    </row>
    <row r="701" spans="1:29">
      <c r="A701" s="1160" t="s">
        <v>48</v>
      </c>
      <c r="B701" s="1105"/>
      <c r="C701" s="1105"/>
      <c r="D701" s="1105" t="s">
        <v>1240</v>
      </c>
      <c r="E701" s="1105"/>
      <c r="F701" s="1105"/>
      <c r="G701" s="1105"/>
      <c r="H701" s="1105"/>
      <c r="I701" s="1105"/>
      <c r="J701" s="1105"/>
      <c r="K701" s="1105"/>
      <c r="L701" s="1105"/>
      <c r="M701" s="1105"/>
      <c r="N701" s="1105"/>
      <c r="O701" s="1105"/>
      <c r="P701" s="1105"/>
      <c r="Q701" s="1144"/>
      <c r="R701" s="1105"/>
      <c r="S701" s="1105"/>
      <c r="T701" s="1105"/>
    </row>
    <row r="702" spans="1:29">
      <c r="A702" s="1160"/>
      <c r="B702" s="1105"/>
      <c r="C702" s="1105"/>
      <c r="D702" s="1105"/>
      <c r="E702" s="1105"/>
      <c r="F702" s="1105"/>
      <c r="G702" s="1105"/>
      <c r="H702" s="1105"/>
      <c r="I702" s="1105"/>
      <c r="J702" s="1105"/>
      <c r="K702" s="1105"/>
      <c r="L702" s="1105"/>
      <c r="M702" s="1105"/>
      <c r="N702" s="1105"/>
      <c r="O702" s="1105"/>
      <c r="P702" s="1105"/>
      <c r="Q702" s="1144"/>
      <c r="R702" s="1105"/>
      <c r="S702" s="1105"/>
      <c r="T702" s="1105"/>
    </row>
    <row r="703" spans="1:29">
      <c r="A703" s="1105"/>
      <c r="B703" s="1105"/>
      <c r="C703" s="1105"/>
      <c r="D703" s="1105"/>
      <c r="E703" s="1105"/>
      <c r="F703" s="1105"/>
      <c r="G703" s="1105"/>
      <c r="H703" s="1105"/>
      <c r="I703" s="1105"/>
      <c r="J703" s="1105"/>
      <c r="K703" s="1105"/>
      <c r="L703" s="1105"/>
      <c r="M703" s="1105"/>
      <c r="N703" s="1105"/>
      <c r="O703" s="1105"/>
      <c r="P703" s="1105"/>
      <c r="Q703" s="1144"/>
      <c r="R703" s="1105"/>
      <c r="S703" s="1105"/>
      <c r="T703" s="1105"/>
    </row>
    <row r="704" spans="1:29">
      <c r="A704" s="1105"/>
      <c r="B704" s="1105"/>
      <c r="C704" s="1105"/>
      <c r="D704" s="1105"/>
      <c r="E704" s="1105"/>
      <c r="F704" s="1105"/>
      <c r="G704" s="1105"/>
      <c r="H704" s="1105"/>
      <c r="I704" s="1105"/>
      <c r="J704" s="1105"/>
      <c r="K704" s="1105"/>
      <c r="L704" s="1105"/>
      <c r="M704" s="1105"/>
      <c r="N704" s="1105"/>
      <c r="O704" s="1105"/>
      <c r="P704" s="1105"/>
      <c r="Q704" s="1144"/>
      <c r="R704" s="1105"/>
      <c r="S704" s="1105"/>
      <c r="T704" s="1105"/>
    </row>
    <row r="705" spans="1:20">
      <c r="A705" s="1105"/>
      <c r="B705" s="1105"/>
      <c r="C705" s="1105"/>
      <c r="D705" s="1105"/>
      <c r="E705" s="1105"/>
      <c r="F705" s="1105"/>
      <c r="G705" s="1105"/>
      <c r="H705" s="1105"/>
      <c r="I705" s="1105"/>
      <c r="J705" s="1105"/>
      <c r="K705" s="1105"/>
      <c r="L705" s="1105"/>
      <c r="M705" s="1105"/>
      <c r="N705" s="1105"/>
      <c r="O705" s="1105"/>
      <c r="P705" s="1105"/>
      <c r="Q705" s="1144"/>
      <c r="R705" s="1105"/>
      <c r="S705" s="1105"/>
      <c r="T705" s="1105"/>
    </row>
    <row r="706" spans="1:20">
      <c r="A706" s="1105"/>
      <c r="B706" s="1105"/>
      <c r="C706" s="1105"/>
      <c r="D706" s="1105"/>
      <c r="E706" s="1105"/>
      <c r="F706" s="1105"/>
      <c r="G706" s="1105"/>
      <c r="H706" s="1105"/>
      <c r="I706" s="1105"/>
      <c r="J706" s="1105"/>
      <c r="K706" s="1105"/>
      <c r="L706" s="1105"/>
      <c r="M706" s="1105"/>
      <c r="N706" s="1105"/>
      <c r="O706" s="1105"/>
      <c r="P706" s="1105"/>
      <c r="Q706" s="1144"/>
      <c r="R706" s="1105"/>
      <c r="S706" s="1105"/>
      <c r="T706" s="1105"/>
    </row>
    <row r="707" spans="1:20">
      <c r="A707" s="1105"/>
      <c r="B707" s="1105"/>
      <c r="C707" s="1105"/>
      <c r="D707" s="1105"/>
      <c r="E707" s="1105"/>
      <c r="F707" s="1105"/>
      <c r="G707" s="1105"/>
      <c r="H707" s="1105"/>
      <c r="I707" s="1105"/>
      <c r="J707" s="1105"/>
      <c r="K707" s="1105"/>
      <c r="L707" s="1105"/>
      <c r="M707" s="1105"/>
      <c r="N707" s="1105"/>
      <c r="O707" s="1105"/>
      <c r="P707" s="1105"/>
      <c r="Q707" s="1144"/>
      <c r="R707" s="1105"/>
      <c r="S707" s="1105"/>
      <c r="T707" s="1105"/>
    </row>
    <row r="708" spans="1:20">
      <c r="A708" s="1105"/>
      <c r="B708" s="1105"/>
      <c r="C708" s="1105"/>
      <c r="D708" s="1105"/>
      <c r="E708" s="1105"/>
      <c r="F708" s="1105"/>
      <c r="G708" s="1105"/>
      <c r="H708" s="1105"/>
      <c r="I708" s="1105"/>
      <c r="J708" s="1105"/>
      <c r="K708" s="1105"/>
      <c r="L708" s="1105"/>
      <c r="M708" s="1105"/>
      <c r="N708" s="1105"/>
      <c r="O708" s="1105"/>
      <c r="P708" s="1105"/>
      <c r="Q708" s="1144"/>
      <c r="R708" s="1105"/>
      <c r="S708" s="1105"/>
      <c r="T708" s="1105"/>
    </row>
    <row r="709" spans="1:20">
      <c r="A709" s="1105"/>
      <c r="B709" s="1105"/>
      <c r="C709" s="1105"/>
      <c r="D709" s="1105"/>
      <c r="E709" s="1105"/>
      <c r="F709" s="1105"/>
      <c r="G709" s="1105"/>
      <c r="H709" s="1105"/>
      <c r="I709" s="1105"/>
      <c r="J709" s="1105"/>
      <c r="K709" s="1105"/>
      <c r="L709" s="1105"/>
      <c r="M709" s="1105"/>
      <c r="N709" s="1105"/>
      <c r="O709" s="1105"/>
      <c r="P709" s="1105"/>
      <c r="Q709" s="1144"/>
      <c r="R709" s="1105"/>
      <c r="S709" s="1105"/>
      <c r="T709" s="1105"/>
    </row>
    <row r="710" spans="1:20">
      <c r="A710" s="1105"/>
      <c r="B710" s="1105"/>
      <c r="C710" s="1105"/>
      <c r="D710" s="1105"/>
      <c r="E710" s="1105"/>
      <c r="F710" s="1105"/>
      <c r="G710" s="1105"/>
      <c r="H710" s="1105"/>
      <c r="I710" s="1105"/>
      <c r="J710" s="1105"/>
      <c r="K710" s="1105"/>
      <c r="L710" s="1105"/>
      <c r="M710" s="1105"/>
      <c r="N710" s="1105"/>
      <c r="O710" s="1105"/>
      <c r="P710" s="1105"/>
      <c r="Q710" s="1144"/>
      <c r="R710" s="1105"/>
      <c r="S710" s="1105"/>
      <c r="T710" s="1105"/>
    </row>
    <row r="711" spans="1:20">
      <c r="A711" s="1105"/>
      <c r="B711" s="1105"/>
      <c r="C711" s="1105"/>
      <c r="D711" s="1105"/>
      <c r="E711" s="1105"/>
      <c r="F711" s="1105"/>
      <c r="G711" s="1105"/>
      <c r="H711" s="1105"/>
      <c r="I711" s="1105"/>
      <c r="J711" s="1105"/>
      <c r="K711" s="1105"/>
      <c r="L711" s="1105"/>
      <c r="M711" s="1105"/>
      <c r="N711" s="1105"/>
      <c r="O711" s="1105"/>
      <c r="P711" s="1105"/>
      <c r="Q711" s="1144"/>
      <c r="R711" s="1105"/>
      <c r="S711" s="1105"/>
      <c r="T711" s="1105"/>
    </row>
    <row r="712" spans="1:20">
      <c r="A712" s="1105"/>
      <c r="B712" s="1105"/>
      <c r="C712" s="1105"/>
      <c r="D712" s="1105"/>
      <c r="E712" s="1105"/>
      <c r="F712" s="1105"/>
      <c r="G712" s="1105"/>
      <c r="H712" s="1105"/>
      <c r="I712" s="1105"/>
      <c r="J712" s="1105"/>
      <c r="K712" s="1105"/>
      <c r="L712" s="1105"/>
      <c r="M712" s="1105"/>
      <c r="N712" s="1105"/>
      <c r="O712" s="1105"/>
      <c r="P712" s="1105"/>
      <c r="Q712" s="1144"/>
      <c r="R712" s="1105"/>
      <c r="S712" s="1105"/>
      <c r="T712" s="1105"/>
    </row>
    <row r="713" spans="1:20">
      <c r="A713" s="1105"/>
      <c r="B713" s="1105"/>
      <c r="C713" s="1105"/>
      <c r="D713" s="1105"/>
      <c r="E713" s="1105"/>
      <c r="F713" s="1105"/>
      <c r="G713" s="1105"/>
      <c r="H713" s="1105"/>
      <c r="I713" s="1105"/>
      <c r="J713" s="1105"/>
      <c r="K713" s="1105"/>
      <c r="L713" s="1105"/>
      <c r="M713" s="1105"/>
      <c r="N713" s="1105"/>
      <c r="O713" s="1105"/>
      <c r="P713" s="1105"/>
      <c r="Q713" s="1144"/>
      <c r="R713" s="1105"/>
      <c r="S713" s="1105"/>
      <c r="T713" s="1105"/>
    </row>
    <row r="714" spans="1:20">
      <c r="A714" s="1105"/>
      <c r="B714" s="1105"/>
      <c r="C714" s="1105"/>
      <c r="D714" s="1105"/>
      <c r="E714" s="1105"/>
      <c r="F714" s="1105"/>
      <c r="G714" s="1105"/>
      <c r="H714" s="1105"/>
      <c r="I714" s="1105"/>
      <c r="J714" s="1105"/>
      <c r="K714" s="1105"/>
      <c r="L714" s="1105"/>
      <c r="M714" s="1105"/>
      <c r="N714" s="1105"/>
      <c r="O714" s="1105"/>
      <c r="P714" s="1105"/>
      <c r="Q714" s="1144"/>
      <c r="R714" s="1105"/>
      <c r="S714" s="1105"/>
      <c r="T714" s="1105"/>
    </row>
    <row r="715" spans="1:20">
      <c r="A715" s="1105"/>
      <c r="B715" s="1105"/>
      <c r="C715" s="1105"/>
      <c r="D715" s="1105"/>
      <c r="E715" s="1105"/>
      <c r="F715" s="1105"/>
      <c r="G715" s="1105"/>
      <c r="H715" s="1105"/>
      <c r="I715" s="1105"/>
      <c r="J715" s="1105"/>
      <c r="K715" s="1105"/>
      <c r="L715" s="1105"/>
      <c r="M715" s="1105"/>
      <c r="N715" s="1105"/>
      <c r="O715" s="1105"/>
      <c r="P715" s="1105"/>
      <c r="Q715" s="1144"/>
      <c r="R715" s="1105"/>
      <c r="S715" s="1105"/>
      <c r="T715" s="1105"/>
    </row>
    <row r="716" spans="1:20">
      <c r="A716" s="1105"/>
      <c r="B716" s="1105"/>
      <c r="C716" s="1105"/>
      <c r="D716" s="1105"/>
      <c r="E716" s="1105"/>
      <c r="F716" s="1105"/>
      <c r="G716" s="1105"/>
      <c r="H716" s="1105"/>
      <c r="I716" s="1105"/>
      <c r="J716" s="1105"/>
      <c r="K716" s="1105"/>
      <c r="L716" s="1105"/>
      <c r="M716" s="1105"/>
      <c r="N716" s="1105"/>
      <c r="O716" s="1105"/>
      <c r="P716" s="1105"/>
      <c r="Q716" s="1144"/>
      <c r="R716" s="1105"/>
      <c r="S716" s="1105"/>
      <c r="T716" s="1105"/>
    </row>
    <row r="717" spans="1:20">
      <c r="A717" s="1105"/>
      <c r="B717" s="1105"/>
      <c r="C717" s="1105"/>
      <c r="D717" s="1105"/>
      <c r="E717" s="1105"/>
      <c r="F717" s="1105"/>
      <c r="G717" s="1105"/>
      <c r="H717" s="1105"/>
      <c r="I717" s="1105"/>
      <c r="J717" s="1105"/>
      <c r="K717" s="1105"/>
      <c r="L717" s="1105"/>
      <c r="M717" s="1105"/>
      <c r="N717" s="1105"/>
      <c r="O717" s="1105"/>
      <c r="P717" s="1105"/>
      <c r="Q717" s="1144"/>
      <c r="R717" s="1105"/>
      <c r="S717" s="1105"/>
      <c r="T717" s="1105"/>
    </row>
    <row r="718" spans="1:20">
      <c r="A718" s="1105"/>
      <c r="B718" s="1105"/>
      <c r="C718" s="1105"/>
      <c r="D718" s="1105"/>
      <c r="E718" s="1105"/>
      <c r="F718" s="1105"/>
      <c r="G718" s="1105"/>
      <c r="H718" s="1105"/>
      <c r="I718" s="1105"/>
      <c r="J718" s="1105"/>
      <c r="K718" s="1105"/>
      <c r="L718" s="1105"/>
      <c r="M718" s="1105"/>
      <c r="N718" s="1105"/>
      <c r="O718" s="1105"/>
      <c r="P718" s="1105"/>
      <c r="Q718" s="1144"/>
      <c r="R718" s="1105"/>
      <c r="S718" s="1105"/>
      <c r="T718" s="1105"/>
    </row>
    <row r="719" spans="1:20">
      <c r="A719" s="1105"/>
      <c r="B719" s="1105"/>
      <c r="C719" s="1105"/>
      <c r="D719" s="1105"/>
      <c r="E719" s="1105"/>
      <c r="F719" s="1105"/>
      <c r="G719" s="1105"/>
      <c r="H719" s="1105"/>
      <c r="I719" s="1105"/>
      <c r="J719" s="1105"/>
      <c r="K719" s="1105"/>
      <c r="L719" s="1105"/>
      <c r="M719" s="1105"/>
      <c r="N719" s="1105"/>
      <c r="O719" s="1105"/>
      <c r="P719" s="1105"/>
      <c r="Q719" s="1144"/>
      <c r="R719" s="1105"/>
      <c r="S719" s="1105"/>
      <c r="T719" s="1105"/>
    </row>
    <row r="720" spans="1:20">
      <c r="A720" s="1105"/>
      <c r="B720" s="1105"/>
      <c r="C720" s="1105"/>
      <c r="D720" s="1105"/>
      <c r="E720" s="1105"/>
      <c r="F720" s="1105"/>
      <c r="G720" s="1105"/>
      <c r="H720" s="1105"/>
      <c r="I720" s="1105"/>
      <c r="J720" s="1105"/>
      <c r="K720" s="1105"/>
      <c r="L720" s="1105"/>
      <c r="M720" s="1105"/>
      <c r="N720" s="1105"/>
      <c r="O720" s="1105"/>
      <c r="P720" s="1105"/>
      <c r="Q720" s="1144"/>
      <c r="R720" s="1105"/>
      <c r="S720" s="1105"/>
      <c r="T720" s="1105"/>
    </row>
    <row r="721" spans="1:20">
      <c r="A721" s="1105"/>
      <c r="B721" s="1105"/>
      <c r="C721" s="1105"/>
      <c r="D721" s="1105"/>
      <c r="E721" s="1105"/>
      <c r="F721" s="1105"/>
      <c r="G721" s="1105"/>
      <c r="H721" s="1105"/>
      <c r="I721" s="1105"/>
      <c r="J721" s="1105"/>
      <c r="K721" s="1105"/>
      <c r="L721" s="1105"/>
      <c r="M721" s="1105"/>
      <c r="N721" s="1105"/>
      <c r="O721" s="1105"/>
      <c r="P721" s="1105"/>
      <c r="Q721" s="1144"/>
      <c r="R721" s="1105"/>
      <c r="S721" s="1105"/>
      <c r="T721" s="1105"/>
    </row>
    <row r="722" spans="1:20">
      <c r="A722" s="1105"/>
      <c r="B722" s="1105"/>
      <c r="C722" s="1105"/>
      <c r="D722" s="1105"/>
      <c r="E722" s="1105"/>
      <c r="F722" s="1105"/>
      <c r="G722" s="1105"/>
      <c r="H722" s="1105"/>
      <c r="I722" s="1105"/>
      <c r="J722" s="1105"/>
      <c r="K722" s="1105"/>
      <c r="L722" s="1105"/>
      <c r="M722" s="1105"/>
      <c r="N722" s="1105"/>
      <c r="O722" s="1105"/>
      <c r="P722" s="1105"/>
      <c r="Q722" s="1144"/>
      <c r="R722" s="1105"/>
      <c r="S722" s="1105"/>
      <c r="T722" s="1105"/>
    </row>
    <row r="723" spans="1:20">
      <c r="A723" s="1105"/>
      <c r="B723" s="1105"/>
      <c r="C723" s="1105"/>
      <c r="D723" s="1105"/>
      <c r="E723" s="1105"/>
      <c r="F723" s="1105"/>
      <c r="G723" s="1105"/>
      <c r="H723" s="1105"/>
      <c r="I723" s="1105"/>
      <c r="J723" s="1105"/>
      <c r="K723" s="1105"/>
      <c r="L723" s="1105"/>
      <c r="M723" s="1105"/>
      <c r="N723" s="1105"/>
      <c r="O723" s="1105"/>
      <c r="P723" s="1105"/>
      <c r="Q723" s="1144"/>
      <c r="R723" s="1105"/>
      <c r="S723" s="1105"/>
      <c r="T723" s="1105"/>
    </row>
    <row r="724" spans="1:20">
      <c r="A724" s="1105"/>
      <c r="B724" s="1105"/>
      <c r="C724" s="1105"/>
      <c r="D724" s="1105"/>
      <c r="E724" s="1105"/>
      <c r="F724" s="1105"/>
      <c r="G724" s="1105"/>
      <c r="H724" s="1105"/>
      <c r="I724" s="1105"/>
      <c r="J724" s="1105"/>
      <c r="K724" s="1105"/>
      <c r="L724" s="1105"/>
      <c r="M724" s="1105"/>
      <c r="N724" s="1105"/>
      <c r="O724" s="1105"/>
      <c r="P724" s="1105"/>
      <c r="Q724" s="1144"/>
      <c r="R724" s="1105"/>
      <c r="S724" s="1105"/>
      <c r="T724" s="1105"/>
    </row>
    <row r="725" spans="1:20">
      <c r="A725" s="1105"/>
      <c r="B725" s="1105"/>
      <c r="C725" s="1105"/>
      <c r="D725" s="1105"/>
      <c r="E725" s="1105"/>
      <c r="F725" s="1105"/>
      <c r="G725" s="1105"/>
      <c r="H725" s="1105"/>
      <c r="I725" s="1105"/>
      <c r="J725" s="1105"/>
      <c r="K725" s="1105"/>
      <c r="L725" s="1105"/>
      <c r="M725" s="1105"/>
      <c r="N725" s="1105"/>
      <c r="O725" s="1105"/>
      <c r="P725" s="1105"/>
      <c r="Q725" s="1144"/>
      <c r="R725" s="1105"/>
      <c r="S725" s="1105"/>
      <c r="T725" s="1105"/>
    </row>
    <row r="726" spans="1:20">
      <c r="A726" s="1105"/>
      <c r="B726" s="1105"/>
      <c r="C726" s="1105"/>
      <c r="D726" s="1105"/>
      <c r="E726" s="1105"/>
      <c r="F726" s="1105"/>
      <c r="G726" s="1105"/>
      <c r="H726" s="1105"/>
      <c r="I726" s="1105"/>
      <c r="J726" s="1105"/>
      <c r="K726" s="1105"/>
      <c r="L726" s="1105"/>
      <c r="M726" s="1105"/>
      <c r="N726" s="1105"/>
      <c r="O726" s="1105"/>
      <c r="P726" s="1105"/>
      <c r="Q726" s="1144"/>
      <c r="R726" s="1105"/>
      <c r="S726" s="1105"/>
      <c r="T726" s="1105"/>
    </row>
    <row r="727" spans="1:20">
      <c r="A727" s="1105"/>
      <c r="B727" s="1105"/>
      <c r="C727" s="1105"/>
      <c r="D727" s="1105"/>
      <c r="E727" s="1105"/>
      <c r="F727" s="1105"/>
      <c r="G727" s="1105"/>
      <c r="H727" s="1105"/>
      <c r="I727" s="1105"/>
      <c r="J727" s="1105"/>
      <c r="K727" s="1105"/>
      <c r="L727" s="1105"/>
      <c r="M727" s="1105"/>
      <c r="N727" s="1105"/>
      <c r="O727" s="1105"/>
      <c r="P727" s="1105"/>
      <c r="Q727" s="1144"/>
      <c r="R727" s="1105"/>
      <c r="S727" s="1105"/>
      <c r="T727" s="1105"/>
    </row>
    <row r="728" spans="1:20">
      <c r="A728" s="1105"/>
      <c r="B728" s="1105"/>
      <c r="C728" s="1105"/>
      <c r="D728" s="1105"/>
      <c r="E728" s="1105"/>
      <c r="F728" s="1105"/>
      <c r="G728" s="1105"/>
      <c r="H728" s="1105"/>
      <c r="I728" s="1105"/>
      <c r="J728" s="1105"/>
      <c r="K728" s="1105"/>
      <c r="L728" s="1105"/>
      <c r="M728" s="1105"/>
      <c r="N728" s="1105"/>
      <c r="O728" s="1105"/>
      <c r="P728" s="1105"/>
      <c r="Q728" s="1144"/>
      <c r="R728" s="1105"/>
      <c r="S728" s="1105"/>
      <c r="T728" s="1105"/>
    </row>
    <row r="729" spans="1:20">
      <c r="A729" s="1105"/>
      <c r="B729" s="1105"/>
      <c r="C729" s="1105"/>
      <c r="D729" s="1105"/>
      <c r="E729" s="1105"/>
      <c r="F729" s="1105"/>
      <c r="G729" s="1105"/>
      <c r="H729" s="1105"/>
      <c r="I729" s="1105"/>
      <c r="J729" s="1105"/>
      <c r="K729" s="1105"/>
      <c r="L729" s="1105"/>
      <c r="M729" s="1105"/>
      <c r="N729" s="1105"/>
      <c r="O729" s="1105"/>
      <c r="P729" s="1105"/>
      <c r="Q729" s="1144"/>
      <c r="R729" s="1105"/>
      <c r="S729" s="1105"/>
      <c r="T729" s="1105"/>
    </row>
    <row r="730" spans="1:20">
      <c r="A730" s="1105"/>
      <c r="B730" s="1105"/>
      <c r="C730" s="1105"/>
      <c r="D730" s="1105"/>
      <c r="E730" s="1105"/>
      <c r="F730" s="1105"/>
      <c r="G730" s="1105"/>
      <c r="H730" s="1105"/>
      <c r="I730" s="1105"/>
      <c r="J730" s="1105"/>
      <c r="K730" s="1105"/>
      <c r="L730" s="1105"/>
      <c r="M730" s="1105"/>
      <c r="N730" s="1105"/>
      <c r="O730" s="1105"/>
      <c r="P730" s="1105"/>
      <c r="Q730" s="1144"/>
      <c r="R730" s="1105"/>
      <c r="S730" s="1105"/>
      <c r="T730" s="1105"/>
    </row>
    <row r="731" spans="1:20">
      <c r="A731" s="1105"/>
      <c r="B731" s="1105"/>
      <c r="C731" s="1105"/>
      <c r="D731" s="1105"/>
      <c r="E731" s="1105"/>
      <c r="F731" s="1105"/>
      <c r="G731" s="1105"/>
      <c r="H731" s="1105"/>
      <c r="I731" s="1105"/>
      <c r="J731" s="1105"/>
      <c r="K731" s="1105"/>
      <c r="L731" s="1105"/>
      <c r="M731" s="1105"/>
      <c r="N731" s="1105"/>
      <c r="O731" s="1105"/>
      <c r="P731" s="1105"/>
      <c r="Q731" s="1144"/>
      <c r="R731" s="1105"/>
      <c r="S731" s="1105"/>
      <c r="T731" s="1105"/>
    </row>
    <row r="732" spans="1:20">
      <c r="A732" s="1105"/>
      <c r="B732" s="1105"/>
      <c r="C732" s="1105"/>
      <c r="D732" s="1105"/>
      <c r="E732" s="1105"/>
      <c r="F732" s="1105"/>
      <c r="G732" s="1105"/>
      <c r="H732" s="1105"/>
      <c r="I732" s="1105"/>
      <c r="J732" s="1105"/>
      <c r="K732" s="1105"/>
      <c r="L732" s="1105"/>
      <c r="M732" s="1105"/>
      <c r="N732" s="1105"/>
      <c r="O732" s="1105"/>
      <c r="P732" s="1105"/>
      <c r="Q732" s="1144"/>
      <c r="R732" s="1105"/>
      <c r="S732" s="1105"/>
      <c r="T732" s="1105"/>
    </row>
    <row r="733" spans="1:20">
      <c r="A733" s="1105"/>
      <c r="B733" s="1105"/>
      <c r="C733" s="1105"/>
      <c r="D733" s="1105"/>
      <c r="E733" s="1105"/>
      <c r="F733" s="1105"/>
      <c r="G733" s="1105"/>
      <c r="H733" s="1105"/>
      <c r="I733" s="1105"/>
      <c r="J733" s="1105"/>
      <c r="K733" s="1105"/>
      <c r="L733" s="1105"/>
      <c r="M733" s="1105"/>
      <c r="N733" s="1105"/>
      <c r="O733" s="1105"/>
      <c r="P733" s="1105"/>
      <c r="Q733" s="1144"/>
      <c r="R733" s="1105"/>
      <c r="S733" s="1105"/>
      <c r="T733" s="1105"/>
    </row>
    <row r="734" spans="1:20">
      <c r="A734" s="1105"/>
      <c r="B734" s="1105"/>
      <c r="C734" s="1105"/>
      <c r="D734" s="1105"/>
      <c r="E734" s="1105"/>
      <c r="F734" s="1105"/>
      <c r="G734" s="1105"/>
      <c r="H734" s="1105"/>
      <c r="I734" s="1105"/>
      <c r="J734" s="1105"/>
      <c r="K734" s="1105"/>
      <c r="L734" s="1105"/>
      <c r="M734" s="1105"/>
      <c r="N734" s="1105"/>
      <c r="O734" s="1105"/>
      <c r="P734" s="1105"/>
      <c r="Q734" s="1144"/>
      <c r="R734" s="1105"/>
      <c r="S734" s="1105"/>
      <c r="T734" s="1105"/>
    </row>
    <row r="735" spans="1:20">
      <c r="A735" s="1105"/>
      <c r="B735" s="1105"/>
      <c r="C735" s="1105"/>
      <c r="D735" s="1105"/>
      <c r="E735" s="1105"/>
      <c r="F735" s="1105"/>
      <c r="G735" s="1105"/>
      <c r="H735" s="1105"/>
      <c r="I735" s="1105"/>
      <c r="J735" s="1105"/>
      <c r="K735" s="1105"/>
      <c r="L735" s="1105"/>
      <c r="M735" s="1105"/>
      <c r="N735" s="1105"/>
      <c r="O735" s="1105"/>
      <c r="P735" s="1105"/>
      <c r="Q735" s="1144"/>
      <c r="R735" s="1105"/>
      <c r="S735" s="1105"/>
      <c r="T735" s="1105"/>
    </row>
    <row r="736" spans="1:20">
      <c r="A736" s="1105"/>
      <c r="B736" s="1105"/>
      <c r="C736" s="1105"/>
      <c r="D736" s="1105"/>
      <c r="E736" s="1105"/>
      <c r="F736" s="1105"/>
      <c r="G736" s="1105"/>
      <c r="H736" s="1105"/>
      <c r="I736" s="1105"/>
      <c r="J736" s="1105"/>
      <c r="K736" s="1105"/>
      <c r="L736" s="1105"/>
      <c r="M736" s="1105"/>
      <c r="N736" s="1105"/>
      <c r="O736" s="1105"/>
      <c r="P736" s="1105"/>
      <c r="Q736" s="1144"/>
      <c r="R736" s="1105"/>
      <c r="S736" s="1105"/>
      <c r="T736" s="1105"/>
    </row>
    <row r="737" spans="1:20">
      <c r="A737" s="1105"/>
      <c r="B737" s="1105"/>
      <c r="C737" s="1105"/>
      <c r="D737" s="1105"/>
      <c r="E737" s="1105"/>
      <c r="F737" s="1105"/>
      <c r="G737" s="1105"/>
      <c r="H737" s="1105"/>
      <c r="I737" s="1105"/>
      <c r="J737" s="1105"/>
      <c r="K737" s="1105"/>
      <c r="L737" s="1105"/>
      <c r="M737" s="1105"/>
      <c r="N737" s="1105"/>
      <c r="O737" s="1105"/>
      <c r="P737" s="1105"/>
      <c r="Q737" s="1144"/>
      <c r="R737" s="1105"/>
      <c r="S737" s="1105"/>
      <c r="T737" s="1105"/>
    </row>
    <row r="738" spans="1:20">
      <c r="A738" s="1105"/>
      <c r="B738" s="1105"/>
      <c r="C738" s="1105"/>
      <c r="D738" s="1105"/>
      <c r="E738" s="1105"/>
      <c r="F738" s="1105"/>
      <c r="G738" s="1105"/>
      <c r="H738" s="1105"/>
      <c r="I738" s="1105"/>
      <c r="J738" s="1105"/>
      <c r="K738" s="1105"/>
      <c r="L738" s="1105"/>
      <c r="M738" s="1105"/>
      <c r="N738" s="1105"/>
      <c r="O738" s="1105"/>
      <c r="P738" s="1105"/>
      <c r="Q738" s="1144"/>
      <c r="R738" s="1105"/>
      <c r="S738" s="1105"/>
      <c r="T738" s="1105"/>
    </row>
    <row r="739" spans="1:20">
      <c r="A739" s="1105"/>
      <c r="B739" s="1105"/>
      <c r="C739" s="1105"/>
      <c r="D739" s="1105"/>
      <c r="E739" s="1105"/>
      <c r="F739" s="1105"/>
      <c r="G739" s="1105"/>
      <c r="H739" s="1105"/>
      <c r="I739" s="1105"/>
      <c r="J739" s="1105"/>
      <c r="K739" s="1105"/>
      <c r="L739" s="1105"/>
      <c r="M739" s="1105"/>
      <c r="N739" s="1105"/>
      <c r="O739" s="1105"/>
      <c r="P739" s="1105"/>
      <c r="Q739" s="1144"/>
      <c r="R739" s="1105"/>
      <c r="S739" s="1105"/>
      <c r="T739" s="1105"/>
    </row>
    <row r="740" spans="1:20">
      <c r="A740" s="1105"/>
      <c r="B740" s="1105"/>
      <c r="C740" s="1105"/>
      <c r="D740" s="1105"/>
      <c r="E740" s="1105"/>
      <c r="F740" s="1105"/>
      <c r="G740" s="1105"/>
      <c r="H740" s="1105"/>
      <c r="I740" s="1105"/>
      <c r="J740" s="1105"/>
      <c r="K740" s="1105"/>
      <c r="L740" s="1105"/>
      <c r="M740" s="1105"/>
      <c r="N740" s="1105"/>
      <c r="O740" s="1105"/>
      <c r="P740" s="1105"/>
      <c r="Q740" s="1144"/>
      <c r="R740" s="1105"/>
      <c r="S740" s="1105"/>
      <c r="T740" s="1105"/>
    </row>
    <row r="741" spans="1:20">
      <c r="A741" s="1105"/>
      <c r="B741" s="1105"/>
      <c r="C741" s="1105"/>
      <c r="D741" s="1105"/>
      <c r="E741" s="1105"/>
      <c r="F741" s="1105"/>
      <c r="G741" s="1105"/>
      <c r="H741" s="1105"/>
      <c r="I741" s="1105"/>
      <c r="J741" s="1105"/>
      <c r="K741" s="1105"/>
      <c r="L741" s="1105"/>
      <c r="M741" s="1105"/>
      <c r="N741" s="1105"/>
      <c r="O741" s="1105"/>
      <c r="P741" s="1105"/>
      <c r="Q741" s="1144"/>
      <c r="R741" s="1105"/>
      <c r="S741" s="1105"/>
      <c r="T741" s="1105"/>
    </row>
    <row r="742" spans="1:20">
      <c r="A742" s="1105"/>
      <c r="B742" s="1105"/>
      <c r="C742" s="1105"/>
      <c r="D742" s="1105"/>
      <c r="E742" s="1105"/>
      <c r="F742" s="1105"/>
      <c r="G742" s="1105"/>
      <c r="H742" s="1105"/>
      <c r="I742" s="1105"/>
      <c r="J742" s="1105"/>
      <c r="K742" s="1105"/>
      <c r="L742" s="1105"/>
      <c r="M742" s="1105"/>
      <c r="N742" s="1105"/>
      <c r="O742" s="1105"/>
      <c r="P742" s="1105"/>
      <c r="Q742" s="1144"/>
      <c r="R742" s="1105"/>
      <c r="S742" s="1105"/>
      <c r="T742" s="1105"/>
    </row>
    <row r="743" spans="1:20">
      <c r="A743" s="1105"/>
      <c r="B743" s="1105"/>
      <c r="C743" s="1105"/>
      <c r="D743" s="1105"/>
      <c r="E743" s="1105"/>
      <c r="F743" s="1105"/>
      <c r="G743" s="1105"/>
      <c r="H743" s="1105"/>
      <c r="I743" s="1105"/>
      <c r="J743" s="1105"/>
      <c r="K743" s="1105"/>
      <c r="L743" s="1105"/>
      <c r="M743" s="1105"/>
      <c r="N743" s="1105"/>
      <c r="O743" s="1105"/>
      <c r="P743" s="1105"/>
      <c r="Q743" s="1144"/>
      <c r="R743" s="1105"/>
      <c r="S743" s="1105"/>
      <c r="T743" s="1105"/>
    </row>
    <row r="744" spans="1:20">
      <c r="A744" s="1105"/>
      <c r="B744" s="1105"/>
      <c r="C744" s="1105"/>
      <c r="D744" s="1105"/>
      <c r="E744" s="1105"/>
      <c r="F744" s="1105"/>
      <c r="G744" s="1105"/>
      <c r="H744" s="1105"/>
      <c r="I744" s="1105"/>
      <c r="J744" s="1105"/>
      <c r="K744" s="1105"/>
      <c r="L744" s="1105"/>
      <c r="M744" s="1105"/>
      <c r="N744" s="1105"/>
      <c r="O744" s="1105"/>
      <c r="P744" s="1105"/>
      <c r="Q744" s="1144"/>
      <c r="R744" s="1105"/>
      <c r="S744" s="1105"/>
      <c r="T744" s="1105"/>
    </row>
    <row r="745" spans="1:20">
      <c r="A745" s="1105"/>
      <c r="B745" s="1105"/>
      <c r="C745" s="1105"/>
      <c r="D745" s="1105"/>
      <c r="E745" s="1105"/>
      <c r="F745" s="1105"/>
      <c r="G745" s="1105"/>
      <c r="H745" s="1105"/>
      <c r="I745" s="1105"/>
      <c r="J745" s="1105"/>
      <c r="K745" s="1105"/>
      <c r="L745" s="1105"/>
      <c r="M745" s="1105"/>
      <c r="N745" s="1105"/>
      <c r="O745" s="1105"/>
      <c r="P745" s="1105"/>
      <c r="Q745" s="1144"/>
      <c r="R745" s="1105"/>
      <c r="S745" s="1105"/>
      <c r="T745" s="1105"/>
    </row>
    <row r="746" spans="1:20">
      <c r="A746" s="1105"/>
      <c r="B746" s="1105"/>
      <c r="C746" s="1105"/>
      <c r="D746" s="1105"/>
      <c r="E746" s="1105"/>
      <c r="F746" s="1105"/>
      <c r="G746" s="1105"/>
      <c r="H746" s="1105"/>
      <c r="I746" s="1105"/>
      <c r="J746" s="1105"/>
      <c r="K746" s="1105"/>
      <c r="L746" s="1105"/>
      <c r="M746" s="1105"/>
      <c r="N746" s="1105"/>
      <c r="O746" s="1105"/>
      <c r="P746" s="1105"/>
      <c r="Q746" s="1144"/>
      <c r="R746" s="1105"/>
      <c r="S746" s="1105"/>
      <c r="T746" s="1105"/>
    </row>
    <row r="747" spans="1:20">
      <c r="A747" s="1105"/>
      <c r="B747" s="1105"/>
      <c r="C747" s="1105"/>
      <c r="D747" s="1105"/>
      <c r="E747" s="1105"/>
      <c r="F747" s="1105"/>
      <c r="G747" s="1105"/>
      <c r="H747" s="1105"/>
      <c r="I747" s="1105"/>
      <c r="J747" s="1105"/>
      <c r="K747" s="1105"/>
      <c r="L747" s="1105"/>
      <c r="M747" s="1105"/>
      <c r="N747" s="1105"/>
      <c r="O747" s="1105"/>
      <c r="P747" s="1105"/>
      <c r="Q747" s="1144"/>
      <c r="R747" s="1105"/>
      <c r="S747" s="1105"/>
      <c r="T747" s="1105"/>
    </row>
    <row r="748" spans="1:20">
      <c r="A748" s="1105"/>
      <c r="B748" s="1105"/>
      <c r="C748" s="1105"/>
      <c r="D748" s="1105"/>
      <c r="E748" s="1105"/>
      <c r="F748" s="1105"/>
      <c r="G748" s="1105"/>
      <c r="H748" s="1105"/>
      <c r="I748" s="1105"/>
      <c r="J748" s="1105"/>
      <c r="K748" s="1105"/>
      <c r="L748" s="1105"/>
      <c r="M748" s="1105"/>
      <c r="N748" s="1105"/>
      <c r="O748" s="1105"/>
      <c r="P748" s="1105"/>
      <c r="Q748" s="1144"/>
      <c r="R748" s="1105"/>
      <c r="S748" s="1105"/>
      <c r="T748" s="1105"/>
    </row>
    <row r="749" spans="1:20">
      <c r="A749" s="1105"/>
      <c r="B749" s="1105"/>
      <c r="C749" s="1105"/>
      <c r="D749" s="1105"/>
      <c r="E749" s="1105"/>
      <c r="F749" s="1105"/>
      <c r="G749" s="1105"/>
      <c r="H749" s="1105"/>
      <c r="I749" s="1105"/>
      <c r="J749" s="1105"/>
      <c r="K749" s="1105"/>
      <c r="L749" s="1105"/>
      <c r="M749" s="1105"/>
      <c r="N749" s="1105"/>
      <c r="O749" s="1105"/>
      <c r="P749" s="1105"/>
      <c r="Q749" s="1144"/>
      <c r="R749" s="1105"/>
      <c r="S749" s="1105"/>
      <c r="T749" s="1105"/>
    </row>
    <row r="750" spans="1:20">
      <c r="A750" s="1105"/>
      <c r="B750" s="1105"/>
      <c r="C750" s="1105"/>
      <c r="D750" s="1105"/>
      <c r="E750" s="1105"/>
      <c r="F750" s="1105"/>
      <c r="G750" s="1105"/>
      <c r="H750" s="1105"/>
      <c r="I750" s="1105"/>
      <c r="J750" s="1105"/>
      <c r="K750" s="1105"/>
      <c r="L750" s="1105"/>
      <c r="M750" s="1105"/>
      <c r="N750" s="1105"/>
      <c r="O750" s="1105"/>
      <c r="P750" s="1105"/>
      <c r="Q750" s="1144"/>
      <c r="R750" s="1105"/>
      <c r="S750" s="1105"/>
      <c r="T750" s="1105"/>
    </row>
    <row r="751" spans="1:20">
      <c r="A751" s="1105"/>
      <c r="B751" s="1105"/>
      <c r="C751" s="1105"/>
      <c r="D751" s="1105"/>
      <c r="E751" s="1105"/>
      <c r="F751" s="1105"/>
      <c r="G751" s="1105"/>
      <c r="H751" s="1105"/>
      <c r="I751" s="1105"/>
      <c r="J751" s="1105"/>
      <c r="K751" s="1105"/>
      <c r="L751" s="1105"/>
      <c r="M751" s="1105"/>
      <c r="N751" s="1105"/>
      <c r="O751" s="1105"/>
      <c r="P751" s="1105"/>
      <c r="Q751" s="1144"/>
      <c r="R751" s="1105"/>
      <c r="S751" s="1105"/>
      <c r="T751" s="1105"/>
    </row>
    <row r="752" spans="1:20">
      <c r="A752" s="1105"/>
      <c r="B752" s="1105"/>
      <c r="C752" s="1105"/>
      <c r="D752" s="1105"/>
      <c r="E752" s="1105"/>
      <c r="F752" s="1105"/>
      <c r="G752" s="1105"/>
      <c r="H752" s="1105"/>
      <c r="I752" s="1105"/>
      <c r="J752" s="1105"/>
      <c r="K752" s="1105"/>
      <c r="L752" s="1105"/>
      <c r="M752" s="1105"/>
      <c r="N752" s="1105"/>
      <c r="O752" s="1105"/>
      <c r="P752" s="1105"/>
      <c r="Q752" s="1144"/>
      <c r="R752" s="1105"/>
      <c r="S752" s="1105"/>
      <c r="T752" s="1105"/>
    </row>
    <row r="753" spans="1:20">
      <c r="A753" s="1105"/>
      <c r="B753" s="1105"/>
      <c r="C753" s="1105"/>
      <c r="D753" s="1105"/>
      <c r="E753" s="1105"/>
      <c r="F753" s="1105"/>
      <c r="G753" s="1105"/>
      <c r="H753" s="1105"/>
      <c r="I753" s="1105"/>
      <c r="J753" s="1105"/>
      <c r="K753" s="1105"/>
      <c r="L753" s="1105"/>
      <c r="M753" s="1105"/>
      <c r="N753" s="1105"/>
      <c r="O753" s="1105"/>
      <c r="P753" s="1105"/>
      <c r="Q753" s="1144"/>
      <c r="R753" s="1105"/>
      <c r="S753" s="1105"/>
      <c r="T753" s="1105"/>
    </row>
    <row r="754" spans="1:20">
      <c r="A754" s="1105"/>
      <c r="B754" s="1105"/>
      <c r="C754" s="1105"/>
      <c r="D754" s="1105"/>
      <c r="E754" s="1105"/>
      <c r="F754" s="1105"/>
      <c r="G754" s="1105"/>
      <c r="H754" s="1105"/>
      <c r="I754" s="1105"/>
      <c r="J754" s="1105"/>
      <c r="K754" s="1105"/>
      <c r="L754" s="1105"/>
      <c r="M754" s="1105"/>
      <c r="N754" s="1105"/>
      <c r="O754" s="1105"/>
      <c r="P754" s="1105"/>
      <c r="Q754" s="1144"/>
      <c r="R754" s="1105"/>
      <c r="S754" s="1105"/>
      <c r="T754" s="1105"/>
    </row>
    <row r="755" spans="1:20">
      <c r="A755" s="1105"/>
      <c r="B755" s="1105"/>
      <c r="C755" s="1105"/>
      <c r="D755" s="1105"/>
      <c r="E755" s="1105"/>
      <c r="F755" s="1105"/>
      <c r="G755" s="1105"/>
      <c r="H755" s="1105"/>
      <c r="I755" s="1105"/>
      <c r="J755" s="1105"/>
      <c r="K755" s="1105"/>
      <c r="L755" s="1105"/>
      <c r="M755" s="1105"/>
      <c r="N755" s="1105"/>
      <c r="O755" s="1105"/>
      <c r="P755" s="1105"/>
      <c r="Q755" s="1144"/>
      <c r="R755" s="1105"/>
      <c r="S755" s="1105"/>
      <c r="T755" s="1105"/>
    </row>
    <row r="756" spans="1:20">
      <c r="A756" s="1105"/>
      <c r="B756" s="1105"/>
      <c r="C756" s="1105"/>
      <c r="D756" s="1105"/>
      <c r="E756" s="1105"/>
      <c r="F756" s="1105"/>
      <c r="G756" s="1105"/>
      <c r="H756" s="1105"/>
      <c r="I756" s="1105"/>
      <c r="J756" s="1105"/>
      <c r="K756" s="1105"/>
      <c r="L756" s="1105"/>
      <c r="M756" s="1105"/>
      <c r="N756" s="1105"/>
      <c r="O756" s="1105"/>
      <c r="P756" s="1105"/>
      <c r="Q756" s="1144"/>
      <c r="R756" s="1105"/>
      <c r="S756" s="1105"/>
      <c r="T756" s="1105"/>
    </row>
    <row r="757" spans="1:20">
      <c r="A757" s="1105"/>
      <c r="B757" s="1105"/>
      <c r="C757" s="1105"/>
      <c r="D757" s="1105"/>
      <c r="E757" s="1105"/>
      <c r="F757" s="1105"/>
      <c r="G757" s="1105"/>
      <c r="H757" s="1105"/>
      <c r="I757" s="1105"/>
      <c r="J757" s="1105"/>
      <c r="K757" s="1105"/>
      <c r="L757" s="1105"/>
      <c r="M757" s="1105"/>
      <c r="N757" s="1105"/>
      <c r="O757" s="1105"/>
      <c r="P757" s="1105"/>
      <c r="Q757" s="1144"/>
      <c r="R757" s="1105"/>
      <c r="S757" s="1105"/>
      <c r="T757" s="1105"/>
    </row>
    <row r="758" spans="1:20">
      <c r="A758" s="1105"/>
      <c r="B758" s="1105"/>
      <c r="C758" s="1105"/>
      <c r="D758" s="1105"/>
      <c r="E758" s="1105"/>
      <c r="F758" s="1105"/>
      <c r="G758" s="1105"/>
      <c r="H758" s="1105"/>
      <c r="I758" s="1105"/>
      <c r="J758" s="1105"/>
      <c r="K758" s="1105"/>
      <c r="L758" s="1105"/>
      <c r="M758" s="1105"/>
      <c r="N758" s="1105"/>
      <c r="O758" s="1105"/>
      <c r="P758" s="1105"/>
      <c r="Q758" s="1144"/>
      <c r="R758" s="1105"/>
      <c r="S758" s="1105"/>
      <c r="T758" s="1105"/>
    </row>
    <row r="759" spans="1:20">
      <c r="A759" s="1105"/>
      <c r="B759" s="1105"/>
      <c r="C759" s="1105"/>
      <c r="D759" s="1105"/>
      <c r="E759" s="1105"/>
      <c r="F759" s="1105"/>
      <c r="G759" s="1105"/>
      <c r="H759" s="1105"/>
      <c r="I759" s="1105"/>
      <c r="J759" s="1105"/>
      <c r="K759" s="1105"/>
      <c r="L759" s="1105"/>
      <c r="M759" s="1105"/>
      <c r="N759" s="1105"/>
      <c r="O759" s="1105"/>
      <c r="P759" s="1105"/>
      <c r="Q759" s="1144"/>
      <c r="R759" s="1105"/>
      <c r="S759" s="1105"/>
      <c r="T759" s="1105"/>
    </row>
    <row r="760" spans="1:20">
      <c r="A760" s="1105"/>
      <c r="B760" s="1105"/>
      <c r="C760" s="1105"/>
      <c r="D760" s="1105"/>
      <c r="E760" s="1105"/>
      <c r="F760" s="1105"/>
      <c r="G760" s="1105"/>
      <c r="H760" s="1105"/>
      <c r="I760" s="1105"/>
      <c r="J760" s="1105"/>
      <c r="K760" s="1105"/>
      <c r="L760" s="1105"/>
      <c r="M760" s="1105"/>
      <c r="N760" s="1105"/>
      <c r="O760" s="1105"/>
      <c r="P760" s="1105"/>
      <c r="Q760" s="1144"/>
      <c r="R760" s="1105"/>
      <c r="S760" s="1105"/>
      <c r="T760" s="1105"/>
    </row>
    <row r="761" spans="1:20">
      <c r="A761" s="1105"/>
      <c r="B761" s="1105"/>
      <c r="C761" s="1105"/>
      <c r="D761" s="1105"/>
      <c r="E761" s="1105"/>
      <c r="F761" s="1105"/>
      <c r="G761" s="1105"/>
      <c r="H761" s="1105"/>
      <c r="I761" s="1105"/>
      <c r="J761" s="1105"/>
      <c r="K761" s="1105"/>
      <c r="L761" s="1105"/>
      <c r="M761" s="1105"/>
      <c r="N761" s="1105"/>
      <c r="O761" s="1105"/>
      <c r="P761" s="1105"/>
      <c r="Q761" s="1144"/>
      <c r="R761" s="1105"/>
      <c r="S761" s="1105"/>
      <c r="T761" s="1105"/>
    </row>
    <row r="762" spans="1:20">
      <c r="A762" s="1105"/>
      <c r="B762" s="1105"/>
      <c r="C762" s="1105"/>
      <c r="D762" s="1105"/>
      <c r="E762" s="1105"/>
      <c r="F762" s="1105"/>
      <c r="G762" s="1105"/>
      <c r="H762" s="1105"/>
      <c r="I762" s="1105"/>
      <c r="J762" s="1105"/>
      <c r="K762" s="1105"/>
      <c r="L762" s="1105"/>
      <c r="M762" s="1105"/>
      <c r="N762" s="1105"/>
      <c r="O762" s="1105"/>
      <c r="P762" s="1105"/>
      <c r="Q762" s="1144"/>
      <c r="R762" s="1105"/>
      <c r="S762" s="1105"/>
      <c r="T762" s="1105"/>
    </row>
    <row r="763" spans="1:20">
      <c r="A763" s="1105"/>
      <c r="B763" s="1105"/>
      <c r="C763" s="1105"/>
      <c r="D763" s="1105"/>
      <c r="E763" s="1105"/>
      <c r="F763" s="1105"/>
      <c r="G763" s="1105"/>
      <c r="H763" s="1105"/>
      <c r="I763" s="1105"/>
      <c r="J763" s="1105"/>
      <c r="K763" s="1105"/>
      <c r="L763" s="1105"/>
      <c r="M763" s="1105"/>
      <c r="N763" s="1105"/>
      <c r="O763" s="1105"/>
      <c r="P763" s="1105"/>
      <c r="Q763" s="1144"/>
      <c r="R763" s="1105"/>
      <c r="S763" s="1105"/>
      <c r="T763" s="1105"/>
    </row>
    <row r="764" spans="1:20">
      <c r="A764" s="1105"/>
      <c r="B764" s="1105"/>
      <c r="C764" s="1105"/>
      <c r="D764" s="1105"/>
      <c r="E764" s="1105"/>
      <c r="F764" s="1105"/>
      <c r="G764" s="1105"/>
      <c r="H764" s="1105"/>
      <c r="I764" s="1105"/>
      <c r="J764" s="1105"/>
      <c r="K764" s="1105"/>
      <c r="L764" s="1105"/>
      <c r="M764" s="1105"/>
      <c r="N764" s="1105"/>
      <c r="O764" s="1105"/>
      <c r="P764" s="1105"/>
      <c r="Q764" s="1144"/>
      <c r="R764" s="1105"/>
      <c r="S764" s="1105"/>
      <c r="T764" s="1105"/>
    </row>
    <row r="765" spans="1:20">
      <c r="A765" s="1105"/>
      <c r="B765" s="1105"/>
      <c r="C765" s="1105"/>
      <c r="D765" s="1105"/>
      <c r="E765" s="1105"/>
      <c r="F765" s="1105"/>
      <c r="G765" s="1105"/>
      <c r="H765" s="1105"/>
      <c r="I765" s="1105"/>
      <c r="J765" s="1105"/>
      <c r="K765" s="1105"/>
      <c r="L765" s="1105"/>
      <c r="M765" s="1105"/>
      <c r="N765" s="1105"/>
      <c r="O765" s="1105"/>
      <c r="P765" s="1105"/>
      <c r="Q765" s="1144"/>
      <c r="R765" s="1105"/>
      <c r="S765" s="1105"/>
      <c r="T765" s="1105"/>
    </row>
    <row r="766" spans="1:20">
      <c r="A766" s="1105"/>
      <c r="B766" s="1105"/>
      <c r="C766" s="1105"/>
      <c r="D766" s="1105"/>
      <c r="E766" s="1105"/>
      <c r="F766" s="1105"/>
      <c r="G766" s="1105"/>
      <c r="H766" s="1105"/>
      <c r="I766" s="1105"/>
      <c r="J766" s="1105"/>
      <c r="K766" s="1105"/>
      <c r="L766" s="1105"/>
      <c r="M766" s="1105"/>
      <c r="N766" s="1105"/>
      <c r="O766" s="1105"/>
      <c r="P766" s="1105"/>
      <c r="Q766" s="1144"/>
      <c r="R766" s="1105"/>
      <c r="S766" s="1105"/>
      <c r="T766" s="1105"/>
    </row>
    <row r="767" spans="1:20">
      <c r="A767" s="1105"/>
      <c r="B767" s="1105"/>
      <c r="C767" s="1105"/>
      <c r="D767" s="1105"/>
      <c r="E767" s="1105"/>
      <c r="F767" s="1105"/>
      <c r="G767" s="1105"/>
      <c r="H767" s="1105"/>
      <c r="I767" s="1105"/>
      <c r="J767" s="1105"/>
      <c r="K767" s="1105"/>
      <c r="L767" s="1105"/>
      <c r="M767" s="1105"/>
      <c r="N767" s="1105"/>
      <c r="O767" s="1105"/>
      <c r="P767" s="1105"/>
      <c r="Q767" s="1144"/>
      <c r="R767" s="1105"/>
      <c r="S767" s="1105"/>
      <c r="T767" s="1105"/>
    </row>
    <row r="768" spans="1:20">
      <c r="A768" s="1105"/>
      <c r="B768" s="1105"/>
      <c r="C768" s="1105"/>
      <c r="D768" s="1105"/>
      <c r="E768" s="1105"/>
      <c r="F768" s="1105"/>
      <c r="G768" s="1105"/>
      <c r="H768" s="1105"/>
      <c r="I768" s="1105"/>
      <c r="J768" s="1105"/>
      <c r="K768" s="1105"/>
      <c r="L768" s="1105"/>
      <c r="M768" s="1105"/>
      <c r="N768" s="1105"/>
      <c r="O768" s="1105"/>
      <c r="P768" s="1105"/>
      <c r="Q768" s="1144"/>
      <c r="R768" s="1105"/>
      <c r="S768" s="1105"/>
      <c r="T768" s="1105"/>
    </row>
    <row r="769" spans="1:20">
      <c r="A769" s="1105"/>
      <c r="B769" s="1105"/>
      <c r="C769" s="1105"/>
      <c r="D769" s="1105"/>
      <c r="E769" s="1105"/>
      <c r="F769" s="1105"/>
      <c r="G769" s="1105"/>
      <c r="H769" s="1105"/>
      <c r="I769" s="1105"/>
      <c r="J769" s="1105"/>
      <c r="K769" s="1105"/>
      <c r="L769" s="1105"/>
      <c r="M769" s="1105"/>
      <c r="N769" s="1105"/>
      <c r="O769" s="1105"/>
      <c r="P769" s="1105"/>
      <c r="Q769" s="1144"/>
      <c r="R769" s="1105"/>
      <c r="S769" s="1105"/>
      <c r="T769" s="1105"/>
    </row>
    <row r="770" spans="1:20">
      <c r="A770" s="1105"/>
      <c r="B770" s="1105"/>
      <c r="C770" s="1105"/>
      <c r="D770" s="1105"/>
      <c r="E770" s="1105"/>
      <c r="F770" s="1105"/>
      <c r="G770" s="1105"/>
      <c r="H770" s="1105"/>
      <c r="I770" s="1105"/>
      <c r="J770" s="1105"/>
      <c r="K770" s="1105"/>
      <c r="L770" s="1105"/>
      <c r="M770" s="1105"/>
      <c r="N770" s="1105"/>
      <c r="O770" s="1105"/>
      <c r="P770" s="1105"/>
      <c r="Q770" s="1144"/>
      <c r="R770" s="1105"/>
      <c r="S770" s="1105"/>
      <c r="T770" s="1105"/>
    </row>
    <row r="771" spans="1:20">
      <c r="A771" s="1105"/>
      <c r="B771" s="1105"/>
      <c r="C771" s="1105"/>
      <c r="D771" s="1105"/>
      <c r="E771" s="1105"/>
      <c r="F771" s="1105"/>
      <c r="G771" s="1105"/>
      <c r="H771" s="1105"/>
      <c r="I771" s="1105"/>
      <c r="J771" s="1105"/>
      <c r="K771" s="1105"/>
      <c r="L771" s="1105"/>
      <c r="M771" s="1105"/>
      <c r="N771" s="1105"/>
      <c r="O771" s="1105"/>
      <c r="P771" s="1105"/>
      <c r="Q771" s="1144"/>
      <c r="R771" s="1105"/>
      <c r="S771" s="1105"/>
      <c r="T771" s="1105"/>
    </row>
    <row r="772" spans="1:20">
      <c r="A772" s="1105"/>
      <c r="B772" s="1105"/>
      <c r="C772" s="1105"/>
      <c r="D772" s="1105"/>
      <c r="E772" s="1105"/>
      <c r="F772" s="1105"/>
      <c r="G772" s="1105"/>
      <c r="H772" s="1105"/>
      <c r="I772" s="1105"/>
      <c r="J772" s="1105"/>
      <c r="K772" s="1105"/>
      <c r="L772" s="1105"/>
      <c r="M772" s="1105"/>
      <c r="N772" s="1105"/>
      <c r="O772" s="1105"/>
      <c r="P772" s="1105"/>
      <c r="Q772" s="1144"/>
      <c r="R772" s="1105"/>
      <c r="S772" s="1105"/>
      <c r="T772" s="1105"/>
    </row>
    <row r="773" spans="1:20">
      <c r="A773" s="1105"/>
      <c r="B773" s="1105"/>
      <c r="C773" s="1105"/>
      <c r="D773" s="1105"/>
      <c r="E773" s="1105"/>
      <c r="F773" s="1105"/>
      <c r="G773" s="1105"/>
      <c r="H773" s="1105"/>
      <c r="I773" s="1105"/>
      <c r="J773" s="1105"/>
      <c r="K773" s="1105"/>
      <c r="L773" s="1105"/>
      <c r="M773" s="1105"/>
      <c r="N773" s="1105"/>
      <c r="O773" s="1105"/>
      <c r="P773" s="1105"/>
      <c r="Q773" s="1144"/>
      <c r="R773" s="1105"/>
      <c r="S773" s="1105"/>
      <c r="T773" s="1105"/>
    </row>
    <row r="774" spans="1:20">
      <c r="A774" s="1105"/>
      <c r="B774" s="1105"/>
      <c r="C774" s="1105"/>
      <c r="D774" s="1105"/>
      <c r="E774" s="1105"/>
      <c r="F774" s="1105"/>
      <c r="G774" s="1105"/>
      <c r="H774" s="1105"/>
      <c r="I774" s="1105"/>
      <c r="J774" s="1105"/>
      <c r="K774" s="1105"/>
      <c r="L774" s="1105"/>
      <c r="M774" s="1105"/>
      <c r="N774" s="1105"/>
      <c r="O774" s="1105"/>
      <c r="P774" s="1105"/>
      <c r="Q774" s="1144"/>
      <c r="R774" s="1105"/>
      <c r="S774" s="1105"/>
      <c r="T774" s="1105"/>
    </row>
    <row r="775" spans="1:20">
      <c r="A775" s="1105"/>
      <c r="B775" s="1105"/>
      <c r="C775" s="1105"/>
      <c r="D775" s="1105"/>
      <c r="E775" s="1105"/>
      <c r="F775" s="1105"/>
      <c r="G775" s="1105"/>
      <c r="H775" s="1105"/>
      <c r="I775" s="1105"/>
      <c r="J775" s="1105"/>
      <c r="K775" s="1105"/>
      <c r="L775" s="1105"/>
      <c r="M775" s="1105"/>
      <c r="N775" s="1105"/>
      <c r="O775" s="1105"/>
      <c r="P775" s="1105"/>
      <c r="Q775" s="1144"/>
      <c r="R775" s="1105"/>
      <c r="S775" s="1105"/>
      <c r="T775" s="1105"/>
    </row>
    <row r="776" spans="1:20">
      <c r="A776" s="1105"/>
      <c r="B776" s="1105"/>
      <c r="C776" s="1105"/>
      <c r="D776" s="1105"/>
      <c r="E776" s="1105"/>
      <c r="F776" s="1105"/>
      <c r="G776" s="1105"/>
      <c r="H776" s="1105"/>
      <c r="I776" s="1105"/>
      <c r="J776" s="1105"/>
      <c r="K776" s="1105"/>
      <c r="L776" s="1105"/>
      <c r="M776" s="1105"/>
      <c r="N776" s="1105"/>
      <c r="O776" s="1105"/>
      <c r="P776" s="1105"/>
      <c r="Q776" s="1144"/>
      <c r="R776" s="1105"/>
      <c r="S776" s="1105"/>
      <c r="T776" s="1105"/>
    </row>
    <row r="777" spans="1:20">
      <c r="A777" s="1105"/>
      <c r="B777" s="1105"/>
      <c r="C777" s="1105"/>
      <c r="D777" s="1105"/>
      <c r="E777" s="1105"/>
      <c r="F777" s="1105"/>
      <c r="G777" s="1105"/>
      <c r="H777" s="1105"/>
      <c r="I777" s="1105"/>
      <c r="J777" s="1105"/>
      <c r="K777" s="1105"/>
      <c r="L777" s="1105"/>
      <c r="M777" s="1105"/>
      <c r="N777" s="1105"/>
      <c r="O777" s="1105"/>
      <c r="P777" s="1105"/>
      <c r="Q777" s="1144"/>
      <c r="R777" s="1105"/>
      <c r="S777" s="1105"/>
      <c r="T777" s="1105"/>
    </row>
    <row r="778" spans="1:20">
      <c r="A778" s="1105"/>
      <c r="B778" s="1105"/>
      <c r="C778" s="1105"/>
      <c r="D778" s="1105"/>
      <c r="E778" s="1105"/>
      <c r="F778" s="1105"/>
      <c r="G778" s="1105"/>
      <c r="H778" s="1105"/>
      <c r="I778" s="1105"/>
      <c r="J778" s="1105"/>
      <c r="K778" s="1105"/>
      <c r="L778" s="1105"/>
      <c r="M778" s="1105"/>
      <c r="N778" s="1105"/>
      <c r="O778" s="1105"/>
      <c r="P778" s="1105"/>
      <c r="Q778" s="1144"/>
      <c r="R778" s="1105"/>
      <c r="S778" s="1105"/>
      <c r="T778" s="1105"/>
    </row>
    <row r="779" spans="1:20">
      <c r="A779" s="1105"/>
      <c r="B779" s="1105"/>
      <c r="C779" s="1105"/>
      <c r="D779" s="1105"/>
      <c r="E779" s="1105"/>
      <c r="F779" s="1105"/>
      <c r="G779" s="1105"/>
      <c r="H779" s="1105"/>
      <c r="I779" s="1105"/>
      <c r="J779" s="1105"/>
      <c r="K779" s="1105"/>
      <c r="L779" s="1105"/>
      <c r="M779" s="1105"/>
      <c r="N779" s="1105"/>
      <c r="O779" s="1105"/>
      <c r="P779" s="1105"/>
      <c r="Q779" s="1144"/>
      <c r="R779" s="1105"/>
      <c r="S779" s="1105"/>
      <c r="T779" s="1105"/>
    </row>
    <row r="780" spans="1:20">
      <c r="A780" s="1105"/>
      <c r="B780" s="1105"/>
      <c r="C780" s="1105"/>
      <c r="D780" s="1105"/>
      <c r="E780" s="1105"/>
      <c r="F780" s="1105"/>
      <c r="G780" s="1105"/>
      <c r="H780" s="1105"/>
      <c r="I780" s="1105"/>
      <c r="J780" s="1105"/>
      <c r="K780" s="1105"/>
      <c r="L780" s="1105"/>
      <c r="M780" s="1105"/>
      <c r="N780" s="1105"/>
      <c r="O780" s="1105"/>
      <c r="P780" s="1105"/>
      <c r="Q780" s="1144"/>
      <c r="R780" s="1105"/>
      <c r="S780" s="1105"/>
      <c r="T780" s="1105"/>
    </row>
    <row r="781" spans="1:20">
      <c r="A781" s="1105"/>
      <c r="B781" s="1105"/>
      <c r="C781" s="1105"/>
      <c r="D781" s="1105"/>
      <c r="E781" s="1105"/>
      <c r="F781" s="1105"/>
      <c r="G781" s="1105"/>
      <c r="H781" s="1105"/>
      <c r="I781" s="1105"/>
      <c r="J781" s="1105"/>
      <c r="K781" s="1105"/>
      <c r="L781" s="1105"/>
      <c r="M781" s="1105"/>
      <c r="N781" s="1105"/>
      <c r="O781" s="1105"/>
      <c r="P781" s="1105"/>
      <c r="Q781" s="1144"/>
      <c r="R781" s="1105"/>
      <c r="S781" s="1105"/>
      <c r="T781" s="1105"/>
    </row>
    <row r="782" spans="1:20">
      <c r="A782" s="1105"/>
      <c r="B782" s="1105"/>
      <c r="C782" s="1105"/>
      <c r="D782" s="1105"/>
      <c r="E782" s="1105"/>
      <c r="F782" s="1105"/>
      <c r="G782" s="1105"/>
      <c r="H782" s="1105"/>
      <c r="I782" s="1105"/>
      <c r="J782" s="1105"/>
      <c r="K782" s="1105"/>
      <c r="L782" s="1105"/>
      <c r="M782" s="1105"/>
      <c r="N782" s="1105"/>
      <c r="O782" s="1105"/>
      <c r="P782" s="1105"/>
      <c r="Q782" s="1144"/>
      <c r="R782" s="1105"/>
      <c r="S782" s="1105"/>
      <c r="T782" s="1105"/>
    </row>
    <row r="783" spans="1:20">
      <c r="A783" s="1105"/>
      <c r="B783" s="1105"/>
      <c r="C783" s="1105"/>
      <c r="D783" s="1105"/>
      <c r="E783" s="1105"/>
      <c r="F783" s="1105"/>
      <c r="G783" s="1105"/>
      <c r="H783" s="1105"/>
      <c r="I783" s="1105"/>
      <c r="J783" s="1105"/>
      <c r="K783" s="1105"/>
      <c r="L783" s="1105"/>
      <c r="M783" s="1105"/>
      <c r="N783" s="1105"/>
      <c r="O783" s="1105"/>
      <c r="P783" s="1105"/>
      <c r="Q783" s="1144"/>
      <c r="R783" s="1105"/>
      <c r="S783" s="1105"/>
      <c r="T783" s="1105"/>
    </row>
    <row r="784" spans="1:20">
      <c r="A784" s="1105"/>
      <c r="B784" s="1105"/>
      <c r="C784" s="1105"/>
      <c r="D784" s="1105"/>
      <c r="E784" s="1105"/>
      <c r="F784" s="1105"/>
      <c r="G784" s="1105"/>
      <c r="H784" s="1105"/>
      <c r="I784" s="1105"/>
      <c r="J784" s="1105"/>
      <c r="K784" s="1105"/>
      <c r="L784" s="1105"/>
      <c r="M784" s="1105"/>
      <c r="N784" s="1105"/>
      <c r="O784" s="1105"/>
      <c r="P784" s="1105"/>
      <c r="Q784" s="1144"/>
      <c r="R784" s="1105"/>
      <c r="S784" s="1105"/>
      <c r="T784" s="1105"/>
    </row>
    <row r="785" spans="1:20">
      <c r="A785" s="1105"/>
      <c r="B785" s="1105"/>
      <c r="C785" s="1105"/>
      <c r="D785" s="1105"/>
      <c r="E785" s="1105"/>
      <c r="F785" s="1105"/>
      <c r="G785" s="1105"/>
      <c r="H785" s="1105"/>
      <c r="I785" s="1105"/>
      <c r="J785" s="1105"/>
      <c r="K785" s="1105"/>
      <c r="L785" s="1105"/>
      <c r="M785" s="1105"/>
      <c r="N785" s="1105"/>
      <c r="O785" s="1105"/>
      <c r="P785" s="1105"/>
      <c r="Q785" s="1144"/>
      <c r="R785" s="1105"/>
      <c r="S785" s="1105"/>
      <c r="T785" s="1105"/>
    </row>
    <row r="786" spans="1:20">
      <c r="A786" s="1105"/>
      <c r="B786" s="1105"/>
      <c r="C786" s="1105"/>
      <c r="D786" s="1105"/>
      <c r="E786" s="1105"/>
      <c r="F786" s="1105"/>
      <c r="G786" s="1105"/>
      <c r="H786" s="1105"/>
      <c r="I786" s="1105"/>
      <c r="J786" s="1105"/>
      <c r="K786" s="1105"/>
      <c r="L786" s="1105"/>
      <c r="M786" s="1105"/>
      <c r="N786" s="1105"/>
      <c r="O786" s="1105"/>
      <c r="P786" s="1105"/>
      <c r="Q786" s="1144"/>
      <c r="R786" s="1105"/>
      <c r="S786" s="1105"/>
      <c r="T786" s="1105"/>
    </row>
    <row r="787" spans="1:20">
      <c r="A787" s="1105"/>
      <c r="B787" s="1105"/>
      <c r="C787" s="1105"/>
      <c r="D787" s="1105"/>
      <c r="E787" s="1105"/>
      <c r="F787" s="1105"/>
      <c r="G787" s="1105"/>
      <c r="H787" s="1105"/>
      <c r="I787" s="1105"/>
      <c r="J787" s="1105"/>
      <c r="K787" s="1105"/>
      <c r="L787" s="1105"/>
      <c r="M787" s="1105"/>
      <c r="N787" s="1105"/>
      <c r="O787" s="1105"/>
      <c r="P787" s="1105"/>
      <c r="Q787" s="1144"/>
      <c r="R787" s="1105"/>
      <c r="S787" s="1105"/>
      <c r="T787" s="1105"/>
    </row>
    <row r="788" spans="1:20">
      <c r="A788" s="1105"/>
      <c r="B788" s="1105"/>
      <c r="C788" s="1105"/>
      <c r="D788" s="1105"/>
      <c r="E788" s="1105"/>
      <c r="F788" s="1105"/>
      <c r="G788" s="1105"/>
      <c r="H788" s="1105"/>
      <c r="I788" s="1105"/>
      <c r="J788" s="1105"/>
      <c r="K788" s="1105"/>
      <c r="L788" s="1105"/>
      <c r="M788" s="1105"/>
      <c r="N788" s="1105"/>
      <c r="O788" s="1105"/>
      <c r="P788" s="1105"/>
      <c r="Q788" s="1144"/>
      <c r="R788" s="1105"/>
      <c r="S788" s="1105"/>
      <c r="T788" s="1105"/>
    </row>
    <row r="789" spans="1:20">
      <c r="A789" s="1105"/>
      <c r="B789" s="1105"/>
      <c r="C789" s="1105"/>
      <c r="D789" s="1105"/>
      <c r="E789" s="1105"/>
      <c r="F789" s="1105"/>
      <c r="G789" s="1105"/>
      <c r="H789" s="1105"/>
      <c r="I789" s="1105"/>
      <c r="J789" s="1105"/>
      <c r="K789" s="1105"/>
      <c r="L789" s="1105"/>
      <c r="M789" s="1105"/>
      <c r="N789" s="1105"/>
      <c r="O789" s="1105"/>
      <c r="P789" s="1105"/>
      <c r="Q789" s="1144"/>
      <c r="R789" s="1105"/>
      <c r="S789" s="1105"/>
      <c r="T789" s="1105"/>
    </row>
    <row r="790" spans="1:20">
      <c r="A790" s="1105"/>
      <c r="B790" s="1105"/>
      <c r="C790" s="1105"/>
      <c r="D790" s="1105"/>
      <c r="E790" s="1105"/>
      <c r="F790" s="1105"/>
      <c r="G790" s="1105"/>
      <c r="H790" s="1105"/>
      <c r="I790" s="1105"/>
      <c r="J790" s="1105"/>
      <c r="K790" s="1105"/>
      <c r="L790" s="1105"/>
      <c r="M790" s="1105"/>
      <c r="N790" s="1105"/>
      <c r="O790" s="1105"/>
      <c r="P790" s="1105"/>
      <c r="Q790" s="1144"/>
      <c r="R790" s="1105"/>
      <c r="S790" s="1105"/>
      <c r="T790" s="1105"/>
    </row>
    <row r="791" spans="1:20">
      <c r="A791" s="1105"/>
      <c r="B791" s="1105"/>
      <c r="C791" s="1105"/>
      <c r="D791" s="1105"/>
      <c r="E791" s="1105"/>
      <c r="F791" s="1105"/>
      <c r="G791" s="1105"/>
      <c r="H791" s="1105"/>
      <c r="I791" s="1105"/>
      <c r="J791" s="1105"/>
      <c r="K791" s="1105"/>
      <c r="L791" s="1105"/>
      <c r="M791" s="1105"/>
      <c r="N791" s="1105"/>
      <c r="O791" s="1105"/>
      <c r="P791" s="1105"/>
      <c r="Q791" s="1144"/>
      <c r="R791" s="1105"/>
      <c r="S791" s="1105"/>
      <c r="T791" s="1105"/>
    </row>
    <row r="792" spans="1:20">
      <c r="A792" s="1105"/>
      <c r="B792" s="1105"/>
      <c r="C792" s="1105"/>
      <c r="D792" s="1105"/>
      <c r="E792" s="1105"/>
      <c r="F792" s="1105"/>
      <c r="G792" s="1105"/>
      <c r="H792" s="1105"/>
      <c r="I792" s="1105"/>
      <c r="J792" s="1105"/>
      <c r="K792" s="1105"/>
      <c r="L792" s="1105"/>
      <c r="M792" s="1105"/>
      <c r="N792" s="1105"/>
      <c r="O792" s="1105"/>
      <c r="P792" s="1105"/>
      <c r="Q792" s="1144"/>
      <c r="R792" s="1105"/>
      <c r="S792" s="1105"/>
      <c r="T792" s="1105"/>
    </row>
    <row r="793" spans="1:20">
      <c r="A793" s="1105"/>
      <c r="B793" s="1105"/>
      <c r="C793" s="1105"/>
      <c r="D793" s="1105"/>
      <c r="E793" s="1105"/>
      <c r="F793" s="1105"/>
      <c r="G793" s="1105"/>
      <c r="H793" s="1105"/>
      <c r="I793" s="1105"/>
      <c r="J793" s="1105"/>
      <c r="K793" s="1105"/>
      <c r="L793" s="1105"/>
      <c r="M793" s="1105"/>
      <c r="N793" s="1105"/>
      <c r="O793" s="1105"/>
      <c r="P793" s="1105"/>
      <c r="Q793" s="1144"/>
      <c r="R793" s="1105"/>
      <c r="S793" s="1105"/>
      <c r="T793" s="1105"/>
    </row>
    <row r="794" spans="1:20">
      <c r="A794" s="1105"/>
      <c r="B794" s="1105"/>
      <c r="C794" s="1105"/>
      <c r="D794" s="1105"/>
      <c r="E794" s="1105"/>
      <c r="F794" s="1105"/>
      <c r="G794" s="1105"/>
      <c r="H794" s="1105"/>
      <c r="I794" s="1105"/>
      <c r="J794" s="1105"/>
      <c r="K794" s="1105"/>
      <c r="L794" s="1105"/>
      <c r="M794" s="1105"/>
      <c r="N794" s="1105"/>
      <c r="O794" s="1105"/>
      <c r="P794" s="1105"/>
      <c r="Q794" s="1144"/>
      <c r="R794" s="1105"/>
      <c r="S794" s="1105"/>
      <c r="T794" s="1105"/>
    </row>
    <row r="795" spans="1:20">
      <c r="A795" s="1105"/>
      <c r="B795" s="1105"/>
      <c r="C795" s="1105"/>
      <c r="D795" s="1105"/>
      <c r="E795" s="1105"/>
      <c r="F795" s="1105"/>
      <c r="G795" s="1105"/>
      <c r="H795" s="1105"/>
      <c r="I795" s="1105"/>
      <c r="J795" s="1105"/>
      <c r="K795" s="1105"/>
      <c r="L795" s="1105"/>
      <c r="M795" s="1105"/>
      <c r="N795" s="1105"/>
      <c r="O795" s="1105"/>
      <c r="P795" s="1105"/>
      <c r="Q795" s="1144"/>
      <c r="R795" s="1105"/>
      <c r="S795" s="1105"/>
      <c r="T795" s="1105"/>
    </row>
    <row r="796" spans="1:20">
      <c r="A796" s="1105"/>
      <c r="B796" s="1105"/>
      <c r="C796" s="1105"/>
      <c r="D796" s="1105"/>
      <c r="E796" s="1105"/>
      <c r="F796" s="1105"/>
      <c r="G796" s="1105"/>
      <c r="H796" s="1105"/>
      <c r="I796" s="1105"/>
      <c r="J796" s="1105"/>
      <c r="K796" s="1105"/>
      <c r="L796" s="1105"/>
      <c r="M796" s="1105"/>
      <c r="N796" s="1105"/>
      <c r="O796" s="1105"/>
      <c r="P796" s="1105"/>
      <c r="Q796" s="1144"/>
      <c r="R796" s="1105"/>
      <c r="S796" s="1105"/>
      <c r="T796" s="1105"/>
    </row>
    <row r="797" spans="1:20">
      <c r="A797" s="1105"/>
      <c r="B797" s="1105"/>
      <c r="C797" s="1105"/>
      <c r="D797" s="1105"/>
      <c r="E797" s="1105"/>
      <c r="F797" s="1105"/>
      <c r="G797" s="1105"/>
      <c r="H797" s="1105"/>
      <c r="I797" s="1105"/>
      <c r="J797" s="1105"/>
      <c r="K797" s="1105"/>
      <c r="L797" s="1105"/>
      <c r="M797" s="1105"/>
      <c r="N797" s="1105"/>
      <c r="O797" s="1105"/>
      <c r="P797" s="1105"/>
      <c r="Q797" s="1144"/>
      <c r="R797" s="1105"/>
      <c r="S797" s="1105"/>
      <c r="T797" s="1105"/>
    </row>
    <row r="798" spans="1:20">
      <c r="A798" s="1105"/>
      <c r="B798" s="1105"/>
      <c r="C798" s="1105"/>
      <c r="D798" s="1105"/>
      <c r="E798" s="1105"/>
      <c r="F798" s="1105"/>
      <c r="G798" s="1105"/>
      <c r="H798" s="1105"/>
      <c r="I798" s="1105"/>
      <c r="J798" s="1105"/>
      <c r="K798" s="1105"/>
      <c r="L798" s="1105"/>
      <c r="M798" s="1105"/>
      <c r="N798" s="1105"/>
      <c r="O798" s="1105"/>
      <c r="P798" s="1105"/>
      <c r="Q798" s="1144"/>
      <c r="R798" s="1105"/>
      <c r="S798" s="1105"/>
      <c r="T798" s="1105"/>
    </row>
    <row r="799" spans="1:20">
      <c r="A799" s="1105"/>
      <c r="B799" s="1105"/>
      <c r="C799" s="1105"/>
      <c r="D799" s="1105"/>
      <c r="E799" s="1105"/>
      <c r="F799" s="1105"/>
      <c r="G799" s="1105"/>
      <c r="H799" s="1105"/>
      <c r="I799" s="1105"/>
      <c r="J799" s="1105"/>
      <c r="K799" s="1105"/>
      <c r="L799" s="1105"/>
      <c r="M799" s="1105"/>
      <c r="N799" s="1105"/>
      <c r="O799" s="1105"/>
      <c r="P799" s="1105"/>
      <c r="Q799" s="1144"/>
      <c r="R799" s="1105"/>
      <c r="S799" s="1105"/>
      <c r="T799" s="1105"/>
    </row>
    <row r="800" spans="1:20">
      <c r="A800" s="1105"/>
      <c r="B800" s="1105"/>
      <c r="C800" s="1105"/>
      <c r="D800" s="1105"/>
      <c r="E800" s="1105"/>
      <c r="F800" s="1105"/>
      <c r="G800" s="1105"/>
      <c r="H800" s="1105"/>
      <c r="I800" s="1105"/>
      <c r="J800" s="1105"/>
      <c r="K800" s="1105"/>
      <c r="L800" s="1105"/>
      <c r="M800" s="1105"/>
      <c r="N800" s="1105"/>
      <c r="O800" s="1105"/>
      <c r="P800" s="1105"/>
      <c r="Q800" s="1144"/>
      <c r="R800" s="1105"/>
      <c r="S800" s="1105"/>
      <c r="T800" s="1105"/>
    </row>
    <row r="801" spans="1:20">
      <c r="A801" s="1105"/>
      <c r="B801" s="1105"/>
      <c r="C801" s="1105"/>
      <c r="D801" s="1105"/>
      <c r="E801" s="1105"/>
      <c r="F801" s="1105"/>
      <c r="G801" s="1105"/>
      <c r="H801" s="1105"/>
      <c r="I801" s="1105"/>
      <c r="J801" s="1105"/>
      <c r="K801" s="1105"/>
      <c r="L801" s="1105"/>
      <c r="M801" s="1105"/>
      <c r="N801" s="1105"/>
      <c r="O801" s="1105"/>
      <c r="P801" s="1105"/>
      <c r="Q801" s="1144"/>
      <c r="R801" s="1105"/>
      <c r="S801" s="1105"/>
      <c r="T801" s="1105"/>
    </row>
    <row r="802" spans="1:20">
      <c r="A802" s="1105"/>
      <c r="B802" s="1105"/>
      <c r="C802" s="1105"/>
      <c r="D802" s="1105"/>
      <c r="E802" s="1105"/>
      <c r="F802" s="1105"/>
      <c r="G802" s="1105"/>
      <c r="H802" s="1105"/>
      <c r="I802" s="1105"/>
      <c r="J802" s="1105"/>
      <c r="K802" s="1105"/>
      <c r="L802" s="1105"/>
      <c r="M802" s="1105"/>
      <c r="N802" s="1105"/>
      <c r="O802" s="1105"/>
      <c r="P802" s="1105"/>
      <c r="Q802" s="1144"/>
      <c r="R802" s="1105"/>
      <c r="S802" s="1105"/>
      <c r="T802" s="1105"/>
    </row>
    <row r="803" spans="1:20">
      <c r="A803" s="1105"/>
      <c r="B803" s="1105"/>
      <c r="C803" s="1105"/>
      <c r="D803" s="1105"/>
      <c r="E803" s="1105"/>
      <c r="F803" s="1105"/>
      <c r="G803" s="1105"/>
      <c r="H803" s="1105"/>
      <c r="I803" s="1105"/>
      <c r="J803" s="1105"/>
      <c r="K803" s="1105"/>
      <c r="L803" s="1105"/>
      <c r="M803" s="1105"/>
      <c r="N803" s="1105"/>
      <c r="O803" s="1105"/>
      <c r="P803" s="1105"/>
      <c r="Q803" s="1144"/>
      <c r="R803" s="1105"/>
      <c r="S803" s="1105"/>
      <c r="T803" s="1105"/>
    </row>
    <row r="804" spans="1:20">
      <c r="A804" s="1105"/>
      <c r="B804" s="1105"/>
      <c r="C804" s="1105"/>
      <c r="D804" s="1105"/>
      <c r="E804" s="1105"/>
      <c r="F804" s="1105"/>
      <c r="G804" s="1105"/>
      <c r="H804" s="1105"/>
      <c r="I804" s="1105"/>
      <c r="J804" s="1105"/>
      <c r="K804" s="1105"/>
      <c r="L804" s="1105"/>
      <c r="M804" s="1105"/>
      <c r="N804" s="1105"/>
      <c r="O804" s="1105"/>
      <c r="P804" s="1105"/>
      <c r="Q804" s="1144"/>
      <c r="R804" s="1105"/>
      <c r="S804" s="1105"/>
      <c r="T804" s="1105"/>
    </row>
    <row r="805" spans="1:20">
      <c r="A805" s="1105"/>
      <c r="B805" s="1105"/>
      <c r="C805" s="1105"/>
      <c r="D805" s="1105"/>
      <c r="E805" s="1105"/>
      <c r="F805" s="1105"/>
      <c r="G805" s="1105"/>
      <c r="H805" s="1105"/>
      <c r="I805" s="1105"/>
      <c r="J805" s="1105"/>
      <c r="K805" s="1105"/>
      <c r="L805" s="1105"/>
      <c r="M805" s="1105"/>
      <c r="N805" s="1105"/>
      <c r="O805" s="1105"/>
      <c r="P805" s="1105"/>
      <c r="Q805" s="1144"/>
      <c r="R805" s="1105"/>
      <c r="S805" s="1105"/>
      <c r="T805" s="1105"/>
    </row>
    <row r="806" spans="1:20">
      <c r="A806" s="1105"/>
      <c r="B806" s="1105"/>
      <c r="C806" s="1105"/>
      <c r="D806" s="1105"/>
      <c r="E806" s="1105"/>
      <c r="F806" s="1105"/>
      <c r="G806" s="1105"/>
      <c r="H806" s="1105"/>
      <c r="I806" s="1105"/>
      <c r="J806" s="1105"/>
      <c r="K806" s="1105"/>
      <c r="L806" s="1105"/>
      <c r="M806" s="1105"/>
      <c r="N806" s="1105"/>
      <c r="O806" s="1105"/>
      <c r="P806" s="1105"/>
      <c r="Q806" s="1144"/>
      <c r="R806" s="1105"/>
      <c r="S806" s="1105"/>
      <c r="T806" s="1105"/>
    </row>
    <row r="807" spans="1:20">
      <c r="A807" s="1105"/>
      <c r="B807" s="1105"/>
      <c r="C807" s="1105"/>
      <c r="D807" s="1105"/>
      <c r="E807" s="1105"/>
      <c r="F807" s="1105"/>
      <c r="G807" s="1105"/>
      <c r="H807" s="1105"/>
      <c r="I807" s="1105"/>
      <c r="J807" s="1105"/>
      <c r="K807" s="1105"/>
      <c r="L807" s="1105"/>
      <c r="M807" s="1105"/>
      <c r="N807" s="1105"/>
      <c r="O807" s="1105"/>
      <c r="P807" s="1105"/>
      <c r="Q807" s="1144"/>
      <c r="R807" s="1105"/>
      <c r="S807" s="1105"/>
      <c r="T807" s="1105"/>
    </row>
    <row r="808" spans="1:20">
      <c r="A808" s="1105"/>
      <c r="B808" s="1105"/>
      <c r="C808" s="1105"/>
      <c r="D808" s="1105"/>
      <c r="E808" s="1105"/>
      <c r="F808" s="1105"/>
      <c r="G808" s="1105"/>
      <c r="H808" s="1105"/>
      <c r="I808" s="1105"/>
      <c r="J808" s="1105"/>
      <c r="K808" s="1105"/>
      <c r="L808" s="1105"/>
      <c r="M808" s="1105"/>
      <c r="N808" s="1105"/>
      <c r="O808" s="1105"/>
      <c r="P808" s="1105"/>
      <c r="Q808" s="1144"/>
      <c r="R808" s="1105"/>
      <c r="S808" s="1105"/>
      <c r="T808" s="1105"/>
    </row>
    <row r="809" spans="1:20">
      <c r="A809" s="1105"/>
      <c r="B809" s="1105"/>
      <c r="C809" s="1105"/>
      <c r="D809" s="1105"/>
      <c r="E809" s="1105"/>
      <c r="F809" s="1105"/>
      <c r="G809" s="1105"/>
      <c r="H809" s="1105"/>
      <c r="I809" s="1105"/>
      <c r="J809" s="1105"/>
      <c r="K809" s="1105"/>
      <c r="L809" s="1105"/>
      <c r="M809" s="1105"/>
      <c r="N809" s="1105"/>
      <c r="O809" s="1105"/>
      <c r="P809" s="1105"/>
      <c r="Q809" s="1144"/>
      <c r="R809" s="1105"/>
      <c r="S809" s="1105"/>
      <c r="T809" s="1105"/>
    </row>
    <row r="810" spans="1:20">
      <c r="A810" s="1105"/>
      <c r="B810" s="1105"/>
      <c r="C810" s="1105"/>
      <c r="D810" s="1105"/>
      <c r="E810" s="1105"/>
      <c r="F810" s="1105"/>
      <c r="G810" s="1105"/>
      <c r="H810" s="1105"/>
      <c r="I810" s="1105"/>
      <c r="J810" s="1105"/>
      <c r="K810" s="1105"/>
      <c r="L810" s="1105"/>
      <c r="M810" s="1105"/>
      <c r="N810" s="1105"/>
      <c r="O810" s="1105"/>
      <c r="P810" s="1105"/>
      <c r="Q810" s="1144"/>
      <c r="R810" s="1105"/>
      <c r="S810" s="1105"/>
      <c r="T810" s="1105"/>
    </row>
    <row r="811" spans="1:20">
      <c r="A811" s="1105"/>
      <c r="B811" s="1105"/>
      <c r="C811" s="1105"/>
      <c r="D811" s="1105"/>
      <c r="E811" s="1105"/>
      <c r="F811" s="1105"/>
      <c r="G811" s="1105"/>
      <c r="H811" s="1105"/>
      <c r="I811" s="1105"/>
      <c r="J811" s="1105"/>
      <c r="K811" s="1105"/>
      <c r="L811" s="1105"/>
      <c r="M811" s="1105"/>
      <c r="N811" s="1105"/>
      <c r="O811" s="1105"/>
      <c r="P811" s="1105"/>
      <c r="Q811" s="1144"/>
      <c r="R811" s="1105"/>
      <c r="S811" s="1105"/>
      <c r="T811" s="1105"/>
    </row>
    <row r="812" spans="1:20">
      <c r="A812" s="1105"/>
      <c r="B812" s="1105"/>
      <c r="C812" s="1105"/>
      <c r="D812" s="1105"/>
      <c r="E812" s="1105"/>
      <c r="F812" s="1105"/>
      <c r="G812" s="1105"/>
      <c r="H812" s="1105"/>
      <c r="I812" s="1105"/>
      <c r="J812" s="1105"/>
      <c r="K812" s="1105"/>
      <c r="L812" s="1105"/>
      <c r="M812" s="1105"/>
      <c r="N812" s="1105"/>
      <c r="O812" s="1105"/>
      <c r="P812" s="1105"/>
      <c r="Q812" s="1144"/>
      <c r="R812" s="1105"/>
      <c r="S812" s="1105"/>
      <c r="T812" s="1105"/>
    </row>
    <row r="813" spans="1:20">
      <c r="A813" s="1105"/>
      <c r="B813" s="1105"/>
      <c r="C813" s="1105"/>
      <c r="D813" s="1105"/>
      <c r="E813" s="1105"/>
      <c r="F813" s="1105"/>
      <c r="G813" s="1105"/>
      <c r="H813" s="1105"/>
      <c r="I813" s="1105"/>
      <c r="J813" s="1105"/>
      <c r="K813" s="1105"/>
      <c r="L813" s="1105"/>
      <c r="M813" s="1105"/>
      <c r="N813" s="1105"/>
      <c r="O813" s="1105"/>
      <c r="P813" s="1105"/>
      <c r="Q813" s="1144"/>
      <c r="R813" s="1105"/>
      <c r="S813" s="1105"/>
      <c r="T813" s="1105"/>
    </row>
    <row r="814" spans="1:20">
      <c r="A814" s="1105"/>
      <c r="B814" s="1105"/>
      <c r="C814" s="1105"/>
      <c r="D814" s="1105"/>
      <c r="E814" s="1105"/>
      <c r="F814" s="1105"/>
      <c r="G814" s="1105"/>
      <c r="H814" s="1105"/>
      <c r="I814" s="1105"/>
      <c r="J814" s="1105"/>
      <c r="K814" s="1105"/>
      <c r="L814" s="1105"/>
      <c r="M814" s="1105"/>
      <c r="N814" s="1105"/>
      <c r="O814" s="1105"/>
      <c r="P814" s="1105"/>
      <c r="Q814" s="1144"/>
      <c r="R814" s="1105"/>
      <c r="S814" s="1105"/>
      <c r="T814" s="1105"/>
    </row>
    <row r="815" spans="1:20">
      <c r="A815" s="1105"/>
      <c r="B815" s="1105"/>
      <c r="C815" s="1105"/>
      <c r="D815" s="1105"/>
      <c r="E815" s="1105"/>
      <c r="F815" s="1105"/>
      <c r="G815" s="1105"/>
      <c r="H815" s="1105"/>
      <c r="I815" s="1105"/>
      <c r="J815" s="1105"/>
      <c r="K815" s="1105"/>
      <c r="L815" s="1105"/>
      <c r="M815" s="1105"/>
      <c r="N815" s="1105"/>
      <c r="O815" s="1105"/>
      <c r="P815" s="1105"/>
      <c r="Q815" s="1144"/>
      <c r="R815" s="1105"/>
      <c r="S815" s="1105"/>
      <c r="T815" s="1105"/>
    </row>
    <row r="816" spans="1:20">
      <c r="A816" s="1105"/>
      <c r="B816" s="1105"/>
      <c r="C816" s="1105"/>
      <c r="D816" s="1105"/>
      <c r="E816" s="1105"/>
      <c r="F816" s="1105"/>
      <c r="G816" s="1105"/>
      <c r="H816" s="1105"/>
      <c r="I816" s="1105"/>
      <c r="J816" s="1105"/>
      <c r="K816" s="1105"/>
      <c r="L816" s="1105"/>
      <c r="M816" s="1105"/>
      <c r="N816" s="1105"/>
      <c r="O816" s="1105"/>
      <c r="P816" s="1105"/>
      <c r="Q816" s="1144"/>
      <c r="R816" s="1105"/>
      <c r="S816" s="1105"/>
      <c r="T816" s="1105"/>
    </row>
    <row r="817" spans="1:20">
      <c r="A817" s="1105"/>
      <c r="B817" s="1105"/>
      <c r="C817" s="1105"/>
      <c r="D817" s="1105"/>
      <c r="E817" s="1105"/>
      <c r="F817" s="1105"/>
      <c r="G817" s="1105"/>
      <c r="H817" s="1105"/>
      <c r="I817" s="1105"/>
      <c r="J817" s="1105"/>
      <c r="K817" s="1105"/>
      <c r="L817" s="1105"/>
      <c r="M817" s="1105"/>
      <c r="N817" s="1105"/>
      <c r="O817" s="1105"/>
      <c r="P817" s="1105"/>
      <c r="Q817" s="1144"/>
      <c r="R817" s="1105"/>
      <c r="S817" s="1105"/>
      <c r="T817" s="1105"/>
    </row>
    <row r="818" spans="1:20">
      <c r="A818" s="1105"/>
      <c r="B818" s="1105"/>
      <c r="C818" s="1105"/>
      <c r="D818" s="1105"/>
      <c r="E818" s="1105"/>
      <c r="F818" s="1105"/>
      <c r="G818" s="1105"/>
      <c r="H818" s="1105"/>
      <c r="I818" s="1105"/>
      <c r="J818" s="1105"/>
      <c r="K818" s="1105"/>
      <c r="L818" s="1105"/>
      <c r="M818" s="1105"/>
      <c r="N818" s="1105"/>
      <c r="O818" s="1105"/>
      <c r="P818" s="1105"/>
      <c r="Q818" s="1144"/>
      <c r="R818" s="1105"/>
      <c r="S818" s="1105"/>
      <c r="T818" s="1105"/>
    </row>
    <row r="819" spans="1:20">
      <c r="A819" s="1105"/>
      <c r="B819" s="1105"/>
      <c r="C819" s="1105"/>
      <c r="D819" s="1105"/>
      <c r="E819" s="1105"/>
      <c r="F819" s="1105"/>
      <c r="G819" s="1105"/>
      <c r="H819" s="1105"/>
      <c r="I819" s="1105"/>
      <c r="J819" s="1105"/>
      <c r="K819" s="1105"/>
      <c r="L819" s="1105"/>
      <c r="M819" s="1105"/>
      <c r="N819" s="1105"/>
      <c r="O819" s="1105"/>
      <c r="P819" s="1105"/>
      <c r="Q819" s="1144"/>
      <c r="R819" s="1105"/>
      <c r="S819" s="1105"/>
      <c r="T819" s="1105"/>
    </row>
    <row r="820" spans="1:20">
      <c r="A820" s="1105"/>
      <c r="B820" s="1105"/>
      <c r="C820" s="1105"/>
      <c r="D820" s="1105"/>
      <c r="E820" s="1105"/>
      <c r="F820" s="1105"/>
      <c r="G820" s="1105"/>
      <c r="H820" s="1105"/>
      <c r="I820" s="1105"/>
      <c r="J820" s="1105"/>
      <c r="K820" s="1105"/>
      <c r="L820" s="1105"/>
      <c r="M820" s="1105"/>
      <c r="N820" s="1105"/>
      <c r="O820" s="1105"/>
      <c r="P820" s="1105"/>
      <c r="Q820" s="1144"/>
      <c r="R820" s="1105"/>
      <c r="S820" s="1105"/>
      <c r="T820" s="1105"/>
    </row>
    <row r="821" spans="1:20">
      <c r="A821" s="1105"/>
      <c r="B821" s="1105"/>
      <c r="C821" s="1105"/>
      <c r="D821" s="1105"/>
      <c r="E821" s="1105"/>
      <c r="F821" s="1105"/>
      <c r="G821" s="1105"/>
      <c r="H821" s="1105"/>
      <c r="I821" s="1105"/>
      <c r="J821" s="1105"/>
      <c r="K821" s="1105"/>
      <c r="L821" s="1105"/>
      <c r="M821" s="1105"/>
      <c r="N821" s="1105"/>
      <c r="O821" s="1105"/>
      <c r="P821" s="1105"/>
      <c r="Q821" s="1144"/>
      <c r="R821" s="1105"/>
      <c r="S821" s="1105"/>
      <c r="T821" s="1105"/>
    </row>
    <row r="822" spans="1:20">
      <c r="A822" s="1105"/>
      <c r="B822" s="1105"/>
      <c r="C822" s="1105"/>
      <c r="D822" s="1105"/>
      <c r="E822" s="1105"/>
      <c r="F822" s="1105"/>
      <c r="G822" s="1105"/>
      <c r="H822" s="1105"/>
      <c r="I822" s="1105"/>
      <c r="J822" s="1105"/>
      <c r="K822" s="1105"/>
      <c r="L822" s="1105"/>
      <c r="M822" s="1105"/>
      <c r="N822" s="1105"/>
      <c r="O822" s="1105"/>
      <c r="P822" s="1105"/>
      <c r="Q822" s="1144"/>
      <c r="R822" s="1105"/>
      <c r="S822" s="1105"/>
      <c r="T822" s="1105"/>
    </row>
    <row r="823" spans="1:20">
      <c r="A823" s="1105"/>
      <c r="B823" s="1105"/>
      <c r="C823" s="1105"/>
      <c r="D823" s="1105"/>
      <c r="E823" s="1105"/>
      <c r="F823" s="1105"/>
      <c r="G823" s="1105"/>
      <c r="H823" s="1105"/>
      <c r="I823" s="1105"/>
      <c r="J823" s="1105"/>
      <c r="K823" s="1105"/>
      <c r="L823" s="1105"/>
      <c r="M823" s="1105"/>
      <c r="N823" s="1105"/>
      <c r="O823" s="1105"/>
      <c r="P823" s="1105"/>
      <c r="Q823" s="1144"/>
      <c r="R823" s="1105"/>
      <c r="S823" s="1105"/>
      <c r="T823" s="1105"/>
    </row>
    <row r="824" spans="1:20">
      <c r="A824" s="1105"/>
      <c r="B824" s="1105"/>
      <c r="C824" s="1105"/>
      <c r="D824" s="1105"/>
      <c r="E824" s="1105"/>
      <c r="F824" s="1105"/>
      <c r="G824" s="1105"/>
      <c r="H824" s="1105"/>
      <c r="I824" s="1105"/>
      <c r="J824" s="1105"/>
      <c r="K824" s="1105"/>
      <c r="L824" s="1105"/>
      <c r="M824" s="1105"/>
      <c r="N824" s="1105"/>
      <c r="O824" s="1105"/>
      <c r="P824" s="1105"/>
      <c r="Q824" s="1144"/>
      <c r="R824" s="1105"/>
      <c r="S824" s="1105"/>
      <c r="T824" s="1105"/>
    </row>
    <row r="825" spans="1:20">
      <c r="A825" s="1105"/>
      <c r="B825" s="1105"/>
      <c r="C825" s="1105"/>
      <c r="D825" s="1105"/>
      <c r="E825" s="1105"/>
      <c r="F825" s="1105"/>
      <c r="G825" s="1105"/>
      <c r="H825" s="1105"/>
      <c r="I825" s="1105"/>
      <c r="J825" s="1105"/>
      <c r="K825" s="1105"/>
      <c r="L825" s="1105"/>
      <c r="M825" s="1105"/>
      <c r="N825" s="1105"/>
      <c r="O825" s="1105"/>
      <c r="P825" s="1105"/>
      <c r="Q825" s="1144"/>
      <c r="R825" s="1105"/>
      <c r="S825" s="1105"/>
      <c r="T825" s="1105"/>
    </row>
    <row r="826" spans="1:20">
      <c r="A826" s="1105"/>
      <c r="B826" s="1105"/>
      <c r="C826" s="1105"/>
      <c r="D826" s="1105"/>
      <c r="E826" s="1105"/>
      <c r="F826" s="1105"/>
      <c r="G826" s="1105"/>
      <c r="H826" s="1105"/>
      <c r="I826" s="1105"/>
      <c r="J826" s="1105"/>
      <c r="K826" s="1105"/>
      <c r="L826" s="1105"/>
      <c r="M826" s="1105"/>
      <c r="N826" s="1105"/>
      <c r="O826" s="1105"/>
      <c r="P826" s="1105"/>
      <c r="Q826" s="1144"/>
      <c r="R826" s="1105"/>
      <c r="S826" s="1105"/>
      <c r="T826" s="1105"/>
    </row>
    <row r="827" spans="1:20">
      <c r="A827" s="1105"/>
      <c r="B827" s="1105"/>
      <c r="C827" s="1105"/>
      <c r="D827" s="1105"/>
      <c r="E827" s="1105"/>
      <c r="F827" s="1105"/>
      <c r="G827" s="1105"/>
      <c r="H827" s="1105"/>
      <c r="I827" s="1105"/>
      <c r="J827" s="1105"/>
      <c r="K827" s="1105"/>
      <c r="L827" s="1105"/>
      <c r="M827" s="1105"/>
      <c r="N827" s="1105"/>
      <c r="O827" s="1105"/>
      <c r="P827" s="1105"/>
      <c r="Q827" s="1144"/>
      <c r="R827" s="1105"/>
      <c r="S827" s="1105"/>
      <c r="T827" s="1105"/>
    </row>
    <row r="828" spans="1:20">
      <c r="A828" s="1105"/>
      <c r="B828" s="1105"/>
      <c r="C828" s="1105"/>
      <c r="D828" s="1105"/>
      <c r="E828" s="1105"/>
      <c r="F828" s="1105"/>
      <c r="G828" s="1105"/>
      <c r="H828" s="1105"/>
      <c r="I828" s="1105"/>
      <c r="J828" s="1105"/>
      <c r="K828" s="1105"/>
      <c r="L828" s="1105"/>
      <c r="M828" s="1105"/>
      <c r="N828" s="1105"/>
      <c r="O828" s="1105"/>
      <c r="P828" s="1105"/>
      <c r="Q828" s="1144"/>
      <c r="R828" s="1105"/>
      <c r="S828" s="1105"/>
      <c r="T828" s="1105"/>
    </row>
    <row r="829" spans="1:20">
      <c r="A829" s="1105"/>
      <c r="B829" s="1105"/>
      <c r="C829" s="1105"/>
      <c r="D829" s="1105"/>
      <c r="E829" s="1105"/>
      <c r="F829" s="1105"/>
      <c r="G829" s="1105"/>
      <c r="H829" s="1105"/>
      <c r="I829" s="1105"/>
      <c r="J829" s="1105"/>
      <c r="K829" s="1105"/>
      <c r="L829" s="1105"/>
      <c r="M829" s="1105"/>
      <c r="N829" s="1105"/>
      <c r="O829" s="1105"/>
      <c r="P829" s="1105"/>
      <c r="Q829" s="1144"/>
      <c r="R829" s="1105"/>
      <c r="S829" s="1105"/>
      <c r="T829" s="1105"/>
    </row>
    <row r="830" spans="1:20">
      <c r="A830" s="1105"/>
      <c r="B830" s="1105"/>
      <c r="C830" s="1105"/>
      <c r="D830" s="1105"/>
      <c r="E830" s="1105"/>
      <c r="F830" s="1105"/>
      <c r="G830" s="1105"/>
      <c r="H830" s="1105"/>
      <c r="I830" s="1105"/>
      <c r="J830" s="1105"/>
      <c r="K830" s="1105"/>
      <c r="L830" s="1105"/>
      <c r="M830" s="1105"/>
      <c r="N830" s="1105"/>
      <c r="O830" s="1105"/>
      <c r="P830" s="1105"/>
      <c r="Q830" s="1144"/>
      <c r="R830" s="1105"/>
      <c r="S830" s="1105"/>
      <c r="T830" s="1105"/>
    </row>
    <row r="831" spans="1:20">
      <c r="A831" s="1105"/>
      <c r="B831" s="1105"/>
      <c r="C831" s="1105"/>
      <c r="D831" s="1105"/>
      <c r="E831" s="1105"/>
      <c r="F831" s="1105"/>
      <c r="G831" s="1105"/>
      <c r="H831" s="1105"/>
      <c r="I831" s="1105"/>
      <c r="J831" s="1105"/>
      <c r="K831" s="1105"/>
      <c r="L831" s="1105"/>
      <c r="M831" s="1105"/>
      <c r="N831" s="1105"/>
      <c r="O831" s="1105"/>
      <c r="P831" s="1105"/>
      <c r="Q831" s="1144"/>
      <c r="R831" s="1105"/>
      <c r="S831" s="1105"/>
      <c r="T831" s="1105"/>
    </row>
    <row r="832" spans="1:20">
      <c r="A832" s="1105"/>
      <c r="B832" s="1105"/>
      <c r="C832" s="1105"/>
      <c r="D832" s="1105"/>
      <c r="E832" s="1105"/>
      <c r="F832" s="1105"/>
      <c r="G832" s="1105"/>
      <c r="H832" s="1105"/>
      <c r="I832" s="1105"/>
      <c r="J832" s="1105"/>
      <c r="K832" s="1105"/>
      <c r="L832" s="1105"/>
      <c r="M832" s="1105"/>
      <c r="N832" s="1105"/>
      <c r="O832" s="1105"/>
      <c r="P832" s="1105"/>
      <c r="Q832" s="1144"/>
      <c r="R832" s="1105"/>
      <c r="S832" s="1105"/>
      <c r="T832" s="1105"/>
    </row>
    <row r="833" spans="1:20">
      <c r="A833" s="1105"/>
      <c r="B833" s="1105"/>
      <c r="C833" s="1105"/>
      <c r="D833" s="1105"/>
      <c r="E833" s="1105"/>
      <c r="F833" s="1105"/>
      <c r="G833" s="1105"/>
      <c r="H833" s="1105"/>
      <c r="I833" s="1105"/>
      <c r="J833" s="1105"/>
      <c r="K833" s="1105"/>
      <c r="L833" s="1105"/>
      <c r="M833" s="1105"/>
      <c r="N833" s="1105"/>
      <c r="O833" s="1105"/>
      <c r="P833" s="1105"/>
      <c r="Q833" s="1144"/>
      <c r="R833" s="1105"/>
      <c r="S833" s="1105"/>
      <c r="T833" s="1105"/>
    </row>
    <row r="834" spans="1:20">
      <c r="A834" s="1105"/>
      <c r="B834" s="1105"/>
      <c r="C834" s="1105"/>
      <c r="D834" s="1105"/>
      <c r="E834" s="1105"/>
      <c r="F834" s="1105"/>
      <c r="G834" s="1105"/>
      <c r="H834" s="1105"/>
      <c r="I834" s="1105"/>
      <c r="J834" s="1105"/>
      <c r="K834" s="1105"/>
      <c r="L834" s="1105"/>
      <c r="M834" s="1105"/>
      <c r="N834" s="1105"/>
      <c r="O834" s="1105"/>
      <c r="P834" s="1105"/>
      <c r="Q834" s="1144"/>
      <c r="R834" s="1105"/>
      <c r="S834" s="1105"/>
      <c r="T834" s="1105"/>
    </row>
    <row r="835" spans="1:20">
      <c r="A835" s="1105"/>
      <c r="B835" s="1105"/>
      <c r="C835" s="1105"/>
      <c r="D835" s="1105"/>
      <c r="E835" s="1105"/>
      <c r="F835" s="1105"/>
      <c r="G835" s="1105"/>
      <c r="H835" s="1105"/>
      <c r="I835" s="1105"/>
      <c r="J835" s="1105"/>
      <c r="K835" s="1105"/>
      <c r="L835" s="1105"/>
      <c r="M835" s="1105"/>
      <c r="N835" s="1105"/>
      <c r="O835" s="1105"/>
      <c r="P835" s="1105"/>
      <c r="Q835" s="1144"/>
      <c r="R835" s="1105"/>
      <c r="S835" s="1105"/>
      <c r="T835" s="1105"/>
    </row>
    <row r="836" spans="1:20">
      <c r="A836" s="1105"/>
      <c r="B836" s="1105"/>
      <c r="C836" s="1105"/>
      <c r="D836" s="1105"/>
      <c r="E836" s="1105"/>
      <c r="F836" s="1105"/>
      <c r="G836" s="1105"/>
      <c r="H836" s="1105"/>
      <c r="I836" s="1105"/>
      <c r="J836" s="1105"/>
      <c r="K836" s="1105"/>
      <c r="L836" s="1105"/>
      <c r="M836" s="1105"/>
      <c r="N836" s="1105"/>
      <c r="O836" s="1105"/>
      <c r="P836" s="1105"/>
      <c r="Q836" s="1144"/>
      <c r="R836" s="1105"/>
      <c r="S836" s="1105"/>
      <c r="T836" s="1105"/>
    </row>
    <row r="837" spans="1:20">
      <c r="A837" s="1105"/>
      <c r="B837" s="1105"/>
      <c r="C837" s="1105"/>
      <c r="D837" s="1105"/>
      <c r="E837" s="1105"/>
      <c r="F837" s="1105"/>
      <c r="G837" s="1105"/>
      <c r="H837" s="1105"/>
      <c r="I837" s="1105"/>
      <c r="J837" s="1105"/>
      <c r="K837" s="1105"/>
      <c r="L837" s="1105"/>
      <c r="M837" s="1105"/>
      <c r="N837" s="1105"/>
      <c r="O837" s="1105"/>
      <c r="P837" s="1105"/>
      <c r="Q837" s="1144"/>
      <c r="R837" s="1105"/>
      <c r="S837" s="1105"/>
      <c r="T837" s="1105"/>
    </row>
    <row r="838" spans="1:20">
      <c r="A838" s="1105"/>
      <c r="B838" s="1105"/>
      <c r="C838" s="1105"/>
      <c r="D838" s="1105"/>
      <c r="E838" s="1105"/>
      <c r="F838" s="1105"/>
      <c r="G838" s="1105"/>
      <c r="H838" s="1105"/>
      <c r="I838" s="1105"/>
      <c r="J838" s="1105"/>
      <c r="K838" s="1105"/>
      <c r="L838" s="1105"/>
      <c r="M838" s="1105"/>
      <c r="N838" s="1105"/>
      <c r="O838" s="1105"/>
      <c r="P838" s="1105"/>
      <c r="Q838" s="1144"/>
      <c r="R838" s="1105"/>
      <c r="S838" s="1105"/>
      <c r="T838" s="1105"/>
    </row>
    <row r="839" spans="1:20">
      <c r="A839" s="1105"/>
      <c r="B839" s="1105"/>
      <c r="C839" s="1105"/>
      <c r="D839" s="1105"/>
      <c r="E839" s="1105"/>
      <c r="F839" s="1105"/>
      <c r="G839" s="1105"/>
      <c r="H839" s="1105"/>
      <c r="I839" s="1105"/>
      <c r="J839" s="1105"/>
      <c r="K839" s="1105"/>
      <c r="L839" s="1105"/>
      <c r="M839" s="1105"/>
      <c r="N839" s="1105"/>
      <c r="O839" s="1105"/>
      <c r="P839" s="1105"/>
      <c r="Q839" s="1144"/>
      <c r="R839" s="1105"/>
      <c r="S839" s="1105"/>
      <c r="T839" s="1105"/>
    </row>
    <row r="840" spans="1:20">
      <c r="A840" s="1105"/>
      <c r="B840" s="1105"/>
      <c r="C840" s="1105"/>
      <c r="D840" s="1105"/>
      <c r="E840" s="1105"/>
      <c r="F840" s="1105"/>
      <c r="G840" s="1105"/>
      <c r="H840" s="1105"/>
      <c r="I840" s="1105"/>
      <c r="J840" s="1105"/>
      <c r="K840" s="1105"/>
      <c r="L840" s="1105"/>
      <c r="M840" s="1105"/>
      <c r="N840" s="1105"/>
      <c r="O840" s="1105"/>
      <c r="P840" s="1105"/>
      <c r="Q840" s="1144"/>
      <c r="R840" s="1105"/>
      <c r="S840" s="1105"/>
      <c r="T840" s="1105"/>
    </row>
    <row r="841" spans="1:20">
      <c r="A841" s="1105"/>
      <c r="B841" s="1105"/>
      <c r="C841" s="1105"/>
      <c r="D841" s="1105"/>
      <c r="E841" s="1105"/>
      <c r="F841" s="1105"/>
      <c r="G841" s="1105"/>
      <c r="H841" s="1105"/>
      <c r="I841" s="1105"/>
      <c r="J841" s="1105"/>
      <c r="K841" s="1105"/>
      <c r="L841" s="1105"/>
      <c r="M841" s="1105"/>
      <c r="N841" s="1105"/>
      <c r="O841" s="1105"/>
      <c r="P841" s="1105"/>
      <c r="Q841" s="1144"/>
      <c r="R841" s="1105"/>
      <c r="S841" s="1105"/>
      <c r="T841" s="1105"/>
    </row>
    <row r="842" spans="1:20">
      <c r="A842" s="1105"/>
      <c r="B842" s="1105"/>
      <c r="C842" s="1105"/>
      <c r="D842" s="1105"/>
      <c r="E842" s="1105"/>
      <c r="F842" s="1105"/>
      <c r="G842" s="1105"/>
      <c r="H842" s="1105"/>
      <c r="I842" s="1105"/>
      <c r="J842" s="1105"/>
      <c r="K842" s="1105"/>
      <c r="L842" s="1105"/>
      <c r="M842" s="1105"/>
      <c r="N842" s="1105"/>
      <c r="O842" s="1105"/>
      <c r="P842" s="1105"/>
      <c r="Q842" s="1144"/>
      <c r="R842" s="1105"/>
      <c r="S842" s="1105"/>
      <c r="T842" s="1105"/>
    </row>
    <row r="843" spans="1:20">
      <c r="A843" s="1105"/>
      <c r="B843" s="1105"/>
      <c r="C843" s="1105"/>
      <c r="D843" s="1105"/>
      <c r="E843" s="1105"/>
      <c r="F843" s="1105"/>
      <c r="G843" s="1105"/>
      <c r="H843" s="1105"/>
      <c r="I843" s="1105"/>
      <c r="J843" s="1105"/>
      <c r="K843" s="1105"/>
      <c r="L843" s="1105"/>
      <c r="M843" s="1105"/>
      <c r="N843" s="1105"/>
      <c r="O843" s="1105"/>
      <c r="P843" s="1105"/>
      <c r="Q843" s="1144"/>
      <c r="R843" s="1105"/>
      <c r="S843" s="1105"/>
      <c r="T843" s="1105"/>
    </row>
    <row r="844" spans="1:20">
      <c r="A844" s="1105"/>
      <c r="B844" s="1105"/>
      <c r="C844" s="1105"/>
      <c r="D844" s="1105"/>
      <c r="E844" s="1105"/>
      <c r="F844" s="1105"/>
      <c r="G844" s="1105"/>
      <c r="H844" s="1105"/>
      <c r="I844" s="1105"/>
      <c r="J844" s="1105"/>
      <c r="K844" s="1105"/>
      <c r="L844" s="1105"/>
      <c r="M844" s="1105"/>
      <c r="N844" s="1105"/>
      <c r="O844" s="1105"/>
      <c r="P844" s="1105"/>
      <c r="Q844" s="1144"/>
      <c r="R844" s="1105"/>
      <c r="S844" s="1105"/>
      <c r="T844" s="1105"/>
    </row>
    <row r="845" spans="1:20">
      <c r="A845" s="1105"/>
      <c r="B845" s="1105"/>
      <c r="C845" s="1105"/>
      <c r="D845" s="1105"/>
      <c r="E845" s="1105"/>
      <c r="F845" s="1105"/>
      <c r="G845" s="1105"/>
      <c r="H845" s="1105"/>
      <c r="I845" s="1105"/>
      <c r="J845" s="1105"/>
      <c r="K845" s="1105"/>
      <c r="L845" s="1105"/>
      <c r="M845" s="1105"/>
      <c r="N845" s="1105"/>
      <c r="O845" s="1105"/>
      <c r="P845" s="1105"/>
      <c r="Q845" s="1144"/>
      <c r="R845" s="1105"/>
      <c r="S845" s="1105"/>
      <c r="T845" s="1105"/>
    </row>
    <row r="846" spans="1:20">
      <c r="A846" s="1105"/>
      <c r="B846" s="1105"/>
      <c r="C846" s="1105"/>
      <c r="D846" s="1105"/>
      <c r="E846" s="1105"/>
      <c r="F846" s="1105"/>
      <c r="G846" s="1105"/>
      <c r="H846" s="1105"/>
      <c r="I846" s="1105"/>
      <c r="J846" s="1105"/>
      <c r="K846" s="1105"/>
      <c r="L846" s="1105"/>
      <c r="M846" s="1105"/>
      <c r="N846" s="1105"/>
      <c r="O846" s="1105"/>
      <c r="P846" s="1105"/>
      <c r="Q846" s="1144"/>
      <c r="R846" s="1105"/>
      <c r="S846" s="1105"/>
      <c r="T846" s="1105"/>
    </row>
    <row r="847" spans="1:20">
      <c r="A847" s="1105"/>
      <c r="B847" s="1105"/>
      <c r="C847" s="1105"/>
      <c r="D847" s="1105"/>
      <c r="E847" s="1105"/>
      <c r="F847" s="1105"/>
      <c r="G847" s="1105"/>
      <c r="H847" s="1105"/>
      <c r="I847" s="1105"/>
      <c r="J847" s="1105"/>
      <c r="K847" s="1105"/>
      <c r="L847" s="1105"/>
      <c r="M847" s="1105"/>
      <c r="N847" s="1105"/>
      <c r="O847" s="1105"/>
      <c r="P847" s="1105"/>
      <c r="Q847" s="1144"/>
      <c r="R847" s="1105"/>
      <c r="S847" s="1105"/>
      <c r="T847" s="1105"/>
    </row>
    <row r="848" spans="1:20">
      <c r="A848" s="1105"/>
      <c r="B848" s="1105"/>
      <c r="C848" s="1105"/>
      <c r="D848" s="1105"/>
      <c r="E848" s="1105"/>
      <c r="F848" s="1105"/>
      <c r="G848" s="1105"/>
      <c r="H848" s="1105"/>
      <c r="I848" s="1105"/>
      <c r="J848" s="1105"/>
      <c r="K848" s="1105"/>
      <c r="L848" s="1105"/>
      <c r="M848" s="1105"/>
      <c r="N848" s="1105"/>
      <c r="O848" s="1105"/>
      <c r="P848" s="1105"/>
      <c r="Q848" s="1144"/>
      <c r="R848" s="1105"/>
      <c r="S848" s="1105"/>
      <c r="T848" s="1105"/>
    </row>
    <row r="849" spans="1:20">
      <c r="A849" s="1105"/>
      <c r="B849" s="1105"/>
      <c r="C849" s="1105"/>
      <c r="D849" s="1105"/>
      <c r="E849" s="1105"/>
      <c r="F849" s="1105"/>
      <c r="G849" s="1105"/>
      <c r="H849" s="1105"/>
      <c r="I849" s="1105"/>
      <c r="J849" s="1105"/>
      <c r="K849" s="1105"/>
      <c r="L849" s="1105"/>
      <c r="M849" s="1105"/>
      <c r="N849" s="1105"/>
      <c r="O849" s="1105"/>
      <c r="P849" s="1105"/>
      <c r="Q849" s="1144"/>
      <c r="R849" s="1105"/>
      <c r="S849" s="1105"/>
      <c r="T849" s="1105"/>
    </row>
    <row r="850" spans="1:20">
      <c r="A850" s="1105"/>
      <c r="B850" s="1105"/>
      <c r="C850" s="1105"/>
      <c r="D850" s="1105"/>
      <c r="E850" s="1105"/>
      <c r="F850" s="1105"/>
      <c r="G850" s="1105"/>
      <c r="H850" s="1105"/>
      <c r="I850" s="1105"/>
      <c r="J850" s="1105"/>
      <c r="K850" s="1105"/>
      <c r="L850" s="1105"/>
      <c r="M850" s="1105"/>
      <c r="N850" s="1105"/>
      <c r="O850" s="1105"/>
      <c r="P850" s="1105"/>
      <c r="Q850" s="1144"/>
      <c r="R850" s="1105"/>
      <c r="S850" s="1105"/>
      <c r="T850" s="1105"/>
    </row>
    <row r="851" spans="1:20">
      <c r="A851" s="1105"/>
      <c r="B851" s="1105"/>
      <c r="C851" s="1105"/>
      <c r="D851" s="1105"/>
      <c r="E851" s="1105"/>
      <c r="F851" s="1105"/>
      <c r="G851" s="1105"/>
      <c r="H851" s="1105"/>
      <c r="I851" s="1105"/>
      <c r="J851" s="1105"/>
      <c r="K851" s="1105"/>
      <c r="L851" s="1105"/>
      <c r="M851" s="1105"/>
      <c r="N851" s="1105"/>
      <c r="O851" s="1105"/>
      <c r="P851" s="1105"/>
      <c r="Q851" s="1144"/>
      <c r="R851" s="1105"/>
      <c r="S851" s="1105"/>
      <c r="T851" s="1105"/>
    </row>
    <row r="852" spans="1:20">
      <c r="A852" s="1105"/>
      <c r="B852" s="1105"/>
      <c r="C852" s="1105"/>
      <c r="D852" s="1105"/>
      <c r="E852" s="1105"/>
      <c r="F852" s="1105"/>
      <c r="G852" s="1105"/>
      <c r="H852" s="1105"/>
      <c r="I852" s="1105"/>
      <c r="J852" s="1105"/>
      <c r="K852" s="1105"/>
      <c r="L852" s="1105"/>
      <c r="M852" s="1105"/>
      <c r="N852" s="1105"/>
      <c r="O852" s="1105"/>
      <c r="P852" s="1105"/>
      <c r="Q852" s="1144"/>
      <c r="R852" s="1105"/>
      <c r="S852" s="1105"/>
      <c r="T852" s="1105"/>
    </row>
    <row r="853" spans="1:20">
      <c r="A853" s="1105"/>
      <c r="B853" s="1105"/>
      <c r="C853" s="1105"/>
      <c r="D853" s="1105"/>
      <c r="E853" s="1105"/>
      <c r="F853" s="1105"/>
      <c r="G853" s="1105"/>
      <c r="H853" s="1105"/>
      <c r="I853" s="1105"/>
      <c r="J853" s="1105"/>
      <c r="K853" s="1105"/>
      <c r="L853" s="1105"/>
      <c r="M853" s="1105"/>
      <c r="N853" s="1105"/>
      <c r="O853" s="1105"/>
      <c r="P853" s="1105"/>
      <c r="Q853" s="1144"/>
      <c r="R853" s="1105"/>
      <c r="S853" s="1105"/>
      <c r="T853" s="1105"/>
    </row>
    <row r="854" spans="1:20">
      <c r="A854" s="1105"/>
      <c r="B854" s="1105"/>
      <c r="C854" s="1105"/>
      <c r="D854" s="1105"/>
      <c r="E854" s="1105"/>
      <c r="F854" s="1105"/>
      <c r="G854" s="1105"/>
      <c r="H854" s="1105"/>
      <c r="I854" s="1105"/>
      <c r="J854" s="1105"/>
      <c r="K854" s="1105"/>
      <c r="L854" s="1105"/>
      <c r="M854" s="1105"/>
      <c r="N854" s="1105"/>
      <c r="O854" s="1105"/>
      <c r="P854" s="1105"/>
      <c r="Q854" s="1144"/>
      <c r="R854" s="1105"/>
      <c r="S854" s="1105"/>
      <c r="T854" s="1105"/>
    </row>
    <row r="855" spans="1:20">
      <c r="A855" s="1105"/>
      <c r="B855" s="1105"/>
      <c r="C855" s="1105"/>
      <c r="D855" s="1105"/>
      <c r="E855" s="1105"/>
      <c r="F855" s="1105"/>
      <c r="G855" s="1105"/>
      <c r="H855" s="1105"/>
      <c r="I855" s="1105"/>
      <c r="J855" s="1105"/>
      <c r="K855" s="1105"/>
      <c r="L855" s="1105"/>
      <c r="M855" s="1105"/>
      <c r="N855" s="1105"/>
      <c r="O855" s="1105"/>
      <c r="P855" s="1105"/>
      <c r="Q855" s="1144"/>
      <c r="R855" s="1105"/>
      <c r="S855" s="1105"/>
      <c r="T855" s="1105"/>
    </row>
    <row r="856" spans="1:20">
      <c r="A856" s="1105"/>
      <c r="B856" s="1105"/>
      <c r="C856" s="1105"/>
      <c r="D856" s="1105"/>
      <c r="E856" s="1105"/>
      <c r="F856" s="1105"/>
      <c r="G856" s="1105"/>
      <c r="H856" s="1105"/>
      <c r="I856" s="1105"/>
      <c r="J856" s="1105"/>
      <c r="K856" s="1105"/>
      <c r="L856" s="1105"/>
      <c r="M856" s="1105"/>
      <c r="N856" s="1105"/>
      <c r="O856" s="1105"/>
      <c r="P856" s="1105"/>
      <c r="Q856" s="1144"/>
      <c r="R856" s="1105"/>
      <c r="S856" s="1105"/>
      <c r="T856" s="1105"/>
    </row>
    <row r="857" spans="1:20">
      <c r="A857" s="1105"/>
      <c r="B857" s="1105"/>
      <c r="C857" s="1105"/>
      <c r="D857" s="1105"/>
      <c r="E857" s="1105"/>
      <c r="F857" s="1105"/>
      <c r="G857" s="1105"/>
      <c r="H857" s="1105"/>
      <c r="I857" s="1105"/>
      <c r="J857" s="1105"/>
      <c r="K857" s="1105"/>
      <c r="L857" s="1105"/>
      <c r="M857" s="1105"/>
      <c r="N857" s="1105"/>
      <c r="O857" s="1105"/>
      <c r="P857" s="1105"/>
      <c r="Q857" s="1144"/>
      <c r="R857" s="1105"/>
      <c r="S857" s="1105"/>
      <c r="T857" s="1105"/>
    </row>
    <row r="858" spans="1:20">
      <c r="A858" s="1105"/>
      <c r="B858" s="1105"/>
      <c r="C858" s="1105"/>
      <c r="D858" s="1105"/>
      <c r="E858" s="1105"/>
      <c r="F858" s="1105"/>
      <c r="G858" s="1105"/>
      <c r="H858" s="1105"/>
      <c r="I858" s="1105"/>
      <c r="J858" s="1105"/>
      <c r="K858" s="1105"/>
      <c r="L858" s="1105"/>
      <c r="M858" s="1105"/>
      <c r="N858" s="1105"/>
      <c r="O858" s="1105"/>
      <c r="P858" s="1105"/>
      <c r="Q858" s="1144"/>
      <c r="R858" s="1105"/>
      <c r="S858" s="1105"/>
      <c r="T858" s="1105"/>
    </row>
    <row r="859" spans="1:20">
      <c r="A859" s="1105"/>
      <c r="B859" s="1105"/>
      <c r="C859" s="1105"/>
      <c r="D859" s="1105"/>
      <c r="E859" s="1105"/>
      <c r="F859" s="1105"/>
      <c r="G859" s="1105"/>
      <c r="H859" s="1105"/>
      <c r="I859" s="1105"/>
      <c r="J859" s="1105"/>
      <c r="K859" s="1105"/>
      <c r="L859" s="1105"/>
      <c r="M859" s="1105"/>
      <c r="N859" s="1105"/>
      <c r="O859" s="1105"/>
      <c r="P859" s="1105"/>
      <c r="Q859" s="1144"/>
      <c r="R859" s="1105"/>
      <c r="S859" s="1105"/>
      <c r="T859" s="1105"/>
    </row>
    <row r="860" spans="1:20">
      <c r="A860" s="1105"/>
      <c r="B860" s="1105"/>
      <c r="C860" s="1105"/>
      <c r="D860" s="1105"/>
      <c r="E860" s="1105"/>
      <c r="F860" s="1105"/>
      <c r="G860" s="1105"/>
      <c r="H860" s="1105"/>
      <c r="I860" s="1105"/>
      <c r="J860" s="1105"/>
      <c r="K860" s="1105"/>
      <c r="L860" s="1105"/>
      <c r="M860" s="1105"/>
      <c r="N860" s="1105"/>
      <c r="O860" s="1105"/>
      <c r="P860" s="1105"/>
      <c r="Q860" s="1144"/>
      <c r="R860" s="1105"/>
      <c r="S860" s="1105"/>
      <c r="T860" s="1105"/>
    </row>
    <row r="861" spans="1:20">
      <c r="A861" s="1105"/>
      <c r="B861" s="1105"/>
      <c r="C861" s="1105"/>
      <c r="D861" s="1105"/>
      <c r="E861" s="1105"/>
      <c r="F861" s="1105"/>
      <c r="G861" s="1105"/>
      <c r="H861" s="1105"/>
      <c r="I861" s="1105"/>
      <c r="J861" s="1105"/>
      <c r="K861" s="1105"/>
      <c r="L861" s="1105"/>
      <c r="M861" s="1105"/>
      <c r="N861" s="1105"/>
      <c r="O861" s="1105"/>
      <c r="P861" s="1105"/>
      <c r="Q861" s="1144"/>
      <c r="R861" s="1105"/>
      <c r="S861" s="1105"/>
      <c r="T861" s="1105"/>
    </row>
    <row r="862" spans="1:20">
      <c r="A862" s="1105"/>
      <c r="B862" s="1105"/>
      <c r="C862" s="1105"/>
      <c r="D862" s="1105"/>
      <c r="E862" s="1105"/>
      <c r="F862" s="1105"/>
      <c r="G862" s="1105"/>
      <c r="H862" s="1105"/>
      <c r="I862" s="1105"/>
      <c r="J862" s="1105"/>
      <c r="K862" s="1105"/>
      <c r="L862" s="1105"/>
      <c r="M862" s="1105"/>
      <c r="N862" s="1105"/>
      <c r="O862" s="1105"/>
      <c r="P862" s="1105"/>
      <c r="Q862" s="1144"/>
      <c r="R862" s="1105"/>
      <c r="S862" s="1105"/>
      <c r="T862" s="1105"/>
    </row>
    <row r="863" spans="1:20">
      <c r="A863" s="1105"/>
      <c r="B863" s="1105"/>
      <c r="C863" s="1105"/>
      <c r="D863" s="1105"/>
      <c r="E863" s="1105"/>
      <c r="F863" s="1105"/>
      <c r="G863" s="1105"/>
      <c r="H863" s="1105"/>
      <c r="I863" s="1105"/>
      <c r="J863" s="1105"/>
      <c r="K863" s="1105"/>
      <c r="L863" s="1105"/>
      <c r="M863" s="1105"/>
      <c r="N863" s="1105"/>
      <c r="O863" s="1105"/>
      <c r="P863" s="1105"/>
      <c r="Q863" s="1144"/>
      <c r="R863" s="1105"/>
      <c r="S863" s="1105"/>
      <c r="T863" s="1105"/>
    </row>
    <row r="864" spans="1:20">
      <c r="A864" s="1105"/>
      <c r="B864" s="1105"/>
      <c r="C864" s="1105"/>
      <c r="D864" s="1105"/>
      <c r="E864" s="1105"/>
      <c r="F864" s="1105"/>
      <c r="G864" s="1105"/>
      <c r="H864" s="1105"/>
      <c r="I864" s="1105"/>
      <c r="J864" s="1105"/>
      <c r="K864" s="1105"/>
      <c r="L864" s="1105"/>
      <c r="M864" s="1105"/>
      <c r="N864" s="1105"/>
      <c r="O864" s="1105"/>
      <c r="P864" s="1105"/>
      <c r="Q864" s="1144"/>
      <c r="R864" s="1105"/>
      <c r="S864" s="1105"/>
      <c r="T864" s="1105"/>
    </row>
    <row r="865" spans="1:20">
      <c r="A865" s="1105"/>
      <c r="B865" s="1105"/>
      <c r="C865" s="1105"/>
      <c r="D865" s="1105"/>
      <c r="E865" s="1105"/>
      <c r="F865" s="1105"/>
      <c r="G865" s="1105"/>
      <c r="H865" s="1105"/>
      <c r="I865" s="1105"/>
      <c r="J865" s="1105"/>
      <c r="K865" s="1105"/>
      <c r="L865" s="1105"/>
      <c r="M865" s="1105"/>
      <c r="N865" s="1105"/>
      <c r="O865" s="1105"/>
      <c r="P865" s="1105"/>
      <c r="Q865" s="1144"/>
      <c r="R865" s="1105"/>
      <c r="S865" s="1105"/>
      <c r="T865" s="1105"/>
    </row>
    <row r="866" spans="1:20">
      <c r="A866" s="1105"/>
      <c r="B866" s="1105"/>
      <c r="C866" s="1105"/>
      <c r="D866" s="1105"/>
      <c r="E866" s="1105"/>
      <c r="F866" s="1105"/>
      <c r="G866" s="1105"/>
      <c r="H866" s="1105"/>
      <c r="I866" s="1105"/>
      <c r="J866" s="1105"/>
      <c r="K866" s="1105"/>
      <c r="L866" s="1105"/>
      <c r="M866" s="1105"/>
      <c r="N866" s="1105"/>
      <c r="O866" s="1105"/>
      <c r="P866" s="1105"/>
      <c r="Q866" s="1144"/>
      <c r="R866" s="1105"/>
      <c r="S866" s="1105"/>
      <c r="T866" s="1105"/>
    </row>
    <row r="867" spans="1:20">
      <c r="A867" s="1105"/>
      <c r="B867" s="1105"/>
      <c r="C867" s="1105"/>
      <c r="D867" s="1105"/>
      <c r="E867" s="1105"/>
      <c r="F867" s="1105"/>
      <c r="G867" s="1105"/>
      <c r="H867" s="1105"/>
      <c r="I867" s="1105"/>
      <c r="J867" s="1105"/>
      <c r="K867" s="1105"/>
      <c r="L867" s="1105"/>
      <c r="M867" s="1105"/>
      <c r="N867" s="1105"/>
      <c r="O867" s="1105"/>
      <c r="P867" s="1105"/>
      <c r="Q867" s="1144"/>
      <c r="R867" s="1105"/>
      <c r="S867" s="1105"/>
      <c r="T867" s="1105"/>
    </row>
    <row r="868" spans="1:20">
      <c r="A868" s="1105"/>
      <c r="B868" s="1105"/>
      <c r="C868" s="1105"/>
      <c r="D868" s="1105"/>
      <c r="E868" s="1105"/>
      <c r="F868" s="1105"/>
      <c r="G868" s="1105"/>
      <c r="H868" s="1105"/>
      <c r="I868" s="1105"/>
      <c r="J868" s="1105"/>
      <c r="K868" s="1105"/>
      <c r="L868" s="1105"/>
      <c r="M868" s="1105"/>
      <c r="N868" s="1105"/>
      <c r="O868" s="1105"/>
      <c r="P868" s="1105"/>
      <c r="Q868" s="1144"/>
      <c r="R868" s="1105"/>
      <c r="S868" s="1105"/>
      <c r="T868" s="1105"/>
    </row>
    <row r="869" spans="1:20">
      <c r="A869" s="1105"/>
      <c r="B869" s="1105"/>
      <c r="C869" s="1105"/>
      <c r="D869" s="1105"/>
      <c r="E869" s="1105"/>
      <c r="F869" s="1105"/>
      <c r="G869" s="1105"/>
      <c r="H869" s="1105"/>
      <c r="I869" s="1105"/>
      <c r="J869" s="1105"/>
      <c r="K869" s="1105"/>
      <c r="L869" s="1105"/>
      <c r="M869" s="1105"/>
      <c r="N869" s="1105"/>
      <c r="O869" s="1105"/>
      <c r="P869" s="1105"/>
      <c r="Q869" s="1144"/>
      <c r="R869" s="1105"/>
      <c r="S869" s="1105"/>
      <c r="T869" s="1105"/>
    </row>
    <row r="870" spans="1:20">
      <c r="A870" s="1105"/>
      <c r="B870" s="1105"/>
      <c r="C870" s="1105"/>
      <c r="D870" s="1105"/>
      <c r="E870" s="1105"/>
      <c r="F870" s="1105"/>
      <c r="G870" s="1105"/>
      <c r="H870" s="1105"/>
      <c r="I870" s="1105"/>
      <c r="J870" s="1105"/>
      <c r="K870" s="1105"/>
      <c r="L870" s="1105"/>
      <c r="M870" s="1105"/>
      <c r="N870" s="1105"/>
      <c r="O870" s="1105"/>
      <c r="P870" s="1105"/>
      <c r="Q870" s="1144"/>
      <c r="R870" s="1105"/>
      <c r="S870" s="1105"/>
      <c r="T870" s="1105"/>
    </row>
    <row r="871" spans="1:20">
      <c r="A871" s="1105"/>
      <c r="B871" s="1105"/>
      <c r="C871" s="1105"/>
      <c r="D871" s="1105"/>
      <c r="E871" s="1105"/>
      <c r="F871" s="1105"/>
      <c r="G871" s="1105"/>
      <c r="H871" s="1105"/>
      <c r="I871" s="1105"/>
      <c r="J871" s="1105"/>
      <c r="K871" s="1105"/>
      <c r="L871" s="1105"/>
      <c r="M871" s="1105"/>
      <c r="N871" s="1105"/>
      <c r="O871" s="1105"/>
      <c r="P871" s="1105"/>
      <c r="Q871" s="1144"/>
      <c r="R871" s="1105"/>
      <c r="S871" s="1105"/>
      <c r="T871" s="1105"/>
    </row>
    <row r="872" spans="1:20">
      <c r="A872" s="1105"/>
      <c r="B872" s="1105"/>
      <c r="C872" s="1105"/>
      <c r="D872" s="1105"/>
      <c r="E872" s="1105"/>
      <c r="F872" s="1105"/>
      <c r="G872" s="1105"/>
      <c r="H872" s="1105"/>
      <c r="I872" s="1105"/>
      <c r="J872" s="1105"/>
      <c r="K872" s="1105"/>
      <c r="L872" s="1105"/>
      <c r="M872" s="1105"/>
      <c r="N872" s="1105"/>
      <c r="O872" s="1105"/>
      <c r="P872" s="1105"/>
      <c r="Q872" s="1144"/>
      <c r="R872" s="1105"/>
      <c r="S872" s="1105"/>
      <c r="T872" s="1105"/>
    </row>
    <row r="873" spans="1:20">
      <c r="A873" s="1105"/>
      <c r="B873" s="1105"/>
      <c r="C873" s="1105"/>
      <c r="D873" s="1105"/>
      <c r="E873" s="1105"/>
      <c r="F873" s="1105"/>
      <c r="G873" s="1105"/>
      <c r="H873" s="1105"/>
      <c r="I873" s="1105"/>
      <c r="J873" s="1105"/>
      <c r="K873" s="1105"/>
      <c r="L873" s="1105"/>
      <c r="M873" s="1105"/>
      <c r="N873" s="1105"/>
      <c r="O873" s="1105"/>
      <c r="P873" s="1105"/>
      <c r="Q873" s="1144"/>
      <c r="R873" s="1105"/>
      <c r="S873" s="1105"/>
      <c r="T873" s="1105"/>
    </row>
    <row r="874" spans="1:20">
      <c r="A874" s="1105"/>
      <c r="B874" s="1105"/>
      <c r="C874" s="1105"/>
      <c r="D874" s="1105"/>
      <c r="E874" s="1105"/>
      <c r="F874" s="1105"/>
      <c r="G874" s="1105"/>
      <c r="H874" s="1105"/>
      <c r="I874" s="1105"/>
      <c r="J874" s="1105"/>
      <c r="K874" s="1105"/>
      <c r="L874" s="1105"/>
      <c r="M874" s="1105"/>
      <c r="N874" s="1105"/>
      <c r="O874" s="1105"/>
      <c r="P874" s="1105"/>
      <c r="Q874" s="1144"/>
      <c r="R874" s="1105"/>
      <c r="S874" s="1105"/>
      <c r="T874" s="1105"/>
    </row>
    <row r="875" spans="1:20">
      <c r="A875" s="1105"/>
      <c r="B875" s="1105"/>
      <c r="C875" s="1105"/>
      <c r="D875" s="1105"/>
      <c r="E875" s="1105"/>
      <c r="F875" s="1105"/>
      <c r="G875" s="1105"/>
      <c r="H875" s="1105"/>
      <c r="I875" s="1105"/>
      <c r="J875" s="1105"/>
      <c r="K875" s="1105"/>
      <c r="L875" s="1105"/>
      <c r="M875" s="1105"/>
      <c r="N875" s="1105"/>
      <c r="O875" s="1105"/>
      <c r="P875" s="1105"/>
      <c r="Q875" s="1144"/>
      <c r="R875" s="1105"/>
      <c r="S875" s="1105"/>
      <c r="T875" s="1105"/>
    </row>
    <row r="876" spans="1:20">
      <c r="A876" s="1105"/>
      <c r="B876" s="1105"/>
      <c r="C876" s="1105"/>
      <c r="D876" s="1105"/>
      <c r="E876" s="1105"/>
      <c r="F876" s="1105"/>
      <c r="G876" s="1105"/>
      <c r="H876" s="1105"/>
      <c r="I876" s="1105"/>
      <c r="J876" s="1105"/>
      <c r="K876" s="1105"/>
      <c r="L876" s="1105"/>
      <c r="M876" s="1105"/>
      <c r="N876" s="1105"/>
      <c r="O876" s="1105"/>
      <c r="P876" s="1105"/>
      <c r="Q876" s="1144"/>
      <c r="R876" s="1105"/>
      <c r="S876" s="1105"/>
      <c r="T876" s="1105"/>
    </row>
    <row r="877" spans="1:20">
      <c r="A877" s="1105"/>
      <c r="B877" s="1105"/>
      <c r="C877" s="1105"/>
      <c r="D877" s="1105"/>
      <c r="E877" s="1105"/>
      <c r="F877" s="1105"/>
      <c r="G877" s="1105"/>
      <c r="H877" s="1105"/>
      <c r="I877" s="1105"/>
      <c r="J877" s="1105"/>
      <c r="K877" s="1105"/>
      <c r="L877" s="1105"/>
      <c r="M877" s="1105"/>
      <c r="N877" s="1105"/>
      <c r="O877" s="1105"/>
      <c r="P877" s="1105"/>
      <c r="Q877" s="1144"/>
      <c r="R877" s="1105"/>
      <c r="S877" s="1105"/>
      <c r="T877" s="1105"/>
    </row>
    <row r="878" spans="1:20">
      <c r="A878" s="1105"/>
      <c r="B878" s="1105"/>
      <c r="C878" s="1105"/>
      <c r="D878" s="1105"/>
      <c r="E878" s="1105"/>
      <c r="F878" s="1105"/>
      <c r="G878" s="1105"/>
      <c r="H878" s="1105"/>
      <c r="I878" s="1105"/>
      <c r="J878" s="1105"/>
      <c r="K878" s="1105"/>
      <c r="L878" s="1105"/>
      <c r="M878" s="1105"/>
      <c r="N878" s="1105"/>
      <c r="O878" s="1105"/>
      <c r="P878" s="1105"/>
      <c r="Q878" s="1144"/>
      <c r="R878" s="1105"/>
      <c r="S878" s="1105"/>
      <c r="T878" s="1105"/>
    </row>
    <row r="879" spans="1:20">
      <c r="A879" s="1105"/>
      <c r="B879" s="1105"/>
      <c r="C879" s="1105"/>
      <c r="D879" s="1105"/>
      <c r="E879" s="1105"/>
      <c r="F879" s="1105"/>
      <c r="G879" s="1105"/>
      <c r="H879" s="1105"/>
      <c r="I879" s="1105"/>
      <c r="J879" s="1105"/>
      <c r="K879" s="1105"/>
      <c r="L879" s="1105"/>
      <c r="M879" s="1105"/>
      <c r="N879" s="1105"/>
      <c r="O879" s="1105"/>
      <c r="P879" s="1105"/>
      <c r="Q879" s="1144"/>
      <c r="R879" s="1105"/>
      <c r="S879" s="1105"/>
      <c r="T879" s="1105"/>
    </row>
    <row r="880" spans="1:20">
      <c r="A880" s="1105"/>
      <c r="B880" s="1105"/>
      <c r="C880" s="1105"/>
      <c r="D880" s="1105"/>
      <c r="E880" s="1105"/>
      <c r="F880" s="1105"/>
      <c r="G880" s="1105"/>
      <c r="H880" s="1105"/>
      <c r="I880" s="1105"/>
      <c r="J880" s="1105"/>
      <c r="K880" s="1105"/>
      <c r="L880" s="1105"/>
      <c r="M880" s="1105"/>
      <c r="N880" s="1105"/>
      <c r="O880" s="1105"/>
      <c r="P880" s="1105"/>
      <c r="Q880" s="1144"/>
      <c r="R880" s="1105"/>
      <c r="S880" s="1105"/>
      <c r="T880" s="1105"/>
    </row>
    <row r="881" spans="1:20">
      <c r="A881" s="1105"/>
      <c r="B881" s="1105"/>
      <c r="C881" s="1105"/>
      <c r="D881" s="1105"/>
      <c r="E881" s="1105"/>
      <c r="F881" s="1105"/>
      <c r="G881" s="1105"/>
      <c r="H881" s="1105"/>
      <c r="I881" s="1105"/>
      <c r="J881" s="1105"/>
      <c r="K881" s="1105"/>
      <c r="L881" s="1105"/>
      <c r="M881" s="1105"/>
      <c r="N881" s="1105"/>
      <c r="O881" s="1105"/>
      <c r="P881" s="1105"/>
      <c r="Q881" s="1144"/>
      <c r="R881" s="1105"/>
      <c r="S881" s="1105"/>
      <c r="T881" s="1105"/>
    </row>
    <row r="882" spans="1:20">
      <c r="A882" s="1105"/>
      <c r="B882" s="1105"/>
      <c r="C882" s="1105"/>
      <c r="D882" s="1105"/>
      <c r="E882" s="1105"/>
      <c r="F882" s="1105"/>
      <c r="G882" s="1105"/>
      <c r="H882" s="1105"/>
      <c r="I882" s="1105"/>
      <c r="J882" s="1105"/>
      <c r="K882" s="1105"/>
      <c r="L882" s="1105"/>
      <c r="M882" s="1105"/>
      <c r="N882" s="1105"/>
      <c r="O882" s="1105"/>
      <c r="P882" s="1105"/>
      <c r="Q882" s="1144"/>
      <c r="R882" s="1105"/>
      <c r="S882" s="1105"/>
      <c r="T882" s="1105"/>
    </row>
    <row r="883" spans="1:20">
      <c r="A883" s="1105"/>
      <c r="B883" s="1105"/>
      <c r="C883" s="1105"/>
      <c r="D883" s="1105"/>
      <c r="E883" s="1105"/>
      <c r="F883" s="1105"/>
      <c r="G883" s="1105"/>
      <c r="H883" s="1105"/>
      <c r="I883" s="1105"/>
      <c r="J883" s="1105"/>
      <c r="K883" s="1105"/>
      <c r="L883" s="1105"/>
      <c r="M883" s="1105"/>
      <c r="N883" s="1105"/>
      <c r="O883" s="1105"/>
      <c r="P883" s="1105"/>
      <c r="Q883" s="1144"/>
      <c r="R883" s="1105"/>
      <c r="S883" s="1105"/>
      <c r="T883" s="1105"/>
    </row>
    <row r="884" spans="1:20">
      <c r="A884" s="1105"/>
      <c r="B884" s="1105"/>
      <c r="C884" s="1105"/>
      <c r="D884" s="1105"/>
      <c r="E884" s="1105"/>
      <c r="F884" s="1105"/>
      <c r="G884" s="1105"/>
      <c r="H884" s="1105"/>
      <c r="I884" s="1105"/>
      <c r="J884" s="1105"/>
      <c r="K884" s="1105"/>
      <c r="L884" s="1105"/>
      <c r="M884" s="1105"/>
      <c r="N884" s="1105"/>
      <c r="O884" s="1105"/>
      <c r="P884" s="1105"/>
      <c r="Q884" s="1144"/>
      <c r="R884" s="1105"/>
      <c r="S884" s="1105"/>
      <c r="T884" s="1105"/>
    </row>
    <row r="885" spans="1:20">
      <c r="A885" s="1105"/>
      <c r="B885" s="1105"/>
      <c r="C885" s="1105"/>
      <c r="D885" s="1105"/>
      <c r="E885" s="1105"/>
      <c r="F885" s="1105"/>
      <c r="G885" s="1105"/>
      <c r="H885" s="1105"/>
      <c r="I885" s="1105"/>
      <c r="J885" s="1105"/>
      <c r="K885" s="1105"/>
      <c r="L885" s="1105"/>
      <c r="M885" s="1105"/>
      <c r="N885" s="1105"/>
      <c r="O885" s="1105"/>
      <c r="P885" s="1105"/>
      <c r="Q885" s="1144"/>
      <c r="R885" s="1105"/>
      <c r="S885" s="1105"/>
      <c r="T885" s="1105"/>
    </row>
    <row r="886" spans="1:20">
      <c r="A886" s="1105"/>
      <c r="B886" s="1105"/>
      <c r="C886" s="1105"/>
      <c r="D886" s="1105"/>
      <c r="E886" s="1105"/>
      <c r="F886" s="1105"/>
      <c r="G886" s="1105"/>
      <c r="H886" s="1105"/>
      <c r="I886" s="1105"/>
      <c r="J886" s="1105"/>
      <c r="K886" s="1105"/>
      <c r="L886" s="1105"/>
      <c r="M886" s="1105"/>
      <c r="N886" s="1105"/>
      <c r="O886" s="1105"/>
      <c r="P886" s="1105"/>
      <c r="Q886" s="1144"/>
      <c r="R886" s="1105"/>
      <c r="S886" s="1105"/>
      <c r="T886" s="1105"/>
    </row>
    <row r="887" spans="1:20">
      <c r="A887" s="1105"/>
      <c r="B887" s="1105"/>
      <c r="C887" s="1105"/>
      <c r="D887" s="1105"/>
      <c r="E887" s="1105"/>
      <c r="F887" s="1105"/>
      <c r="G887" s="1105"/>
      <c r="H887" s="1105"/>
      <c r="I887" s="1105"/>
      <c r="J887" s="1105"/>
      <c r="K887" s="1105"/>
      <c r="L887" s="1105"/>
      <c r="M887" s="1105"/>
      <c r="N887" s="1105"/>
      <c r="O887" s="1105"/>
      <c r="P887" s="1105"/>
      <c r="Q887" s="1144"/>
      <c r="R887" s="1105"/>
      <c r="S887" s="1105"/>
      <c r="T887" s="1105"/>
    </row>
    <row r="888" spans="1:20">
      <c r="A888" s="1105"/>
      <c r="B888" s="1105"/>
      <c r="C888" s="1105"/>
      <c r="D888" s="1105"/>
      <c r="E888" s="1105"/>
      <c r="F888" s="1105"/>
      <c r="G888" s="1105"/>
      <c r="H888" s="1105"/>
      <c r="I888" s="1105"/>
      <c r="J888" s="1105"/>
      <c r="K888" s="1105"/>
      <c r="L888" s="1105"/>
      <c r="M888" s="1105"/>
      <c r="N888" s="1105"/>
      <c r="O888" s="1105"/>
      <c r="P888" s="1105"/>
      <c r="Q888" s="1144"/>
      <c r="R888" s="1105"/>
      <c r="S888" s="1105"/>
      <c r="T888" s="1105"/>
    </row>
    <row r="889" spans="1:20">
      <c r="A889" s="1105"/>
      <c r="B889" s="1105"/>
      <c r="C889" s="1105"/>
      <c r="D889" s="1105"/>
      <c r="E889" s="1105"/>
      <c r="F889" s="1105"/>
      <c r="G889" s="1105"/>
      <c r="H889" s="1105"/>
      <c r="I889" s="1105"/>
      <c r="J889" s="1105"/>
      <c r="K889" s="1105"/>
      <c r="L889" s="1105"/>
      <c r="M889" s="1105"/>
      <c r="N889" s="1105"/>
      <c r="O889" s="1105"/>
      <c r="P889" s="1105"/>
      <c r="Q889" s="1144"/>
      <c r="R889" s="1105"/>
      <c r="S889" s="1105"/>
      <c r="T889" s="1105"/>
    </row>
    <row r="890" spans="1:20">
      <c r="A890" s="1105"/>
      <c r="B890" s="1105"/>
      <c r="C890" s="1105"/>
      <c r="D890" s="1105"/>
      <c r="E890" s="1105"/>
      <c r="F890" s="1105"/>
      <c r="G890" s="1105"/>
      <c r="H890" s="1105"/>
      <c r="I890" s="1105"/>
      <c r="J890" s="1105"/>
      <c r="K890" s="1105"/>
      <c r="L890" s="1105"/>
      <c r="M890" s="1105"/>
      <c r="N890" s="1105"/>
      <c r="O890" s="1105"/>
      <c r="P890" s="1105"/>
      <c r="Q890" s="1144"/>
      <c r="R890" s="1105"/>
      <c r="S890" s="1105"/>
      <c r="T890" s="1105"/>
    </row>
    <row r="891" spans="1:20">
      <c r="A891" s="1105"/>
      <c r="B891" s="1105"/>
      <c r="C891" s="1105"/>
      <c r="D891" s="1105"/>
      <c r="E891" s="1105"/>
      <c r="F891" s="1105"/>
      <c r="G891" s="1105"/>
      <c r="H891" s="1105"/>
      <c r="I891" s="1105"/>
      <c r="J891" s="1105"/>
      <c r="K891" s="1105"/>
      <c r="L891" s="1105"/>
      <c r="M891" s="1105"/>
      <c r="N891" s="1105"/>
      <c r="O891" s="1105"/>
      <c r="P891" s="1105"/>
      <c r="Q891" s="1144"/>
      <c r="R891" s="1105"/>
      <c r="S891" s="1105"/>
      <c r="T891" s="1105"/>
    </row>
    <row r="892" spans="1:20">
      <c r="A892" s="1105"/>
      <c r="B892" s="1105"/>
      <c r="C892" s="1105"/>
      <c r="D892" s="1105"/>
      <c r="E892" s="1105"/>
      <c r="F892" s="1105"/>
      <c r="G892" s="1105"/>
      <c r="H892" s="1105"/>
      <c r="I892" s="1105"/>
      <c r="J892" s="1105"/>
      <c r="K892" s="1105"/>
      <c r="L892" s="1105"/>
      <c r="M892" s="1105"/>
      <c r="N892" s="1105"/>
      <c r="O892" s="1105"/>
      <c r="P892" s="1105"/>
      <c r="Q892" s="1144"/>
      <c r="R892" s="1105"/>
      <c r="S892" s="1105"/>
      <c r="T892" s="1105"/>
    </row>
    <row r="893" spans="1:20">
      <c r="A893" s="1105"/>
      <c r="B893" s="1105"/>
      <c r="C893" s="1105"/>
      <c r="D893" s="1105"/>
      <c r="E893" s="1105"/>
      <c r="F893" s="1105"/>
      <c r="G893" s="1105"/>
      <c r="H893" s="1105"/>
      <c r="I893" s="1105"/>
      <c r="J893" s="1105"/>
      <c r="K893" s="1105"/>
      <c r="L893" s="1105"/>
      <c r="M893" s="1105"/>
      <c r="N893" s="1105"/>
      <c r="O893" s="1105"/>
      <c r="P893" s="1105"/>
      <c r="Q893" s="1144"/>
      <c r="R893" s="1105"/>
      <c r="S893" s="1105"/>
      <c r="T893" s="1105"/>
    </row>
    <row r="894" spans="1:20">
      <c r="A894" s="1105"/>
      <c r="B894" s="1105"/>
      <c r="C894" s="1105"/>
      <c r="D894" s="1105"/>
      <c r="E894" s="1105"/>
      <c r="F894" s="1105"/>
      <c r="G894" s="1105"/>
      <c r="H894" s="1105"/>
      <c r="I894" s="1105"/>
      <c r="J894" s="1105"/>
      <c r="K894" s="1105"/>
      <c r="L894" s="1105"/>
      <c r="M894" s="1105"/>
      <c r="N894" s="1105"/>
      <c r="O894" s="1105"/>
      <c r="P894" s="1105"/>
      <c r="Q894" s="1144"/>
      <c r="R894" s="1105"/>
      <c r="S894" s="1105"/>
      <c r="T894" s="1105"/>
    </row>
    <row r="895" spans="1:20">
      <c r="A895" s="1105"/>
      <c r="B895" s="1105"/>
      <c r="C895" s="1105"/>
      <c r="D895" s="1105"/>
      <c r="E895" s="1105"/>
      <c r="F895" s="1105"/>
      <c r="G895" s="1105"/>
      <c r="H895" s="1105"/>
      <c r="I895" s="1105"/>
      <c r="J895" s="1105"/>
      <c r="K895" s="1105"/>
      <c r="L895" s="1105"/>
      <c r="M895" s="1105"/>
      <c r="N895" s="1105"/>
      <c r="O895" s="1105"/>
      <c r="P895" s="1105"/>
      <c r="Q895" s="1144"/>
      <c r="R895" s="1105"/>
      <c r="S895" s="1105"/>
      <c r="T895" s="1105"/>
    </row>
    <row r="896" spans="1:20">
      <c r="A896" s="1105"/>
      <c r="B896" s="1105"/>
      <c r="C896" s="1105"/>
      <c r="D896" s="1105"/>
      <c r="E896" s="1105"/>
      <c r="F896" s="1105"/>
      <c r="G896" s="1105"/>
      <c r="H896" s="1105"/>
      <c r="I896" s="1105"/>
      <c r="J896" s="1105"/>
      <c r="K896" s="1105"/>
      <c r="L896" s="1105"/>
      <c r="M896" s="1105"/>
      <c r="N896" s="1105"/>
      <c r="O896" s="1105"/>
      <c r="P896" s="1105"/>
      <c r="Q896" s="1144"/>
      <c r="R896" s="1105"/>
      <c r="S896" s="1105"/>
      <c r="T896" s="1105"/>
    </row>
    <row r="897" spans="1:20">
      <c r="A897" s="1105"/>
      <c r="B897" s="1105"/>
      <c r="C897" s="1105"/>
      <c r="D897" s="1105"/>
      <c r="E897" s="1105"/>
      <c r="F897" s="1105"/>
      <c r="G897" s="1105"/>
      <c r="H897" s="1105"/>
      <c r="I897" s="1105"/>
      <c r="J897" s="1105"/>
      <c r="K897" s="1105"/>
      <c r="L897" s="1105"/>
      <c r="M897" s="1105"/>
      <c r="N897" s="1105"/>
      <c r="O897" s="1105"/>
      <c r="P897" s="1105"/>
      <c r="Q897" s="1144"/>
      <c r="R897" s="1105"/>
      <c r="S897" s="1105"/>
      <c r="T897" s="1105"/>
    </row>
    <row r="898" spans="1:20">
      <c r="A898" s="1105"/>
      <c r="B898" s="1105"/>
      <c r="C898" s="1105"/>
      <c r="D898" s="1105"/>
      <c r="E898" s="1105"/>
      <c r="F898" s="1105"/>
      <c r="G898" s="1105"/>
      <c r="H898" s="1105"/>
      <c r="I898" s="1105"/>
      <c r="J898" s="1105"/>
      <c r="K898" s="1105"/>
      <c r="L898" s="1105"/>
      <c r="M898" s="1105"/>
      <c r="N898" s="1105"/>
      <c r="O898" s="1105"/>
      <c r="P898" s="1105"/>
      <c r="Q898" s="1144"/>
      <c r="R898" s="1105"/>
      <c r="S898" s="1105"/>
      <c r="T898" s="1105"/>
    </row>
    <row r="899" spans="1:20">
      <c r="A899" s="1105"/>
      <c r="B899" s="1105"/>
      <c r="C899" s="1105"/>
      <c r="D899" s="1105"/>
      <c r="E899" s="1105"/>
      <c r="F899" s="1105"/>
      <c r="G899" s="1105"/>
      <c r="H899" s="1105"/>
      <c r="I899" s="1105"/>
      <c r="J899" s="1105"/>
      <c r="K899" s="1105"/>
      <c r="L899" s="1105"/>
      <c r="M899" s="1105"/>
      <c r="N899" s="1105"/>
      <c r="O899" s="1105"/>
      <c r="P899" s="1105"/>
      <c r="Q899" s="1144"/>
      <c r="R899" s="1105"/>
      <c r="S899" s="1105"/>
      <c r="T899" s="1105"/>
    </row>
    <row r="900" spans="1:20">
      <c r="A900" s="1105"/>
      <c r="B900" s="1105"/>
      <c r="C900" s="1105"/>
      <c r="D900" s="1105"/>
      <c r="E900" s="1105"/>
      <c r="F900" s="1105"/>
      <c r="G900" s="1105"/>
      <c r="H900" s="1105"/>
      <c r="I900" s="1105"/>
      <c r="J900" s="1105"/>
      <c r="K900" s="1105"/>
      <c r="L900" s="1105"/>
      <c r="M900" s="1105"/>
      <c r="N900" s="1105"/>
      <c r="O900" s="1105"/>
      <c r="P900" s="1105"/>
      <c r="Q900" s="1144"/>
      <c r="R900" s="1105"/>
      <c r="S900" s="1105"/>
      <c r="T900" s="1105"/>
    </row>
    <row r="901" spans="1:20">
      <c r="A901" s="1105"/>
      <c r="B901" s="1105"/>
      <c r="C901" s="1105"/>
      <c r="D901" s="1105"/>
      <c r="E901" s="1105"/>
      <c r="F901" s="1105"/>
      <c r="G901" s="1105"/>
      <c r="H901" s="1105"/>
      <c r="I901" s="1105"/>
      <c r="J901" s="1105"/>
      <c r="K901" s="1105"/>
      <c r="L901" s="1105"/>
      <c r="M901" s="1105"/>
      <c r="N901" s="1105"/>
      <c r="O901" s="1105"/>
      <c r="P901" s="1105"/>
      <c r="Q901" s="1144"/>
      <c r="R901" s="1105"/>
      <c r="S901" s="1105"/>
      <c r="T901" s="1105"/>
    </row>
    <row r="902" spans="1:20">
      <c r="A902" s="1105"/>
      <c r="B902" s="1105"/>
      <c r="C902" s="1105"/>
      <c r="D902" s="1105"/>
      <c r="E902" s="1105"/>
      <c r="F902" s="1105"/>
      <c r="G902" s="1105"/>
      <c r="H902" s="1105"/>
      <c r="I902" s="1105"/>
      <c r="J902" s="1105"/>
      <c r="K902" s="1105"/>
      <c r="L902" s="1105"/>
      <c r="M902" s="1105"/>
      <c r="N902" s="1105"/>
      <c r="O902" s="1105"/>
      <c r="P902" s="1105"/>
      <c r="Q902" s="1144"/>
      <c r="R902" s="1105"/>
      <c r="S902" s="1105"/>
      <c r="T902" s="1105"/>
    </row>
    <row r="903" spans="1:20">
      <c r="A903" s="1105"/>
      <c r="B903" s="1105"/>
      <c r="C903" s="1105"/>
      <c r="D903" s="1105"/>
      <c r="E903" s="1105"/>
      <c r="F903" s="1105"/>
      <c r="G903" s="1105"/>
      <c r="H903" s="1105"/>
      <c r="I903" s="1105"/>
      <c r="J903" s="1105"/>
      <c r="K903" s="1105"/>
      <c r="L903" s="1105"/>
      <c r="M903" s="1105"/>
      <c r="N903" s="1105"/>
      <c r="O903" s="1105"/>
      <c r="P903" s="1105"/>
      <c r="Q903" s="1144"/>
      <c r="R903" s="1105"/>
      <c r="S903" s="1105"/>
      <c r="T903" s="1105"/>
    </row>
    <row r="904" spans="1:20">
      <c r="A904" s="1105"/>
      <c r="B904" s="1105"/>
      <c r="C904" s="1105"/>
      <c r="D904" s="1105"/>
      <c r="E904" s="1105"/>
      <c r="F904" s="1105"/>
      <c r="G904" s="1105"/>
      <c r="H904" s="1105"/>
      <c r="I904" s="1105"/>
      <c r="J904" s="1105"/>
      <c r="K904" s="1105"/>
      <c r="L904" s="1105"/>
      <c r="M904" s="1105"/>
      <c r="N904" s="1105"/>
      <c r="O904" s="1105"/>
      <c r="P904" s="1105"/>
      <c r="Q904" s="1144"/>
      <c r="R904" s="1105"/>
      <c r="S904" s="1105"/>
      <c r="T904" s="1105"/>
    </row>
    <row r="905" spans="1:20">
      <c r="A905" s="1105"/>
      <c r="B905" s="1105"/>
      <c r="C905" s="1105"/>
      <c r="D905" s="1105"/>
      <c r="E905" s="1105"/>
      <c r="F905" s="1105"/>
      <c r="G905" s="1105"/>
      <c r="H905" s="1105"/>
      <c r="I905" s="1105"/>
      <c r="J905" s="1105"/>
      <c r="K905" s="1105"/>
      <c r="L905" s="1105"/>
      <c r="M905" s="1105"/>
      <c r="N905" s="1105"/>
      <c r="O905" s="1105"/>
      <c r="P905" s="1105"/>
      <c r="Q905" s="1144"/>
      <c r="R905" s="1105"/>
      <c r="S905" s="1105"/>
      <c r="T905" s="1105"/>
    </row>
    <row r="906" spans="1:20">
      <c r="A906" s="1105"/>
      <c r="B906" s="1105"/>
      <c r="C906" s="1105"/>
      <c r="D906" s="1105"/>
      <c r="E906" s="1105"/>
      <c r="F906" s="1105"/>
      <c r="G906" s="1105"/>
      <c r="H906" s="1105"/>
      <c r="I906" s="1105"/>
      <c r="J906" s="1105"/>
      <c r="K906" s="1105"/>
      <c r="L906" s="1105"/>
      <c r="M906" s="1105"/>
      <c r="N906" s="1105"/>
      <c r="O906" s="1105"/>
      <c r="P906" s="1105"/>
      <c r="Q906" s="1144"/>
      <c r="R906" s="1105"/>
      <c r="S906" s="1105"/>
      <c r="T906" s="1105"/>
    </row>
    <row r="907" spans="1:20">
      <c r="A907" s="1105"/>
      <c r="B907" s="1105"/>
      <c r="C907" s="1105"/>
      <c r="D907" s="1105"/>
      <c r="E907" s="1105"/>
      <c r="F907" s="1105"/>
      <c r="G907" s="1105"/>
      <c r="H907" s="1105"/>
      <c r="I907" s="1105"/>
      <c r="J907" s="1105"/>
      <c r="K907" s="1105"/>
      <c r="L907" s="1105"/>
      <c r="M907" s="1105"/>
      <c r="N907" s="1105"/>
      <c r="O907" s="1105"/>
      <c r="P907" s="1105"/>
      <c r="Q907" s="1144"/>
      <c r="R907" s="1105"/>
      <c r="S907" s="1105"/>
      <c r="T907" s="1105"/>
    </row>
    <row r="908" spans="1:20">
      <c r="A908" s="1105"/>
      <c r="B908" s="1105"/>
      <c r="C908" s="1105"/>
      <c r="D908" s="1105"/>
      <c r="E908" s="1105"/>
      <c r="F908" s="1105"/>
      <c r="G908" s="1105"/>
      <c r="H908" s="1105"/>
      <c r="I908" s="1105"/>
      <c r="J908" s="1105"/>
      <c r="K908" s="1105"/>
      <c r="L908" s="1105"/>
      <c r="M908" s="1105"/>
      <c r="N908" s="1105"/>
      <c r="O908" s="1105"/>
      <c r="P908" s="1105"/>
      <c r="Q908" s="1144"/>
      <c r="R908" s="1105"/>
      <c r="S908" s="1105"/>
      <c r="T908" s="1105"/>
    </row>
    <row r="909" spans="1:20">
      <c r="A909" s="1105"/>
      <c r="B909" s="1105"/>
      <c r="C909" s="1105"/>
      <c r="D909" s="1105"/>
      <c r="E909" s="1105"/>
      <c r="F909" s="1105"/>
      <c r="G909" s="1105"/>
      <c r="H909" s="1105"/>
      <c r="I909" s="1105"/>
      <c r="J909" s="1105"/>
      <c r="K909" s="1105"/>
      <c r="L909" s="1105"/>
      <c r="M909" s="1105"/>
      <c r="N909" s="1105"/>
      <c r="O909" s="1105"/>
      <c r="P909" s="1105"/>
      <c r="Q909" s="1144"/>
      <c r="R909" s="1105"/>
      <c r="S909" s="1105"/>
      <c r="T909" s="1105"/>
    </row>
    <row r="910" spans="1:20">
      <c r="A910" s="1105"/>
      <c r="B910" s="1105"/>
      <c r="C910" s="1105"/>
      <c r="D910" s="1105"/>
      <c r="E910" s="1105"/>
      <c r="F910" s="1105"/>
      <c r="G910" s="1105"/>
      <c r="H910" s="1105"/>
      <c r="I910" s="1105"/>
      <c r="J910" s="1105"/>
      <c r="K910" s="1105"/>
      <c r="L910" s="1105"/>
      <c r="M910" s="1105"/>
      <c r="N910" s="1105"/>
      <c r="O910" s="1105"/>
      <c r="P910" s="1105"/>
      <c r="Q910" s="1144"/>
      <c r="R910" s="1105"/>
      <c r="S910" s="1105"/>
      <c r="T910" s="1105"/>
    </row>
    <row r="911" spans="1:20">
      <c r="A911" s="1105"/>
      <c r="B911" s="1105"/>
      <c r="C911" s="1105"/>
      <c r="D911" s="1105"/>
      <c r="E911" s="1105"/>
      <c r="F911" s="1105"/>
      <c r="G911" s="1105"/>
      <c r="H911" s="1105"/>
      <c r="I911" s="1105"/>
      <c r="J911" s="1105"/>
      <c r="K911" s="1105"/>
      <c r="L911" s="1105"/>
      <c r="M911" s="1105"/>
      <c r="N911" s="1105"/>
      <c r="O911" s="1105"/>
      <c r="P911" s="1105"/>
      <c r="Q911" s="1144"/>
      <c r="R911" s="1105"/>
      <c r="S911" s="1105"/>
      <c r="T911" s="1105"/>
    </row>
    <row r="912" spans="1:20">
      <c r="A912" s="1105"/>
      <c r="B912" s="1105"/>
      <c r="C912" s="1105"/>
      <c r="D912" s="1105"/>
      <c r="E912" s="1105"/>
      <c r="F912" s="1105"/>
      <c r="G912" s="1105"/>
      <c r="H912" s="1105"/>
      <c r="I912" s="1105"/>
      <c r="J912" s="1105"/>
      <c r="K912" s="1105"/>
      <c r="L912" s="1105"/>
      <c r="M912" s="1105"/>
      <c r="N912" s="1105"/>
      <c r="O912" s="1105"/>
      <c r="P912" s="1105"/>
      <c r="Q912" s="1144"/>
      <c r="R912" s="1105"/>
      <c r="S912" s="1105"/>
      <c r="T912" s="1105"/>
    </row>
    <row r="913" spans="1:20">
      <c r="A913" s="1105"/>
      <c r="B913" s="1105"/>
      <c r="C913" s="1105"/>
      <c r="D913" s="1105"/>
      <c r="E913" s="1105"/>
      <c r="F913" s="1105"/>
      <c r="G913" s="1105"/>
      <c r="H913" s="1105"/>
      <c r="I913" s="1105"/>
      <c r="J913" s="1105"/>
      <c r="K913" s="1105"/>
      <c r="L913" s="1105"/>
      <c r="M913" s="1105"/>
      <c r="N913" s="1105"/>
      <c r="O913" s="1105"/>
      <c r="P913" s="1105"/>
      <c r="Q913" s="1144"/>
      <c r="R913" s="1105"/>
      <c r="S913" s="1105"/>
      <c r="T913" s="1105"/>
    </row>
    <row r="914" spans="1:20">
      <c r="A914" s="1105"/>
      <c r="B914" s="1105"/>
      <c r="C914" s="1105"/>
      <c r="D914" s="1105"/>
      <c r="E914" s="1105"/>
      <c r="F914" s="1105"/>
      <c r="G914" s="1105"/>
      <c r="H914" s="1105"/>
      <c r="I914" s="1105"/>
      <c r="J914" s="1105"/>
      <c r="K914" s="1105"/>
      <c r="L914" s="1105"/>
      <c r="M914" s="1105"/>
      <c r="N914" s="1105"/>
      <c r="O914" s="1105"/>
      <c r="P914" s="1105"/>
      <c r="Q914" s="1144"/>
      <c r="R914" s="1105"/>
      <c r="S914" s="1105"/>
      <c r="T914" s="1105"/>
    </row>
    <row r="915" spans="1:20">
      <c r="A915" s="1105"/>
      <c r="B915" s="1105"/>
      <c r="C915" s="1105"/>
      <c r="D915" s="1105"/>
      <c r="E915" s="1105"/>
      <c r="F915" s="1105"/>
      <c r="G915" s="1105"/>
      <c r="H915" s="1105"/>
      <c r="I915" s="1105"/>
      <c r="J915" s="1105"/>
      <c r="K915" s="1105"/>
      <c r="L915" s="1105"/>
      <c r="M915" s="1105"/>
      <c r="N915" s="1105"/>
      <c r="O915" s="1105"/>
      <c r="P915" s="1105"/>
      <c r="Q915" s="1144"/>
      <c r="R915" s="1105"/>
      <c r="S915" s="1105"/>
      <c r="T915" s="1105"/>
    </row>
    <row r="916" spans="1:20">
      <c r="A916" s="1105"/>
      <c r="B916" s="1105"/>
      <c r="C916" s="1105"/>
      <c r="D916" s="1105"/>
      <c r="E916" s="1105"/>
      <c r="F916" s="1105"/>
      <c r="G916" s="1105"/>
      <c r="H916" s="1105"/>
      <c r="I916" s="1105"/>
      <c r="J916" s="1105"/>
      <c r="K916" s="1105"/>
      <c r="L916" s="1105"/>
      <c r="M916" s="1105"/>
      <c r="N916" s="1105"/>
      <c r="O916" s="1105"/>
      <c r="P916" s="1105"/>
      <c r="Q916" s="1144"/>
      <c r="R916" s="1105"/>
      <c r="S916" s="1105"/>
      <c r="T916" s="1105"/>
    </row>
    <row r="917" spans="1:20">
      <c r="A917" s="1105"/>
      <c r="B917" s="1105"/>
      <c r="C917" s="1105"/>
      <c r="D917" s="1105"/>
      <c r="E917" s="1105"/>
      <c r="F917" s="1105"/>
      <c r="G917" s="1105"/>
      <c r="H917" s="1105"/>
      <c r="I917" s="1105"/>
      <c r="J917" s="1105"/>
      <c r="K917" s="1105"/>
      <c r="L917" s="1105"/>
      <c r="M917" s="1105"/>
      <c r="N917" s="1105"/>
      <c r="O917" s="1105"/>
      <c r="P917" s="1105"/>
      <c r="Q917" s="1144"/>
      <c r="R917" s="1105"/>
      <c r="S917" s="1105"/>
      <c r="T917" s="1105"/>
    </row>
    <row r="918" spans="1:20">
      <c r="A918" s="1105"/>
      <c r="B918" s="1105"/>
      <c r="C918" s="1105"/>
      <c r="D918" s="1105"/>
      <c r="E918" s="1105"/>
      <c r="F918" s="1105"/>
      <c r="G918" s="1105"/>
      <c r="H918" s="1105"/>
      <c r="I918" s="1105"/>
      <c r="J918" s="1105"/>
      <c r="K918" s="1105"/>
      <c r="L918" s="1105"/>
      <c r="M918" s="1105"/>
      <c r="N918" s="1105"/>
      <c r="O918" s="1105"/>
      <c r="P918" s="1105"/>
      <c r="Q918" s="1144"/>
      <c r="R918" s="1105"/>
      <c r="S918" s="1105"/>
      <c r="T918" s="1105"/>
    </row>
    <row r="919" spans="1:20">
      <c r="A919" s="1105"/>
      <c r="B919" s="1105"/>
      <c r="C919" s="1105"/>
      <c r="D919" s="1105"/>
      <c r="E919" s="1105"/>
      <c r="F919" s="1105"/>
      <c r="G919" s="1105"/>
      <c r="H919" s="1105"/>
      <c r="I919" s="1105"/>
      <c r="J919" s="1105"/>
      <c r="K919" s="1105"/>
      <c r="L919" s="1105"/>
      <c r="M919" s="1105"/>
      <c r="N919" s="1105"/>
      <c r="O919" s="1105"/>
      <c r="P919" s="1105"/>
      <c r="Q919" s="1144"/>
      <c r="R919" s="1105"/>
      <c r="S919" s="1105"/>
      <c r="T919" s="1105"/>
    </row>
    <row r="920" spans="1:20">
      <c r="A920" s="1105"/>
      <c r="B920" s="1105"/>
      <c r="C920" s="1105"/>
      <c r="D920" s="1105"/>
      <c r="E920" s="1105"/>
      <c r="F920" s="1105"/>
      <c r="G920" s="1105"/>
      <c r="H920" s="1105"/>
      <c r="I920" s="1105"/>
      <c r="J920" s="1105"/>
      <c r="K920" s="1105"/>
      <c r="L920" s="1105"/>
      <c r="M920" s="1105"/>
      <c r="N920" s="1105"/>
      <c r="O920" s="1105"/>
      <c r="P920" s="1105"/>
      <c r="Q920" s="1144"/>
      <c r="R920" s="1105"/>
      <c r="S920" s="1105"/>
      <c r="T920" s="1105"/>
    </row>
    <row r="921" spans="1:20">
      <c r="A921" s="1105"/>
      <c r="B921" s="1105"/>
      <c r="C921" s="1105"/>
      <c r="D921" s="1105"/>
      <c r="E921" s="1105"/>
      <c r="F921" s="1105"/>
      <c r="G921" s="1105"/>
      <c r="H921" s="1105"/>
      <c r="I921" s="1105"/>
      <c r="J921" s="1105"/>
      <c r="K921" s="1105"/>
      <c r="L921" s="1105"/>
      <c r="M921" s="1105"/>
      <c r="N921" s="1105"/>
      <c r="O921" s="1105"/>
      <c r="P921" s="1105"/>
      <c r="Q921" s="1144"/>
      <c r="R921" s="1105"/>
      <c r="S921" s="1105"/>
      <c r="T921" s="1105"/>
    </row>
    <row r="922" spans="1:20">
      <c r="A922" s="1105"/>
      <c r="B922" s="1105"/>
      <c r="C922" s="1105"/>
      <c r="D922" s="1105"/>
      <c r="E922" s="1105"/>
      <c r="F922" s="1105"/>
      <c r="G922" s="1105"/>
      <c r="H922" s="1105"/>
      <c r="I922" s="1105"/>
      <c r="J922" s="1105"/>
      <c r="K922" s="1105"/>
      <c r="L922" s="1105"/>
      <c r="M922" s="1105"/>
      <c r="N922" s="1105"/>
      <c r="O922" s="1105"/>
      <c r="P922" s="1105"/>
      <c r="Q922" s="1144"/>
      <c r="R922" s="1105"/>
      <c r="S922" s="1105"/>
      <c r="T922" s="1105"/>
    </row>
    <row r="923" spans="1:20">
      <c r="A923" s="1105"/>
      <c r="B923" s="1105"/>
      <c r="C923" s="1105"/>
      <c r="D923" s="1105"/>
      <c r="E923" s="1105"/>
      <c r="F923" s="1105"/>
      <c r="G923" s="1105"/>
      <c r="H923" s="1105"/>
      <c r="I923" s="1105"/>
      <c r="J923" s="1105"/>
      <c r="K923" s="1105"/>
      <c r="L923" s="1105"/>
      <c r="M923" s="1105"/>
      <c r="N923" s="1105"/>
      <c r="O923" s="1105"/>
      <c r="P923" s="1105"/>
      <c r="Q923" s="1144"/>
      <c r="R923" s="1105"/>
      <c r="S923" s="1105"/>
      <c r="T923" s="1105"/>
    </row>
    <row r="924" spans="1:20">
      <c r="A924" s="1105"/>
      <c r="B924" s="1105"/>
      <c r="C924" s="1105"/>
      <c r="D924" s="1105"/>
      <c r="E924" s="1105"/>
      <c r="F924" s="1105"/>
      <c r="G924" s="1105"/>
      <c r="H924" s="1105"/>
      <c r="I924" s="1105"/>
      <c r="J924" s="1105"/>
      <c r="K924" s="1105"/>
      <c r="L924" s="1105"/>
      <c r="M924" s="1105"/>
      <c r="N924" s="1105"/>
      <c r="O924" s="1105"/>
      <c r="P924" s="1105"/>
      <c r="Q924" s="1144"/>
      <c r="R924" s="1105"/>
      <c r="S924" s="1105"/>
      <c r="T924" s="1105"/>
    </row>
    <row r="925" spans="1:20">
      <c r="A925" s="1105"/>
      <c r="B925" s="1105"/>
      <c r="C925" s="1105"/>
      <c r="D925" s="1105"/>
      <c r="E925" s="1105"/>
      <c r="F925" s="1105"/>
      <c r="G925" s="1105"/>
      <c r="H925" s="1105"/>
      <c r="I925" s="1105"/>
      <c r="J925" s="1105"/>
      <c r="K925" s="1105"/>
      <c r="L925" s="1105"/>
      <c r="M925" s="1105"/>
      <c r="N925" s="1105"/>
      <c r="O925" s="1105"/>
      <c r="P925" s="1105"/>
      <c r="Q925" s="1144"/>
      <c r="R925" s="1105"/>
      <c r="S925" s="1105"/>
      <c r="T925" s="1105"/>
    </row>
    <row r="926" spans="1:20">
      <c r="A926" s="1105"/>
      <c r="B926" s="1105"/>
      <c r="C926" s="1105"/>
      <c r="D926" s="1105"/>
      <c r="E926" s="1105"/>
      <c r="F926" s="1105"/>
      <c r="G926" s="1105"/>
      <c r="H926" s="1105"/>
      <c r="I926" s="1105"/>
      <c r="J926" s="1105"/>
      <c r="K926" s="1105"/>
      <c r="L926" s="1105"/>
      <c r="M926" s="1105"/>
      <c r="N926" s="1105"/>
      <c r="O926" s="1105"/>
      <c r="P926" s="1105"/>
      <c r="Q926" s="1144"/>
      <c r="R926" s="1105"/>
      <c r="S926" s="1105"/>
      <c r="T926" s="1105"/>
    </row>
    <row r="927" spans="1:20">
      <c r="A927" s="1105"/>
      <c r="B927" s="1105"/>
      <c r="C927" s="1105"/>
      <c r="D927" s="1105"/>
      <c r="E927" s="1105"/>
      <c r="F927" s="1105"/>
      <c r="G927" s="1105"/>
      <c r="H927" s="1105"/>
      <c r="I927" s="1105"/>
      <c r="J927" s="1105"/>
      <c r="K927" s="1105"/>
      <c r="L927" s="1105"/>
      <c r="M927" s="1105"/>
      <c r="N927" s="1105"/>
      <c r="O927" s="1105"/>
      <c r="P927" s="1105"/>
      <c r="Q927" s="1144"/>
      <c r="R927" s="1105"/>
      <c r="S927" s="1105"/>
      <c r="T927" s="1105"/>
    </row>
    <row r="928" spans="1:20">
      <c r="A928" s="1105"/>
      <c r="B928" s="1105"/>
      <c r="C928" s="1105"/>
      <c r="D928" s="1105"/>
      <c r="E928" s="1105"/>
      <c r="F928" s="1105"/>
      <c r="G928" s="1105"/>
      <c r="H928" s="1105"/>
      <c r="I928" s="1105"/>
      <c r="J928" s="1105"/>
      <c r="K928" s="1105"/>
      <c r="L928" s="1105"/>
      <c r="M928" s="1105"/>
      <c r="N928" s="1105"/>
      <c r="O928" s="1105"/>
      <c r="P928" s="1105"/>
      <c r="Q928" s="1144"/>
      <c r="R928" s="1105"/>
      <c r="S928" s="1105"/>
      <c r="T928" s="1105"/>
    </row>
    <row r="929" spans="1:20">
      <c r="A929" s="1105"/>
      <c r="B929" s="1105"/>
      <c r="C929" s="1105"/>
      <c r="D929" s="1105"/>
      <c r="E929" s="1105"/>
      <c r="F929" s="1105"/>
      <c r="G929" s="1105"/>
      <c r="H929" s="1105"/>
      <c r="I929" s="1105"/>
      <c r="J929" s="1105"/>
      <c r="K929" s="1105"/>
      <c r="L929" s="1105"/>
      <c r="M929" s="1105"/>
      <c r="N929" s="1105"/>
      <c r="O929" s="1105"/>
      <c r="P929" s="1105"/>
      <c r="Q929" s="1144"/>
      <c r="R929" s="1105"/>
      <c r="S929" s="1105"/>
      <c r="T929" s="1105"/>
    </row>
    <row r="930" spans="1:20">
      <c r="A930" s="1105"/>
      <c r="B930" s="1105"/>
      <c r="C930" s="1105"/>
      <c r="D930" s="1105"/>
      <c r="E930" s="1105"/>
      <c r="F930" s="1105"/>
      <c r="G930" s="1105"/>
      <c r="H930" s="1105"/>
      <c r="I930" s="1105"/>
      <c r="J930" s="1105"/>
      <c r="K930" s="1105"/>
      <c r="L930" s="1105"/>
      <c r="M930" s="1105"/>
      <c r="N930" s="1105"/>
      <c r="O930" s="1105"/>
      <c r="P930" s="1105"/>
      <c r="Q930" s="1144"/>
      <c r="R930" s="1105"/>
      <c r="S930" s="1105"/>
      <c r="T930" s="1105"/>
    </row>
    <row r="931" spans="1:20">
      <c r="A931" s="1105"/>
      <c r="B931" s="1105"/>
      <c r="C931" s="1105"/>
      <c r="D931" s="1105"/>
      <c r="E931" s="1105"/>
      <c r="F931" s="1105"/>
      <c r="G931" s="1105"/>
      <c r="H931" s="1105"/>
      <c r="I931" s="1105"/>
      <c r="J931" s="1105"/>
      <c r="K931" s="1105"/>
      <c r="L931" s="1105"/>
      <c r="M931" s="1105"/>
      <c r="N931" s="1105"/>
      <c r="O931" s="1105"/>
      <c r="P931" s="1105"/>
      <c r="Q931" s="1144"/>
      <c r="R931" s="1105"/>
      <c r="S931" s="1105"/>
      <c r="T931" s="1105"/>
    </row>
    <row r="932" spans="1:20">
      <c r="A932" s="1105"/>
      <c r="B932" s="1105"/>
      <c r="C932" s="1105"/>
      <c r="D932" s="1105"/>
      <c r="E932" s="1105"/>
      <c r="F932" s="1105"/>
      <c r="G932" s="1105"/>
      <c r="H932" s="1105"/>
      <c r="I932" s="1105"/>
      <c r="J932" s="1105"/>
      <c r="K932" s="1105"/>
      <c r="L932" s="1105"/>
      <c r="M932" s="1105"/>
      <c r="N932" s="1105"/>
      <c r="O932" s="1105"/>
      <c r="P932" s="1105"/>
      <c r="Q932" s="1144"/>
      <c r="R932" s="1105"/>
      <c r="S932" s="1105"/>
      <c r="T932" s="1105"/>
    </row>
    <row r="933" spans="1:20">
      <c r="A933" s="1105"/>
      <c r="B933" s="1105"/>
      <c r="C933" s="1105"/>
      <c r="D933" s="1105"/>
      <c r="E933" s="1105"/>
      <c r="F933" s="1105"/>
      <c r="G933" s="1105"/>
      <c r="H933" s="1105"/>
      <c r="I933" s="1105"/>
      <c r="J933" s="1105"/>
      <c r="K933" s="1105"/>
      <c r="L933" s="1105"/>
      <c r="M933" s="1105"/>
      <c r="N933" s="1105"/>
      <c r="O933" s="1105"/>
      <c r="P933" s="1105"/>
      <c r="Q933" s="1144"/>
      <c r="R933" s="1105"/>
      <c r="S933" s="1105"/>
      <c r="T933" s="1105"/>
    </row>
    <row r="934" spans="1:20">
      <c r="A934" s="1105"/>
      <c r="B934" s="1105"/>
      <c r="C934" s="1105"/>
      <c r="D934" s="1105"/>
      <c r="E934" s="1105"/>
      <c r="F934" s="1105"/>
      <c r="G934" s="1105"/>
      <c r="H934" s="1105"/>
      <c r="I934" s="1105"/>
      <c r="J934" s="1105"/>
      <c r="K934" s="1105"/>
      <c r="L934" s="1105"/>
      <c r="M934" s="1105"/>
      <c r="N934" s="1105"/>
      <c r="O934" s="1105"/>
      <c r="P934" s="1105"/>
      <c r="Q934" s="1144"/>
      <c r="R934" s="1105"/>
      <c r="S934" s="1105"/>
      <c r="T934" s="1105"/>
    </row>
    <row r="935" spans="1:20">
      <c r="A935" s="1105"/>
      <c r="B935" s="1105"/>
      <c r="C935" s="1105"/>
      <c r="D935" s="1105"/>
      <c r="E935" s="1105"/>
      <c r="F935" s="1105"/>
      <c r="G935" s="1105"/>
      <c r="H935" s="1105"/>
      <c r="I935" s="1105"/>
      <c r="J935" s="1105"/>
      <c r="K935" s="1105"/>
      <c r="L935" s="1105"/>
      <c r="M935" s="1105"/>
      <c r="N935" s="1105"/>
      <c r="O935" s="1105"/>
      <c r="P935" s="1105"/>
      <c r="Q935" s="1144"/>
      <c r="R935" s="1105"/>
      <c r="S935" s="1105"/>
      <c r="T935" s="1105"/>
    </row>
    <row r="936" spans="1:20">
      <c r="A936" s="1105"/>
      <c r="B936" s="1105"/>
      <c r="C936" s="1105"/>
      <c r="D936" s="1105"/>
      <c r="E936" s="1105"/>
      <c r="F936" s="1105"/>
      <c r="G936" s="1105"/>
      <c r="H936" s="1105"/>
      <c r="I936" s="1105"/>
      <c r="J936" s="1105"/>
      <c r="K936" s="1105"/>
      <c r="L936" s="1105"/>
      <c r="M936" s="1105"/>
      <c r="N936" s="1105"/>
      <c r="O936" s="1105"/>
      <c r="P936" s="1105"/>
      <c r="Q936" s="1144"/>
      <c r="R936" s="1105"/>
      <c r="S936" s="1105"/>
      <c r="T936" s="1105"/>
    </row>
    <row r="937" spans="1:20">
      <c r="A937" s="1105"/>
      <c r="B937" s="1105"/>
      <c r="C937" s="1105"/>
      <c r="D937" s="1105"/>
      <c r="E937" s="1105"/>
      <c r="F937" s="1105"/>
      <c r="G937" s="1105"/>
      <c r="H937" s="1105"/>
      <c r="I937" s="1105"/>
      <c r="J937" s="1105"/>
      <c r="K937" s="1105"/>
      <c r="L937" s="1105"/>
      <c r="M937" s="1105"/>
      <c r="N937" s="1105"/>
      <c r="O937" s="1105"/>
      <c r="P937" s="1105"/>
      <c r="Q937" s="1144"/>
      <c r="R937" s="1105"/>
      <c r="S937" s="1105"/>
      <c r="T937" s="1105"/>
    </row>
    <row r="938" spans="1:20">
      <c r="A938" s="1105"/>
      <c r="B938" s="1105"/>
      <c r="C938" s="1105"/>
      <c r="D938" s="1105"/>
      <c r="E938" s="1105"/>
      <c r="F938" s="1105"/>
      <c r="G938" s="1105"/>
      <c r="H938" s="1105"/>
      <c r="I938" s="1105"/>
      <c r="J938" s="1105"/>
      <c r="K938" s="1105"/>
      <c r="L938" s="1105"/>
      <c r="M938" s="1105"/>
      <c r="N938" s="1105"/>
      <c r="O938" s="1105"/>
      <c r="P938" s="1105"/>
      <c r="Q938" s="1144"/>
      <c r="R938" s="1105"/>
      <c r="S938" s="1105"/>
      <c r="T938" s="1105"/>
    </row>
    <row r="939" spans="1:20">
      <c r="A939" s="1105"/>
      <c r="B939" s="1105"/>
      <c r="C939" s="1105"/>
      <c r="D939" s="1105"/>
      <c r="E939" s="1105"/>
      <c r="F939" s="1105"/>
      <c r="G939" s="1105"/>
      <c r="H939" s="1105"/>
      <c r="I939" s="1105"/>
      <c r="J939" s="1105"/>
      <c r="K939" s="1105"/>
      <c r="L939" s="1105"/>
      <c r="M939" s="1105"/>
      <c r="N939" s="1105"/>
      <c r="O939" s="1105"/>
      <c r="P939" s="1105"/>
      <c r="Q939" s="1144"/>
      <c r="R939" s="1105"/>
      <c r="S939" s="1105"/>
      <c r="T939" s="1105"/>
    </row>
    <row r="940" spans="1:20">
      <c r="A940" s="1105"/>
      <c r="B940" s="1105"/>
      <c r="C940" s="1105"/>
      <c r="D940" s="1105"/>
      <c r="E940" s="1105"/>
      <c r="F940" s="1105"/>
      <c r="G940" s="1105"/>
      <c r="H940" s="1105"/>
      <c r="I940" s="1105"/>
      <c r="J940" s="1105"/>
      <c r="K940" s="1105"/>
      <c r="L940" s="1105"/>
      <c r="M940" s="1105"/>
      <c r="N940" s="1105"/>
      <c r="O940" s="1105"/>
      <c r="P940" s="1105"/>
      <c r="Q940" s="1144"/>
      <c r="R940" s="1105"/>
      <c r="S940" s="1105"/>
      <c r="T940" s="1105"/>
    </row>
    <row r="941" spans="1:20">
      <c r="A941" s="1105"/>
      <c r="B941" s="1105"/>
      <c r="C941" s="1105"/>
      <c r="D941" s="1105"/>
      <c r="E941" s="1105"/>
      <c r="F941" s="1105"/>
      <c r="G941" s="1105"/>
      <c r="H941" s="1105"/>
      <c r="I941" s="1105"/>
      <c r="J941" s="1105"/>
      <c r="K941" s="1105"/>
      <c r="L941" s="1105"/>
      <c r="M941" s="1105"/>
      <c r="N941" s="1105"/>
      <c r="O941" s="1105"/>
      <c r="P941" s="1105"/>
      <c r="Q941" s="1144"/>
      <c r="R941" s="1105"/>
      <c r="S941" s="1105"/>
      <c r="T941" s="1105"/>
    </row>
    <row r="942" spans="1:20">
      <c r="A942" s="1105"/>
      <c r="B942" s="1105"/>
      <c r="C942" s="1105"/>
      <c r="D942" s="1105"/>
      <c r="E942" s="1105"/>
      <c r="F942" s="1105"/>
      <c r="G942" s="1105"/>
      <c r="H942" s="1105"/>
      <c r="I942" s="1105"/>
      <c r="J942" s="1105"/>
      <c r="K942" s="1105"/>
      <c r="L942" s="1105"/>
      <c r="M942" s="1105"/>
      <c r="N942" s="1105"/>
      <c r="O942" s="1105"/>
      <c r="P942" s="1105"/>
      <c r="Q942" s="1144"/>
      <c r="R942" s="1105"/>
      <c r="S942" s="1105"/>
      <c r="T942" s="1105"/>
    </row>
    <row r="943" spans="1:20">
      <c r="A943" s="1105"/>
      <c r="B943" s="1105"/>
      <c r="C943" s="1105"/>
      <c r="D943" s="1105"/>
      <c r="E943" s="1105"/>
      <c r="F943" s="1105"/>
      <c r="G943" s="1105"/>
      <c r="H943" s="1105"/>
      <c r="I943" s="1105"/>
      <c r="J943" s="1105"/>
      <c r="K943" s="1105"/>
      <c r="L943" s="1105"/>
      <c r="M943" s="1105"/>
      <c r="N943" s="1105"/>
      <c r="O943" s="1105"/>
      <c r="P943" s="1105"/>
      <c r="Q943" s="1144"/>
      <c r="R943" s="1105"/>
      <c r="S943" s="1105"/>
      <c r="T943" s="1105"/>
    </row>
    <row r="944" spans="1:20">
      <c r="A944" s="1105"/>
      <c r="B944" s="1105"/>
      <c r="C944" s="1105"/>
      <c r="D944" s="1105"/>
      <c r="E944" s="1105"/>
      <c r="F944" s="1105"/>
      <c r="G944" s="1105"/>
      <c r="H944" s="1105"/>
      <c r="I944" s="1105"/>
      <c r="J944" s="1105"/>
      <c r="K944" s="1105"/>
      <c r="L944" s="1105"/>
      <c r="M944" s="1105"/>
      <c r="N944" s="1105"/>
      <c r="O944" s="1105"/>
      <c r="P944" s="1105"/>
      <c r="Q944" s="1144"/>
      <c r="R944" s="1105"/>
      <c r="S944" s="1105"/>
      <c r="T944" s="1105"/>
    </row>
    <row r="945" spans="1:20">
      <c r="A945" s="1105"/>
      <c r="B945" s="1105"/>
      <c r="C945" s="1105"/>
      <c r="D945" s="1105"/>
      <c r="E945" s="1105"/>
      <c r="F945" s="1105"/>
      <c r="G945" s="1105"/>
      <c r="H945" s="1105"/>
      <c r="I945" s="1105"/>
      <c r="J945" s="1105"/>
      <c r="K945" s="1105"/>
      <c r="L945" s="1105"/>
      <c r="M945" s="1105"/>
      <c r="N945" s="1105"/>
      <c r="O945" s="1105"/>
      <c r="P945" s="1105"/>
      <c r="Q945" s="1144"/>
      <c r="R945" s="1105"/>
      <c r="S945" s="1105"/>
      <c r="T945" s="1105"/>
    </row>
    <row r="946" spans="1:20">
      <c r="A946" s="1105"/>
      <c r="B946" s="1105"/>
      <c r="C946" s="1105"/>
      <c r="D946" s="1105"/>
      <c r="E946" s="1105"/>
      <c r="F946" s="1105"/>
      <c r="G946" s="1105"/>
      <c r="H946" s="1105"/>
      <c r="I946" s="1105"/>
      <c r="J946" s="1105"/>
      <c r="K946" s="1105"/>
      <c r="L946" s="1105"/>
      <c r="M946" s="1105"/>
      <c r="N946" s="1105"/>
      <c r="O946" s="1105"/>
      <c r="P946" s="1105"/>
      <c r="Q946" s="1144"/>
      <c r="R946" s="1105"/>
      <c r="S946" s="1105"/>
      <c r="T946" s="1105"/>
    </row>
    <row r="947" spans="1:20">
      <c r="A947" s="1105"/>
      <c r="B947" s="1105"/>
      <c r="C947" s="1105"/>
      <c r="D947" s="1105"/>
      <c r="E947" s="1105"/>
      <c r="F947" s="1105"/>
      <c r="G947" s="1105"/>
      <c r="H947" s="1105"/>
      <c r="I947" s="1105"/>
      <c r="J947" s="1105"/>
      <c r="K947" s="1105"/>
      <c r="L947" s="1105"/>
      <c r="M947" s="1105"/>
      <c r="N947" s="1105"/>
      <c r="O947" s="1105"/>
      <c r="P947" s="1105"/>
      <c r="Q947" s="1144"/>
      <c r="R947" s="1105"/>
      <c r="S947" s="1105"/>
      <c r="T947" s="1105"/>
    </row>
    <row r="948" spans="1:20">
      <c r="A948" s="1105"/>
      <c r="B948" s="1105"/>
      <c r="C948" s="1105"/>
      <c r="D948" s="1105"/>
      <c r="E948" s="1105"/>
      <c r="F948" s="1105"/>
      <c r="G948" s="1105"/>
      <c r="H948" s="1105"/>
      <c r="I948" s="1105"/>
      <c r="J948" s="1105"/>
      <c r="K948" s="1105"/>
      <c r="L948" s="1105"/>
      <c r="M948" s="1105"/>
      <c r="N948" s="1105"/>
      <c r="O948" s="1105"/>
      <c r="P948" s="1105"/>
      <c r="Q948" s="1144"/>
      <c r="R948" s="1105"/>
      <c r="S948" s="1105"/>
      <c r="T948" s="1105"/>
    </row>
    <row r="949" spans="1:20">
      <c r="A949" s="1105"/>
      <c r="B949" s="1105"/>
      <c r="C949" s="1105"/>
      <c r="D949" s="1105"/>
      <c r="E949" s="1105"/>
      <c r="F949" s="1105"/>
      <c r="G949" s="1105"/>
      <c r="H949" s="1105"/>
      <c r="I949" s="1105"/>
      <c r="J949" s="1105"/>
      <c r="K949" s="1105"/>
      <c r="L949" s="1105"/>
      <c r="M949" s="1105"/>
      <c r="N949" s="1105"/>
      <c r="O949" s="1105"/>
      <c r="P949" s="1105"/>
      <c r="Q949" s="1144"/>
      <c r="R949" s="1105"/>
      <c r="S949" s="1105"/>
      <c r="T949" s="1105"/>
    </row>
    <row r="950" spans="1:20">
      <c r="A950" s="1105"/>
      <c r="B950" s="1105"/>
      <c r="C950" s="1105"/>
      <c r="D950" s="1105"/>
      <c r="E950" s="1105"/>
      <c r="F950" s="1105"/>
      <c r="G950" s="1105"/>
      <c r="H950" s="1105"/>
      <c r="I950" s="1105"/>
      <c r="J950" s="1105"/>
      <c r="K950" s="1105"/>
      <c r="L950" s="1105"/>
      <c r="M950" s="1105"/>
      <c r="N950" s="1105"/>
      <c r="O950" s="1105"/>
      <c r="P950" s="1105"/>
      <c r="Q950" s="1144"/>
      <c r="R950" s="1105"/>
      <c r="S950" s="1105"/>
      <c r="T950" s="1105"/>
    </row>
    <row r="951" spans="1:20">
      <c r="A951" s="1105"/>
      <c r="B951" s="1105"/>
      <c r="C951" s="1105"/>
      <c r="D951" s="1105"/>
      <c r="E951" s="1105"/>
      <c r="F951" s="1105"/>
      <c r="G951" s="1105"/>
      <c r="H951" s="1105"/>
      <c r="I951" s="1105"/>
      <c r="J951" s="1105"/>
      <c r="K951" s="1105"/>
      <c r="L951" s="1105"/>
      <c r="M951" s="1105"/>
      <c r="N951" s="1105"/>
      <c r="O951" s="1105"/>
      <c r="P951" s="1105"/>
      <c r="Q951" s="1144"/>
      <c r="R951" s="1105"/>
      <c r="S951" s="1105"/>
      <c r="T951" s="1105"/>
    </row>
    <row r="952" spans="1:20">
      <c r="A952" s="1105"/>
      <c r="B952" s="1105"/>
      <c r="C952" s="1105"/>
      <c r="D952" s="1105"/>
      <c r="E952" s="1105"/>
      <c r="F952" s="1105"/>
      <c r="G952" s="1105"/>
      <c r="H952" s="1105"/>
      <c r="I952" s="1105"/>
      <c r="J952" s="1105"/>
      <c r="K952" s="1105"/>
      <c r="L952" s="1105"/>
      <c r="M952" s="1105"/>
      <c r="N952" s="1105"/>
      <c r="O952" s="1105"/>
      <c r="P952" s="1105"/>
      <c r="Q952" s="1144"/>
      <c r="R952" s="1105"/>
      <c r="S952" s="1105"/>
      <c r="T952" s="1105"/>
    </row>
    <row r="953" spans="1:20">
      <c r="A953" s="1105"/>
      <c r="B953" s="1105"/>
      <c r="C953" s="1105"/>
      <c r="D953" s="1105"/>
      <c r="E953" s="1105"/>
      <c r="F953" s="1105"/>
      <c r="G953" s="1105"/>
      <c r="H953" s="1105"/>
      <c r="I953" s="1105"/>
      <c r="J953" s="1105"/>
      <c r="K953" s="1105"/>
      <c r="L953" s="1105"/>
      <c r="M953" s="1105"/>
      <c r="N953" s="1105"/>
      <c r="O953" s="1105"/>
      <c r="P953" s="1105"/>
      <c r="Q953" s="1144"/>
      <c r="R953" s="1105"/>
      <c r="S953" s="1105"/>
      <c r="T953" s="1105"/>
    </row>
    <row r="954" spans="1:20">
      <c r="A954" s="1105"/>
      <c r="B954" s="1105"/>
      <c r="C954" s="1105"/>
      <c r="D954" s="1105"/>
      <c r="E954" s="1105"/>
      <c r="F954" s="1105"/>
      <c r="G954" s="1105"/>
      <c r="H954" s="1105"/>
      <c r="I954" s="1105"/>
      <c r="J954" s="1105"/>
      <c r="K954" s="1105"/>
      <c r="L954" s="1105"/>
      <c r="M954" s="1105"/>
      <c r="N954" s="1105"/>
      <c r="O954" s="1105"/>
      <c r="P954" s="1105"/>
      <c r="Q954" s="1144"/>
      <c r="R954" s="1105"/>
      <c r="S954" s="1105"/>
      <c r="T954" s="1105"/>
    </row>
    <row r="955" spans="1:20">
      <c r="A955" s="1105"/>
      <c r="B955" s="1105"/>
      <c r="C955" s="1105"/>
      <c r="D955" s="1105"/>
      <c r="E955" s="1105"/>
      <c r="F955" s="1105"/>
      <c r="G955" s="1105"/>
      <c r="H955" s="1105"/>
      <c r="I955" s="1105"/>
      <c r="J955" s="1105"/>
      <c r="K955" s="1105"/>
      <c r="L955" s="1105"/>
      <c r="M955" s="1105"/>
      <c r="N955" s="1105"/>
      <c r="O955" s="1105"/>
      <c r="P955" s="1105"/>
      <c r="Q955" s="1144"/>
      <c r="R955" s="1105"/>
      <c r="S955" s="1105"/>
      <c r="T955" s="1105"/>
    </row>
    <row r="956" spans="1:20">
      <c r="A956" s="1105"/>
      <c r="B956" s="1105"/>
      <c r="C956" s="1105"/>
      <c r="D956" s="1105"/>
      <c r="E956" s="1105"/>
      <c r="F956" s="1105"/>
      <c r="G956" s="1105"/>
      <c r="H956" s="1105"/>
      <c r="I956" s="1105"/>
      <c r="J956" s="1105"/>
      <c r="K956" s="1105"/>
      <c r="L956" s="1105"/>
      <c r="M956" s="1105"/>
      <c r="N956" s="1105"/>
      <c r="O956" s="1105"/>
      <c r="P956" s="1105"/>
      <c r="Q956" s="1144"/>
      <c r="R956" s="1105"/>
      <c r="S956" s="1105"/>
      <c r="T956" s="1105"/>
    </row>
    <row r="957" spans="1:20">
      <c r="A957" s="1105"/>
      <c r="B957" s="1105"/>
      <c r="C957" s="1105"/>
      <c r="D957" s="1105"/>
      <c r="E957" s="1105"/>
      <c r="F957" s="1105"/>
      <c r="G957" s="1105"/>
      <c r="H957" s="1105"/>
      <c r="I957" s="1105"/>
      <c r="J957" s="1105"/>
      <c r="K957" s="1105"/>
      <c r="L957" s="1105"/>
      <c r="M957" s="1105"/>
      <c r="N957" s="1105"/>
      <c r="O957" s="1105"/>
      <c r="P957" s="1105"/>
      <c r="Q957" s="1144"/>
      <c r="R957" s="1105"/>
      <c r="S957" s="1105"/>
      <c r="T957" s="1105"/>
    </row>
    <row r="958" spans="1:20">
      <c r="A958" s="1105"/>
      <c r="B958" s="1105"/>
      <c r="C958" s="1105"/>
      <c r="D958" s="1105"/>
      <c r="E958" s="1105"/>
      <c r="F958" s="1105"/>
      <c r="G958" s="1105"/>
      <c r="H958" s="1105"/>
      <c r="I958" s="1105"/>
      <c r="J958" s="1105"/>
      <c r="K958" s="1105"/>
      <c r="L958" s="1105"/>
      <c r="M958" s="1105"/>
      <c r="N958" s="1105"/>
      <c r="O958" s="1105"/>
      <c r="P958" s="1105"/>
      <c r="Q958" s="1144"/>
      <c r="R958" s="1105"/>
      <c r="S958" s="1105"/>
      <c r="T958" s="1105"/>
    </row>
    <row r="959" spans="1:20">
      <c r="A959" s="1105"/>
      <c r="B959" s="1105"/>
      <c r="C959" s="1105"/>
      <c r="D959" s="1105"/>
      <c r="E959" s="1105"/>
      <c r="F959" s="1105"/>
      <c r="G959" s="1105"/>
      <c r="H959" s="1105"/>
      <c r="I959" s="1105"/>
      <c r="J959" s="1105"/>
      <c r="K959" s="1105"/>
      <c r="L959" s="1105"/>
      <c r="M959" s="1105"/>
      <c r="N959" s="1105"/>
      <c r="O959" s="1105"/>
      <c r="P959" s="1105"/>
      <c r="Q959" s="1144"/>
      <c r="R959" s="1105"/>
      <c r="S959" s="1105"/>
      <c r="T959" s="1105"/>
    </row>
    <row r="960" spans="1:20">
      <c r="A960" s="1105"/>
      <c r="B960" s="1105"/>
      <c r="C960" s="1105"/>
      <c r="D960" s="1105"/>
      <c r="E960" s="1105"/>
      <c r="F960" s="1105"/>
      <c r="G960" s="1105"/>
      <c r="H960" s="1105"/>
      <c r="I960" s="1105"/>
      <c r="J960" s="1105"/>
      <c r="K960" s="1105"/>
      <c r="L960" s="1105"/>
      <c r="M960" s="1105"/>
      <c r="N960" s="1105"/>
      <c r="O960" s="1105"/>
      <c r="P960" s="1105"/>
      <c r="Q960" s="1144"/>
      <c r="R960" s="1105"/>
      <c r="S960" s="1105"/>
      <c r="T960" s="1105"/>
    </row>
    <row r="961" spans="1:20">
      <c r="A961" s="1105"/>
      <c r="B961" s="1105"/>
      <c r="C961" s="1105"/>
      <c r="D961" s="1105"/>
      <c r="E961" s="1105"/>
      <c r="F961" s="1105"/>
      <c r="G961" s="1105"/>
      <c r="H961" s="1105"/>
      <c r="I961" s="1105"/>
      <c r="J961" s="1105"/>
      <c r="K961" s="1105"/>
      <c r="L961" s="1105"/>
      <c r="M961" s="1105"/>
      <c r="N961" s="1105"/>
      <c r="O961" s="1105"/>
      <c r="P961" s="1105"/>
      <c r="Q961" s="1144"/>
      <c r="R961" s="1105"/>
      <c r="S961" s="1105"/>
      <c r="T961" s="1105"/>
    </row>
    <row r="962" spans="1:20">
      <c r="A962" s="1105"/>
      <c r="B962" s="1105"/>
      <c r="C962" s="1105"/>
      <c r="D962" s="1105"/>
      <c r="E962" s="1105"/>
      <c r="F962" s="1105"/>
      <c r="G962" s="1105"/>
      <c r="H962" s="1105"/>
      <c r="I962" s="1105"/>
      <c r="J962" s="1105"/>
      <c r="K962" s="1105"/>
      <c r="L962" s="1105"/>
      <c r="M962" s="1105"/>
      <c r="N962" s="1105"/>
      <c r="O962" s="1105"/>
      <c r="P962" s="1105"/>
      <c r="Q962" s="1144"/>
      <c r="R962" s="1105"/>
      <c r="S962" s="1105"/>
      <c r="T962" s="1105"/>
    </row>
    <row r="963" spans="1:20">
      <c r="A963" s="1105"/>
      <c r="B963" s="1105"/>
      <c r="C963" s="1105"/>
      <c r="D963" s="1105"/>
      <c r="E963" s="1105"/>
      <c r="F963" s="1105"/>
      <c r="G963" s="1105"/>
      <c r="H963" s="1105"/>
      <c r="I963" s="1105"/>
      <c r="J963" s="1105"/>
      <c r="K963" s="1105"/>
      <c r="L963" s="1105"/>
      <c r="M963" s="1105"/>
      <c r="N963" s="1105"/>
      <c r="O963" s="1105"/>
      <c r="P963" s="1105"/>
      <c r="Q963" s="1144"/>
      <c r="R963" s="1105"/>
      <c r="S963" s="1105"/>
      <c r="T963" s="1105"/>
    </row>
    <row r="964" spans="1:20">
      <c r="A964" s="1105"/>
      <c r="B964" s="1105"/>
      <c r="C964" s="1105"/>
      <c r="D964" s="1105"/>
      <c r="E964" s="1105"/>
      <c r="F964" s="1105"/>
      <c r="G964" s="1105"/>
      <c r="H964" s="1105"/>
      <c r="I964" s="1105"/>
      <c r="J964" s="1105"/>
      <c r="K964" s="1105"/>
      <c r="L964" s="1105"/>
      <c r="M964" s="1105"/>
      <c r="N964" s="1105"/>
      <c r="O964" s="1105"/>
      <c r="P964" s="1105"/>
      <c r="Q964" s="1144"/>
      <c r="R964" s="1105"/>
      <c r="S964" s="1105"/>
      <c r="T964" s="1105"/>
    </row>
    <row r="965" spans="1:20">
      <c r="A965" s="1105"/>
      <c r="B965" s="1105"/>
      <c r="C965" s="1105"/>
      <c r="D965" s="1105"/>
      <c r="E965" s="1105"/>
      <c r="F965" s="1105"/>
      <c r="G965" s="1105"/>
      <c r="H965" s="1105"/>
      <c r="I965" s="1105"/>
      <c r="J965" s="1105"/>
      <c r="K965" s="1105"/>
      <c r="L965" s="1105"/>
      <c r="M965" s="1105"/>
      <c r="N965" s="1105"/>
      <c r="O965" s="1105"/>
      <c r="P965" s="1105"/>
      <c r="Q965" s="1144"/>
      <c r="R965" s="1105"/>
      <c r="S965" s="1105"/>
      <c r="T965" s="1105"/>
    </row>
    <row r="966" spans="1:20">
      <c r="A966" s="1105"/>
      <c r="B966" s="1105"/>
      <c r="C966" s="1105"/>
      <c r="D966" s="1105"/>
      <c r="E966" s="1105"/>
      <c r="F966" s="1105"/>
      <c r="G966" s="1105"/>
      <c r="H966" s="1105"/>
      <c r="I966" s="1105"/>
      <c r="J966" s="1105"/>
      <c r="K966" s="1105"/>
      <c r="L966" s="1105"/>
      <c r="M966" s="1105"/>
      <c r="N966" s="1105"/>
      <c r="O966" s="1105"/>
      <c r="P966" s="1105"/>
      <c r="Q966" s="1144"/>
      <c r="R966" s="1105"/>
      <c r="S966" s="1105"/>
      <c r="T966" s="1105"/>
    </row>
    <row r="967" spans="1:20">
      <c r="A967" s="1105"/>
      <c r="B967" s="1105"/>
      <c r="C967" s="1105"/>
      <c r="D967" s="1105"/>
      <c r="E967" s="1105"/>
      <c r="F967" s="1105"/>
      <c r="G967" s="1105"/>
      <c r="H967" s="1105"/>
      <c r="I967" s="1105"/>
      <c r="J967" s="1105"/>
      <c r="K967" s="1105"/>
      <c r="L967" s="1105"/>
      <c r="M967" s="1105"/>
      <c r="N967" s="1105"/>
      <c r="O967" s="1105"/>
      <c r="P967" s="1105"/>
      <c r="Q967" s="1144"/>
      <c r="R967" s="1105"/>
      <c r="S967" s="1105"/>
      <c r="T967" s="1105"/>
    </row>
    <row r="968" spans="1:20">
      <c r="A968" s="1105"/>
      <c r="B968" s="1105"/>
      <c r="C968" s="1105"/>
      <c r="D968" s="1105"/>
      <c r="E968" s="1105"/>
      <c r="F968" s="1105"/>
      <c r="G968" s="1105"/>
      <c r="H968" s="1105"/>
      <c r="I968" s="1105"/>
      <c r="J968" s="1105"/>
      <c r="K968" s="1105"/>
      <c r="L968" s="1105"/>
      <c r="M968" s="1105"/>
      <c r="N968" s="1105"/>
      <c r="O968" s="1105"/>
      <c r="P968" s="1105"/>
      <c r="Q968" s="1144"/>
      <c r="R968" s="1105"/>
      <c r="S968" s="1105"/>
      <c r="T968" s="1105"/>
    </row>
    <row r="969" spans="1:20">
      <c r="A969" s="1105"/>
      <c r="B969" s="1105"/>
      <c r="C969" s="1105"/>
      <c r="D969" s="1105"/>
      <c r="E969" s="1105"/>
      <c r="F969" s="1105"/>
      <c r="G969" s="1105"/>
      <c r="H969" s="1105"/>
      <c r="I969" s="1105"/>
      <c r="J969" s="1105"/>
      <c r="K969" s="1105"/>
      <c r="L969" s="1105"/>
      <c r="M969" s="1105"/>
      <c r="N969" s="1105"/>
      <c r="O969" s="1105"/>
      <c r="P969" s="1105"/>
      <c r="Q969" s="1144"/>
      <c r="R969" s="1105"/>
      <c r="S969" s="1105"/>
      <c r="T969" s="1105"/>
    </row>
    <row r="970" spans="1:20">
      <c r="A970" s="1105"/>
      <c r="B970" s="1105"/>
      <c r="C970" s="1105"/>
      <c r="D970" s="1105"/>
      <c r="E970" s="1105"/>
      <c r="F970" s="1105"/>
      <c r="G970" s="1105"/>
      <c r="H970" s="1105"/>
      <c r="I970" s="1105"/>
      <c r="J970" s="1105"/>
      <c r="K970" s="1105"/>
      <c r="L970" s="1105"/>
      <c r="M970" s="1105"/>
      <c r="N970" s="1105"/>
      <c r="O970" s="1105"/>
      <c r="P970" s="1105"/>
      <c r="Q970" s="1144"/>
      <c r="R970" s="1105"/>
      <c r="S970" s="1105"/>
      <c r="T970" s="1105"/>
    </row>
    <row r="971" spans="1:20">
      <c r="A971" s="1105"/>
      <c r="B971" s="1105"/>
      <c r="C971" s="1105"/>
      <c r="D971" s="1105"/>
      <c r="E971" s="1105"/>
      <c r="F971" s="1105"/>
      <c r="G971" s="1105"/>
      <c r="H971" s="1105"/>
      <c r="I971" s="1105"/>
      <c r="J971" s="1105"/>
      <c r="K971" s="1105"/>
      <c r="L971" s="1105"/>
      <c r="M971" s="1105"/>
      <c r="N971" s="1105"/>
      <c r="O971" s="1105"/>
      <c r="P971" s="1105"/>
      <c r="Q971" s="1144"/>
      <c r="R971" s="1105"/>
      <c r="S971" s="1105"/>
      <c r="T971" s="1105"/>
    </row>
    <row r="972" spans="1:20">
      <c r="A972" s="1105"/>
      <c r="B972" s="1105"/>
      <c r="C972" s="1105"/>
      <c r="D972" s="1105"/>
      <c r="E972" s="1105"/>
      <c r="F972" s="1105"/>
      <c r="G972" s="1105"/>
      <c r="H972" s="1105"/>
      <c r="I972" s="1105"/>
      <c r="J972" s="1105"/>
      <c r="K972" s="1105"/>
      <c r="L972" s="1105"/>
      <c r="M972" s="1105"/>
      <c r="N972" s="1105"/>
      <c r="O972" s="1105"/>
      <c r="P972" s="1105"/>
      <c r="Q972" s="1144"/>
      <c r="R972" s="1105"/>
      <c r="S972" s="1105"/>
      <c r="T972" s="1105"/>
    </row>
    <row r="973" spans="1:20">
      <c r="A973" s="1105"/>
      <c r="B973" s="1105"/>
      <c r="C973" s="1105"/>
      <c r="D973" s="1105"/>
      <c r="E973" s="1105"/>
      <c r="F973" s="1105"/>
      <c r="G973" s="1105"/>
      <c r="H973" s="1105"/>
      <c r="I973" s="1105"/>
      <c r="J973" s="1105"/>
      <c r="K973" s="1105"/>
      <c r="L973" s="1105"/>
      <c r="M973" s="1105"/>
      <c r="N973" s="1105"/>
      <c r="O973" s="1105"/>
      <c r="P973" s="1105"/>
      <c r="Q973" s="1144"/>
      <c r="R973" s="1105"/>
      <c r="S973" s="1105"/>
      <c r="T973" s="1105"/>
    </row>
    <row r="974" spans="1:20">
      <c r="A974" s="1105"/>
      <c r="B974" s="1105"/>
      <c r="C974" s="1105"/>
      <c r="D974" s="1105"/>
      <c r="E974" s="1105"/>
      <c r="F974" s="1105"/>
      <c r="G974" s="1105"/>
      <c r="H974" s="1105"/>
      <c r="I974" s="1105"/>
      <c r="J974" s="1105"/>
      <c r="K974" s="1105"/>
      <c r="L974" s="1105"/>
      <c r="M974" s="1105"/>
      <c r="N974" s="1105"/>
      <c r="O974" s="1105"/>
      <c r="P974" s="1105"/>
      <c r="Q974" s="1144"/>
      <c r="R974" s="1105"/>
      <c r="S974" s="1105"/>
      <c r="T974" s="1105"/>
    </row>
    <row r="975" spans="1:20">
      <c r="A975" s="1105"/>
      <c r="B975" s="1105"/>
      <c r="C975" s="1105"/>
      <c r="D975" s="1105"/>
      <c r="E975" s="1105"/>
      <c r="F975" s="1105"/>
      <c r="G975" s="1105"/>
      <c r="H975" s="1105"/>
      <c r="I975" s="1105"/>
      <c r="J975" s="1105"/>
      <c r="K975" s="1105"/>
      <c r="L975" s="1105"/>
      <c r="M975" s="1105"/>
      <c r="N975" s="1105"/>
      <c r="O975" s="1105"/>
      <c r="P975" s="1105"/>
      <c r="Q975" s="1144"/>
      <c r="R975" s="1105"/>
      <c r="S975" s="1105"/>
      <c r="T975" s="1105"/>
    </row>
    <row r="976" spans="1:20">
      <c r="A976" s="1105"/>
      <c r="B976" s="1105"/>
      <c r="C976" s="1105"/>
      <c r="D976" s="1105"/>
      <c r="E976" s="1105"/>
      <c r="F976" s="1105"/>
      <c r="G976" s="1105"/>
      <c r="H976" s="1105"/>
      <c r="I976" s="1105"/>
      <c r="J976" s="1105"/>
      <c r="K976" s="1105"/>
      <c r="L976" s="1105"/>
      <c r="M976" s="1105"/>
      <c r="N976" s="1105"/>
      <c r="O976" s="1105"/>
      <c r="P976" s="1105"/>
      <c r="Q976" s="1144"/>
      <c r="R976" s="1105"/>
      <c r="S976" s="1105"/>
      <c r="T976" s="1105"/>
    </row>
    <row r="977" spans="1:20">
      <c r="A977" s="1105"/>
      <c r="B977" s="1105"/>
      <c r="C977" s="1105"/>
      <c r="D977" s="1105"/>
      <c r="E977" s="1105"/>
      <c r="F977" s="1105"/>
      <c r="G977" s="1105"/>
      <c r="H977" s="1105"/>
      <c r="I977" s="1105"/>
      <c r="J977" s="1105"/>
      <c r="K977" s="1105"/>
      <c r="L977" s="1105"/>
      <c r="M977" s="1105"/>
      <c r="N977" s="1105"/>
      <c r="O977" s="1105"/>
      <c r="P977" s="1105"/>
      <c r="Q977" s="1144"/>
      <c r="R977" s="1105"/>
      <c r="S977" s="1105"/>
      <c r="T977" s="1105"/>
    </row>
    <row r="978" spans="1:20">
      <c r="A978" s="1105"/>
      <c r="B978" s="1105"/>
      <c r="C978" s="1105"/>
      <c r="D978" s="1105"/>
      <c r="E978" s="1105"/>
      <c r="F978" s="1105"/>
      <c r="G978" s="1105"/>
      <c r="H978" s="1105"/>
      <c r="I978" s="1105"/>
      <c r="J978" s="1105"/>
      <c r="K978" s="1105"/>
      <c r="L978" s="1105"/>
      <c r="M978" s="1105"/>
      <c r="N978" s="1105"/>
      <c r="O978" s="1105"/>
      <c r="P978" s="1105"/>
      <c r="Q978" s="1144"/>
      <c r="R978" s="1105"/>
      <c r="S978" s="1105"/>
      <c r="T978" s="1105"/>
    </row>
    <row r="979" spans="1:20">
      <c r="A979" s="1105"/>
      <c r="B979" s="1105"/>
      <c r="C979" s="1105"/>
      <c r="D979" s="1105"/>
      <c r="E979" s="1105"/>
      <c r="F979" s="1105"/>
      <c r="G979" s="1105"/>
      <c r="H979" s="1105"/>
      <c r="I979" s="1105"/>
      <c r="J979" s="1105"/>
      <c r="K979" s="1105"/>
      <c r="L979" s="1105"/>
      <c r="M979" s="1105"/>
      <c r="N979" s="1105"/>
      <c r="O979" s="1105"/>
      <c r="P979" s="1105"/>
      <c r="Q979" s="1144"/>
      <c r="R979" s="1105"/>
      <c r="S979" s="1105"/>
      <c r="T979" s="1105"/>
    </row>
    <row r="980" spans="1:20">
      <c r="A980" s="1105"/>
      <c r="B980" s="1105"/>
      <c r="C980" s="1105"/>
      <c r="D980" s="1105"/>
      <c r="E980" s="1105"/>
      <c r="F980" s="1105"/>
      <c r="G980" s="1105"/>
      <c r="H980" s="1105"/>
      <c r="I980" s="1105"/>
      <c r="J980" s="1105"/>
      <c r="K980" s="1105"/>
      <c r="L980" s="1105"/>
      <c r="M980" s="1105"/>
      <c r="N980" s="1105"/>
      <c r="O980" s="1105"/>
      <c r="P980" s="1105"/>
      <c r="Q980" s="1144"/>
      <c r="R980" s="1105"/>
      <c r="S980" s="1105"/>
      <c r="T980" s="1105"/>
    </row>
    <row r="981" spans="1:20">
      <c r="A981" s="1105"/>
      <c r="B981" s="1105"/>
      <c r="C981" s="1105"/>
      <c r="D981" s="1105"/>
      <c r="E981" s="1105"/>
      <c r="F981" s="1105"/>
      <c r="G981" s="1105"/>
      <c r="H981" s="1105"/>
      <c r="I981" s="1105"/>
      <c r="J981" s="1105"/>
      <c r="K981" s="1105"/>
      <c r="L981" s="1105"/>
      <c r="M981" s="1105"/>
      <c r="N981" s="1105"/>
      <c r="O981" s="1105"/>
      <c r="P981" s="1105"/>
      <c r="Q981" s="1144"/>
      <c r="R981" s="1105"/>
      <c r="S981" s="1105"/>
      <c r="T981" s="1105"/>
    </row>
    <row r="982" spans="1:20">
      <c r="A982" s="1105"/>
      <c r="B982" s="1105"/>
      <c r="C982" s="1105"/>
      <c r="D982" s="1105"/>
      <c r="E982" s="1105"/>
      <c r="F982" s="1105"/>
      <c r="G982" s="1105"/>
      <c r="H982" s="1105"/>
      <c r="I982" s="1105"/>
      <c r="J982" s="1105"/>
      <c r="K982" s="1105"/>
      <c r="L982" s="1105"/>
      <c r="M982" s="1105"/>
      <c r="N982" s="1105"/>
      <c r="O982" s="1105"/>
      <c r="P982" s="1105"/>
      <c r="Q982" s="1144"/>
      <c r="R982" s="1105"/>
      <c r="S982" s="1105"/>
      <c r="T982" s="1105"/>
    </row>
    <row r="983" spans="1:20">
      <c r="A983" s="1105"/>
      <c r="B983" s="1105"/>
      <c r="C983" s="1105"/>
      <c r="D983" s="1105"/>
      <c r="E983" s="1105"/>
      <c r="F983" s="1105"/>
      <c r="G983" s="1105"/>
      <c r="H983" s="1105"/>
      <c r="I983" s="1105"/>
      <c r="J983" s="1105"/>
      <c r="K983" s="1105"/>
      <c r="L983" s="1105"/>
      <c r="M983" s="1105"/>
      <c r="N983" s="1105"/>
      <c r="O983" s="1105"/>
      <c r="P983" s="1105"/>
      <c r="Q983" s="1144"/>
      <c r="R983" s="1105"/>
      <c r="S983" s="1105"/>
      <c r="T983" s="1105"/>
    </row>
    <row r="984" spans="1:20">
      <c r="A984" s="1105"/>
      <c r="B984" s="1105"/>
      <c r="C984" s="1105"/>
      <c r="D984" s="1105"/>
      <c r="E984" s="1105"/>
      <c r="F984" s="1105"/>
      <c r="G984" s="1105"/>
      <c r="H984" s="1105"/>
      <c r="I984" s="1105"/>
      <c r="J984" s="1105"/>
      <c r="K984" s="1105"/>
      <c r="L984" s="1105"/>
      <c r="M984" s="1105"/>
      <c r="N984" s="1105"/>
      <c r="O984" s="1105"/>
      <c r="P984" s="1105"/>
      <c r="Q984" s="1144"/>
      <c r="R984" s="1105"/>
      <c r="S984" s="1105"/>
      <c r="T984" s="1105"/>
    </row>
    <row r="985" spans="1:20">
      <c r="A985" s="1105"/>
      <c r="B985" s="1105"/>
      <c r="C985" s="1105"/>
      <c r="D985" s="1105"/>
      <c r="E985" s="1105"/>
      <c r="F985" s="1105"/>
      <c r="G985" s="1105"/>
      <c r="H985" s="1105"/>
      <c r="I985" s="1105"/>
      <c r="J985" s="1105"/>
      <c r="K985" s="1105"/>
      <c r="L985" s="1105"/>
      <c r="M985" s="1105"/>
      <c r="N985" s="1105"/>
      <c r="O985" s="1105"/>
      <c r="P985" s="1105"/>
      <c r="Q985" s="1144"/>
      <c r="R985" s="1105"/>
      <c r="S985" s="1105"/>
      <c r="T985" s="1105"/>
    </row>
    <row r="986" spans="1:20">
      <c r="A986" s="1105"/>
      <c r="B986" s="1105"/>
      <c r="C986" s="1105"/>
      <c r="D986" s="1105"/>
      <c r="E986" s="1105"/>
      <c r="F986" s="1105"/>
      <c r="G986" s="1105"/>
      <c r="H986" s="1105"/>
      <c r="I986" s="1105"/>
      <c r="J986" s="1105"/>
      <c r="K986" s="1105"/>
      <c r="L986" s="1105"/>
      <c r="M986" s="1105"/>
      <c r="N986" s="1105"/>
      <c r="O986" s="1105"/>
      <c r="P986" s="1105"/>
      <c r="Q986" s="1144"/>
      <c r="R986" s="1105"/>
      <c r="S986" s="1105"/>
      <c r="T986" s="1105"/>
    </row>
    <row r="987" spans="1:20">
      <c r="A987" s="1105"/>
      <c r="B987" s="1105"/>
      <c r="C987" s="1105"/>
      <c r="D987" s="1105"/>
      <c r="E987" s="1105"/>
      <c r="F987" s="1105"/>
      <c r="G987" s="1105"/>
      <c r="H987" s="1105"/>
      <c r="I987" s="1105"/>
      <c r="J987" s="1105"/>
      <c r="K987" s="1105"/>
      <c r="L987" s="1105"/>
      <c r="M987" s="1105"/>
      <c r="N987" s="1105"/>
      <c r="O987" s="1105"/>
      <c r="P987" s="1105"/>
      <c r="Q987" s="1144"/>
      <c r="R987" s="1105"/>
      <c r="S987" s="1105"/>
      <c r="T987" s="1105"/>
    </row>
    <row r="988" spans="1:20">
      <c r="A988" s="1105"/>
      <c r="B988" s="1105"/>
      <c r="C988" s="1105"/>
      <c r="D988" s="1105"/>
      <c r="E988" s="1105"/>
      <c r="F988" s="1105"/>
      <c r="G988" s="1105"/>
      <c r="H988" s="1105"/>
      <c r="I988" s="1105"/>
      <c r="J988" s="1105"/>
      <c r="K988" s="1105"/>
      <c r="L988" s="1105"/>
      <c r="M988" s="1105"/>
      <c r="N988" s="1105"/>
      <c r="O988" s="1105"/>
      <c r="P988" s="1105"/>
      <c r="Q988" s="1144"/>
      <c r="R988" s="1105"/>
      <c r="S988" s="1105"/>
      <c r="T988" s="1105"/>
    </row>
    <row r="989" spans="1:20">
      <c r="A989" s="1105"/>
      <c r="B989" s="1105"/>
      <c r="C989" s="1105"/>
      <c r="D989" s="1105"/>
      <c r="E989" s="1105"/>
      <c r="F989" s="1105"/>
      <c r="G989" s="1105"/>
      <c r="H989" s="1105"/>
      <c r="I989" s="1105"/>
      <c r="J989" s="1105"/>
      <c r="K989" s="1105"/>
      <c r="L989" s="1105"/>
      <c r="M989" s="1105"/>
      <c r="N989" s="1105"/>
      <c r="O989" s="1105"/>
      <c r="P989" s="1105"/>
      <c r="Q989" s="1144"/>
      <c r="R989" s="1105"/>
      <c r="S989" s="1105"/>
      <c r="T989" s="1105"/>
    </row>
    <row r="990" spans="1:20">
      <c r="A990" s="1105"/>
      <c r="B990" s="1105"/>
      <c r="C990" s="1105"/>
      <c r="D990" s="1105"/>
      <c r="E990" s="1105"/>
      <c r="F990" s="1105"/>
      <c r="G990" s="1105"/>
      <c r="H990" s="1105"/>
      <c r="I990" s="1105"/>
      <c r="J990" s="1105"/>
      <c r="K990" s="1105"/>
      <c r="L990" s="1105"/>
      <c r="M990" s="1105"/>
      <c r="N990" s="1105"/>
      <c r="O990" s="1105"/>
      <c r="P990" s="1105"/>
      <c r="Q990" s="1144"/>
      <c r="R990" s="1105"/>
      <c r="S990" s="1105"/>
      <c r="T990" s="1105"/>
    </row>
    <row r="991" spans="1:20">
      <c r="A991" s="1105"/>
      <c r="B991" s="1105"/>
      <c r="C991" s="1105"/>
      <c r="D991" s="1105"/>
      <c r="E991" s="1105"/>
      <c r="F991" s="1105"/>
      <c r="G991" s="1105"/>
      <c r="H991" s="1105"/>
      <c r="I991" s="1105"/>
      <c r="J991" s="1105"/>
      <c r="K991" s="1105"/>
      <c r="L991" s="1105"/>
      <c r="M991" s="1105"/>
      <c r="N991" s="1105"/>
      <c r="O991" s="1105"/>
      <c r="P991" s="1105"/>
      <c r="Q991" s="1144"/>
      <c r="R991" s="1105"/>
      <c r="S991" s="1105"/>
      <c r="T991" s="1105"/>
    </row>
    <row r="992" spans="1:20">
      <c r="A992" s="1105"/>
      <c r="B992" s="1105"/>
      <c r="C992" s="1105"/>
      <c r="D992" s="1105"/>
      <c r="E992" s="1105"/>
      <c r="F992" s="1105"/>
      <c r="G992" s="1105"/>
      <c r="H992" s="1105"/>
      <c r="I992" s="1105"/>
      <c r="J992" s="1105"/>
      <c r="K992" s="1105"/>
      <c r="L992" s="1105"/>
      <c r="M992" s="1105"/>
      <c r="N992" s="1105"/>
      <c r="O992" s="1105"/>
      <c r="P992" s="1105"/>
      <c r="Q992" s="1144"/>
      <c r="R992" s="1105"/>
      <c r="S992" s="1105"/>
      <c r="T992" s="1105"/>
    </row>
    <row r="993" spans="1:20">
      <c r="A993" s="1105"/>
      <c r="B993" s="1105"/>
      <c r="C993" s="1105"/>
      <c r="D993" s="1105"/>
      <c r="E993" s="1105"/>
      <c r="F993" s="1105"/>
      <c r="G993" s="1105"/>
      <c r="H993" s="1105"/>
      <c r="I993" s="1105"/>
      <c r="J993" s="1105"/>
      <c r="K993" s="1105"/>
      <c r="L993" s="1105"/>
      <c r="M993" s="1105"/>
      <c r="N993" s="1105"/>
      <c r="O993" s="1105"/>
      <c r="P993" s="1105"/>
      <c r="Q993" s="1144"/>
      <c r="R993" s="1105"/>
      <c r="S993" s="1105"/>
      <c r="T993" s="1105"/>
    </row>
    <row r="994" spans="1:20">
      <c r="A994" s="1105"/>
      <c r="B994" s="1105"/>
      <c r="C994" s="1105"/>
      <c r="D994" s="1105"/>
      <c r="E994" s="1105"/>
      <c r="F994" s="1105"/>
      <c r="G994" s="1105"/>
      <c r="H994" s="1105"/>
      <c r="I994" s="1105"/>
      <c r="J994" s="1105"/>
      <c r="K994" s="1105"/>
      <c r="L994" s="1105"/>
      <c r="M994" s="1105"/>
      <c r="N994" s="1105"/>
      <c r="O994" s="1105"/>
      <c r="P994" s="1105"/>
      <c r="Q994" s="1144"/>
      <c r="R994" s="1105"/>
      <c r="S994" s="1105"/>
      <c r="T994" s="1105"/>
    </row>
    <row r="995" spans="1:20">
      <c r="A995" s="1105"/>
      <c r="B995" s="1105"/>
      <c r="C995" s="1105"/>
      <c r="D995" s="1105"/>
      <c r="E995" s="1105"/>
      <c r="F995" s="1105"/>
      <c r="G995" s="1105"/>
      <c r="H995" s="1105"/>
      <c r="I995" s="1105"/>
      <c r="J995" s="1105"/>
      <c r="K995" s="1105"/>
      <c r="L995" s="1105"/>
      <c r="M995" s="1105"/>
      <c r="N995" s="1105"/>
      <c r="O995" s="1105"/>
      <c r="P995" s="1105"/>
      <c r="Q995" s="1144"/>
      <c r="R995" s="1105"/>
      <c r="S995" s="1105"/>
      <c r="T995" s="1105"/>
    </row>
    <row r="996" spans="1:20">
      <c r="A996" s="1105"/>
      <c r="B996" s="1105"/>
      <c r="C996" s="1105"/>
      <c r="D996" s="1105"/>
      <c r="E996" s="1105"/>
      <c r="F996" s="1105"/>
      <c r="G996" s="1105"/>
      <c r="H996" s="1105"/>
      <c r="I996" s="1105"/>
      <c r="J996" s="1105"/>
      <c r="K996" s="1105"/>
      <c r="L996" s="1105"/>
      <c r="M996" s="1105"/>
      <c r="N996" s="1105"/>
      <c r="O996" s="1105"/>
      <c r="P996" s="1105"/>
      <c r="Q996" s="1144"/>
      <c r="R996" s="1105"/>
      <c r="S996" s="1105"/>
      <c r="T996" s="1105"/>
    </row>
    <row r="997" spans="1:20">
      <c r="A997" s="1105"/>
      <c r="B997" s="1105"/>
      <c r="C997" s="1105"/>
      <c r="D997" s="1105"/>
      <c r="E997" s="1105"/>
      <c r="F997" s="1105"/>
      <c r="G997" s="1105"/>
      <c r="H997" s="1105"/>
      <c r="I997" s="1105"/>
      <c r="J997" s="1105"/>
      <c r="K997" s="1105"/>
      <c r="L997" s="1105"/>
      <c r="M997" s="1105"/>
      <c r="N997" s="1105"/>
      <c r="O997" s="1105"/>
      <c r="P997" s="1105"/>
      <c r="Q997" s="1144"/>
      <c r="R997" s="1105"/>
      <c r="S997" s="1105"/>
      <c r="T997" s="1105"/>
    </row>
    <row r="998" spans="1:20">
      <c r="A998" s="1105"/>
      <c r="B998" s="1105"/>
      <c r="C998" s="1105"/>
      <c r="D998" s="1105"/>
      <c r="E998" s="1105"/>
      <c r="F998" s="1105"/>
      <c r="G998" s="1105"/>
      <c r="H998" s="1105"/>
      <c r="I998" s="1105"/>
      <c r="J998" s="1105"/>
      <c r="K998" s="1105"/>
      <c r="L998" s="1105"/>
      <c r="M998" s="1105"/>
      <c r="N998" s="1105"/>
      <c r="O998" s="1105"/>
      <c r="P998" s="1105"/>
      <c r="Q998" s="1144"/>
      <c r="R998" s="1105"/>
      <c r="S998" s="1105"/>
      <c r="T998" s="1105"/>
    </row>
    <row r="999" spans="1:20">
      <c r="A999" s="1105"/>
      <c r="B999" s="1105"/>
      <c r="C999" s="1105"/>
      <c r="D999" s="1105"/>
      <c r="E999" s="1105"/>
      <c r="F999" s="1105"/>
      <c r="G999" s="1105"/>
      <c r="H999" s="1105"/>
      <c r="I999" s="1105"/>
      <c r="J999" s="1105"/>
      <c r="K999" s="1105"/>
      <c r="L999" s="1105"/>
      <c r="M999" s="1105"/>
      <c r="N999" s="1105"/>
      <c r="O999" s="1105"/>
      <c r="P999" s="1105"/>
      <c r="Q999" s="1144"/>
      <c r="R999" s="1105"/>
      <c r="S999" s="1105"/>
      <c r="T999" s="1105"/>
    </row>
    <row r="1000" spans="1:20">
      <c r="A1000" s="1105"/>
      <c r="B1000" s="1105"/>
      <c r="C1000" s="1105"/>
      <c r="D1000" s="1105"/>
      <c r="E1000" s="1105"/>
      <c r="F1000" s="1105"/>
      <c r="G1000" s="1105"/>
      <c r="H1000" s="1105"/>
      <c r="I1000" s="1105"/>
      <c r="J1000" s="1105"/>
      <c r="K1000" s="1105"/>
      <c r="L1000" s="1105"/>
      <c r="M1000" s="1105"/>
      <c r="N1000" s="1105"/>
      <c r="O1000" s="1105"/>
      <c r="P1000" s="1105"/>
      <c r="Q1000" s="1144"/>
      <c r="R1000" s="1105"/>
      <c r="S1000" s="1105"/>
      <c r="T1000" s="1105"/>
    </row>
    <row r="1001" spans="1:20">
      <c r="A1001" s="1105"/>
      <c r="B1001" s="1105"/>
      <c r="C1001" s="1105"/>
      <c r="D1001" s="1105"/>
      <c r="E1001" s="1105"/>
      <c r="F1001" s="1105"/>
      <c r="G1001" s="1105"/>
      <c r="H1001" s="1105"/>
      <c r="I1001" s="1105"/>
      <c r="J1001" s="1105"/>
      <c r="K1001" s="1105"/>
      <c r="L1001" s="1105"/>
      <c r="M1001" s="1105"/>
      <c r="N1001" s="1105"/>
      <c r="O1001" s="1105"/>
      <c r="P1001" s="1105"/>
      <c r="Q1001" s="1144"/>
      <c r="R1001" s="1105"/>
      <c r="S1001" s="1105"/>
      <c r="T1001" s="1105"/>
    </row>
    <row r="1002" spans="1:20">
      <c r="A1002" s="1105"/>
      <c r="B1002" s="1105"/>
      <c r="C1002" s="1105"/>
      <c r="D1002" s="1105"/>
      <c r="E1002" s="1105"/>
      <c r="F1002" s="1105"/>
      <c r="G1002" s="1105"/>
      <c r="H1002" s="1105"/>
      <c r="I1002" s="1105"/>
      <c r="J1002" s="1105"/>
      <c r="K1002" s="1105"/>
      <c r="L1002" s="1105"/>
      <c r="M1002" s="1105"/>
      <c r="N1002" s="1105"/>
      <c r="O1002" s="1105"/>
      <c r="P1002" s="1105"/>
      <c r="Q1002" s="1144"/>
      <c r="R1002" s="1105"/>
      <c r="S1002" s="1105"/>
      <c r="T1002" s="1105"/>
    </row>
    <row r="1003" spans="1:20">
      <c r="A1003" s="1105"/>
      <c r="B1003" s="1105"/>
      <c r="C1003" s="1105"/>
      <c r="D1003" s="1105"/>
      <c r="E1003" s="1105"/>
      <c r="F1003" s="1105"/>
      <c r="G1003" s="1105"/>
      <c r="H1003" s="1105"/>
      <c r="I1003" s="1105"/>
      <c r="J1003" s="1105"/>
      <c r="K1003" s="1105"/>
      <c r="L1003" s="1105"/>
      <c r="M1003" s="1105"/>
      <c r="N1003" s="1105"/>
      <c r="O1003" s="1105"/>
      <c r="P1003" s="1105"/>
      <c r="Q1003" s="1144"/>
      <c r="R1003" s="1105"/>
      <c r="S1003" s="1105"/>
      <c r="T1003" s="1105"/>
    </row>
    <row r="1004" spans="1:20">
      <c r="A1004" s="1105"/>
      <c r="B1004" s="1105"/>
      <c r="C1004" s="1105"/>
      <c r="D1004" s="1105"/>
      <c r="E1004" s="1105"/>
      <c r="F1004" s="1105"/>
      <c r="G1004" s="1105"/>
      <c r="H1004" s="1105"/>
      <c r="I1004" s="1105"/>
      <c r="J1004" s="1105"/>
      <c r="K1004" s="1105"/>
      <c r="L1004" s="1105"/>
      <c r="M1004" s="1105"/>
      <c r="N1004" s="1105"/>
      <c r="O1004" s="1105"/>
      <c r="P1004" s="1105"/>
      <c r="Q1004" s="1144"/>
      <c r="R1004" s="1105"/>
      <c r="S1004" s="1105"/>
      <c r="T1004" s="1105"/>
    </row>
    <row r="1005" spans="1:20">
      <c r="A1005" s="1105"/>
      <c r="B1005" s="1105"/>
      <c r="C1005" s="1105"/>
      <c r="D1005" s="1105"/>
      <c r="E1005" s="1105"/>
      <c r="F1005" s="1105"/>
      <c r="G1005" s="1105"/>
      <c r="H1005" s="1105"/>
      <c r="I1005" s="1105"/>
      <c r="J1005" s="1105"/>
      <c r="K1005" s="1105"/>
      <c r="L1005" s="1105"/>
      <c r="M1005" s="1105"/>
      <c r="N1005" s="1105"/>
      <c r="O1005" s="1105"/>
      <c r="P1005" s="1105"/>
      <c r="Q1005" s="1144"/>
      <c r="R1005" s="1105"/>
      <c r="S1005" s="1105"/>
      <c r="T1005" s="1105"/>
    </row>
    <row r="1006" spans="1:20">
      <c r="A1006" s="1105"/>
      <c r="B1006" s="1105"/>
      <c r="C1006" s="1105"/>
      <c r="D1006" s="1105"/>
      <c r="E1006" s="1105"/>
      <c r="F1006" s="1105"/>
      <c r="G1006" s="1105"/>
      <c r="H1006" s="1105"/>
      <c r="I1006" s="1105"/>
      <c r="J1006" s="1105"/>
      <c r="K1006" s="1105"/>
      <c r="L1006" s="1105"/>
      <c r="M1006" s="1105"/>
      <c r="N1006" s="1105"/>
      <c r="O1006" s="1105"/>
      <c r="P1006" s="1105"/>
      <c r="Q1006" s="1144"/>
      <c r="R1006" s="1105"/>
      <c r="S1006" s="1105"/>
      <c r="T1006" s="1105"/>
    </row>
    <row r="1007" spans="1:20">
      <c r="A1007" s="1105"/>
      <c r="B1007" s="1105"/>
      <c r="C1007" s="1105"/>
      <c r="D1007" s="1105"/>
      <c r="E1007" s="1105"/>
      <c r="F1007" s="1105"/>
      <c r="G1007" s="1105"/>
      <c r="H1007" s="1105"/>
      <c r="I1007" s="1105"/>
      <c r="J1007" s="1105"/>
      <c r="K1007" s="1105"/>
      <c r="L1007" s="1105"/>
      <c r="M1007" s="1105"/>
      <c r="N1007" s="1105"/>
      <c r="O1007" s="1105"/>
      <c r="P1007" s="1105"/>
      <c r="Q1007" s="1144"/>
      <c r="R1007" s="1105"/>
      <c r="S1007" s="1105"/>
      <c r="T1007" s="1105"/>
    </row>
    <row r="1008" spans="1:20">
      <c r="A1008" s="1105"/>
      <c r="B1008" s="1105"/>
      <c r="C1008" s="1105"/>
      <c r="D1008" s="1105"/>
      <c r="E1008" s="1105"/>
      <c r="F1008" s="1105"/>
      <c r="G1008" s="1105"/>
      <c r="H1008" s="1105"/>
      <c r="I1008" s="1105"/>
      <c r="J1008" s="1105"/>
      <c r="K1008" s="1105"/>
      <c r="L1008" s="1105"/>
      <c r="M1008" s="1105"/>
      <c r="N1008" s="1105"/>
      <c r="O1008" s="1105"/>
      <c r="P1008" s="1105"/>
      <c r="Q1008" s="1144"/>
      <c r="R1008" s="1105"/>
      <c r="S1008" s="1105"/>
      <c r="T1008" s="1105"/>
    </row>
    <row r="1009" spans="1:20">
      <c r="A1009" s="1105"/>
      <c r="B1009" s="1105"/>
      <c r="C1009" s="1105"/>
      <c r="D1009" s="1105"/>
      <c r="E1009" s="1105"/>
      <c r="F1009" s="1105"/>
      <c r="G1009" s="1105"/>
      <c r="H1009" s="1105"/>
      <c r="I1009" s="1105"/>
      <c r="J1009" s="1105"/>
      <c r="K1009" s="1105"/>
      <c r="L1009" s="1105"/>
      <c r="M1009" s="1105"/>
      <c r="N1009" s="1105"/>
      <c r="O1009" s="1105"/>
      <c r="P1009" s="1105"/>
      <c r="Q1009" s="1144"/>
      <c r="R1009" s="1105"/>
      <c r="S1009" s="1105"/>
      <c r="T1009" s="1105"/>
    </row>
    <row r="1010" spans="1:20">
      <c r="A1010" s="1105"/>
      <c r="B1010" s="1105"/>
      <c r="C1010" s="1105"/>
      <c r="D1010" s="1105"/>
      <c r="E1010" s="1105"/>
      <c r="F1010" s="1105"/>
      <c r="G1010" s="1105"/>
      <c r="H1010" s="1105"/>
      <c r="I1010" s="1105"/>
      <c r="J1010" s="1105"/>
      <c r="K1010" s="1105"/>
      <c r="L1010" s="1105"/>
      <c r="M1010" s="1105"/>
      <c r="N1010" s="1105"/>
      <c r="O1010" s="1105"/>
      <c r="P1010" s="1105"/>
      <c r="Q1010" s="1144"/>
      <c r="R1010" s="1105"/>
      <c r="S1010" s="1105"/>
      <c r="T1010" s="1105"/>
    </row>
    <row r="1011" spans="1:20">
      <c r="A1011" s="1105"/>
      <c r="B1011" s="1105"/>
      <c r="C1011" s="1105"/>
      <c r="D1011" s="1105"/>
      <c r="E1011" s="1105"/>
      <c r="F1011" s="1105"/>
      <c r="G1011" s="1105"/>
      <c r="H1011" s="1105"/>
      <c r="I1011" s="1105"/>
      <c r="J1011" s="1105"/>
      <c r="K1011" s="1105"/>
      <c r="L1011" s="1105"/>
      <c r="M1011" s="1105"/>
      <c r="N1011" s="1105"/>
      <c r="O1011" s="1105"/>
      <c r="P1011" s="1105"/>
      <c r="Q1011" s="1144"/>
      <c r="R1011" s="1105"/>
      <c r="S1011" s="1105"/>
      <c r="T1011" s="1105"/>
    </row>
    <row r="1012" spans="1:20">
      <c r="A1012" s="1105"/>
      <c r="B1012" s="1105"/>
      <c r="C1012" s="1105"/>
      <c r="D1012" s="1105"/>
      <c r="E1012" s="1105"/>
      <c r="F1012" s="1105"/>
      <c r="G1012" s="1105"/>
      <c r="H1012" s="1105"/>
      <c r="I1012" s="1105"/>
      <c r="J1012" s="1105"/>
      <c r="K1012" s="1105"/>
      <c r="L1012" s="1105"/>
      <c r="M1012" s="1105"/>
      <c r="N1012" s="1105"/>
      <c r="O1012" s="1105"/>
      <c r="P1012" s="1105"/>
      <c r="Q1012" s="1144"/>
      <c r="R1012" s="1105"/>
      <c r="S1012" s="1105"/>
      <c r="T1012" s="1105"/>
    </row>
    <row r="1013" spans="1:20">
      <c r="A1013" s="1105"/>
      <c r="B1013" s="1105"/>
      <c r="C1013" s="1105"/>
      <c r="D1013" s="1105"/>
      <c r="E1013" s="1105"/>
      <c r="F1013" s="1105"/>
      <c r="G1013" s="1105"/>
      <c r="H1013" s="1105"/>
      <c r="I1013" s="1105"/>
      <c r="J1013" s="1105"/>
      <c r="K1013" s="1105"/>
      <c r="L1013" s="1105"/>
      <c r="M1013" s="1105"/>
      <c r="N1013" s="1105"/>
      <c r="O1013" s="1105"/>
      <c r="P1013" s="1105"/>
      <c r="Q1013" s="1144"/>
      <c r="R1013" s="1105"/>
      <c r="S1013" s="1105"/>
      <c r="T1013" s="1105"/>
    </row>
    <row r="1014" spans="1:20">
      <c r="A1014" s="1105"/>
      <c r="B1014" s="1105"/>
      <c r="C1014" s="1105"/>
      <c r="D1014" s="1105"/>
      <c r="E1014" s="1105"/>
      <c r="F1014" s="1105"/>
      <c r="G1014" s="1105"/>
      <c r="H1014" s="1105"/>
      <c r="I1014" s="1105"/>
      <c r="J1014" s="1105"/>
      <c r="K1014" s="1105"/>
      <c r="L1014" s="1105"/>
      <c r="M1014" s="1105"/>
      <c r="N1014" s="1105"/>
      <c r="O1014" s="1105"/>
      <c r="P1014" s="1105"/>
      <c r="Q1014" s="1144"/>
      <c r="R1014" s="1105"/>
      <c r="S1014" s="1105"/>
      <c r="T1014" s="1105"/>
    </row>
    <row r="1015" spans="1:20">
      <c r="A1015" s="1105"/>
      <c r="B1015" s="1105"/>
      <c r="C1015" s="1105"/>
      <c r="D1015" s="1105"/>
      <c r="E1015" s="1105"/>
      <c r="F1015" s="1105"/>
      <c r="G1015" s="1105"/>
      <c r="H1015" s="1105"/>
      <c r="I1015" s="1105"/>
      <c r="J1015" s="1105"/>
      <c r="K1015" s="1105"/>
      <c r="L1015" s="1105"/>
      <c r="M1015" s="1105"/>
      <c r="N1015" s="1105"/>
      <c r="O1015" s="1105"/>
      <c r="P1015" s="1105"/>
      <c r="Q1015" s="1144"/>
      <c r="R1015" s="1105"/>
      <c r="S1015" s="1105"/>
      <c r="T1015" s="1105"/>
    </row>
    <row r="1016" spans="1:20">
      <c r="A1016" s="1105"/>
      <c r="B1016" s="1105"/>
      <c r="C1016" s="1105"/>
      <c r="D1016" s="1105"/>
      <c r="E1016" s="1105"/>
      <c r="F1016" s="1105"/>
      <c r="G1016" s="1105"/>
      <c r="H1016" s="1105"/>
      <c r="I1016" s="1105"/>
      <c r="J1016" s="1105"/>
      <c r="K1016" s="1105"/>
      <c r="L1016" s="1105"/>
      <c r="M1016" s="1105"/>
      <c r="N1016" s="1105"/>
      <c r="O1016" s="1105"/>
      <c r="P1016" s="1105"/>
      <c r="Q1016" s="1144"/>
      <c r="R1016" s="1105"/>
      <c r="S1016" s="1105"/>
      <c r="T1016" s="1105"/>
    </row>
    <row r="1017" spans="1:20">
      <c r="A1017" s="1105"/>
      <c r="B1017" s="1105"/>
      <c r="C1017" s="1105"/>
      <c r="D1017" s="1105"/>
      <c r="E1017" s="1105"/>
      <c r="F1017" s="1105"/>
      <c r="G1017" s="1105"/>
      <c r="H1017" s="1105"/>
      <c r="I1017" s="1105"/>
      <c r="J1017" s="1105"/>
      <c r="K1017" s="1105"/>
      <c r="L1017" s="1105"/>
      <c r="M1017" s="1105"/>
      <c r="N1017" s="1105"/>
      <c r="O1017" s="1105"/>
      <c r="P1017" s="1105"/>
      <c r="Q1017" s="1144"/>
      <c r="R1017" s="1105"/>
      <c r="S1017" s="1105"/>
      <c r="T1017" s="1105"/>
    </row>
    <row r="1018" spans="1:20">
      <c r="A1018" s="1105"/>
      <c r="B1018" s="1105"/>
      <c r="C1018" s="1105"/>
      <c r="D1018" s="1105"/>
      <c r="E1018" s="1105"/>
      <c r="F1018" s="1105"/>
      <c r="G1018" s="1105"/>
      <c r="H1018" s="1105"/>
      <c r="I1018" s="1105"/>
      <c r="J1018" s="1105"/>
      <c r="K1018" s="1105"/>
      <c r="L1018" s="1105"/>
      <c r="M1018" s="1105"/>
      <c r="N1018" s="1105"/>
      <c r="O1018" s="1105"/>
      <c r="P1018" s="1105"/>
      <c r="Q1018" s="1144"/>
      <c r="R1018" s="1105"/>
      <c r="S1018" s="1105"/>
      <c r="T1018" s="1105"/>
    </row>
    <row r="1019" spans="1:20">
      <c r="A1019" s="1105"/>
      <c r="B1019" s="1105"/>
      <c r="C1019" s="1105"/>
      <c r="D1019" s="1105"/>
      <c r="E1019" s="1105"/>
      <c r="F1019" s="1105"/>
      <c r="G1019" s="1105"/>
      <c r="H1019" s="1105"/>
      <c r="I1019" s="1105"/>
      <c r="J1019" s="1105"/>
      <c r="K1019" s="1105"/>
      <c r="L1019" s="1105"/>
      <c r="M1019" s="1105"/>
      <c r="N1019" s="1105"/>
      <c r="O1019" s="1105"/>
      <c r="P1019" s="1105"/>
      <c r="Q1019" s="1144"/>
      <c r="R1019" s="1105"/>
      <c r="S1019" s="1105"/>
      <c r="T1019" s="1105"/>
    </row>
    <row r="1020" spans="1:20">
      <c r="A1020" s="1105"/>
      <c r="B1020" s="1105"/>
      <c r="C1020" s="1105"/>
      <c r="D1020" s="1105"/>
      <c r="E1020" s="1105"/>
      <c r="F1020" s="1105"/>
      <c r="G1020" s="1105"/>
      <c r="H1020" s="1105"/>
      <c r="I1020" s="1105"/>
      <c r="J1020" s="1105"/>
      <c r="K1020" s="1105"/>
      <c r="L1020" s="1105"/>
      <c r="M1020" s="1105"/>
      <c r="N1020" s="1105"/>
      <c r="O1020" s="1105"/>
      <c r="P1020" s="1105"/>
      <c r="Q1020" s="1144"/>
      <c r="R1020" s="1105"/>
      <c r="S1020" s="1105"/>
      <c r="T1020" s="1105"/>
    </row>
    <row r="1021" spans="1:20">
      <c r="A1021" s="1105"/>
      <c r="B1021" s="1105"/>
      <c r="C1021" s="1105"/>
      <c r="D1021" s="1105"/>
      <c r="E1021" s="1105"/>
      <c r="F1021" s="1105"/>
      <c r="G1021" s="1105"/>
      <c r="H1021" s="1105"/>
      <c r="I1021" s="1105"/>
      <c r="J1021" s="1105"/>
      <c r="K1021" s="1105"/>
      <c r="L1021" s="1105"/>
      <c r="M1021" s="1105"/>
      <c r="N1021" s="1105"/>
      <c r="O1021" s="1105"/>
      <c r="P1021" s="1105"/>
      <c r="Q1021" s="1144"/>
      <c r="R1021" s="1105"/>
      <c r="S1021" s="1105"/>
      <c r="T1021" s="1105"/>
    </row>
    <row r="1022" spans="1:20">
      <c r="A1022" s="1105"/>
      <c r="B1022" s="1105"/>
      <c r="C1022" s="1105"/>
      <c r="D1022" s="1105"/>
      <c r="E1022" s="1105"/>
      <c r="F1022" s="1105"/>
      <c r="G1022" s="1105"/>
      <c r="H1022" s="1105"/>
      <c r="I1022" s="1105"/>
      <c r="J1022" s="1105"/>
      <c r="K1022" s="1105"/>
      <c r="L1022" s="1105"/>
      <c r="M1022" s="1105"/>
      <c r="N1022" s="1105"/>
      <c r="O1022" s="1105"/>
      <c r="P1022" s="1105"/>
      <c r="Q1022" s="1144"/>
      <c r="R1022" s="1105"/>
      <c r="S1022" s="1105"/>
      <c r="T1022" s="1105"/>
    </row>
    <row r="1023" spans="1:20">
      <c r="A1023" s="1105"/>
      <c r="B1023" s="1105"/>
      <c r="C1023" s="1105"/>
      <c r="D1023" s="1105"/>
      <c r="E1023" s="1105"/>
      <c r="F1023" s="1105"/>
      <c r="G1023" s="1105"/>
      <c r="H1023" s="1105"/>
      <c r="I1023" s="1105"/>
      <c r="J1023" s="1105"/>
      <c r="K1023" s="1105"/>
      <c r="L1023" s="1105"/>
      <c r="M1023" s="1105"/>
      <c r="N1023" s="1105"/>
      <c r="O1023" s="1105"/>
      <c r="P1023" s="1105"/>
      <c r="Q1023" s="1144"/>
      <c r="R1023" s="1105"/>
      <c r="S1023" s="1105"/>
      <c r="T1023" s="1105"/>
    </row>
    <row r="1024" spans="1:20">
      <c r="A1024" s="1105"/>
      <c r="B1024" s="1105"/>
      <c r="C1024" s="1105"/>
      <c r="D1024" s="1105"/>
      <c r="E1024" s="1105"/>
      <c r="F1024" s="1105"/>
      <c r="G1024" s="1105"/>
      <c r="H1024" s="1105"/>
      <c r="I1024" s="1105"/>
      <c r="J1024" s="1105"/>
      <c r="K1024" s="1105"/>
      <c r="L1024" s="1105"/>
      <c r="M1024" s="1105"/>
      <c r="N1024" s="1105"/>
      <c r="O1024" s="1105"/>
      <c r="P1024" s="1105"/>
      <c r="Q1024" s="1144"/>
      <c r="R1024" s="1105"/>
      <c r="S1024" s="1105"/>
      <c r="T1024" s="1105"/>
    </row>
    <row r="1025" spans="1:20">
      <c r="A1025" s="1105"/>
      <c r="B1025" s="1105"/>
      <c r="C1025" s="1105"/>
      <c r="D1025" s="1105"/>
      <c r="E1025" s="1105"/>
      <c r="F1025" s="1105"/>
      <c r="G1025" s="1105"/>
      <c r="H1025" s="1105"/>
      <c r="I1025" s="1105"/>
      <c r="J1025" s="1105"/>
      <c r="K1025" s="1105"/>
      <c r="L1025" s="1105"/>
      <c r="M1025" s="1105"/>
      <c r="N1025" s="1105"/>
      <c r="O1025" s="1105"/>
      <c r="P1025" s="1105"/>
      <c r="Q1025" s="1144"/>
      <c r="R1025" s="1105"/>
      <c r="S1025" s="1105"/>
      <c r="T1025" s="1105"/>
    </row>
    <row r="1026" spans="1:20">
      <c r="A1026" s="1105"/>
      <c r="B1026" s="1105"/>
      <c r="C1026" s="1105"/>
      <c r="D1026" s="1105"/>
      <c r="E1026" s="1105"/>
      <c r="F1026" s="1105"/>
      <c r="G1026" s="1105"/>
      <c r="H1026" s="1105"/>
      <c r="I1026" s="1105"/>
      <c r="J1026" s="1105"/>
      <c r="K1026" s="1105"/>
      <c r="L1026" s="1105"/>
      <c r="M1026" s="1105"/>
      <c r="N1026" s="1105"/>
      <c r="O1026" s="1105"/>
      <c r="P1026" s="1105"/>
      <c r="Q1026" s="1144"/>
      <c r="R1026" s="1105"/>
      <c r="S1026" s="1105"/>
      <c r="T1026" s="1105"/>
    </row>
    <row r="1027" spans="1:20">
      <c r="A1027" s="1105"/>
      <c r="B1027" s="1105"/>
      <c r="C1027" s="1105"/>
      <c r="D1027" s="1105"/>
      <c r="E1027" s="1105"/>
      <c r="F1027" s="1105"/>
      <c r="G1027" s="1105"/>
      <c r="H1027" s="1105"/>
      <c r="I1027" s="1105"/>
      <c r="J1027" s="1105"/>
      <c r="K1027" s="1105"/>
      <c r="L1027" s="1105"/>
      <c r="M1027" s="1105"/>
      <c r="N1027" s="1105"/>
      <c r="O1027" s="1105"/>
      <c r="P1027" s="1105"/>
      <c r="Q1027" s="1144"/>
      <c r="R1027" s="1105"/>
      <c r="S1027" s="1105"/>
      <c r="T1027" s="1105"/>
    </row>
    <row r="1028" spans="1:20">
      <c r="A1028" s="1105"/>
      <c r="B1028" s="1105"/>
      <c r="C1028" s="1105"/>
      <c r="D1028" s="1105"/>
      <c r="E1028" s="1105"/>
      <c r="F1028" s="1105"/>
      <c r="G1028" s="1105"/>
      <c r="H1028" s="1105"/>
      <c r="I1028" s="1105"/>
      <c r="J1028" s="1105"/>
      <c r="K1028" s="1105"/>
      <c r="L1028" s="1105"/>
      <c r="M1028" s="1105"/>
      <c r="N1028" s="1105"/>
      <c r="O1028" s="1105"/>
      <c r="P1028" s="1105"/>
      <c r="Q1028" s="1144"/>
      <c r="R1028" s="1105"/>
      <c r="S1028" s="1105"/>
      <c r="T1028" s="1105"/>
    </row>
    <row r="1029" spans="1:20">
      <c r="A1029" s="1105"/>
      <c r="B1029" s="1105"/>
      <c r="C1029" s="1105"/>
      <c r="D1029" s="1105"/>
      <c r="E1029" s="1105"/>
      <c r="F1029" s="1105"/>
      <c r="G1029" s="1105"/>
      <c r="H1029" s="1105"/>
      <c r="I1029" s="1105"/>
      <c r="J1029" s="1105"/>
      <c r="K1029" s="1105"/>
      <c r="L1029" s="1105"/>
      <c r="M1029" s="1105"/>
      <c r="N1029" s="1105"/>
      <c r="O1029" s="1105"/>
      <c r="P1029" s="1105"/>
      <c r="Q1029" s="1144"/>
      <c r="R1029" s="1105"/>
      <c r="S1029" s="1105"/>
      <c r="T1029" s="1105"/>
    </row>
    <row r="1030" spans="1:20">
      <c r="A1030" s="1105"/>
      <c r="B1030" s="1105"/>
      <c r="C1030" s="1105"/>
      <c r="D1030" s="1105"/>
      <c r="E1030" s="1105"/>
      <c r="F1030" s="1105"/>
      <c r="G1030" s="1105"/>
      <c r="H1030" s="1105"/>
      <c r="I1030" s="1105"/>
      <c r="J1030" s="1105"/>
      <c r="K1030" s="1105"/>
      <c r="L1030" s="1105"/>
      <c r="M1030" s="1105"/>
      <c r="N1030" s="1105"/>
      <c r="O1030" s="1105"/>
      <c r="P1030" s="1105"/>
      <c r="Q1030" s="1144"/>
      <c r="R1030" s="1105"/>
      <c r="S1030" s="1105"/>
      <c r="T1030" s="1105"/>
    </row>
    <row r="1031" spans="1:20">
      <c r="A1031" s="1105"/>
      <c r="B1031" s="1105"/>
      <c r="C1031" s="1105"/>
      <c r="D1031" s="1105"/>
      <c r="E1031" s="1105"/>
      <c r="F1031" s="1105"/>
      <c r="G1031" s="1105"/>
      <c r="H1031" s="1105"/>
      <c r="I1031" s="1105"/>
      <c r="J1031" s="1105"/>
      <c r="K1031" s="1105"/>
      <c r="L1031" s="1105"/>
      <c r="M1031" s="1105"/>
      <c r="N1031" s="1105"/>
      <c r="O1031" s="1105"/>
      <c r="P1031" s="1105"/>
      <c r="Q1031" s="1144"/>
      <c r="R1031" s="1105"/>
      <c r="S1031" s="1105"/>
      <c r="T1031" s="1105"/>
    </row>
    <row r="1032" spans="1:20">
      <c r="A1032" s="1105"/>
      <c r="B1032" s="1105"/>
      <c r="C1032" s="1105"/>
      <c r="D1032" s="1105"/>
      <c r="E1032" s="1105"/>
      <c r="F1032" s="1105"/>
      <c r="G1032" s="1105"/>
      <c r="H1032" s="1105"/>
      <c r="I1032" s="1105"/>
      <c r="J1032" s="1105"/>
      <c r="K1032" s="1105"/>
      <c r="L1032" s="1105"/>
      <c r="M1032" s="1105"/>
      <c r="N1032" s="1105"/>
      <c r="O1032" s="1105"/>
      <c r="P1032" s="1105"/>
      <c r="Q1032" s="1144"/>
      <c r="R1032" s="1105"/>
      <c r="S1032" s="1105"/>
      <c r="T1032" s="1105"/>
    </row>
    <row r="1033" spans="1:20">
      <c r="A1033" s="1105"/>
      <c r="B1033" s="1105"/>
      <c r="C1033" s="1105"/>
      <c r="D1033" s="1105"/>
      <c r="E1033" s="1105"/>
      <c r="F1033" s="1105"/>
      <c r="G1033" s="1105"/>
      <c r="H1033" s="1105"/>
      <c r="I1033" s="1105"/>
      <c r="J1033" s="1105"/>
      <c r="K1033" s="1105"/>
      <c r="L1033" s="1105"/>
      <c r="M1033" s="1105"/>
      <c r="N1033" s="1105"/>
      <c r="O1033" s="1105"/>
      <c r="P1033" s="1105"/>
      <c r="Q1033" s="1144"/>
      <c r="R1033" s="1105"/>
      <c r="S1033" s="1105"/>
      <c r="T1033" s="1105"/>
    </row>
    <row r="1034" spans="1:20">
      <c r="A1034" s="1105"/>
      <c r="B1034" s="1105"/>
      <c r="C1034" s="1105"/>
      <c r="D1034" s="1105"/>
      <c r="E1034" s="1105"/>
      <c r="F1034" s="1105"/>
      <c r="G1034" s="1105"/>
      <c r="H1034" s="1105"/>
      <c r="I1034" s="1105"/>
      <c r="J1034" s="1105"/>
      <c r="K1034" s="1105"/>
      <c r="L1034" s="1105"/>
      <c r="M1034" s="1105"/>
      <c r="N1034" s="1105"/>
      <c r="O1034" s="1105"/>
      <c r="P1034" s="1105"/>
      <c r="Q1034" s="1144"/>
      <c r="R1034" s="1105"/>
      <c r="S1034" s="1105"/>
      <c r="T1034" s="1105"/>
    </row>
    <row r="1035" spans="1:20">
      <c r="A1035" s="1105"/>
      <c r="B1035" s="1105"/>
      <c r="C1035" s="1105"/>
      <c r="D1035" s="1105"/>
      <c r="E1035" s="1105"/>
      <c r="F1035" s="1105"/>
      <c r="G1035" s="1105"/>
      <c r="H1035" s="1105"/>
      <c r="I1035" s="1105"/>
      <c r="J1035" s="1105"/>
      <c r="K1035" s="1105"/>
      <c r="L1035" s="1105"/>
      <c r="M1035" s="1105"/>
      <c r="N1035" s="1105"/>
      <c r="O1035" s="1105"/>
      <c r="P1035" s="1105"/>
      <c r="Q1035" s="1144"/>
      <c r="R1035" s="1105"/>
      <c r="S1035" s="1105"/>
      <c r="T1035" s="1105"/>
    </row>
    <row r="1036" spans="1:20">
      <c r="A1036" s="1105"/>
      <c r="B1036" s="1105"/>
      <c r="C1036" s="1105"/>
      <c r="D1036" s="1105"/>
      <c r="E1036" s="1105"/>
      <c r="F1036" s="1105"/>
      <c r="G1036" s="1105"/>
      <c r="H1036" s="1105"/>
      <c r="I1036" s="1105"/>
      <c r="J1036" s="1105"/>
      <c r="K1036" s="1105"/>
      <c r="L1036" s="1105"/>
      <c r="M1036" s="1105"/>
      <c r="N1036" s="1105"/>
      <c r="O1036" s="1105"/>
      <c r="P1036" s="1105"/>
      <c r="Q1036" s="1144"/>
      <c r="R1036" s="1105"/>
      <c r="S1036" s="1105"/>
      <c r="T1036" s="1105"/>
    </row>
    <row r="1037" spans="1:20">
      <c r="A1037" s="1105"/>
      <c r="B1037" s="1105"/>
      <c r="C1037" s="1105"/>
      <c r="D1037" s="1105"/>
      <c r="E1037" s="1105"/>
      <c r="F1037" s="1105"/>
      <c r="G1037" s="1105"/>
      <c r="H1037" s="1105"/>
      <c r="I1037" s="1105"/>
      <c r="J1037" s="1105"/>
      <c r="K1037" s="1105"/>
      <c r="L1037" s="1105"/>
      <c r="M1037" s="1105"/>
      <c r="N1037" s="1105"/>
      <c r="O1037" s="1105"/>
      <c r="P1037" s="1105"/>
      <c r="Q1037" s="1144"/>
      <c r="R1037" s="1105"/>
      <c r="S1037" s="1105"/>
      <c r="T1037" s="1105"/>
    </row>
    <row r="1038" spans="1:20">
      <c r="A1038" s="1105"/>
      <c r="B1038" s="1105"/>
      <c r="C1038" s="1105"/>
      <c r="D1038" s="1105"/>
      <c r="E1038" s="1105"/>
      <c r="F1038" s="1105"/>
      <c r="G1038" s="1105"/>
      <c r="H1038" s="1105"/>
      <c r="I1038" s="1105"/>
      <c r="J1038" s="1105"/>
      <c r="K1038" s="1105"/>
      <c r="L1038" s="1105"/>
      <c r="M1038" s="1105"/>
      <c r="N1038" s="1105"/>
      <c r="O1038" s="1105"/>
      <c r="P1038" s="1105"/>
      <c r="Q1038" s="1144"/>
      <c r="R1038" s="1105"/>
      <c r="S1038" s="1105"/>
      <c r="T1038" s="1105"/>
    </row>
    <row r="1039" spans="1:20">
      <c r="A1039" s="1105"/>
      <c r="B1039" s="1105"/>
      <c r="C1039" s="1105"/>
      <c r="D1039" s="1105"/>
      <c r="E1039" s="1105"/>
      <c r="F1039" s="1105"/>
      <c r="G1039" s="1105"/>
      <c r="H1039" s="1105"/>
      <c r="I1039" s="1105"/>
      <c r="J1039" s="1105"/>
      <c r="K1039" s="1105"/>
      <c r="L1039" s="1105"/>
      <c r="M1039" s="1105"/>
      <c r="N1039" s="1105"/>
      <c r="O1039" s="1105"/>
      <c r="P1039" s="1105"/>
      <c r="Q1039" s="1144"/>
      <c r="R1039" s="1105"/>
      <c r="S1039" s="1105"/>
      <c r="T1039" s="1105"/>
    </row>
    <row r="1040" spans="1:20">
      <c r="A1040" s="1105"/>
      <c r="B1040" s="1105"/>
      <c r="C1040" s="1105"/>
      <c r="D1040" s="1105"/>
      <c r="E1040" s="1105"/>
      <c r="F1040" s="1105"/>
      <c r="G1040" s="1105"/>
      <c r="H1040" s="1105"/>
      <c r="I1040" s="1105"/>
      <c r="J1040" s="1105"/>
      <c r="K1040" s="1105"/>
      <c r="L1040" s="1105"/>
      <c r="M1040" s="1105"/>
      <c r="N1040" s="1105"/>
      <c r="O1040" s="1105"/>
      <c r="P1040" s="1105"/>
      <c r="Q1040" s="1144"/>
      <c r="R1040" s="1105"/>
      <c r="S1040" s="1105"/>
      <c r="T1040" s="1105"/>
    </row>
    <row r="1041" spans="1:20">
      <c r="A1041" s="1105"/>
      <c r="B1041" s="1105"/>
      <c r="C1041" s="1105"/>
      <c r="D1041" s="1105"/>
      <c r="E1041" s="1105"/>
      <c r="F1041" s="1105"/>
      <c r="G1041" s="1105"/>
      <c r="H1041" s="1105"/>
      <c r="I1041" s="1105"/>
      <c r="J1041" s="1105"/>
      <c r="K1041" s="1105"/>
      <c r="L1041" s="1105"/>
      <c r="M1041" s="1105"/>
      <c r="N1041" s="1105"/>
      <c r="O1041" s="1105"/>
      <c r="P1041" s="1105"/>
      <c r="Q1041" s="1144"/>
      <c r="R1041" s="1105"/>
      <c r="S1041" s="1105"/>
      <c r="T1041" s="1105"/>
    </row>
    <row r="1042" spans="1:20">
      <c r="A1042" s="1105"/>
      <c r="B1042" s="1105"/>
      <c r="C1042" s="1105"/>
      <c r="D1042" s="1105"/>
      <c r="E1042" s="1105"/>
      <c r="F1042" s="1105"/>
      <c r="G1042" s="1105"/>
      <c r="H1042" s="1105"/>
      <c r="I1042" s="1105"/>
      <c r="J1042" s="1105"/>
      <c r="K1042" s="1105"/>
      <c r="L1042" s="1105"/>
      <c r="M1042" s="1105"/>
      <c r="N1042" s="1105"/>
      <c r="O1042" s="1105"/>
      <c r="P1042" s="1105"/>
      <c r="Q1042" s="1144"/>
      <c r="R1042" s="1105"/>
      <c r="S1042" s="1105"/>
      <c r="T1042" s="1105"/>
    </row>
    <row r="1043" spans="1:20">
      <c r="A1043" s="1105"/>
      <c r="B1043" s="1105"/>
      <c r="C1043" s="1105"/>
      <c r="D1043" s="1105"/>
      <c r="E1043" s="1105"/>
      <c r="F1043" s="1105"/>
      <c r="G1043" s="1105"/>
      <c r="H1043" s="1105"/>
      <c r="I1043" s="1105"/>
      <c r="J1043" s="1105"/>
      <c r="K1043" s="1105"/>
      <c r="L1043" s="1105"/>
      <c r="M1043" s="1105"/>
      <c r="N1043" s="1105"/>
      <c r="O1043" s="1105"/>
      <c r="P1043" s="1105"/>
      <c r="Q1043" s="1144"/>
      <c r="R1043" s="1105"/>
      <c r="S1043" s="1105"/>
      <c r="T1043" s="1105"/>
    </row>
    <row r="1044" spans="1:20">
      <c r="A1044" s="1105"/>
      <c r="B1044" s="1105"/>
      <c r="C1044" s="1105"/>
      <c r="D1044" s="1105"/>
      <c r="E1044" s="1105"/>
      <c r="F1044" s="1105"/>
      <c r="G1044" s="1105"/>
      <c r="H1044" s="1105"/>
      <c r="I1044" s="1105"/>
      <c r="J1044" s="1105"/>
      <c r="K1044" s="1105"/>
      <c r="L1044" s="1105"/>
      <c r="M1044" s="1105"/>
      <c r="N1044" s="1105"/>
      <c r="O1044" s="1105"/>
      <c r="P1044" s="1105"/>
      <c r="Q1044" s="1144"/>
      <c r="R1044" s="1105"/>
      <c r="S1044" s="1105"/>
      <c r="T1044" s="1105"/>
    </row>
    <row r="1045" spans="1:20">
      <c r="A1045" s="1105"/>
      <c r="B1045" s="1105"/>
      <c r="C1045" s="1105"/>
      <c r="D1045" s="1105"/>
      <c r="E1045" s="1105"/>
      <c r="F1045" s="1105"/>
      <c r="G1045" s="1105"/>
      <c r="H1045" s="1105"/>
      <c r="I1045" s="1105"/>
      <c r="J1045" s="1105"/>
      <c r="K1045" s="1105"/>
      <c r="L1045" s="1105"/>
      <c r="M1045" s="1105"/>
      <c r="N1045" s="1105"/>
      <c r="O1045" s="1105"/>
      <c r="P1045" s="1105"/>
      <c r="Q1045" s="1144"/>
      <c r="R1045" s="1105"/>
      <c r="S1045" s="1105"/>
      <c r="T1045" s="1105"/>
    </row>
    <row r="1046" spans="1:20">
      <c r="A1046" s="1105"/>
      <c r="B1046" s="1105"/>
      <c r="C1046" s="1105"/>
      <c r="D1046" s="1105"/>
      <c r="E1046" s="1105"/>
      <c r="F1046" s="1105"/>
      <c r="G1046" s="1105"/>
      <c r="H1046" s="1105"/>
      <c r="I1046" s="1105"/>
      <c r="J1046" s="1105"/>
      <c r="K1046" s="1105"/>
      <c r="L1046" s="1105"/>
      <c r="M1046" s="1105"/>
      <c r="N1046" s="1105"/>
      <c r="O1046" s="1105"/>
      <c r="P1046" s="1105"/>
      <c r="Q1046" s="1144"/>
      <c r="R1046" s="1105"/>
      <c r="S1046" s="1105"/>
      <c r="T1046" s="1105"/>
    </row>
    <row r="1047" spans="1:20">
      <c r="A1047" s="1105"/>
      <c r="B1047" s="1105"/>
      <c r="C1047" s="1105"/>
      <c r="D1047" s="1105"/>
      <c r="E1047" s="1105"/>
      <c r="F1047" s="1105"/>
      <c r="G1047" s="1105"/>
      <c r="H1047" s="1105"/>
      <c r="I1047" s="1105"/>
      <c r="J1047" s="1105"/>
      <c r="K1047" s="1105"/>
      <c r="L1047" s="1105"/>
      <c r="M1047" s="1105"/>
      <c r="N1047" s="1105"/>
      <c r="O1047" s="1105"/>
      <c r="P1047" s="1105"/>
      <c r="Q1047" s="1144"/>
      <c r="R1047" s="1105"/>
      <c r="S1047" s="1105"/>
      <c r="T1047" s="1105"/>
    </row>
    <row r="1048" spans="1:20">
      <c r="A1048" s="1105"/>
      <c r="B1048" s="1105"/>
      <c r="C1048" s="1105"/>
      <c r="D1048" s="1105"/>
      <c r="E1048" s="1105"/>
      <c r="F1048" s="1105"/>
      <c r="G1048" s="1105"/>
      <c r="H1048" s="1105"/>
      <c r="I1048" s="1105"/>
      <c r="J1048" s="1105"/>
      <c r="K1048" s="1105"/>
      <c r="L1048" s="1105"/>
      <c r="M1048" s="1105"/>
      <c r="N1048" s="1105"/>
      <c r="O1048" s="1105"/>
      <c r="P1048" s="1105"/>
      <c r="Q1048" s="1144"/>
      <c r="R1048" s="1105"/>
      <c r="S1048" s="1105"/>
      <c r="T1048" s="1105"/>
    </row>
    <row r="1049" spans="1:20">
      <c r="A1049" s="1105"/>
      <c r="B1049" s="1105"/>
      <c r="C1049" s="1105"/>
      <c r="D1049" s="1105"/>
      <c r="E1049" s="1105"/>
      <c r="F1049" s="1105"/>
      <c r="G1049" s="1105"/>
      <c r="H1049" s="1105"/>
      <c r="I1049" s="1105"/>
      <c r="J1049" s="1105"/>
      <c r="K1049" s="1105"/>
      <c r="L1049" s="1105"/>
      <c r="M1049" s="1105"/>
      <c r="N1049" s="1105"/>
      <c r="O1049" s="1105"/>
      <c r="P1049" s="1105"/>
      <c r="Q1049" s="1144"/>
      <c r="R1049" s="1105"/>
      <c r="S1049" s="1105"/>
      <c r="T1049" s="1105"/>
    </row>
    <row r="1050" spans="1:20">
      <c r="A1050" s="1105"/>
      <c r="B1050" s="1105"/>
      <c r="C1050" s="1105"/>
      <c r="D1050" s="1105"/>
      <c r="E1050" s="1105"/>
      <c r="F1050" s="1105"/>
      <c r="G1050" s="1105"/>
      <c r="H1050" s="1105"/>
      <c r="I1050" s="1105"/>
      <c r="J1050" s="1105"/>
      <c r="K1050" s="1105"/>
      <c r="L1050" s="1105"/>
      <c r="M1050" s="1105"/>
      <c r="N1050" s="1105"/>
      <c r="O1050" s="1105"/>
      <c r="P1050" s="1105"/>
      <c r="Q1050" s="1144"/>
      <c r="R1050" s="1105"/>
      <c r="S1050" s="1105"/>
      <c r="T1050" s="1105"/>
    </row>
    <row r="1051" spans="1:20">
      <c r="A1051" s="1105"/>
      <c r="B1051" s="1105"/>
      <c r="C1051" s="1105"/>
      <c r="D1051" s="1105"/>
      <c r="E1051" s="1105"/>
      <c r="F1051" s="1105"/>
      <c r="G1051" s="1105"/>
      <c r="H1051" s="1105"/>
      <c r="I1051" s="1105"/>
      <c r="J1051" s="1105"/>
      <c r="K1051" s="1105"/>
      <c r="L1051" s="1105"/>
      <c r="M1051" s="1105"/>
      <c r="N1051" s="1105"/>
      <c r="O1051" s="1105"/>
      <c r="P1051" s="1105"/>
      <c r="Q1051" s="1144"/>
      <c r="R1051" s="1105"/>
      <c r="S1051" s="1105"/>
      <c r="T1051" s="1105"/>
    </row>
    <row r="1052" spans="1:20">
      <c r="A1052" s="1105"/>
      <c r="B1052" s="1105"/>
      <c r="C1052" s="1105"/>
      <c r="D1052" s="1105"/>
      <c r="E1052" s="1105"/>
      <c r="F1052" s="1105"/>
      <c r="G1052" s="1105"/>
      <c r="H1052" s="1105"/>
      <c r="I1052" s="1105"/>
      <c r="J1052" s="1105"/>
      <c r="K1052" s="1105"/>
      <c r="L1052" s="1105"/>
      <c r="M1052" s="1105"/>
      <c r="N1052" s="1105"/>
      <c r="O1052" s="1105"/>
      <c r="P1052" s="1105"/>
      <c r="Q1052" s="1144"/>
      <c r="R1052" s="1105"/>
      <c r="S1052" s="1105"/>
      <c r="T1052" s="1105"/>
    </row>
    <row r="1053" spans="1:20">
      <c r="A1053" s="1105"/>
      <c r="B1053" s="1105"/>
      <c r="C1053" s="1105"/>
      <c r="D1053" s="1105"/>
      <c r="E1053" s="1105"/>
      <c r="F1053" s="1105"/>
      <c r="G1053" s="1105"/>
      <c r="H1053" s="1105"/>
      <c r="I1053" s="1105"/>
      <c r="J1053" s="1105"/>
      <c r="K1053" s="1105"/>
      <c r="L1053" s="1105"/>
      <c r="M1053" s="1105"/>
      <c r="N1053" s="1105"/>
      <c r="O1053" s="1105"/>
      <c r="P1053" s="1105"/>
      <c r="Q1053" s="1144"/>
      <c r="R1053" s="1105"/>
      <c r="S1053" s="1105"/>
      <c r="T1053" s="1105"/>
    </row>
    <row r="1054" spans="1:20">
      <c r="A1054" s="1105"/>
      <c r="B1054" s="1105"/>
      <c r="C1054" s="1105"/>
      <c r="D1054" s="1105"/>
      <c r="E1054" s="1105"/>
      <c r="F1054" s="1105"/>
      <c r="G1054" s="1105"/>
      <c r="H1054" s="1105"/>
      <c r="I1054" s="1105"/>
      <c r="J1054" s="1105"/>
      <c r="K1054" s="1105"/>
      <c r="L1054" s="1105"/>
      <c r="M1054" s="1105"/>
      <c r="N1054" s="1105"/>
      <c r="O1054" s="1105"/>
      <c r="P1054" s="1105"/>
      <c r="Q1054" s="1144"/>
      <c r="R1054" s="1105"/>
      <c r="S1054" s="1105"/>
      <c r="T1054" s="1105"/>
    </row>
    <row r="1055" spans="1:20">
      <c r="A1055" s="1105"/>
      <c r="B1055" s="1105"/>
      <c r="C1055" s="1105"/>
      <c r="D1055" s="1105"/>
      <c r="E1055" s="1105"/>
      <c r="F1055" s="1105"/>
      <c r="G1055" s="1105"/>
      <c r="H1055" s="1105"/>
      <c r="I1055" s="1105"/>
      <c r="J1055" s="1105"/>
      <c r="K1055" s="1105"/>
      <c r="L1055" s="1105"/>
      <c r="M1055" s="1105"/>
      <c r="N1055" s="1105"/>
      <c r="O1055" s="1105"/>
      <c r="P1055" s="1105"/>
      <c r="Q1055" s="1144"/>
      <c r="R1055" s="1105"/>
      <c r="S1055" s="1105"/>
      <c r="T1055" s="1105"/>
    </row>
    <row r="1056" spans="1:20">
      <c r="A1056" s="1105"/>
      <c r="B1056" s="1105"/>
      <c r="C1056" s="1105"/>
      <c r="D1056" s="1105"/>
      <c r="E1056" s="1105"/>
      <c r="F1056" s="1105"/>
      <c r="G1056" s="1105"/>
      <c r="H1056" s="1105"/>
      <c r="I1056" s="1105"/>
      <c r="J1056" s="1105"/>
      <c r="K1056" s="1105"/>
      <c r="L1056" s="1105"/>
      <c r="M1056" s="1105"/>
      <c r="N1056" s="1105"/>
      <c r="O1056" s="1105"/>
      <c r="P1056" s="1105"/>
      <c r="Q1056" s="1144"/>
      <c r="R1056" s="1105"/>
      <c r="S1056" s="1105"/>
      <c r="T1056" s="1105"/>
    </row>
    <row r="1057" spans="1:20">
      <c r="A1057" s="1105"/>
      <c r="B1057" s="1105"/>
      <c r="C1057" s="1105"/>
      <c r="D1057" s="1105"/>
      <c r="E1057" s="1105"/>
      <c r="F1057" s="1105"/>
      <c r="G1057" s="1105"/>
      <c r="H1057" s="1105"/>
      <c r="I1057" s="1105"/>
      <c r="J1057" s="1105"/>
      <c r="K1057" s="1105"/>
      <c r="L1057" s="1105"/>
      <c r="M1057" s="1105"/>
      <c r="N1057" s="1105"/>
      <c r="O1057" s="1105"/>
      <c r="P1057" s="1105"/>
      <c r="Q1057" s="1144"/>
      <c r="R1057" s="1105"/>
      <c r="S1057" s="1105"/>
      <c r="T1057" s="1105"/>
    </row>
    <row r="1058" spans="1:20">
      <c r="A1058" s="1105"/>
      <c r="B1058" s="1105"/>
      <c r="C1058" s="1105"/>
      <c r="D1058" s="1105"/>
      <c r="E1058" s="1105"/>
      <c r="F1058" s="1105"/>
      <c r="G1058" s="1105"/>
      <c r="H1058" s="1105"/>
      <c r="I1058" s="1105"/>
      <c r="J1058" s="1105"/>
      <c r="K1058" s="1105"/>
      <c r="L1058" s="1105"/>
      <c r="M1058" s="1105"/>
      <c r="N1058" s="1105"/>
      <c r="O1058" s="1105"/>
      <c r="P1058" s="1105"/>
      <c r="Q1058" s="1144"/>
      <c r="R1058" s="1105"/>
      <c r="S1058" s="1105"/>
      <c r="T1058" s="1105"/>
    </row>
    <row r="1059" spans="1:20">
      <c r="A1059" s="1105"/>
      <c r="B1059" s="1105"/>
      <c r="C1059" s="1105"/>
      <c r="D1059" s="1105"/>
      <c r="E1059" s="1105"/>
      <c r="F1059" s="1105"/>
      <c r="G1059" s="1105"/>
      <c r="H1059" s="1105"/>
      <c r="I1059" s="1105"/>
      <c r="J1059" s="1105"/>
      <c r="K1059" s="1105"/>
      <c r="L1059" s="1105"/>
      <c r="M1059" s="1105"/>
      <c r="N1059" s="1105"/>
      <c r="O1059" s="1105"/>
      <c r="P1059" s="1105"/>
      <c r="Q1059" s="1144"/>
      <c r="R1059" s="1105"/>
      <c r="S1059" s="1105"/>
      <c r="T1059" s="1105"/>
    </row>
    <row r="1060" spans="1:20">
      <c r="A1060" s="1105"/>
      <c r="B1060" s="1105"/>
      <c r="C1060" s="1105"/>
      <c r="D1060" s="1105"/>
      <c r="E1060" s="1105"/>
      <c r="F1060" s="1105"/>
      <c r="G1060" s="1105"/>
      <c r="H1060" s="1105"/>
      <c r="I1060" s="1105"/>
      <c r="J1060" s="1105"/>
      <c r="K1060" s="1105"/>
      <c r="L1060" s="1105"/>
      <c r="M1060" s="1105"/>
      <c r="N1060" s="1105"/>
      <c r="O1060" s="1105"/>
      <c r="P1060" s="1105"/>
      <c r="Q1060" s="1144"/>
      <c r="R1060" s="1105"/>
      <c r="S1060" s="1105"/>
      <c r="T1060" s="1105"/>
    </row>
    <row r="1061" spans="1:20">
      <c r="A1061" s="1105"/>
      <c r="B1061" s="1105"/>
      <c r="C1061" s="1105"/>
      <c r="D1061" s="1105"/>
      <c r="E1061" s="1105"/>
      <c r="F1061" s="1105"/>
      <c r="G1061" s="1105"/>
      <c r="H1061" s="1105"/>
      <c r="I1061" s="1105"/>
      <c r="J1061" s="1105"/>
      <c r="K1061" s="1105"/>
      <c r="L1061" s="1105"/>
      <c r="M1061" s="1105"/>
      <c r="N1061" s="1105"/>
      <c r="O1061" s="1105"/>
      <c r="P1061" s="1105"/>
      <c r="Q1061" s="1144"/>
      <c r="R1061" s="1105"/>
      <c r="S1061" s="1105"/>
      <c r="T1061" s="1105"/>
    </row>
    <row r="1062" spans="1:20">
      <c r="A1062" s="1105"/>
      <c r="B1062" s="1105"/>
      <c r="C1062" s="1105"/>
      <c r="D1062" s="1105"/>
      <c r="E1062" s="1105"/>
      <c r="F1062" s="1105"/>
      <c r="G1062" s="1105"/>
      <c r="H1062" s="1105"/>
      <c r="I1062" s="1105"/>
      <c r="J1062" s="1105"/>
      <c r="K1062" s="1105"/>
      <c r="L1062" s="1105"/>
      <c r="M1062" s="1105"/>
      <c r="N1062" s="1105"/>
      <c r="O1062" s="1105"/>
      <c r="P1062" s="1105"/>
      <c r="Q1062" s="1144"/>
      <c r="R1062" s="1105"/>
      <c r="S1062" s="1105"/>
      <c r="T1062" s="1105"/>
    </row>
    <row r="1063" spans="1:20">
      <c r="A1063" s="1105"/>
      <c r="B1063" s="1105"/>
      <c r="C1063" s="1105"/>
      <c r="D1063" s="1105"/>
      <c r="E1063" s="1105"/>
      <c r="F1063" s="1105"/>
      <c r="G1063" s="1105"/>
      <c r="H1063" s="1105"/>
      <c r="I1063" s="1105"/>
      <c r="J1063" s="1105"/>
      <c r="K1063" s="1105"/>
      <c r="L1063" s="1105"/>
      <c r="M1063" s="1105"/>
      <c r="N1063" s="1105"/>
      <c r="O1063" s="1105"/>
      <c r="P1063" s="1105"/>
      <c r="Q1063" s="1144"/>
      <c r="R1063" s="1105"/>
      <c r="S1063" s="1105"/>
      <c r="T1063" s="1105"/>
    </row>
    <row r="1064" spans="1:20">
      <c r="A1064" s="1105"/>
      <c r="B1064" s="1105"/>
      <c r="C1064" s="1105"/>
      <c r="D1064" s="1105"/>
      <c r="E1064" s="1105"/>
      <c r="F1064" s="1105"/>
      <c r="G1064" s="1105"/>
      <c r="H1064" s="1105"/>
      <c r="I1064" s="1105"/>
      <c r="J1064" s="1105"/>
      <c r="K1064" s="1105"/>
      <c r="L1064" s="1105"/>
      <c r="M1064" s="1105"/>
      <c r="N1064" s="1105"/>
      <c r="O1064" s="1105"/>
      <c r="P1064" s="1105"/>
      <c r="Q1064" s="1144"/>
      <c r="R1064" s="1105"/>
      <c r="S1064" s="1105"/>
      <c r="T1064" s="1105"/>
    </row>
    <row r="1065" spans="1:20">
      <c r="A1065" s="1105"/>
      <c r="B1065" s="1105"/>
      <c r="C1065" s="1105"/>
      <c r="D1065" s="1105"/>
      <c r="E1065" s="1105"/>
      <c r="F1065" s="1105"/>
      <c r="G1065" s="1105"/>
      <c r="H1065" s="1105"/>
      <c r="I1065" s="1105"/>
      <c r="J1065" s="1105"/>
      <c r="K1065" s="1105"/>
      <c r="L1065" s="1105"/>
      <c r="M1065" s="1105"/>
      <c r="N1065" s="1105"/>
      <c r="O1065" s="1105"/>
      <c r="P1065" s="1105"/>
      <c r="Q1065" s="1144"/>
      <c r="R1065" s="1105"/>
      <c r="S1065" s="1105"/>
      <c r="T1065" s="1105"/>
    </row>
    <row r="1066" spans="1:20">
      <c r="A1066" s="1105"/>
      <c r="B1066" s="1105"/>
      <c r="C1066" s="1105"/>
      <c r="D1066" s="1105"/>
      <c r="E1066" s="1105"/>
      <c r="F1066" s="1105"/>
      <c r="G1066" s="1105"/>
      <c r="H1066" s="1105"/>
      <c r="I1066" s="1105"/>
      <c r="J1066" s="1105"/>
      <c r="K1066" s="1105"/>
      <c r="L1066" s="1105"/>
      <c r="M1066" s="1105"/>
      <c r="N1066" s="1105"/>
      <c r="O1066" s="1105"/>
      <c r="P1066" s="1105"/>
      <c r="Q1066" s="1144"/>
      <c r="R1066" s="1105"/>
      <c r="S1066" s="1105"/>
      <c r="T1066" s="1105"/>
    </row>
    <row r="1067" spans="1:20">
      <c r="A1067" s="1105"/>
      <c r="B1067" s="1105"/>
      <c r="C1067" s="1105"/>
      <c r="D1067" s="1105"/>
      <c r="E1067" s="1105"/>
      <c r="F1067" s="1105"/>
      <c r="G1067" s="1105"/>
      <c r="H1067" s="1105"/>
      <c r="I1067" s="1105"/>
      <c r="J1067" s="1105"/>
      <c r="K1067" s="1105"/>
      <c r="L1067" s="1105"/>
      <c r="M1067" s="1105"/>
      <c r="N1067" s="1105"/>
      <c r="O1067" s="1105"/>
      <c r="P1067" s="1105"/>
      <c r="Q1067" s="1144"/>
      <c r="R1067" s="1105"/>
      <c r="S1067" s="1105"/>
      <c r="T1067" s="1105"/>
    </row>
    <row r="1068" spans="1:20">
      <c r="A1068" s="1105"/>
      <c r="B1068" s="1105"/>
      <c r="C1068" s="1105"/>
      <c r="D1068" s="1105"/>
      <c r="E1068" s="1105"/>
      <c r="F1068" s="1105"/>
      <c r="G1068" s="1105"/>
      <c r="H1068" s="1105"/>
      <c r="I1068" s="1105"/>
      <c r="J1068" s="1105"/>
      <c r="K1068" s="1105"/>
      <c r="L1068" s="1105"/>
      <c r="M1068" s="1105"/>
      <c r="N1068" s="1105"/>
      <c r="O1068" s="1105"/>
      <c r="P1068" s="1105"/>
      <c r="Q1068" s="1144"/>
      <c r="R1068" s="1105"/>
      <c r="S1068" s="1105"/>
      <c r="T1068" s="1105"/>
    </row>
  </sheetData>
  <mergeCells count="62">
    <mergeCell ref="J10:L10"/>
    <mergeCell ref="J132:L132"/>
    <mergeCell ref="J184:L184"/>
    <mergeCell ref="J224:L224"/>
    <mergeCell ref="A129:P129"/>
    <mergeCell ref="N131:P132"/>
    <mergeCell ref="A219:P219"/>
    <mergeCell ref="A220:P220"/>
    <mergeCell ref="J67:L67"/>
    <mergeCell ref="N66:P67"/>
    <mergeCell ref="N183:P184"/>
    <mergeCell ref="N396:P397"/>
    <mergeCell ref="A436:P436"/>
    <mergeCell ref="A437:P437"/>
    <mergeCell ref="A438:P438"/>
    <mergeCell ref="N440:P441"/>
    <mergeCell ref="J397:L397"/>
    <mergeCell ref="J441:L441"/>
    <mergeCell ref="J299:L299"/>
    <mergeCell ref="A392:P392"/>
    <mergeCell ref="A393:P393"/>
    <mergeCell ref="A394:P394"/>
    <mergeCell ref="A338:P338"/>
    <mergeCell ref="A339:P339"/>
    <mergeCell ref="A340:P340"/>
    <mergeCell ref="J343:L343"/>
    <mergeCell ref="A5:P5"/>
    <mergeCell ref="A6:P6"/>
    <mergeCell ref="A7:P7"/>
    <mergeCell ref="N342:P343"/>
    <mergeCell ref="N223:P224"/>
    <mergeCell ref="N9:P10"/>
    <mergeCell ref="A127:P127"/>
    <mergeCell ref="A221:P221"/>
    <mergeCell ref="A294:P294"/>
    <mergeCell ref="A295:P295"/>
    <mergeCell ref="A296:P296"/>
    <mergeCell ref="A128:P128"/>
    <mergeCell ref="N298:P299"/>
    <mergeCell ref="A179:P179"/>
    <mergeCell ref="A180:P180"/>
    <mergeCell ref="A181:P181"/>
    <mergeCell ref="A499:P499"/>
    <mergeCell ref="A500:P500"/>
    <mergeCell ref="A501:P501"/>
    <mergeCell ref="N503:P504"/>
    <mergeCell ref="A541:P541"/>
    <mergeCell ref="J504:L504"/>
    <mergeCell ref="A542:P542"/>
    <mergeCell ref="A543:P543"/>
    <mergeCell ref="N545:P546"/>
    <mergeCell ref="A594:P594"/>
    <mergeCell ref="A595:P595"/>
    <mergeCell ref="J546:L546"/>
    <mergeCell ref="N664:P665"/>
    <mergeCell ref="A596:P596"/>
    <mergeCell ref="N598:P599"/>
    <mergeCell ref="A660:P660"/>
    <mergeCell ref="A661:P661"/>
    <mergeCell ref="A662:P662"/>
    <mergeCell ref="J599:L599"/>
    <mergeCell ref="J665:L665"/>
  </mergeCells>
  <printOptions horizontalCentered="1"/>
  <pageMargins left="0.7" right="0.7" top="0.75" bottom="0.75" header="0.3" footer="0.3"/>
  <pageSetup scale="66" fitToHeight="0" orientation="portrait" horizontalDpi="1200" verticalDpi="1200" r:id="rId1"/>
  <headerFooter alignWithMargins="0">
    <oddHeader>&amp;RUpdated: 2024-03-15
EB-2022-0200
Rate Order
Working Papers
Schedule 20
Page &amp;P of &amp;N</oddHeader>
  </headerFooter>
  <rowBreaks count="12" manualBreakCount="12">
    <brk id="57" max="16" man="1"/>
    <brk id="122" max="16" man="1"/>
    <brk id="174" max="16" man="1"/>
    <brk id="214" max="16" man="1"/>
    <brk id="289" max="16383" man="1"/>
    <brk id="333" max="16383" man="1"/>
    <brk id="387" max="16383" man="1"/>
    <brk id="431" max="16383" man="1"/>
    <brk id="494" max="16383" man="1"/>
    <brk id="536" max="16383" man="1"/>
    <brk id="587" max="16" man="1"/>
    <brk id="65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7C0B1-B62E-47AF-A075-69059FA772EF}">
  <sheetPr>
    <pageSetUpPr fitToPage="1"/>
  </sheetPr>
  <dimension ref="A1:V421"/>
  <sheetViews>
    <sheetView tabSelected="1" view="pageBreakPreview" zoomScale="85" zoomScaleNormal="80" zoomScaleSheetLayoutView="85" workbookViewId="0">
      <selection sqref="A1:XFD1048576"/>
    </sheetView>
  </sheetViews>
  <sheetFormatPr defaultColWidth="9" defaultRowHeight="15"/>
  <cols>
    <col min="1" max="1" width="1.5" style="1174" customWidth="1"/>
    <col min="2" max="2" width="5.375" style="1174" customWidth="1"/>
    <col min="3" max="3" width="1.5" style="1174" customWidth="1"/>
    <col min="4" max="4" width="69.25" style="1174" customWidth="1"/>
    <col min="5" max="5" width="1.5" style="1174" customWidth="1"/>
    <col min="6" max="6" width="12.75" style="1174" customWidth="1"/>
    <col min="7" max="7" width="1.5" style="1174" customWidth="1"/>
    <col min="8" max="8" width="12.75" style="1174" customWidth="1"/>
    <col min="9" max="9" width="23.25" style="1174" customWidth="1"/>
    <col min="10" max="10" width="13.75" style="1174" customWidth="1"/>
    <col min="11" max="11" width="1.75" style="1174" customWidth="1"/>
    <col min="12" max="12" width="13.75" style="1174" customWidth="1"/>
    <col min="13" max="13" width="1.75" style="1174" customWidth="1"/>
    <col min="14" max="14" width="32.125" style="1174" customWidth="1"/>
    <col min="15" max="15" width="23" style="1174" customWidth="1"/>
    <col min="16" max="16" width="9" style="1174"/>
    <col min="17" max="17" width="28.125" style="1174" customWidth="1"/>
    <col min="18" max="16384" width="9" style="1174"/>
  </cols>
  <sheetData>
    <row r="1" spans="1:17">
      <c r="A1" s="1172"/>
      <c r="B1" s="1172"/>
      <c r="C1" s="1172"/>
      <c r="D1" s="1172"/>
      <c r="E1" s="1172"/>
      <c r="F1" s="1172"/>
      <c r="G1" s="1172"/>
      <c r="H1" s="1172"/>
      <c r="I1" s="1172"/>
      <c r="J1" s="1173"/>
      <c r="K1" s="1173"/>
      <c r="L1" s="1173"/>
      <c r="M1" s="1173"/>
      <c r="N1" s="1173"/>
      <c r="O1" s="1173"/>
      <c r="P1" s="1173"/>
      <c r="Q1" s="1173"/>
    </row>
    <row r="2" spans="1:17" ht="30.75" customHeight="1">
      <c r="A2" s="1172"/>
      <c r="B2" s="1172"/>
      <c r="C2" s="1172"/>
      <c r="D2" s="1172"/>
      <c r="E2" s="1172"/>
      <c r="F2" s="1172"/>
      <c r="G2" s="1172"/>
      <c r="H2" s="1172"/>
      <c r="I2" s="1172"/>
      <c r="J2" s="1173"/>
      <c r="K2" s="1173"/>
      <c r="L2" s="1173"/>
      <c r="M2" s="1173"/>
      <c r="N2" s="1173"/>
      <c r="O2" s="1173"/>
      <c r="P2" s="1173"/>
      <c r="Q2" s="1173"/>
    </row>
    <row r="3" spans="1:17">
      <c r="A3" s="1077"/>
      <c r="B3" s="1175"/>
      <c r="C3" s="1084"/>
      <c r="D3" s="1175"/>
      <c r="E3" s="1175"/>
      <c r="F3" s="1175"/>
      <c r="G3" s="1175"/>
      <c r="H3" s="1175"/>
      <c r="I3" s="1175"/>
      <c r="J3" s="1173"/>
      <c r="K3" s="1084"/>
      <c r="L3" s="1084"/>
      <c r="M3" s="1077"/>
      <c r="N3" s="1173"/>
      <c r="O3" s="1173"/>
      <c r="P3" s="1173"/>
      <c r="Q3" s="1173"/>
    </row>
    <row r="4" spans="1:17">
      <c r="A4" s="1077"/>
      <c r="B4" s="1338" t="s">
        <v>1241</v>
      </c>
      <c r="C4" s="1338"/>
      <c r="D4" s="1338"/>
      <c r="E4" s="1338"/>
      <c r="F4" s="1338"/>
      <c r="G4" s="1338"/>
      <c r="H4" s="1338"/>
      <c r="I4" s="1175"/>
      <c r="J4" s="1173"/>
      <c r="K4" s="1084"/>
      <c r="L4" s="1084"/>
      <c r="M4" s="1077"/>
      <c r="N4" s="1173"/>
      <c r="O4" s="1173"/>
      <c r="P4" s="1173"/>
      <c r="Q4" s="1173"/>
    </row>
    <row r="5" spans="1:17">
      <c r="A5" s="1077"/>
      <c r="B5" s="1080"/>
      <c r="C5" s="1080"/>
      <c r="D5" s="1080"/>
      <c r="E5" s="1080"/>
      <c r="F5" s="1083"/>
      <c r="G5" s="1077"/>
      <c r="H5" s="1083"/>
      <c r="I5" s="1077"/>
      <c r="K5" s="1173"/>
      <c r="L5" s="1173"/>
      <c r="M5" s="1077"/>
      <c r="N5" s="1173"/>
      <c r="O5" s="1173"/>
      <c r="P5" s="1173"/>
      <c r="Q5" s="1173"/>
    </row>
    <row r="6" spans="1:17">
      <c r="A6" s="1077"/>
      <c r="B6" s="1080" t="s">
        <v>1</v>
      </c>
      <c r="C6" s="1176"/>
      <c r="D6" s="1176"/>
      <c r="E6" s="1176"/>
      <c r="F6" s="1083"/>
      <c r="G6" s="1077"/>
      <c r="H6" s="1080"/>
      <c r="I6" s="1077"/>
      <c r="J6" s="1080"/>
      <c r="K6" s="1173"/>
      <c r="L6" s="1173"/>
      <c r="M6" s="1077"/>
      <c r="N6" s="1077"/>
      <c r="O6" s="1077"/>
      <c r="P6" s="1077"/>
      <c r="Q6" s="1077"/>
    </row>
    <row r="7" spans="1:17">
      <c r="A7" s="1077"/>
      <c r="B7" s="1089" t="s">
        <v>2</v>
      </c>
      <c r="C7" s="1176"/>
      <c r="D7" s="1177" t="s">
        <v>3</v>
      </c>
      <c r="E7" s="1089"/>
      <c r="F7" s="1090"/>
      <c r="G7" s="1077"/>
      <c r="H7" s="1178" t="s">
        <v>204</v>
      </c>
      <c r="I7" s="1077"/>
      <c r="J7" s="1179"/>
      <c r="K7" s="1173"/>
      <c r="L7" s="1173"/>
      <c r="M7" s="1077"/>
      <c r="N7" s="1077"/>
      <c r="O7" s="1077"/>
      <c r="P7" s="1077"/>
      <c r="Q7" s="1077"/>
    </row>
    <row r="8" spans="1:17">
      <c r="A8" s="1077"/>
      <c r="B8" s="1080"/>
      <c r="C8" s="1176"/>
      <c r="D8" s="1176"/>
      <c r="E8" s="1080"/>
      <c r="F8" s="1083"/>
      <c r="G8" s="1080"/>
      <c r="H8" s="1080" t="s">
        <v>8</v>
      </c>
      <c r="I8" s="1080"/>
      <c r="J8" s="1080"/>
      <c r="K8" s="1080"/>
      <c r="L8" s="1080"/>
      <c r="M8" s="1080"/>
      <c r="N8" s="1077"/>
      <c r="O8" s="1077"/>
      <c r="P8" s="1077"/>
      <c r="Q8" s="1077"/>
    </row>
    <row r="9" spans="1:17">
      <c r="A9" s="1077"/>
      <c r="B9" s="1080"/>
      <c r="C9" s="1176"/>
      <c r="D9" s="1176"/>
      <c r="E9" s="1080"/>
      <c r="F9" s="1080"/>
      <c r="G9" s="1080"/>
      <c r="H9" s="1080"/>
      <c r="I9" s="1077"/>
      <c r="J9" s="1180"/>
      <c r="K9" s="1080"/>
      <c r="L9" s="1181"/>
      <c r="M9" s="1080"/>
      <c r="N9" s="1077"/>
      <c r="O9" s="1077"/>
      <c r="P9" s="1077"/>
      <c r="Q9" s="1077"/>
    </row>
    <row r="10" spans="1:17">
      <c r="A10" s="1077"/>
      <c r="B10" s="1080"/>
      <c r="C10" s="1176"/>
      <c r="D10" s="1182" t="s">
        <v>1242</v>
      </c>
      <c r="E10" s="1080"/>
      <c r="F10" s="1080"/>
      <c r="G10" s="1080"/>
      <c r="H10" s="1080"/>
      <c r="I10" s="1077"/>
      <c r="J10" s="1180"/>
      <c r="K10" s="1080"/>
      <c r="L10" s="1080"/>
      <c r="M10" s="1080"/>
      <c r="N10" s="1077"/>
      <c r="O10" s="1077"/>
      <c r="P10" s="1077"/>
      <c r="Q10" s="1077"/>
    </row>
    <row r="11" spans="1:17">
      <c r="A11" s="1077"/>
      <c r="B11" s="1080"/>
      <c r="C11" s="1176"/>
      <c r="D11" s="1182"/>
      <c r="E11" s="1080"/>
      <c r="F11" s="1080"/>
      <c r="G11" s="1080"/>
      <c r="H11" s="1080"/>
      <c r="I11" s="1077"/>
      <c r="J11" s="1180"/>
      <c r="K11" s="1080"/>
      <c r="L11" s="1080"/>
      <c r="M11" s="1080"/>
      <c r="N11" s="1077"/>
      <c r="O11" s="1077"/>
      <c r="P11" s="1077"/>
      <c r="Q11" s="1077"/>
    </row>
    <row r="12" spans="1:17">
      <c r="A12" s="1077"/>
      <c r="B12" s="1080"/>
      <c r="C12" s="1176"/>
      <c r="D12" s="1183" t="s">
        <v>27</v>
      </c>
      <c r="E12" s="1080"/>
      <c r="F12" s="1080"/>
      <c r="G12" s="1080"/>
      <c r="H12" s="1080"/>
      <c r="I12" s="1077"/>
      <c r="J12" s="1184"/>
      <c r="K12" s="1080"/>
      <c r="L12" s="1080"/>
      <c r="M12" s="1080"/>
      <c r="N12" s="1077"/>
      <c r="O12" s="1077"/>
      <c r="P12" s="1077"/>
      <c r="Q12" s="1077"/>
    </row>
    <row r="13" spans="1:17">
      <c r="A13" s="1077"/>
      <c r="B13" s="1080">
        <v>1</v>
      </c>
      <c r="C13" s="1176"/>
      <c r="D13" s="1185" t="s">
        <v>1243</v>
      </c>
      <c r="E13" s="1080"/>
      <c r="F13" s="520">
        <v>0.20849999999999999</v>
      </c>
      <c r="G13" s="1080"/>
      <c r="H13" s="1186"/>
      <c r="I13" s="1186"/>
      <c r="J13" s="1187"/>
      <c r="K13" s="1186"/>
      <c r="L13" s="1173"/>
      <c r="M13" s="1186"/>
      <c r="N13" s="1077"/>
      <c r="O13" s="1077"/>
      <c r="P13" s="1077"/>
      <c r="Q13" s="1077"/>
    </row>
    <row r="14" spans="1:17">
      <c r="A14" s="1077"/>
      <c r="B14" s="1080">
        <f>MAX($B13:B$13)+1</f>
        <v>2</v>
      </c>
      <c r="C14" s="1176"/>
      <c r="D14" s="1185" t="s">
        <v>1244</v>
      </c>
      <c r="E14" s="1080"/>
      <c r="F14" s="521">
        <v>5000630.9587334236</v>
      </c>
      <c r="G14" s="1080"/>
      <c r="H14" s="1186"/>
      <c r="I14" s="1186"/>
      <c r="J14" s="1187"/>
      <c r="K14" s="1186"/>
      <c r="L14" s="1173"/>
      <c r="M14" s="1186"/>
      <c r="N14" s="1077"/>
      <c r="O14" s="1077"/>
      <c r="P14" s="1077"/>
      <c r="Q14" s="1077"/>
    </row>
    <row r="15" spans="1:17">
      <c r="A15" s="1077"/>
      <c r="B15" s="1080">
        <f>MAX($B$13:B14)+1</f>
        <v>3</v>
      </c>
      <c r="C15" s="1176"/>
      <c r="D15" s="1188" t="s">
        <v>1245</v>
      </c>
      <c r="E15" s="1172"/>
      <c r="F15" s="522">
        <f>F13*F14/100</f>
        <v>10426.315548959188</v>
      </c>
      <c r="G15" s="1080"/>
      <c r="H15" s="1186"/>
      <c r="I15" s="1186"/>
      <c r="J15" s="1189"/>
      <c r="K15" s="1186"/>
      <c r="L15" s="1173"/>
      <c r="M15" s="1186"/>
      <c r="N15" s="1077"/>
      <c r="O15" s="1077"/>
      <c r="P15" s="1077"/>
      <c r="Q15" s="1077"/>
    </row>
    <row r="16" spans="1:17">
      <c r="A16" s="1077"/>
      <c r="B16" s="1080">
        <f>MAX($B$13:B15)+1</f>
        <v>4</v>
      </c>
      <c r="C16" s="1176"/>
      <c r="D16" s="1188" t="s">
        <v>1246</v>
      </c>
      <c r="E16" s="1172"/>
      <c r="F16" s="1190">
        <v>2.7017691307068093E-2</v>
      </c>
      <c r="G16" s="1080"/>
      <c r="H16" s="1186"/>
      <c r="I16" s="1186"/>
      <c r="J16" s="1191"/>
      <c r="K16" s="1186"/>
      <c r="L16" s="523"/>
      <c r="M16" s="1186"/>
      <c r="N16" s="1077"/>
      <c r="O16" s="1077"/>
      <c r="P16" s="1077"/>
      <c r="Q16" s="1077"/>
    </row>
    <row r="17" spans="1:22">
      <c r="A17" s="1077"/>
      <c r="B17" s="1080">
        <f>MAX($B$13:B16)+1</f>
        <v>5</v>
      </c>
      <c r="C17" s="1176"/>
      <c r="D17" s="1188" t="s">
        <v>1247</v>
      </c>
      <c r="E17" s="1172"/>
      <c r="F17" s="524">
        <f>F15* (1+F16)</f>
        <v>10708.010523931052</v>
      </c>
      <c r="G17" s="1080"/>
      <c r="H17" s="1186"/>
      <c r="I17" s="1186"/>
      <c r="J17" s="1189"/>
      <c r="K17" s="1186"/>
      <c r="L17" s="1173"/>
      <c r="M17" s="1186"/>
      <c r="N17" s="1077"/>
      <c r="O17" s="1077"/>
      <c r="P17" s="1077"/>
      <c r="Q17" s="1077"/>
    </row>
    <row r="18" spans="1:22">
      <c r="A18" s="1077"/>
      <c r="B18" s="1080">
        <f>MAX($B$13:B17)+1</f>
        <v>6</v>
      </c>
      <c r="C18" s="1176"/>
      <c r="D18" s="1183" t="s">
        <v>1248</v>
      </c>
      <c r="E18" s="1080"/>
      <c r="F18" s="1186">
        <f>F17/F14*100</f>
        <v>0.21413318863752367</v>
      </c>
      <c r="G18" s="1080"/>
      <c r="H18" s="1192">
        <f>F18</f>
        <v>0.21413318863752367</v>
      </c>
      <c r="I18" s="1186"/>
      <c r="J18" s="1186"/>
      <c r="K18" s="1186"/>
      <c r="L18" s="1186"/>
      <c r="M18" s="1186"/>
      <c r="N18" s="1077"/>
      <c r="O18" s="1077"/>
      <c r="P18" s="1077"/>
      <c r="Q18" s="1077"/>
    </row>
    <row r="19" spans="1:22">
      <c r="A19" s="1077"/>
      <c r="B19" s="1080"/>
      <c r="C19" s="1176"/>
      <c r="D19" s="1183"/>
      <c r="E19" s="1080"/>
      <c r="F19" s="1186"/>
      <c r="G19" s="1080"/>
      <c r="H19" s="1172"/>
      <c r="I19" s="1186"/>
      <c r="J19" s="1186"/>
      <c r="K19" s="1186"/>
      <c r="L19" s="1186"/>
      <c r="M19" s="1186"/>
      <c r="N19" s="1077"/>
      <c r="O19" s="1077"/>
      <c r="P19" s="1077"/>
      <c r="Q19" s="1077"/>
    </row>
    <row r="20" spans="1:22">
      <c r="A20" s="1077"/>
      <c r="B20" s="1080"/>
      <c r="C20" s="1176"/>
      <c r="D20" s="1182" t="s">
        <v>1249</v>
      </c>
      <c r="E20" s="1080"/>
      <c r="F20" s="65"/>
      <c r="G20" s="1080"/>
      <c r="H20" s="1186"/>
      <c r="I20" s="1186"/>
      <c r="J20" s="1186"/>
      <c r="K20" s="1186"/>
      <c r="L20" s="1186"/>
      <c r="M20" s="1186"/>
      <c r="N20" s="1077"/>
      <c r="O20" s="1077"/>
      <c r="P20" s="1077"/>
      <c r="Q20" s="1077"/>
    </row>
    <row r="21" spans="1:22">
      <c r="A21" s="1077"/>
      <c r="B21" s="1080"/>
      <c r="C21" s="1176"/>
      <c r="D21" s="1193"/>
      <c r="E21" s="1080"/>
      <c r="F21" s="65"/>
      <c r="G21" s="1080"/>
      <c r="H21" s="1186"/>
      <c r="I21" s="1186"/>
      <c r="J21" s="1186"/>
      <c r="K21" s="1186"/>
      <c r="L21" s="1186"/>
      <c r="M21" s="1186"/>
      <c r="N21" s="1077"/>
      <c r="O21" s="1077"/>
      <c r="P21" s="1077"/>
      <c r="Q21" s="1077"/>
    </row>
    <row r="22" spans="1:22">
      <c r="A22" s="1077"/>
      <c r="B22" s="1080"/>
      <c r="C22" s="1176"/>
      <c r="D22" s="1194" t="s">
        <v>1250</v>
      </c>
      <c r="E22" s="1080"/>
      <c r="F22" s="65"/>
      <c r="G22" s="1080"/>
      <c r="H22" s="1186"/>
      <c r="I22" s="1186"/>
      <c r="J22" s="1186"/>
      <c r="K22" s="1186"/>
      <c r="L22" s="1186"/>
      <c r="M22" s="1186"/>
      <c r="N22" s="1077"/>
      <c r="O22" s="1077"/>
      <c r="P22" s="1077"/>
      <c r="Q22" s="1077"/>
    </row>
    <row r="23" spans="1:22">
      <c r="A23" s="1077"/>
      <c r="B23" s="1080">
        <f>MAX($B$13:B22)+1</f>
        <v>7</v>
      </c>
      <c r="C23" s="1176"/>
      <c r="D23" s="1188" t="s">
        <v>1251</v>
      </c>
      <c r="E23" s="1195"/>
      <c r="F23" s="526">
        <v>8.9999999999999993E-3</v>
      </c>
      <c r="G23" s="1080"/>
      <c r="H23" s="1186"/>
      <c r="I23" s="1186"/>
      <c r="K23" s="1186"/>
      <c r="L23" s="1186"/>
      <c r="M23" s="1186"/>
      <c r="N23" s="1077"/>
      <c r="O23" s="1077"/>
      <c r="P23" s="1077"/>
      <c r="Q23" s="1077"/>
    </row>
    <row r="24" spans="1:22">
      <c r="A24" s="1077"/>
      <c r="B24" s="1080">
        <f>MAX($B$13:B23)+1</f>
        <v>8</v>
      </c>
      <c r="C24" s="1176"/>
      <c r="D24" s="1188" t="s">
        <v>1252</v>
      </c>
      <c r="E24" s="1080"/>
      <c r="F24" s="527">
        <v>1.9826537794524835E-3</v>
      </c>
      <c r="G24" s="1080"/>
      <c r="H24" s="1186"/>
      <c r="I24" s="1186"/>
      <c r="J24" s="1186"/>
      <c r="K24" s="1186"/>
      <c r="L24" s="1186"/>
      <c r="M24" s="1186"/>
      <c r="N24" s="1077"/>
      <c r="O24" s="1077"/>
      <c r="P24" s="1077"/>
      <c r="Q24" s="1077"/>
    </row>
    <row r="25" spans="1:22">
      <c r="A25" s="1077"/>
      <c r="B25" s="1080">
        <f>MAX($B$13:B24)+1</f>
        <v>9</v>
      </c>
      <c r="C25" s="1176"/>
      <c r="D25" s="1183" t="s">
        <v>1253</v>
      </c>
      <c r="E25" s="1080"/>
      <c r="F25" s="528">
        <f>F23+F24</f>
        <v>1.0982653779452484E-2</v>
      </c>
      <c r="G25" s="1080"/>
      <c r="H25" s="529">
        <f>F25</f>
        <v>1.0982653779452484E-2</v>
      </c>
      <c r="I25" s="1186"/>
      <c r="J25" s="1186"/>
      <c r="K25" s="1186"/>
      <c r="L25" s="530"/>
      <c r="M25" s="1186"/>
      <c r="N25" s="1077"/>
      <c r="O25" s="1077"/>
      <c r="P25" s="1077"/>
      <c r="Q25" s="1077"/>
    </row>
    <row r="26" spans="1:22">
      <c r="A26" s="1077"/>
      <c r="B26" s="1080"/>
      <c r="C26" s="1176"/>
      <c r="D26" s="1193" t="s">
        <v>1254</v>
      </c>
      <c r="E26" s="1080"/>
      <c r="F26" s="531"/>
      <c r="G26" s="1080"/>
      <c r="H26" s="1186"/>
      <c r="I26" s="1186"/>
      <c r="J26" s="1186"/>
      <c r="K26" s="1186"/>
      <c r="L26" s="1186"/>
      <c r="M26" s="1186"/>
      <c r="N26" s="1077"/>
      <c r="O26" s="1077"/>
      <c r="P26" s="1077"/>
      <c r="Q26" s="1077"/>
    </row>
    <row r="27" spans="1:22">
      <c r="A27" s="1077"/>
      <c r="B27" s="1080"/>
      <c r="C27" s="1176"/>
      <c r="D27" s="1194" t="s">
        <v>1255</v>
      </c>
      <c r="E27" s="1080"/>
      <c r="F27" s="65"/>
      <c r="G27" s="1080"/>
      <c r="H27" s="1186"/>
      <c r="I27" s="1186"/>
      <c r="J27" s="1186"/>
      <c r="K27" s="1186"/>
      <c r="L27" s="1196"/>
      <c r="M27" s="1186"/>
      <c r="N27" s="1077"/>
      <c r="O27" s="1077"/>
      <c r="P27" s="1077"/>
      <c r="Q27" s="1077"/>
    </row>
    <row r="28" spans="1:22">
      <c r="A28" s="1077"/>
      <c r="B28" s="1080">
        <f>MAX($B$13:B27)+1</f>
        <v>10</v>
      </c>
      <c r="C28" s="1176"/>
      <c r="D28" s="1185" t="s">
        <v>1251</v>
      </c>
      <c r="E28" s="1080"/>
      <c r="F28" s="528">
        <v>3.5799999999999998E-3</v>
      </c>
      <c r="G28" s="1080"/>
      <c r="H28" s="1186"/>
      <c r="I28" s="1186"/>
      <c r="K28" s="1186"/>
      <c r="L28" s="526"/>
      <c r="M28" s="1186"/>
      <c r="N28" s="1077"/>
      <c r="O28" s="1077"/>
      <c r="P28" s="1077"/>
      <c r="Q28" s="532"/>
    </row>
    <row r="29" spans="1:22">
      <c r="A29" s="1077"/>
      <c r="B29" s="1080">
        <f>MAX($B$13:B28)+1</f>
        <v>11</v>
      </c>
      <c r="C29" s="1176"/>
      <c r="D29" s="1188" t="s">
        <v>1252</v>
      </c>
      <c r="E29" s="1080"/>
      <c r="F29" s="528">
        <v>3.0490986539923883E-4</v>
      </c>
      <c r="G29" s="1080"/>
      <c r="H29" s="1186"/>
      <c r="I29" s="1186"/>
      <c r="J29" s="1197"/>
      <c r="K29" s="1186"/>
      <c r="L29" s="1339"/>
      <c r="M29" s="1339"/>
      <c r="N29" s="1339"/>
      <c r="O29" s="1339"/>
      <c r="P29" s="1339"/>
      <c r="Q29" s="1339"/>
      <c r="R29" s="1339"/>
      <c r="S29" s="1339"/>
      <c r="T29" s="1339"/>
      <c r="U29" s="1339"/>
      <c r="V29" s="1339"/>
    </row>
    <row r="30" spans="1:22">
      <c r="A30" s="1077"/>
      <c r="B30" s="1080">
        <f>MAX($B$13:B29)+1</f>
        <v>12</v>
      </c>
      <c r="C30" s="1176"/>
      <c r="D30" s="1188" t="s">
        <v>1256</v>
      </c>
      <c r="E30" s="1080"/>
      <c r="F30" s="533">
        <v>3.0926906880293127E-4</v>
      </c>
      <c r="G30" s="1080"/>
      <c r="H30" s="1186"/>
      <c r="I30" s="1186"/>
      <c r="J30" s="1197"/>
      <c r="K30" s="1186"/>
      <c r="L30" s="1339"/>
      <c r="M30" s="1339"/>
      <c r="N30" s="1339"/>
      <c r="O30" s="1339"/>
      <c r="P30" s="1339"/>
      <c r="Q30" s="1339"/>
      <c r="R30" s="1339"/>
      <c r="S30" s="1339"/>
      <c r="T30" s="1339"/>
      <c r="U30" s="1339"/>
      <c r="V30" s="1339"/>
    </row>
    <row r="31" spans="1:22">
      <c r="A31" s="1077"/>
      <c r="B31" s="1080">
        <f>MAX($B$13:B30)+1</f>
        <v>13</v>
      </c>
      <c r="C31" s="1176"/>
      <c r="D31" s="1183" t="s">
        <v>1257</v>
      </c>
      <c r="E31" s="1080"/>
      <c r="F31" s="534">
        <f>F28+F29+F30</f>
        <v>4.1941789342021703E-3</v>
      </c>
      <c r="G31" s="1080"/>
      <c r="H31" s="529">
        <f>F31</f>
        <v>4.1941789342021703E-3</v>
      </c>
      <c r="I31" s="1186"/>
      <c r="J31" s="1186"/>
      <c r="K31" s="1186"/>
      <c r="L31" s="1339"/>
      <c r="M31" s="1339"/>
      <c r="N31" s="1339"/>
      <c r="O31" s="1339"/>
      <c r="P31" s="1339"/>
      <c r="Q31" s="1339"/>
      <c r="R31" s="1339"/>
      <c r="S31" s="1339"/>
      <c r="T31" s="1339"/>
      <c r="U31" s="1339"/>
      <c r="V31" s="1339"/>
    </row>
    <row r="32" spans="1:22">
      <c r="A32" s="1077"/>
      <c r="B32" s="1080"/>
      <c r="C32" s="1176"/>
      <c r="D32" s="1188"/>
      <c r="E32" s="1080"/>
      <c r="F32" s="526"/>
      <c r="G32" s="1080"/>
      <c r="H32" s="1186"/>
      <c r="I32" s="1186"/>
      <c r="J32" s="1186"/>
      <c r="K32" s="1186"/>
      <c r="L32" s="526"/>
      <c r="M32" s="1186"/>
      <c r="N32" s="1077"/>
      <c r="O32" s="1077"/>
      <c r="P32" s="1077"/>
      <c r="Q32" s="1077"/>
    </row>
    <row r="33" spans="1:17">
      <c r="A33" s="1077"/>
      <c r="B33" s="1080"/>
      <c r="C33" s="1176"/>
      <c r="D33" s="1194" t="s">
        <v>1258</v>
      </c>
      <c r="E33" s="1080"/>
      <c r="F33" s="65"/>
      <c r="G33" s="1080"/>
      <c r="H33" s="1186"/>
      <c r="I33" s="1186"/>
      <c r="J33" s="1186"/>
      <c r="K33" s="1186"/>
      <c r="L33" s="530"/>
      <c r="M33" s="1186"/>
      <c r="N33" s="1077"/>
      <c r="O33" s="1077"/>
      <c r="P33" s="1077"/>
      <c r="Q33" s="535"/>
    </row>
    <row r="34" spans="1:17">
      <c r="A34" s="1077"/>
      <c r="B34" s="1080">
        <f>MAX($B$13:B33)+1</f>
        <v>14</v>
      </c>
      <c r="C34" s="1176"/>
      <c r="D34" s="1185" t="s">
        <v>1251</v>
      </c>
      <c r="E34" s="1080"/>
      <c r="F34" s="528">
        <v>3.0899999999999999E-3</v>
      </c>
      <c r="G34" s="1080"/>
      <c r="H34" s="1186"/>
      <c r="I34" s="1186"/>
      <c r="J34" s="1186"/>
      <c r="K34" s="1186"/>
      <c r="L34" s="1186"/>
      <c r="M34" s="1186"/>
      <c r="N34" s="1077"/>
      <c r="O34" s="1077"/>
      <c r="P34" s="1077"/>
      <c r="Q34" s="1077"/>
    </row>
    <row r="35" spans="1:17">
      <c r="A35" s="1077"/>
      <c r="B35" s="1080">
        <f>MAX($B$13:B34)+1</f>
        <v>15</v>
      </c>
      <c r="C35" s="1176"/>
      <c r="D35" s="1188" t="s">
        <v>1252</v>
      </c>
      <c r="E35" s="1080"/>
      <c r="F35" s="528">
        <v>4.5295663882218619E-4</v>
      </c>
      <c r="G35" s="1080"/>
      <c r="H35" s="1186"/>
      <c r="I35" s="1186"/>
      <c r="J35" s="1186"/>
      <c r="K35" s="1186"/>
      <c r="L35" s="1186"/>
      <c r="M35" s="1186"/>
      <c r="N35" s="1077"/>
      <c r="O35" s="1077"/>
      <c r="P35" s="1077"/>
      <c r="Q35" s="1077"/>
    </row>
    <row r="36" spans="1:17">
      <c r="A36" s="1077"/>
      <c r="B36" s="1080">
        <f>MAX($B$13:B35)+1</f>
        <v>16</v>
      </c>
      <c r="C36" s="1176"/>
      <c r="D36" s="1188" t="s">
        <v>1256</v>
      </c>
      <c r="E36" s="1080"/>
      <c r="F36" s="533">
        <v>9.3354190902864562E-5</v>
      </c>
      <c r="G36" s="1080"/>
      <c r="H36" s="1186"/>
      <c r="I36" s="1186"/>
      <c r="J36" s="1186"/>
      <c r="K36" s="1186"/>
      <c r="L36" s="1186"/>
      <c r="M36" s="1186"/>
      <c r="N36" s="1077"/>
      <c r="O36" s="1077"/>
      <c r="P36" s="1077"/>
      <c r="Q36" s="1077"/>
    </row>
    <row r="37" spans="1:17">
      <c r="A37" s="1077"/>
      <c r="B37" s="1080">
        <f>MAX($B$13:B36)+1</f>
        <v>17</v>
      </c>
      <c r="C37" s="1176"/>
      <c r="D37" s="1183" t="s">
        <v>1259</v>
      </c>
      <c r="E37" s="1080"/>
      <c r="F37" s="534">
        <f>F34+F35+F36</f>
        <v>3.6363108297250506E-3</v>
      </c>
      <c r="G37" s="1080"/>
      <c r="H37" s="529">
        <f>F37</f>
        <v>3.6363108297250506E-3</v>
      </c>
      <c r="I37" s="1186"/>
      <c r="J37" s="1186"/>
      <c r="K37" s="1186"/>
      <c r="L37" s="1186"/>
      <c r="M37" s="1186"/>
      <c r="N37" s="1077"/>
      <c r="O37" s="1077"/>
      <c r="P37" s="1077"/>
      <c r="Q37" s="1077"/>
    </row>
    <row r="38" spans="1:17">
      <c r="A38" s="1077"/>
      <c r="B38" s="1080"/>
      <c r="C38" s="1176"/>
      <c r="D38" s="1188"/>
      <c r="E38" s="1080"/>
      <c r="F38" s="526"/>
      <c r="G38" s="1080"/>
      <c r="H38" s="1186"/>
      <c r="I38" s="1186"/>
      <c r="J38" s="1186"/>
      <c r="K38" s="1186"/>
      <c r="L38" s="1186"/>
      <c r="M38" s="1186"/>
      <c r="N38" s="1077"/>
      <c r="O38" s="1077"/>
      <c r="P38" s="1077"/>
      <c r="Q38" s="1077"/>
    </row>
    <row r="39" spans="1:17">
      <c r="A39" s="1077"/>
      <c r="B39" s="1080"/>
      <c r="C39" s="1176"/>
      <c r="D39" s="1194" t="s">
        <v>1260</v>
      </c>
      <c r="E39" s="1080"/>
      <c r="F39" s="65"/>
      <c r="G39" s="1080"/>
      <c r="H39" s="1186"/>
      <c r="I39" s="1186"/>
      <c r="J39" s="1186"/>
      <c r="K39" s="1186"/>
      <c r="L39" s="1186"/>
      <c r="M39" s="1186"/>
      <c r="N39" s="1077"/>
      <c r="O39" s="1077"/>
      <c r="P39" s="1077"/>
      <c r="Q39" s="1077"/>
    </row>
    <row r="40" spans="1:17">
      <c r="A40" s="1077"/>
      <c r="B40" s="1080">
        <f>MAX($B$13:B39)+1</f>
        <v>18</v>
      </c>
      <c r="C40" s="1176"/>
      <c r="D40" s="1185" t="s">
        <v>1251</v>
      </c>
      <c r="E40" s="1080"/>
      <c r="F40" s="528">
        <v>4.1900000000000001E-3</v>
      </c>
      <c r="G40" s="1080"/>
      <c r="H40" s="1186"/>
      <c r="I40" s="1186"/>
      <c r="J40" s="1186"/>
      <c r="K40" s="1186"/>
      <c r="L40" s="1186"/>
      <c r="M40" s="1186"/>
      <c r="N40" s="1077"/>
      <c r="O40" s="1077"/>
      <c r="P40" s="1077"/>
      <c r="Q40" s="1077"/>
    </row>
    <row r="41" spans="1:17">
      <c r="A41" s="1077"/>
      <c r="B41" s="1080">
        <f>MAX($B$13:B40)+1</f>
        <v>19</v>
      </c>
      <c r="C41" s="1176"/>
      <c r="D41" s="1188" t="s">
        <v>1252</v>
      </c>
      <c r="E41" s="1080"/>
      <c r="F41" s="528">
        <v>4.4667923588009211E-4</v>
      </c>
      <c r="G41" s="1080"/>
      <c r="H41" s="1186"/>
      <c r="I41" s="1186"/>
      <c r="J41" s="1186"/>
      <c r="K41" s="1186"/>
      <c r="L41" s="1186"/>
      <c r="M41" s="1186"/>
      <c r="N41" s="1077"/>
      <c r="O41" s="1077"/>
      <c r="P41" s="1077"/>
      <c r="Q41" s="1077"/>
    </row>
    <row r="42" spans="1:17">
      <c r="A42" s="1077"/>
      <c r="B42" s="1080">
        <f>MAX($B$13:B41)+1</f>
        <v>20</v>
      </c>
      <c r="C42" s="1176"/>
      <c r="D42" s="1188" t="s">
        <v>1256</v>
      </c>
      <c r="E42" s="1080"/>
      <c r="F42" s="533">
        <v>1.733844263113204E-4</v>
      </c>
      <c r="G42" s="1080"/>
      <c r="H42" s="1186"/>
      <c r="I42" s="1186"/>
      <c r="J42" s="1186"/>
      <c r="K42" s="1186"/>
      <c r="L42" s="1186"/>
      <c r="M42" s="1186"/>
      <c r="N42" s="1077"/>
      <c r="O42" s="1077"/>
      <c r="P42" s="1077"/>
      <c r="Q42" s="1077"/>
    </row>
    <row r="43" spans="1:17">
      <c r="A43" s="1077"/>
      <c r="B43" s="1080">
        <f>MAX($B$13:B42)+1</f>
        <v>21</v>
      </c>
      <c r="C43" s="1176"/>
      <c r="D43" s="1183" t="s">
        <v>1261</v>
      </c>
      <c r="E43" s="1080"/>
      <c r="F43" s="534">
        <f>F40+F41+F42</f>
        <v>4.8100636621914127E-3</v>
      </c>
      <c r="G43" s="1080"/>
      <c r="H43" s="529">
        <f>F43</f>
        <v>4.8100636621914127E-3</v>
      </c>
      <c r="I43" s="1186"/>
      <c r="J43" s="1186"/>
      <c r="K43" s="1186"/>
      <c r="L43" s="1186"/>
      <c r="M43" s="1186"/>
      <c r="N43" s="1077"/>
      <c r="O43" s="1077"/>
      <c r="P43" s="1077"/>
      <c r="Q43" s="1077"/>
    </row>
    <row r="44" spans="1:17">
      <c r="A44" s="1077"/>
      <c r="B44" s="1080"/>
      <c r="C44" s="1176"/>
      <c r="D44" s="1188"/>
      <c r="E44" s="1080"/>
      <c r="F44" s="526"/>
      <c r="G44" s="1080"/>
      <c r="H44" s="1186"/>
      <c r="I44" s="1186"/>
      <c r="J44" s="1186"/>
      <c r="K44" s="1186"/>
      <c r="L44" s="1186"/>
      <c r="M44" s="1186"/>
      <c r="N44" s="1077"/>
      <c r="O44" s="1077"/>
      <c r="P44" s="1077"/>
      <c r="Q44" s="1077"/>
    </row>
    <row r="45" spans="1:17">
      <c r="A45" s="1077"/>
      <c r="B45" s="1080"/>
      <c r="C45" s="1176"/>
      <c r="D45" s="1194" t="s">
        <v>1262</v>
      </c>
      <c r="E45" s="1080"/>
      <c r="F45" s="526"/>
      <c r="G45" s="1080"/>
      <c r="H45" s="1186"/>
      <c r="I45" s="1186"/>
      <c r="J45" s="1186"/>
      <c r="K45" s="1186"/>
      <c r="L45" s="1186"/>
      <c r="M45" s="1186"/>
      <c r="N45" s="1077"/>
      <c r="O45" s="1077"/>
      <c r="P45" s="1077"/>
      <c r="Q45" s="1077"/>
    </row>
    <row r="46" spans="1:17">
      <c r="A46" s="1077"/>
      <c r="B46" s="1080">
        <f>MAX($B$13:B45)+1</f>
        <v>22</v>
      </c>
      <c r="C46" s="1176"/>
      <c r="D46" s="1185" t="s">
        <v>1263</v>
      </c>
      <c r="E46" s="1080"/>
      <c r="F46" s="526">
        <v>3.5000000000000001E-3</v>
      </c>
      <c r="G46" s="1080"/>
      <c r="H46" s="1186"/>
      <c r="I46" s="1186"/>
      <c r="K46" s="1186"/>
      <c r="L46" s="1186"/>
      <c r="M46" s="1186"/>
      <c r="N46" s="1077"/>
      <c r="O46" s="1077"/>
      <c r="P46" s="1077"/>
      <c r="Q46" s="1077"/>
    </row>
    <row r="47" spans="1:17">
      <c r="A47" s="1077"/>
      <c r="B47" s="1080">
        <f>MAX($B$13:B46)+1</f>
        <v>23</v>
      </c>
      <c r="C47" s="1176"/>
      <c r="D47" s="1188" t="s">
        <v>1264</v>
      </c>
      <c r="E47" s="1080"/>
      <c r="F47" s="536">
        <v>-1.9185739920449079E-5</v>
      </c>
      <c r="G47" s="1080"/>
      <c r="H47" s="1186"/>
      <c r="I47" s="1186"/>
      <c r="J47" s="1186"/>
      <c r="K47" s="1186"/>
      <c r="L47" s="530"/>
      <c r="M47" s="1186"/>
      <c r="N47" s="1077"/>
      <c r="O47" s="1077"/>
      <c r="P47" s="1077"/>
      <c r="Q47" s="1077"/>
    </row>
    <row r="48" spans="1:17">
      <c r="A48" s="1077"/>
      <c r="B48" s="1080">
        <f>MAX($B$13:B47)+1</f>
        <v>24</v>
      </c>
      <c r="C48" s="1176"/>
      <c r="D48" s="1183" t="s">
        <v>1265</v>
      </c>
      <c r="E48" s="1080"/>
      <c r="F48" s="528">
        <f>F46+F47</f>
        <v>3.4808142600795508E-3</v>
      </c>
      <c r="G48" s="1080"/>
      <c r="H48" s="529">
        <f>F48</f>
        <v>3.4808142600795508E-3</v>
      </c>
      <c r="I48" s="1186"/>
      <c r="J48" s="1186"/>
      <c r="K48" s="1186"/>
      <c r="L48" s="1186"/>
      <c r="M48" s="1186"/>
      <c r="N48" s="1077"/>
      <c r="O48" s="1077"/>
      <c r="P48" s="1077"/>
      <c r="Q48" s="1077"/>
    </row>
    <row r="49" spans="1:17">
      <c r="A49" s="1077"/>
      <c r="B49" s="1080"/>
      <c r="C49" s="1176"/>
      <c r="D49" s="1188"/>
      <c r="E49" s="1080"/>
      <c r="F49" s="526"/>
      <c r="G49" s="1080"/>
      <c r="H49" s="1186"/>
      <c r="I49" s="1186"/>
      <c r="J49" s="1186"/>
      <c r="K49" s="1186"/>
      <c r="L49" s="1186"/>
      <c r="M49" s="1186"/>
      <c r="N49" s="1077"/>
      <c r="O49" s="1077"/>
      <c r="P49" s="1077"/>
      <c r="Q49" s="1077"/>
    </row>
    <row r="50" spans="1:17">
      <c r="A50" s="1077"/>
      <c r="B50" s="1080"/>
      <c r="C50" s="1176"/>
      <c r="D50" s="1194" t="s">
        <v>1266</v>
      </c>
      <c r="E50" s="1080"/>
      <c r="F50" s="65"/>
      <c r="G50" s="1080"/>
      <c r="H50" s="1186"/>
      <c r="I50" s="1186"/>
      <c r="J50" s="1186"/>
      <c r="K50" s="1186"/>
      <c r="L50" s="1186"/>
      <c r="M50" s="1186"/>
      <c r="N50" s="1077"/>
      <c r="O50" s="1077"/>
      <c r="P50" s="1077"/>
      <c r="Q50" s="1077"/>
    </row>
    <row r="51" spans="1:17">
      <c r="A51" s="1077"/>
      <c r="B51" s="1080">
        <f>MAX($B$13:B50)+1</f>
        <v>25</v>
      </c>
      <c r="C51" s="1176"/>
      <c r="D51" s="1185" t="s">
        <v>1251</v>
      </c>
      <c r="E51" s="1080"/>
      <c r="F51" s="528">
        <v>4.45E-3</v>
      </c>
      <c r="G51" s="1080"/>
      <c r="H51" s="1186"/>
      <c r="I51" s="1186"/>
      <c r="J51" s="1186"/>
      <c r="K51" s="1186"/>
      <c r="L51" s="1186"/>
      <c r="M51" s="1186"/>
      <c r="N51" s="1077"/>
      <c r="O51" s="1077"/>
      <c r="P51" s="1077"/>
      <c r="Q51" s="1077"/>
    </row>
    <row r="52" spans="1:17">
      <c r="A52" s="1077"/>
      <c r="B52" s="1080">
        <f>MAX($B$13:B51)+1</f>
        <v>26</v>
      </c>
      <c r="C52" s="1176"/>
      <c r="D52" s="1188" t="s">
        <v>1252</v>
      </c>
      <c r="E52" s="1080"/>
      <c r="F52" s="528">
        <v>5.2287361735537654E-4</v>
      </c>
      <c r="G52" s="1080"/>
      <c r="H52" s="1186"/>
      <c r="I52" s="1186"/>
      <c r="J52" s="1186"/>
      <c r="K52" s="1197"/>
      <c r="L52" s="1186"/>
      <c r="M52" s="1186"/>
      <c r="N52" s="1077"/>
      <c r="O52" s="1077"/>
      <c r="P52" s="1077"/>
      <c r="Q52" s="1077"/>
    </row>
    <row r="53" spans="1:17">
      <c r="A53" s="1077"/>
      <c r="B53" s="1080">
        <f>MAX($B$13:B52)+1</f>
        <v>27</v>
      </c>
      <c r="C53" s="1176"/>
      <c r="D53" s="1188" t="s">
        <v>1264</v>
      </c>
      <c r="E53" s="1080"/>
      <c r="F53" s="536">
        <v>-1.1382531933089241E-5</v>
      </c>
      <c r="G53" s="1080"/>
      <c r="H53" s="1186"/>
      <c r="I53" s="1186"/>
      <c r="J53" s="1186"/>
      <c r="K53" s="1186"/>
      <c r="L53" s="530"/>
      <c r="M53" s="1186"/>
      <c r="N53" s="1077"/>
      <c r="O53" s="1077"/>
      <c r="P53" s="1077"/>
      <c r="Q53" s="1077"/>
    </row>
    <row r="54" spans="1:17">
      <c r="A54" s="1077"/>
      <c r="B54" s="1080">
        <f>MAX($B$13:B53)+1</f>
        <v>28</v>
      </c>
      <c r="C54" s="1176"/>
      <c r="D54" s="1183" t="s">
        <v>1267</v>
      </c>
      <c r="E54" s="1080"/>
      <c r="F54" s="528">
        <f>F52+F53+F51</f>
        <v>4.9614910854222875E-3</v>
      </c>
      <c r="G54" s="1080"/>
      <c r="H54" s="529">
        <f>F54</f>
        <v>4.9614910854222875E-3</v>
      </c>
      <c r="I54" s="1186"/>
      <c r="J54" s="1189"/>
      <c r="K54" s="1186"/>
      <c r="L54" s="1186"/>
      <c r="M54" s="1186"/>
      <c r="N54" s="1077"/>
      <c r="O54" s="1077"/>
      <c r="P54" s="1077"/>
      <c r="Q54" s="1077"/>
    </row>
    <row r="55" spans="1:17" hidden="1">
      <c r="A55" s="1077"/>
      <c r="B55" s="1080"/>
      <c r="C55" s="1176"/>
      <c r="D55" s="1188"/>
      <c r="E55" s="1080"/>
      <c r="F55" s="537"/>
      <c r="G55" s="1080"/>
      <c r="H55" s="1186"/>
      <c r="I55" s="1172"/>
      <c r="J55" s="1173"/>
      <c r="K55" s="1173"/>
      <c r="L55" s="1186"/>
      <c r="M55" s="1186"/>
      <c r="N55" s="1077"/>
      <c r="O55" s="1077"/>
      <c r="P55" s="1077"/>
      <c r="Q55" s="1077"/>
    </row>
    <row r="56" spans="1:17">
      <c r="A56" s="1077"/>
      <c r="B56" s="1080"/>
      <c r="C56" s="1176"/>
      <c r="D56" s="1183"/>
      <c r="E56" s="1080"/>
      <c r="F56" s="528"/>
      <c r="G56" s="1080"/>
      <c r="H56" s="534"/>
      <c r="I56" s="1186"/>
      <c r="J56" s="1186"/>
      <c r="K56" s="1186"/>
      <c r="L56" s="1186"/>
      <c r="M56" s="1186"/>
      <c r="N56" s="1077"/>
      <c r="O56" s="1077"/>
      <c r="P56" s="1077"/>
      <c r="Q56" s="1077"/>
    </row>
    <row r="57" spans="1:17" ht="39.75" customHeight="1">
      <c r="A57" s="1077"/>
      <c r="B57" s="1080"/>
      <c r="C57" s="1176"/>
      <c r="D57" s="1183"/>
      <c r="E57" s="1080"/>
      <c r="F57" s="528"/>
      <c r="G57" s="1080"/>
      <c r="H57" s="528"/>
      <c r="I57" s="1186"/>
      <c r="J57" s="1186"/>
      <c r="K57" s="1186"/>
      <c r="L57" s="1186"/>
      <c r="M57" s="1186"/>
      <c r="N57" s="1077"/>
      <c r="O57" s="1077"/>
      <c r="P57" s="1077"/>
      <c r="Q57" s="1077"/>
    </row>
    <row r="58" spans="1:17">
      <c r="A58" s="1077"/>
      <c r="B58" s="1338"/>
      <c r="C58" s="1338"/>
      <c r="D58" s="1338"/>
      <c r="E58" s="1338"/>
      <c r="F58" s="1338"/>
      <c r="G58" s="1338"/>
      <c r="H58" s="1338"/>
      <c r="I58" s="1186"/>
      <c r="J58" s="1186"/>
      <c r="K58" s="1186"/>
      <c r="L58" s="1186"/>
      <c r="M58" s="1186"/>
      <c r="N58" s="1077"/>
      <c r="O58" s="1077"/>
      <c r="P58" s="1077"/>
      <c r="Q58" s="1077"/>
    </row>
    <row r="59" spans="1:17">
      <c r="A59" s="1077"/>
      <c r="B59" s="1338" t="s">
        <v>1268</v>
      </c>
      <c r="C59" s="1338"/>
      <c r="D59" s="1338"/>
      <c r="E59" s="1338"/>
      <c r="F59" s="1338"/>
      <c r="G59" s="1338"/>
      <c r="H59" s="1338"/>
      <c r="I59" s="1186"/>
      <c r="J59" s="1186"/>
      <c r="K59" s="1186"/>
      <c r="L59" s="1186"/>
      <c r="M59" s="1186"/>
      <c r="N59" s="1077"/>
      <c r="O59" s="1077"/>
      <c r="P59" s="1077"/>
      <c r="Q59" s="1077"/>
    </row>
    <row r="60" spans="1:17">
      <c r="A60" s="1077"/>
      <c r="B60" s="1080"/>
      <c r="C60" s="1080"/>
      <c r="D60" s="1080"/>
      <c r="E60" s="1080"/>
      <c r="F60" s="1083"/>
      <c r="G60" s="1077"/>
      <c r="H60" s="1083"/>
      <c r="I60" s="1186"/>
      <c r="J60" s="1186"/>
      <c r="K60" s="1186"/>
      <c r="L60" s="1186"/>
      <c r="M60" s="1186"/>
      <c r="N60" s="1077"/>
      <c r="O60" s="1077"/>
      <c r="P60" s="1077"/>
      <c r="Q60" s="1077"/>
    </row>
    <row r="61" spans="1:17">
      <c r="A61" s="1077"/>
      <c r="B61" s="1080" t="s">
        <v>1</v>
      </c>
      <c r="C61" s="1176"/>
      <c r="D61" s="1176"/>
      <c r="E61" s="1176"/>
      <c r="F61" s="1083"/>
      <c r="G61" s="1077"/>
      <c r="H61" s="1080"/>
      <c r="I61" s="1186"/>
      <c r="J61" s="1186"/>
      <c r="K61" s="1186"/>
      <c r="L61" s="1186"/>
      <c r="M61" s="1186"/>
      <c r="N61" s="1077"/>
      <c r="O61" s="1077"/>
      <c r="P61" s="1077"/>
      <c r="Q61" s="1077"/>
    </row>
    <row r="62" spans="1:17">
      <c r="A62" s="1077"/>
      <c r="B62" s="1089" t="s">
        <v>2</v>
      </c>
      <c r="C62" s="1176"/>
      <c r="D62" s="1177" t="s">
        <v>3</v>
      </c>
      <c r="E62" s="1089"/>
      <c r="F62" s="1090"/>
      <c r="G62" s="1077"/>
      <c r="H62" s="1178" t="s">
        <v>204</v>
      </c>
      <c r="I62" s="1186"/>
      <c r="J62" s="1186"/>
      <c r="K62" s="1186"/>
      <c r="L62" s="1186"/>
      <c r="M62" s="1186"/>
      <c r="N62" s="1077"/>
      <c r="O62" s="1077"/>
      <c r="P62" s="1077"/>
      <c r="Q62" s="1077"/>
    </row>
    <row r="63" spans="1:17">
      <c r="A63" s="1077"/>
      <c r="B63" s="1080"/>
      <c r="C63" s="1176"/>
      <c r="D63" s="1176"/>
      <c r="E63" s="1080"/>
      <c r="F63" s="1083"/>
      <c r="G63" s="1077"/>
      <c r="H63" s="1080" t="s">
        <v>8</v>
      </c>
      <c r="I63" s="1186"/>
      <c r="J63" s="1186"/>
      <c r="K63" s="1186"/>
      <c r="L63" s="1186"/>
      <c r="M63" s="1186"/>
      <c r="N63" s="1077"/>
      <c r="O63" s="1077"/>
      <c r="P63" s="1077"/>
      <c r="Q63" s="1077"/>
    </row>
    <row r="64" spans="1:17">
      <c r="A64" s="1077"/>
      <c r="B64" s="1080"/>
      <c r="C64" s="1176"/>
      <c r="D64" s="1176"/>
      <c r="E64" s="1080"/>
      <c r="F64" s="1083"/>
      <c r="G64" s="1077"/>
      <c r="H64" s="1080"/>
      <c r="I64" s="1186"/>
      <c r="J64" s="1186"/>
      <c r="K64" s="1186"/>
      <c r="L64" s="1186"/>
      <c r="M64" s="1186"/>
      <c r="N64" s="1077"/>
      <c r="O64" s="1077"/>
      <c r="P64" s="1077"/>
      <c r="Q64" s="1077"/>
    </row>
    <row r="65" spans="1:17">
      <c r="A65" s="1077"/>
      <c r="B65" s="1080"/>
      <c r="C65" s="1176"/>
      <c r="D65" s="1182" t="s">
        <v>1269</v>
      </c>
      <c r="E65" s="1080"/>
      <c r="F65" s="1083"/>
      <c r="G65" s="1080"/>
      <c r="H65" s="1195"/>
      <c r="I65" s="1186"/>
      <c r="J65" s="1189"/>
      <c r="K65" s="1186"/>
      <c r="L65" s="1186"/>
      <c r="M65" s="1186"/>
      <c r="N65" s="1077"/>
      <c r="O65" s="1077"/>
      <c r="P65" s="1077"/>
      <c r="Q65" s="1077"/>
    </row>
    <row r="66" spans="1:17">
      <c r="A66" s="1077"/>
      <c r="B66" s="1195"/>
      <c r="C66" s="1195"/>
      <c r="D66" s="1195"/>
      <c r="E66" s="1195"/>
      <c r="F66" s="1195"/>
      <c r="G66" s="1195"/>
      <c r="H66" s="1195"/>
      <c r="I66" s="1186"/>
      <c r="J66" s="1189"/>
      <c r="L66" s="1186"/>
      <c r="M66" s="1186"/>
      <c r="N66" s="1077"/>
      <c r="O66" s="1077"/>
      <c r="P66" s="1077"/>
      <c r="Q66" s="1077"/>
    </row>
    <row r="67" spans="1:17">
      <c r="A67" s="1077"/>
      <c r="B67" s="1080"/>
      <c r="C67" s="1176"/>
      <c r="D67" s="1194" t="s">
        <v>1270</v>
      </c>
      <c r="E67" s="1080"/>
      <c r="F67" s="65"/>
      <c r="G67" s="1080"/>
      <c r="H67" s="1186"/>
      <c r="I67" s="1172"/>
      <c r="J67" s="1173"/>
      <c r="K67" s="1173"/>
      <c r="L67" s="1077"/>
      <c r="M67" s="1186"/>
      <c r="N67" s="1077"/>
      <c r="O67" s="1077"/>
      <c r="P67" s="1077"/>
      <c r="Q67" s="1077"/>
    </row>
    <row r="68" spans="1:17">
      <c r="A68" s="1077"/>
      <c r="B68" s="1080">
        <v>29</v>
      </c>
      <c r="C68" s="1176"/>
      <c r="D68" s="1188" t="s">
        <v>1271</v>
      </c>
      <c r="E68" s="1080"/>
      <c r="F68" s="1189">
        <v>161684.94024512015</v>
      </c>
      <c r="G68" s="1080"/>
      <c r="H68" s="1186"/>
      <c r="I68" s="1186"/>
      <c r="J68" s="1186"/>
      <c r="K68" s="1186"/>
      <c r="L68" s="1186"/>
      <c r="M68" s="1186"/>
      <c r="N68" s="1077"/>
      <c r="O68" s="1077"/>
      <c r="P68" s="1077"/>
      <c r="Q68" s="1077"/>
    </row>
    <row r="69" spans="1:17">
      <c r="A69" s="1077"/>
      <c r="B69" s="1080">
        <v>30</v>
      </c>
      <c r="C69" s="1176"/>
      <c r="D69" s="1188" t="s">
        <v>1272</v>
      </c>
      <c r="E69" s="1080"/>
      <c r="F69" s="538">
        <v>128.1981255853164</v>
      </c>
      <c r="G69" s="1080"/>
      <c r="H69" s="1186"/>
      <c r="I69" s="1186"/>
      <c r="J69" s="1186"/>
      <c r="K69" s="1186"/>
      <c r="L69" s="1186"/>
      <c r="M69" s="1186"/>
      <c r="N69" s="1077"/>
      <c r="O69" s="1077"/>
      <c r="P69" s="1077"/>
      <c r="Q69" s="1077"/>
    </row>
    <row r="70" spans="1:17">
      <c r="A70" s="1077"/>
      <c r="B70" s="1080">
        <f>MAX($B$13:B69)+1</f>
        <v>31</v>
      </c>
      <c r="C70" s="1176"/>
      <c r="D70" s="1172" t="s">
        <v>1273</v>
      </c>
      <c r="E70" s="1195"/>
      <c r="F70" s="1198">
        <f>F68*F69/1000</f>
        <v>20727.706274798293</v>
      </c>
      <c r="G70" s="1186"/>
      <c r="H70" s="1186"/>
      <c r="I70" s="1186"/>
      <c r="J70" s="1186"/>
      <c r="K70" s="1186"/>
      <c r="L70" s="1186"/>
      <c r="M70" s="1186"/>
      <c r="N70" s="1077"/>
      <c r="O70" s="1077"/>
      <c r="P70" s="1077"/>
      <c r="Q70" s="1077"/>
    </row>
    <row r="71" spans="1:17">
      <c r="A71" s="1077"/>
      <c r="B71" s="1080">
        <f>MAX($B$13:B70)+1</f>
        <v>32</v>
      </c>
      <c r="C71" s="1176"/>
      <c r="D71" s="1172" t="s">
        <v>1274</v>
      </c>
      <c r="E71" s="1195"/>
      <c r="F71" s="522">
        <v>11868876.755835138</v>
      </c>
      <c r="G71" s="1186"/>
      <c r="H71" s="1186"/>
      <c r="I71" s="1186"/>
      <c r="K71" s="1197"/>
      <c r="L71" s="1186"/>
      <c r="M71" s="1186"/>
      <c r="N71" s="1077"/>
      <c r="O71" s="1077"/>
      <c r="P71" s="1077"/>
      <c r="Q71" s="1077"/>
    </row>
    <row r="72" spans="1:17">
      <c r="A72" s="1077"/>
      <c r="B72" s="1080">
        <f>MAX($B$13:B71)+1</f>
        <v>33</v>
      </c>
      <c r="C72" s="1176"/>
      <c r="D72" s="1194" t="s">
        <v>1275</v>
      </c>
      <c r="E72" s="1080"/>
      <c r="F72" s="1199">
        <f>F70/F71*100</f>
        <v>0.1746391566885877</v>
      </c>
      <c r="G72" s="1186"/>
      <c r="H72" s="1186"/>
      <c r="I72" s="1186"/>
      <c r="J72" s="1186"/>
      <c r="K72" s="1186"/>
      <c r="L72" s="1186"/>
      <c r="M72" s="1186"/>
      <c r="N72" s="1077"/>
      <c r="O72" s="1077"/>
      <c r="P72" s="1077"/>
      <c r="Q72" s="1077"/>
    </row>
    <row r="73" spans="1:17">
      <c r="A73" s="1077"/>
      <c r="B73" s="1080"/>
      <c r="C73" s="1176"/>
      <c r="D73" s="1172"/>
      <c r="E73" s="1080"/>
      <c r="F73" s="65"/>
      <c r="G73" s="1080"/>
      <c r="H73" s="1186"/>
      <c r="I73" s="1186"/>
      <c r="J73" s="1186"/>
      <c r="K73" s="1186"/>
      <c r="L73" s="1186"/>
      <c r="M73" s="1186"/>
      <c r="N73" s="1077"/>
      <c r="O73" s="1077"/>
      <c r="P73" s="1077"/>
      <c r="Q73" s="1077"/>
    </row>
    <row r="74" spans="1:17">
      <c r="A74" s="1077"/>
      <c r="B74" s="1080"/>
      <c r="C74" s="1176"/>
      <c r="D74" s="1194" t="s">
        <v>1276</v>
      </c>
      <c r="E74" s="1080"/>
      <c r="F74" s="65"/>
      <c r="G74" s="1080"/>
      <c r="H74" s="1186"/>
      <c r="I74" s="1186"/>
      <c r="J74" s="1186"/>
      <c r="K74" s="1186"/>
      <c r="L74" s="1186"/>
      <c r="M74" s="1186"/>
      <c r="N74" s="1077"/>
      <c r="O74" s="1077"/>
      <c r="P74" s="1077"/>
      <c r="Q74" s="1077"/>
    </row>
    <row r="75" spans="1:17">
      <c r="A75" s="1077"/>
      <c r="B75" s="1080">
        <f>MAX($B$13:B74)+1</f>
        <v>34</v>
      </c>
      <c r="C75" s="1176"/>
      <c r="D75" s="1188" t="s">
        <v>1277</v>
      </c>
      <c r="E75" s="1080"/>
      <c r="F75" s="1186">
        <v>0.9186216864057124</v>
      </c>
      <c r="G75" s="1080"/>
      <c r="H75" s="1186"/>
      <c r="I75" s="1195"/>
      <c r="M75" s="1186"/>
      <c r="N75" s="1077"/>
      <c r="O75" s="1077"/>
      <c r="P75" s="1077"/>
      <c r="Q75" s="1077"/>
    </row>
    <row r="76" spans="1:17">
      <c r="A76" s="1077"/>
      <c r="B76" s="1080">
        <f>MAX($B$13:B75)+1</f>
        <v>35</v>
      </c>
      <c r="C76" s="1176"/>
      <c r="D76" s="1188" t="s">
        <v>1278</v>
      </c>
      <c r="E76" s="1080"/>
      <c r="F76" s="1186">
        <v>4.716005130996094</v>
      </c>
      <c r="G76" s="1080"/>
      <c r="H76" s="1186"/>
      <c r="I76" s="1172"/>
      <c r="J76" s="1173"/>
      <c r="K76" s="1077"/>
      <c r="L76" s="1173"/>
      <c r="M76" s="1077"/>
      <c r="N76" s="1077"/>
      <c r="O76" s="1077"/>
      <c r="P76" s="1077"/>
      <c r="Q76" s="1077"/>
    </row>
    <row r="77" spans="1:17">
      <c r="A77" s="1077"/>
      <c r="B77" s="1080">
        <f>MAX($B$13:B76)+1</f>
        <v>36</v>
      </c>
      <c r="C77" s="1176"/>
      <c r="D77" s="1188" t="s">
        <v>1279</v>
      </c>
      <c r="E77" s="1080"/>
      <c r="F77" s="1200">
        <f>-$F$72</f>
        <v>-0.1746391566885877</v>
      </c>
      <c r="G77" s="1080"/>
      <c r="H77" s="1186"/>
      <c r="I77" s="1172"/>
      <c r="J77" s="1173"/>
      <c r="K77" s="1173"/>
      <c r="L77" s="1173"/>
      <c r="M77" s="1077"/>
      <c r="N77" s="1077"/>
      <c r="O77" s="1077"/>
      <c r="P77" s="1077"/>
      <c r="Q77" s="1077"/>
    </row>
    <row r="78" spans="1:17">
      <c r="A78" s="1077"/>
      <c r="B78" s="1080">
        <f>MAX($B$13:B77)+1</f>
        <v>37</v>
      </c>
      <c r="C78" s="1176"/>
      <c r="D78" s="1194" t="s">
        <v>1276</v>
      </c>
      <c r="E78" s="1080"/>
      <c r="F78" s="1199">
        <f>F75+F76+F77</f>
        <v>5.4599876607132192</v>
      </c>
      <c r="G78" s="1080"/>
      <c r="H78" s="1192">
        <f>F78</f>
        <v>5.4599876607132192</v>
      </c>
      <c r="I78" s="1172"/>
      <c r="J78" s="1173"/>
      <c r="K78" s="1173"/>
      <c r="L78" s="1173"/>
      <c r="M78" s="1077"/>
      <c r="N78" s="1077"/>
      <c r="O78" s="1077"/>
      <c r="P78" s="1077"/>
      <c r="Q78" s="1077"/>
    </row>
    <row r="79" spans="1:17">
      <c r="A79" s="1077"/>
      <c r="B79" s="1195"/>
      <c r="C79" s="1195"/>
      <c r="D79" s="1195"/>
      <c r="E79" s="1195"/>
      <c r="F79" s="1195"/>
      <c r="G79" s="1195"/>
      <c r="H79" s="1195"/>
      <c r="I79" s="1195"/>
      <c r="M79" s="1077"/>
      <c r="N79" s="1077"/>
      <c r="O79" s="1077"/>
      <c r="P79" s="1077"/>
      <c r="Q79" s="1077"/>
    </row>
    <row r="80" spans="1:17">
      <c r="A80" s="1077"/>
      <c r="B80" s="1080"/>
      <c r="C80" s="1176"/>
      <c r="D80" s="1194" t="s">
        <v>1280</v>
      </c>
      <c r="E80" s="1080"/>
      <c r="F80" s="65"/>
      <c r="G80" s="1080"/>
      <c r="H80" s="1186"/>
      <c r="I80" s="1186"/>
      <c r="J80" s="1186"/>
      <c r="K80" s="1186"/>
      <c r="L80" s="1186"/>
      <c r="M80" s="1077"/>
      <c r="N80" s="1077"/>
      <c r="O80" s="1077"/>
      <c r="P80" s="1077"/>
      <c r="Q80" s="1077"/>
    </row>
    <row r="81" spans="1:17">
      <c r="A81" s="1077"/>
      <c r="B81" s="1080">
        <f>MAX($B$13:B80)+1</f>
        <v>38</v>
      </c>
      <c r="C81" s="1176"/>
      <c r="D81" s="1188" t="s">
        <v>1277</v>
      </c>
      <c r="E81" s="1080"/>
      <c r="F81" s="1186">
        <v>0.45727469621239403</v>
      </c>
      <c r="G81" s="1080"/>
      <c r="H81" s="1186"/>
      <c r="I81" s="1186"/>
      <c r="J81" s="1186"/>
      <c r="K81" s="1186"/>
      <c r="L81" s="1186"/>
      <c r="M81" s="1077"/>
      <c r="N81" s="1077"/>
      <c r="O81" s="1077"/>
      <c r="P81" s="1077"/>
      <c r="Q81" s="1077"/>
    </row>
    <row r="82" spans="1:17">
      <c r="A82" s="1077"/>
      <c r="B82" s="1080">
        <f>MAX($B$13:B81)+1</f>
        <v>39</v>
      </c>
      <c r="C82" s="1176"/>
      <c r="D82" s="1188" t="s">
        <v>1278</v>
      </c>
      <c r="E82" s="1080"/>
      <c r="F82" s="1186">
        <v>4.5246596775811732</v>
      </c>
      <c r="G82" s="1080"/>
      <c r="H82" s="1186"/>
      <c r="I82" s="1186"/>
      <c r="J82" s="1186"/>
      <c r="K82" s="1077"/>
      <c r="L82" s="1186"/>
      <c r="M82" s="1077"/>
      <c r="N82" s="1077"/>
      <c r="O82" s="1077"/>
      <c r="P82" s="1077"/>
      <c r="Q82" s="1077"/>
    </row>
    <row r="83" spans="1:17">
      <c r="A83" s="1077"/>
      <c r="B83" s="1080">
        <f>MAX($B$13:B82)+1</f>
        <v>40</v>
      </c>
      <c r="C83" s="1176"/>
      <c r="D83" s="1188" t="s">
        <v>1279</v>
      </c>
      <c r="E83" s="1080"/>
      <c r="F83" s="1200">
        <f>-$F$72</f>
        <v>-0.1746391566885877</v>
      </c>
      <c r="G83" s="1080"/>
      <c r="H83" s="1186"/>
      <c r="I83" s="1186"/>
      <c r="J83" s="1186"/>
      <c r="K83" s="1186"/>
      <c r="L83" s="1186"/>
      <c r="M83" s="1077"/>
      <c r="N83" s="1077"/>
      <c r="O83" s="1077"/>
      <c r="P83" s="1077"/>
      <c r="Q83" s="1077"/>
    </row>
    <row r="84" spans="1:17">
      <c r="A84" s="1077"/>
      <c r="B84" s="1080">
        <f>MAX($B$13:B83)+1</f>
        <v>41</v>
      </c>
      <c r="C84" s="1176"/>
      <c r="D84" s="1194" t="s">
        <v>1280</v>
      </c>
      <c r="E84" s="1080"/>
      <c r="F84" s="1199">
        <f>F81+F82+F83</f>
        <v>4.8072952171049801</v>
      </c>
      <c r="G84" s="1080"/>
      <c r="H84" s="1192">
        <f>F84</f>
        <v>4.8072952171049801</v>
      </c>
      <c r="I84" s="1186"/>
      <c r="J84" s="1186"/>
      <c r="K84" s="1186"/>
      <c r="M84" s="1077"/>
      <c r="N84" s="1077"/>
      <c r="O84" s="1077"/>
      <c r="P84" s="1077"/>
      <c r="Q84" s="1077"/>
    </row>
    <row r="85" spans="1:17">
      <c r="A85" s="1077"/>
      <c r="B85" s="1080"/>
      <c r="C85" s="1176"/>
      <c r="D85" s="1194"/>
      <c r="E85" s="1080"/>
      <c r="F85" s="65"/>
      <c r="G85" s="1080"/>
      <c r="H85" s="1186"/>
      <c r="I85" s="1186"/>
      <c r="J85" s="1186"/>
      <c r="K85" s="1186"/>
      <c r="L85" s="1186"/>
      <c r="M85" s="1077"/>
      <c r="N85" s="1077"/>
      <c r="O85" s="1077"/>
      <c r="P85" s="1077"/>
      <c r="Q85" s="1077"/>
    </row>
    <row r="86" spans="1:17">
      <c r="A86" s="1077"/>
      <c r="B86" s="1080"/>
      <c r="C86" s="1176"/>
      <c r="D86" s="1194" t="s">
        <v>1281</v>
      </c>
      <c r="E86" s="1080"/>
      <c r="F86" s="65"/>
      <c r="G86" s="1080"/>
      <c r="H86" s="1186"/>
      <c r="I86" s="1186"/>
      <c r="J86" s="1186"/>
      <c r="K86" s="1186"/>
      <c r="L86" s="1186"/>
      <c r="M86" s="1077"/>
      <c r="N86" s="1077"/>
      <c r="O86" s="1077"/>
      <c r="P86" s="1077"/>
      <c r="Q86" s="1077"/>
    </row>
    <row r="87" spans="1:17">
      <c r="A87" s="1077"/>
      <c r="B87" s="1080">
        <f>MAX($B$13:B86)+1</f>
        <v>42</v>
      </c>
      <c r="C87" s="1176"/>
      <c r="D87" s="1188" t="s">
        <v>1282</v>
      </c>
      <c r="E87" s="1080"/>
      <c r="F87" s="1186">
        <v>7.2340464998918588</v>
      </c>
      <c r="G87" s="1080"/>
      <c r="H87" s="1186"/>
      <c r="I87" s="1186"/>
      <c r="J87" s="1186"/>
      <c r="K87" s="1186"/>
      <c r="L87" s="1186"/>
      <c r="M87" s="1077"/>
      <c r="N87" s="1077"/>
      <c r="O87" s="1077"/>
      <c r="P87" s="1077"/>
      <c r="Q87" s="1077"/>
    </row>
    <row r="88" spans="1:17">
      <c r="A88" s="1077"/>
      <c r="B88" s="1080">
        <f>MAX($B$13:B87)+1</f>
        <v>43</v>
      </c>
      <c r="C88" s="1176"/>
      <c r="D88" s="1188" t="s">
        <v>1278</v>
      </c>
      <c r="E88" s="1080"/>
      <c r="F88" s="1186">
        <v>4.4146287440429859</v>
      </c>
      <c r="G88" s="1080"/>
      <c r="H88" s="1186"/>
      <c r="I88" s="1186"/>
      <c r="J88" s="1186"/>
      <c r="K88" s="1077"/>
      <c r="L88" s="1186"/>
      <c r="M88" s="1077"/>
      <c r="N88" s="1077"/>
      <c r="O88" s="1077"/>
      <c r="P88" s="1077"/>
      <c r="Q88" s="1077"/>
    </row>
    <row r="89" spans="1:17">
      <c r="A89" s="1077"/>
      <c r="B89" s="1080">
        <f>MAX($B$13:B88)+1</f>
        <v>44</v>
      </c>
      <c r="C89" s="1176"/>
      <c r="D89" s="1188" t="s">
        <v>1279</v>
      </c>
      <c r="E89" s="1080"/>
      <c r="F89" s="1200">
        <f>-$F$72</f>
        <v>-0.1746391566885877</v>
      </c>
      <c r="G89" s="1080"/>
      <c r="H89" s="1186"/>
      <c r="I89" s="1186"/>
      <c r="J89" s="1186"/>
      <c r="K89" s="1186"/>
      <c r="L89" s="1186"/>
      <c r="M89" s="1077"/>
      <c r="N89" s="1077"/>
      <c r="O89" s="1077"/>
      <c r="P89" s="1077"/>
      <c r="Q89" s="1077"/>
    </row>
    <row r="90" spans="1:17">
      <c r="A90" s="1077"/>
      <c r="B90" s="1080">
        <f>MAX($B$13:B89)+1</f>
        <v>45</v>
      </c>
      <c r="C90" s="1176"/>
      <c r="D90" s="1194" t="s">
        <v>1281</v>
      </c>
      <c r="E90" s="1080"/>
      <c r="F90" s="1199">
        <f>F87+F88+F89</f>
        <v>11.474036087246256</v>
      </c>
      <c r="G90" s="1080"/>
      <c r="H90" s="1192">
        <f>F90</f>
        <v>11.474036087246256</v>
      </c>
      <c r="I90" s="1186"/>
      <c r="J90" s="1186"/>
      <c r="K90" s="1186"/>
      <c r="L90" s="1186"/>
      <c r="M90" s="1077"/>
      <c r="N90" s="1077"/>
      <c r="O90" s="1077"/>
      <c r="P90" s="1077"/>
      <c r="Q90" s="1077"/>
    </row>
    <row r="91" spans="1:17">
      <c r="A91" s="1077"/>
      <c r="B91" s="1080"/>
      <c r="C91" s="1176"/>
      <c r="D91" s="1194"/>
      <c r="E91" s="1080"/>
      <c r="F91" s="1186"/>
      <c r="G91" s="1080"/>
      <c r="H91" s="1186"/>
      <c r="I91" s="1186"/>
      <c r="J91" s="1186"/>
      <c r="K91" s="1186"/>
      <c r="L91" s="1186"/>
      <c r="M91" s="1077"/>
      <c r="N91" s="1077"/>
      <c r="O91" s="1077"/>
      <c r="P91" s="1077"/>
      <c r="Q91" s="1077"/>
    </row>
    <row r="92" spans="1:17">
      <c r="A92" s="1077"/>
      <c r="B92" s="1080"/>
      <c r="C92" s="1176"/>
      <c r="D92" s="1194" t="s">
        <v>1283</v>
      </c>
      <c r="E92" s="1080"/>
      <c r="F92" s="65"/>
      <c r="G92" s="1080"/>
      <c r="H92" s="1186"/>
      <c r="I92" s="1186"/>
      <c r="J92" s="1186"/>
      <c r="K92" s="1186"/>
      <c r="L92" s="1186"/>
      <c r="M92" s="1077"/>
      <c r="N92" s="1077"/>
      <c r="O92" s="1077"/>
      <c r="P92" s="1077"/>
      <c r="Q92" s="1077"/>
    </row>
    <row r="93" spans="1:17">
      <c r="A93" s="1077"/>
      <c r="B93" s="1080">
        <f>MAX($B$13:B92)+1</f>
        <v>46</v>
      </c>
      <c r="C93" s="1176"/>
      <c r="D93" s="1188" t="s">
        <v>1277</v>
      </c>
      <c r="E93" s="1080"/>
      <c r="F93" s="1186">
        <v>2.2763743986261362</v>
      </c>
      <c r="G93" s="1080"/>
      <c r="H93" s="1186"/>
      <c r="I93" s="1186"/>
      <c r="J93" s="1186"/>
      <c r="K93" s="1186"/>
      <c r="L93" s="1186"/>
      <c r="M93" s="1077"/>
      <c r="N93" s="1077"/>
      <c r="O93" s="1077"/>
      <c r="P93" s="1077"/>
      <c r="Q93" s="1077"/>
    </row>
    <row r="94" spans="1:17">
      <c r="A94" s="1077"/>
      <c r="B94" s="1080">
        <f>MAX($B$13:B93)+1</f>
        <v>47</v>
      </c>
      <c r="C94" s="1176"/>
      <c r="D94" s="1188" t="s">
        <v>1278</v>
      </c>
      <c r="E94" s="1080"/>
      <c r="F94" s="1186">
        <v>5.0861768686148681</v>
      </c>
      <c r="G94" s="1080"/>
      <c r="H94" s="1186"/>
      <c r="I94" s="1186"/>
      <c r="J94" s="1186"/>
      <c r="K94" s="1077"/>
      <c r="L94" s="1186"/>
      <c r="M94" s="1077"/>
      <c r="N94" s="1077"/>
      <c r="O94" s="1077"/>
      <c r="P94" s="1077"/>
      <c r="Q94" s="1077"/>
    </row>
    <row r="95" spans="1:17">
      <c r="A95" s="1077"/>
      <c r="B95" s="1080">
        <f>MAX($B$13:B94)+1</f>
        <v>48</v>
      </c>
      <c r="C95" s="1176"/>
      <c r="D95" s="1188" t="s">
        <v>1279</v>
      </c>
      <c r="E95" s="1080"/>
      <c r="F95" s="1200">
        <f>-$F$72</f>
        <v>-0.1746391566885877</v>
      </c>
      <c r="G95" s="1080"/>
      <c r="H95" s="1186"/>
      <c r="I95" s="1186"/>
      <c r="J95" s="1186"/>
      <c r="K95" s="1186"/>
      <c r="L95" s="1186"/>
      <c r="M95" s="1077"/>
      <c r="N95" s="1077"/>
      <c r="O95" s="1077"/>
      <c r="P95" s="1077"/>
      <c r="Q95" s="1077"/>
    </row>
    <row r="96" spans="1:17">
      <c r="A96" s="1077"/>
      <c r="B96" s="1080">
        <f>MAX($B$13:B95)+1</f>
        <v>49</v>
      </c>
      <c r="C96" s="1176"/>
      <c r="D96" s="1194" t="s">
        <v>1283</v>
      </c>
      <c r="E96" s="1080"/>
      <c r="F96" s="1199">
        <f>F93+F94+F95</f>
        <v>7.1879121105524169</v>
      </c>
      <c r="G96" s="1080"/>
      <c r="H96" s="1192">
        <f>F96</f>
        <v>7.1879121105524169</v>
      </c>
      <c r="I96" s="1186"/>
      <c r="J96" s="1186"/>
      <c r="K96" s="1186"/>
      <c r="L96" s="1186"/>
      <c r="M96" s="1077"/>
      <c r="N96" s="1077"/>
      <c r="O96" s="1077"/>
      <c r="P96" s="1077"/>
      <c r="Q96" s="1077"/>
    </row>
    <row r="97" spans="1:17">
      <c r="A97" s="1077"/>
      <c r="B97" s="1080"/>
      <c r="C97" s="1176"/>
      <c r="D97" s="1194"/>
      <c r="E97" s="1080"/>
      <c r="F97" s="65"/>
      <c r="G97" s="1080"/>
      <c r="H97" s="1186"/>
      <c r="I97" s="1186"/>
      <c r="J97" s="1186"/>
      <c r="K97" s="1186"/>
      <c r="L97" s="1186"/>
      <c r="M97" s="1077"/>
      <c r="N97" s="1077"/>
      <c r="O97" s="1077"/>
      <c r="P97" s="1077"/>
      <c r="Q97" s="1077"/>
    </row>
    <row r="98" spans="1:17">
      <c r="A98" s="1077"/>
      <c r="B98" s="1080"/>
      <c r="C98" s="1176"/>
      <c r="D98" s="1194" t="s">
        <v>1284</v>
      </c>
      <c r="E98" s="1080"/>
      <c r="F98" s="65"/>
      <c r="G98" s="1080"/>
      <c r="H98" s="1186"/>
      <c r="I98" s="1186"/>
      <c r="J98" s="1186"/>
      <c r="K98" s="1186"/>
      <c r="L98" s="1186"/>
      <c r="M98" s="1077"/>
      <c r="N98" s="1077"/>
      <c r="O98" s="1077"/>
      <c r="P98" s="1077"/>
      <c r="Q98" s="1077"/>
    </row>
    <row r="99" spans="1:17">
      <c r="A99" s="1077"/>
      <c r="B99" s="1080">
        <f>MAX($B$13:B98)+1</f>
        <v>50</v>
      </c>
      <c r="C99" s="1176"/>
      <c r="D99" s="1188" t="s">
        <v>1277</v>
      </c>
      <c r="E99" s="1080"/>
      <c r="F99" s="1186">
        <v>0.308939952973733</v>
      </c>
      <c r="G99" s="1080"/>
      <c r="H99" s="1186"/>
      <c r="I99" s="1186"/>
      <c r="J99" s="1186"/>
      <c r="K99" s="1186"/>
      <c r="L99" s="1186"/>
      <c r="M99" s="1077"/>
      <c r="N99" s="1077"/>
      <c r="O99" s="1077"/>
      <c r="P99" s="1077"/>
      <c r="Q99" s="1077"/>
    </row>
    <row r="100" spans="1:17">
      <c r="A100" s="1077"/>
      <c r="B100" s="1080">
        <f>MAX($B$13:B99)+1</f>
        <v>51</v>
      </c>
      <c r="C100" s="1176"/>
      <c r="D100" s="1188" t="s">
        <v>1278</v>
      </c>
      <c r="E100" s="1080"/>
      <c r="F100" s="1186">
        <v>4.7078945647149437</v>
      </c>
      <c r="G100" s="1080"/>
      <c r="H100" s="1186"/>
      <c r="I100" s="1186"/>
      <c r="J100" s="1186"/>
      <c r="K100" s="1077"/>
      <c r="L100" s="1186"/>
      <c r="M100" s="1077"/>
      <c r="N100" s="1077"/>
      <c r="O100" s="1077"/>
      <c r="P100" s="1077"/>
      <c r="Q100" s="1077"/>
    </row>
    <row r="101" spans="1:17">
      <c r="A101" s="1077"/>
      <c r="B101" s="1080">
        <f>MAX($B$13:B100)+1</f>
        <v>52</v>
      </c>
      <c r="C101" s="1176"/>
      <c r="D101" s="1188" t="s">
        <v>1279</v>
      </c>
      <c r="E101" s="1080"/>
      <c r="F101" s="1200">
        <f>-$F$72</f>
        <v>-0.1746391566885877</v>
      </c>
      <c r="G101" s="1080"/>
      <c r="H101" s="1186"/>
      <c r="I101" s="1186"/>
      <c r="J101" s="1186"/>
      <c r="K101" s="1186"/>
      <c r="L101" s="1186"/>
      <c r="M101" s="1077"/>
      <c r="N101" s="1077"/>
      <c r="O101" s="1077"/>
      <c r="P101" s="1077"/>
      <c r="Q101" s="1077"/>
    </row>
    <row r="102" spans="1:17">
      <c r="A102" s="1077"/>
      <c r="B102" s="1080">
        <f>MAX($B$13:B101)+1</f>
        <v>53</v>
      </c>
      <c r="C102" s="1176"/>
      <c r="D102" s="1194" t="s">
        <v>1284</v>
      </c>
      <c r="E102" s="1080"/>
      <c r="F102" s="1199">
        <f>F99+F100+F101</f>
        <v>4.8421953610000896</v>
      </c>
      <c r="G102" s="1080"/>
      <c r="H102" s="1192">
        <f>F102</f>
        <v>4.8421953610000896</v>
      </c>
      <c r="I102" s="1186"/>
      <c r="J102" s="1186"/>
      <c r="K102" s="1186"/>
      <c r="L102" s="1186"/>
      <c r="M102" s="1077"/>
      <c r="N102" s="1077"/>
      <c r="O102" s="1077"/>
      <c r="P102" s="1077"/>
      <c r="Q102" s="1077"/>
    </row>
    <row r="103" spans="1:17">
      <c r="A103" s="1077"/>
      <c r="B103" s="1080"/>
      <c r="C103" s="1176"/>
      <c r="D103" s="1194"/>
      <c r="E103" s="1080"/>
      <c r="F103" s="65"/>
      <c r="G103" s="1080"/>
      <c r="H103" s="1186"/>
      <c r="I103" s="1186"/>
      <c r="J103" s="1186"/>
      <c r="K103" s="1186"/>
      <c r="L103" s="1186"/>
      <c r="M103" s="1077"/>
      <c r="N103" s="1077"/>
      <c r="O103" s="1077"/>
      <c r="P103" s="1077"/>
      <c r="Q103" s="1077"/>
    </row>
    <row r="104" spans="1:17">
      <c r="A104" s="1077"/>
      <c r="B104" s="1080"/>
      <c r="C104" s="1176"/>
      <c r="D104" s="1194" t="s">
        <v>1285</v>
      </c>
      <c r="E104" s="1080"/>
      <c r="F104" s="65"/>
      <c r="G104" s="1080"/>
      <c r="H104" s="1186"/>
      <c r="I104" s="1186"/>
      <c r="J104" s="1186"/>
      <c r="K104" s="1186"/>
      <c r="L104" s="1186"/>
      <c r="M104" s="1077"/>
      <c r="N104" s="1077"/>
      <c r="O104" s="1077"/>
      <c r="P104" s="1077"/>
      <c r="Q104" s="1077"/>
    </row>
    <row r="105" spans="1:17">
      <c r="A105" s="1077"/>
      <c r="B105" s="1080">
        <f>MAX($B$13:B104)+1</f>
        <v>54</v>
      </c>
      <c r="C105" s="1176"/>
      <c r="D105" s="1188" t="s">
        <v>1286</v>
      </c>
      <c r="E105" s="1080"/>
      <c r="F105" s="1186">
        <v>1.2318443326911868</v>
      </c>
      <c r="G105" s="1080"/>
      <c r="H105" s="1186"/>
      <c r="I105" s="1186"/>
      <c r="J105" s="1186"/>
      <c r="K105" s="1186"/>
      <c r="L105" s="1186"/>
      <c r="M105" s="1077"/>
      <c r="N105" s="1077"/>
      <c r="O105" s="1077"/>
      <c r="P105" s="1077"/>
      <c r="Q105" s="1077"/>
    </row>
    <row r="106" spans="1:17">
      <c r="A106" s="1077"/>
      <c r="B106" s="1080">
        <f>MAX($B$13:B105)+1</f>
        <v>55</v>
      </c>
      <c r="C106" s="1176"/>
      <c r="D106" s="1188" t="s">
        <v>1278</v>
      </c>
      <c r="E106" s="1080"/>
      <c r="F106" s="1186">
        <v>5.7759802687175874</v>
      </c>
      <c r="G106" s="1080"/>
      <c r="H106" s="1186"/>
      <c r="I106" s="1186"/>
      <c r="J106" s="1186"/>
      <c r="K106" s="1186"/>
      <c r="L106" s="1186"/>
      <c r="M106" s="1077"/>
      <c r="N106" s="1077"/>
      <c r="O106" s="1077"/>
      <c r="P106" s="1077"/>
      <c r="Q106" s="1077"/>
    </row>
    <row r="107" spans="1:17">
      <c r="A107" s="1077"/>
      <c r="B107" s="1080">
        <f>MAX($B$13:B106)+1</f>
        <v>56</v>
      </c>
      <c r="C107" s="1176"/>
      <c r="D107" s="1188" t="s">
        <v>1279</v>
      </c>
      <c r="E107" s="1080"/>
      <c r="F107" s="1200">
        <f>-$F$72</f>
        <v>-0.1746391566885877</v>
      </c>
      <c r="G107" s="1080"/>
      <c r="H107" s="1186"/>
      <c r="I107" s="1186"/>
      <c r="J107" s="1186"/>
      <c r="K107" s="1186"/>
      <c r="L107" s="1186"/>
      <c r="M107" s="1077"/>
      <c r="N107" s="1077"/>
      <c r="O107" s="1077"/>
      <c r="P107" s="1077"/>
      <c r="Q107" s="1077"/>
    </row>
    <row r="108" spans="1:17">
      <c r="A108" s="1077"/>
      <c r="B108" s="1080">
        <f>MAX($B$13:B107)+1</f>
        <v>57</v>
      </c>
      <c r="C108" s="1176"/>
      <c r="D108" s="1194" t="s">
        <v>1285</v>
      </c>
      <c r="E108" s="1080"/>
      <c r="F108" s="1199">
        <f>F105+F106+F107</f>
        <v>6.8331854447201872</v>
      </c>
      <c r="G108" s="1080"/>
      <c r="H108" s="1192">
        <f>F108</f>
        <v>6.8331854447201872</v>
      </c>
      <c r="I108" s="1186"/>
      <c r="J108" s="1186"/>
      <c r="K108" s="1186"/>
      <c r="L108" s="1186"/>
      <c r="M108" s="1077"/>
      <c r="N108" s="1077"/>
      <c r="O108" s="1077"/>
      <c r="P108" s="1077"/>
      <c r="Q108" s="1077"/>
    </row>
    <row r="109" spans="1:17" ht="40.5" customHeight="1">
      <c r="A109" s="1077"/>
      <c r="B109" s="1080"/>
      <c r="C109" s="1176"/>
      <c r="D109" s="1194"/>
      <c r="E109" s="1080"/>
      <c r="F109" s="65"/>
      <c r="G109" s="1080"/>
      <c r="H109" s="1186"/>
      <c r="I109" s="1186"/>
      <c r="J109" s="1186"/>
      <c r="K109" s="1186"/>
      <c r="L109" s="1186"/>
      <c r="M109" s="1077"/>
      <c r="N109" s="1077"/>
      <c r="O109" s="1077"/>
      <c r="P109" s="1077"/>
      <c r="Q109" s="1077"/>
    </row>
    <row r="110" spans="1:17">
      <c r="A110" s="1195"/>
      <c r="B110" s="1195"/>
      <c r="C110" s="1195"/>
      <c r="D110" s="1195"/>
      <c r="E110" s="1195"/>
      <c r="F110" s="1195"/>
      <c r="G110" s="1195"/>
      <c r="H110" s="1195"/>
      <c r="I110" s="1195"/>
    </row>
    <row r="111" spans="1:17">
      <c r="A111" s="1077"/>
      <c r="B111" s="1338" t="s">
        <v>1268</v>
      </c>
      <c r="C111" s="1338"/>
      <c r="D111" s="1338"/>
      <c r="E111" s="1338"/>
      <c r="F111" s="1338"/>
      <c r="G111" s="1338"/>
      <c r="H111" s="1338"/>
      <c r="I111" s="1186"/>
      <c r="J111" s="1186"/>
      <c r="K111" s="1186"/>
      <c r="L111" s="1186"/>
      <c r="M111" s="1186"/>
      <c r="N111" s="1077"/>
      <c r="O111" s="1077"/>
      <c r="P111" s="1077"/>
      <c r="Q111" s="1077"/>
    </row>
    <row r="112" spans="1:17">
      <c r="A112" s="1077"/>
      <c r="B112" s="1080"/>
      <c r="C112" s="1080"/>
      <c r="D112" s="1080"/>
      <c r="E112" s="1080"/>
      <c r="F112" s="1083"/>
      <c r="G112" s="1077"/>
      <c r="H112" s="1083"/>
      <c r="I112" s="1186"/>
      <c r="J112" s="1186"/>
      <c r="K112" s="1186"/>
      <c r="L112" s="1186"/>
      <c r="M112" s="1186"/>
      <c r="N112" s="1077"/>
      <c r="O112" s="1077"/>
      <c r="P112" s="1077"/>
      <c r="Q112" s="1077"/>
    </row>
    <row r="113" spans="1:17">
      <c r="A113" s="1077"/>
      <c r="B113" s="1080" t="s">
        <v>1</v>
      </c>
      <c r="C113" s="1176"/>
      <c r="D113" s="1176"/>
      <c r="E113" s="1176"/>
      <c r="F113" s="1083"/>
      <c r="G113" s="1077"/>
      <c r="H113" s="1080"/>
      <c r="I113" s="1186"/>
      <c r="J113" s="1186"/>
      <c r="K113" s="1180"/>
      <c r="L113" s="1186"/>
      <c r="M113" s="1186"/>
      <c r="N113" s="1077"/>
      <c r="O113" s="1077"/>
      <c r="P113" s="1077"/>
      <c r="Q113" s="1077"/>
    </row>
    <row r="114" spans="1:17">
      <c r="A114" s="1077"/>
      <c r="B114" s="1089" t="s">
        <v>2</v>
      </c>
      <c r="C114" s="1176"/>
      <c r="D114" s="1177" t="s">
        <v>3</v>
      </c>
      <c r="E114" s="1089"/>
      <c r="F114" s="1090"/>
      <c r="G114" s="1077"/>
      <c r="H114" s="1178" t="s">
        <v>204</v>
      </c>
      <c r="I114" s="1186"/>
      <c r="J114" s="1186"/>
      <c r="K114" s="1180"/>
      <c r="L114" s="1186"/>
      <c r="M114" s="1186"/>
      <c r="N114" s="1077"/>
      <c r="O114" s="1077"/>
      <c r="P114" s="1077"/>
      <c r="Q114" s="1077"/>
    </row>
    <row r="115" spans="1:17">
      <c r="A115" s="1077"/>
      <c r="B115" s="1080"/>
      <c r="C115" s="1176"/>
      <c r="D115" s="1176"/>
      <c r="E115" s="1080"/>
      <c r="F115" s="1083"/>
      <c r="G115" s="1080"/>
      <c r="H115" s="1080" t="s">
        <v>8</v>
      </c>
      <c r="I115" s="1186"/>
      <c r="J115" s="1186"/>
      <c r="K115" s="1180"/>
      <c r="L115" s="1186"/>
      <c r="M115" s="1186"/>
      <c r="N115" s="1077"/>
      <c r="O115" s="1077"/>
      <c r="P115" s="1077"/>
      <c r="Q115" s="1077"/>
    </row>
    <row r="116" spans="1:17">
      <c r="A116" s="1077"/>
      <c r="B116" s="1080"/>
      <c r="C116" s="1176"/>
      <c r="D116" s="1176"/>
      <c r="E116" s="1080"/>
      <c r="F116" s="1083"/>
      <c r="G116" s="1080"/>
      <c r="H116" s="1080"/>
      <c r="I116" s="1186"/>
      <c r="J116" s="1186"/>
      <c r="K116" s="1180"/>
      <c r="L116" s="1186"/>
      <c r="M116" s="1186"/>
      <c r="N116" s="1077"/>
      <c r="O116" s="1077"/>
      <c r="P116" s="1077"/>
      <c r="Q116" s="1077"/>
    </row>
    <row r="117" spans="1:17">
      <c r="A117" s="1077"/>
      <c r="B117" s="1195"/>
      <c r="C117" s="1195"/>
      <c r="D117" s="1182" t="s">
        <v>1287</v>
      </c>
      <c r="E117" s="1195"/>
      <c r="F117" s="1195"/>
      <c r="G117" s="1195"/>
      <c r="H117" s="1195"/>
      <c r="I117" s="1186"/>
      <c r="J117" s="1186"/>
      <c r="K117" s="1186"/>
      <c r="L117" s="1186"/>
      <c r="M117" s="1186"/>
      <c r="N117" s="1077"/>
      <c r="O117" s="1077"/>
      <c r="P117" s="1077"/>
      <c r="Q117" s="1077"/>
    </row>
    <row r="118" spans="1:17">
      <c r="A118" s="1077"/>
      <c r="B118" s="1080"/>
      <c r="C118" s="1176"/>
      <c r="D118" s="1195"/>
      <c r="E118" s="1080"/>
      <c r="F118" s="65"/>
      <c r="G118" s="1080"/>
      <c r="H118" s="1186"/>
      <c r="I118" s="1186"/>
      <c r="J118" s="1189"/>
      <c r="K118" s="1186"/>
      <c r="L118" s="1186"/>
      <c r="M118" s="1186"/>
      <c r="N118" s="1077"/>
      <c r="O118" s="1077"/>
      <c r="P118" s="1077"/>
      <c r="Q118" s="1077"/>
    </row>
    <row r="119" spans="1:17">
      <c r="A119" s="1077"/>
      <c r="B119" s="1080"/>
      <c r="C119" s="1176"/>
      <c r="D119" s="1194" t="s">
        <v>1288</v>
      </c>
      <c r="E119" s="1080"/>
      <c r="F119" s="65"/>
      <c r="G119" s="1080"/>
      <c r="H119" s="1186"/>
      <c r="I119" s="1186"/>
      <c r="J119" s="1186"/>
      <c r="K119" s="1186"/>
      <c r="L119" s="1186"/>
      <c r="M119" s="1186"/>
      <c r="N119" s="1077"/>
      <c r="O119" s="1077"/>
      <c r="P119" s="1077"/>
      <c r="Q119" s="1077"/>
    </row>
    <row r="120" spans="1:17">
      <c r="A120" s="1077"/>
      <c r="B120" s="1080">
        <f>MAX($B$13:B119)+1</f>
        <v>58</v>
      </c>
      <c r="C120" s="1176"/>
      <c r="D120" s="1188" t="s">
        <v>1277</v>
      </c>
      <c r="E120" s="1080"/>
      <c r="F120" s="520">
        <v>1.9704999999999999</v>
      </c>
      <c r="G120" s="1080"/>
      <c r="H120" s="520"/>
      <c r="I120" s="1186"/>
      <c r="J120" s="1186"/>
      <c r="K120" s="1173"/>
      <c r="L120" s="1173"/>
      <c r="M120" s="1186"/>
      <c r="N120" s="1077"/>
      <c r="O120" s="1077"/>
      <c r="P120" s="1077"/>
      <c r="Q120" s="1077"/>
    </row>
    <row r="121" spans="1:17">
      <c r="A121" s="1077"/>
      <c r="B121" s="1080">
        <f>MAX($B$13:B120)+1</f>
        <v>59</v>
      </c>
      <c r="C121" s="1176"/>
      <c r="D121" s="1188" t="s">
        <v>1289</v>
      </c>
      <c r="E121" s="1077"/>
      <c r="F121" s="520">
        <f>$H$18</f>
        <v>0.21413318863752367</v>
      </c>
      <c r="G121" s="1077"/>
      <c r="H121" s="520"/>
      <c r="I121" s="1186"/>
      <c r="J121" s="1186"/>
      <c r="K121" s="1173"/>
      <c r="L121" s="1173"/>
      <c r="M121" s="1186"/>
      <c r="N121" s="1077"/>
      <c r="O121" s="1077"/>
      <c r="P121" s="1077"/>
      <c r="Q121" s="1077"/>
    </row>
    <row r="122" spans="1:17">
      <c r="A122" s="1077"/>
      <c r="B122" s="1080">
        <f>MAX($B$13:B121)+1</f>
        <v>60</v>
      </c>
      <c r="C122" s="1176"/>
      <c r="D122" s="1194" t="s">
        <v>1290</v>
      </c>
      <c r="E122" s="1077"/>
      <c r="F122" s="1199">
        <f>F120+F121</f>
        <v>2.1846331886375236</v>
      </c>
      <c r="G122" s="1077"/>
      <c r="H122" s="1192">
        <f>F122</f>
        <v>2.1846331886375236</v>
      </c>
      <c r="I122" s="1186"/>
      <c r="J122" s="1201"/>
      <c r="K122" s="1173"/>
      <c r="L122" s="1173"/>
      <c r="M122" s="1186"/>
      <c r="N122" s="1077"/>
      <c r="O122" s="1077"/>
      <c r="P122" s="1077"/>
      <c r="Q122" s="1077"/>
    </row>
    <row r="123" spans="1:17">
      <c r="A123" s="1077"/>
      <c r="B123" s="1080"/>
      <c r="C123" s="1077"/>
      <c r="D123" s="1202"/>
      <c r="E123" s="1077"/>
      <c r="F123" s="1077"/>
      <c r="G123" s="1077"/>
      <c r="H123" s="1186"/>
      <c r="I123" s="1186"/>
      <c r="J123" s="1186"/>
      <c r="K123" s="1186"/>
      <c r="L123" s="1186"/>
      <c r="M123" s="1186"/>
      <c r="N123" s="1077"/>
      <c r="O123" s="1077"/>
      <c r="P123" s="1077"/>
      <c r="Q123" s="1077"/>
    </row>
    <row r="124" spans="1:17">
      <c r="A124" s="1077"/>
      <c r="B124" s="1080"/>
      <c r="C124" s="1077"/>
      <c r="D124" s="1194" t="s">
        <v>1291</v>
      </c>
      <c r="E124" s="1176"/>
      <c r="F124" s="1176"/>
      <c r="G124" s="1176"/>
      <c r="H124" s="1186"/>
      <c r="I124" s="1186"/>
      <c r="J124" s="1186"/>
      <c r="K124" s="1186"/>
      <c r="L124" s="1180"/>
      <c r="M124" s="1186"/>
      <c r="N124" s="1077"/>
      <c r="O124" s="1077"/>
      <c r="P124" s="1077"/>
      <c r="Q124" s="1077"/>
    </row>
    <row r="125" spans="1:17">
      <c r="A125" s="1077"/>
      <c r="B125" s="1080">
        <f>MAX($B$13:B124)+1</f>
        <v>61</v>
      </c>
      <c r="C125" s="1077"/>
      <c r="D125" s="1188" t="s">
        <v>1292</v>
      </c>
      <c r="E125" s="1176"/>
      <c r="F125" s="520">
        <v>3.2021999999999999</v>
      </c>
      <c r="G125" s="1186"/>
      <c r="H125" s="520"/>
      <c r="I125" s="1186"/>
      <c r="J125" s="1186"/>
      <c r="K125" s="1173"/>
      <c r="L125" s="1180"/>
      <c r="M125" s="1186"/>
      <c r="N125" s="1077"/>
      <c r="O125" s="1077"/>
      <c r="P125" s="1077"/>
      <c r="Q125" s="1077"/>
    </row>
    <row r="126" spans="1:17">
      <c r="A126" s="1077"/>
      <c r="B126" s="1080">
        <f>MAX($B$13:B125)+1</f>
        <v>62</v>
      </c>
      <c r="C126" s="1077"/>
      <c r="D126" s="1188" t="s">
        <v>1289</v>
      </c>
      <c r="E126" s="1176"/>
      <c r="F126" s="520">
        <f>$H$18</f>
        <v>0.21413318863752367</v>
      </c>
      <c r="G126" s="1186"/>
      <c r="H126" s="1186"/>
      <c r="I126" s="1186"/>
      <c r="J126" s="1186"/>
      <c r="K126" s="1173"/>
      <c r="L126" s="1173"/>
      <c r="M126" s="1186"/>
      <c r="N126" s="1077"/>
      <c r="O126" s="1077"/>
      <c r="P126" s="1077"/>
      <c r="Q126" s="1077"/>
    </row>
    <row r="127" spans="1:17">
      <c r="A127" s="1077"/>
      <c r="B127" s="1080">
        <f>MAX($B$13:B126)+1</f>
        <v>63</v>
      </c>
      <c r="C127" s="1077"/>
      <c r="D127" s="1194" t="s">
        <v>1290</v>
      </c>
      <c r="E127" s="1176"/>
      <c r="F127" s="1199">
        <f>F125+F126</f>
        <v>3.4163331886375237</v>
      </c>
      <c r="G127" s="1186"/>
      <c r="H127" s="1192">
        <f>F127</f>
        <v>3.4163331886375237</v>
      </c>
      <c r="I127" s="1186"/>
      <c r="J127" s="1201"/>
      <c r="K127" s="1173"/>
      <c r="L127" s="1180"/>
      <c r="M127" s="1186"/>
      <c r="N127" s="1077"/>
      <c r="O127" s="1077"/>
      <c r="P127" s="1077"/>
      <c r="Q127" s="1077"/>
    </row>
    <row r="128" spans="1:17">
      <c r="A128" s="1077"/>
      <c r="B128" s="1080"/>
      <c r="C128" s="1077"/>
      <c r="D128" s="1172"/>
      <c r="E128" s="1172"/>
      <c r="F128" s="1172"/>
      <c r="G128" s="1172"/>
      <c r="H128" s="1172"/>
      <c r="I128" s="1172"/>
      <c r="J128" s="1173"/>
      <c r="K128" s="1173"/>
      <c r="L128" s="1173"/>
      <c r="M128" s="1173"/>
      <c r="N128" s="1173"/>
      <c r="O128" s="1173"/>
      <c r="P128" s="1077"/>
      <c r="Q128" s="1077"/>
    </row>
    <row r="129" spans="1:18">
      <c r="A129" s="1077"/>
      <c r="B129" s="1080"/>
      <c r="C129" s="1077"/>
      <c r="D129" s="1182" t="s">
        <v>1293</v>
      </c>
      <c r="E129" s="1077"/>
      <c r="F129" s="1077"/>
      <c r="G129" s="1077"/>
      <c r="H129" s="1186"/>
      <c r="I129" s="1186"/>
      <c r="J129" s="1186"/>
      <c r="K129" s="1186"/>
      <c r="L129" s="1186"/>
      <c r="M129" s="1173"/>
      <c r="N129" s="1173"/>
      <c r="O129" s="1173"/>
      <c r="P129" s="1173"/>
      <c r="Q129" s="1077"/>
    </row>
    <row r="130" spans="1:18">
      <c r="A130" s="1077"/>
      <c r="B130" s="1080"/>
      <c r="C130" s="1077"/>
      <c r="D130" s="1193"/>
      <c r="E130" s="1077"/>
      <c r="F130" s="1077"/>
      <c r="G130" s="1077"/>
      <c r="H130" s="1186"/>
      <c r="I130" s="1186"/>
      <c r="J130" s="1186"/>
      <c r="K130" s="1186"/>
      <c r="L130" s="1186"/>
      <c r="M130" s="1173"/>
      <c r="N130" s="1173"/>
      <c r="O130" s="1173"/>
      <c r="P130" s="1173"/>
      <c r="Q130" s="1077"/>
    </row>
    <row r="131" spans="1:18">
      <c r="A131" s="1077"/>
      <c r="B131" s="1083"/>
      <c r="C131" s="1077"/>
      <c r="D131" s="1194" t="s">
        <v>1294</v>
      </c>
      <c r="E131" s="1077"/>
      <c r="F131" s="1077"/>
      <c r="G131" s="1077"/>
      <c r="H131" s="1186"/>
      <c r="I131" s="1186"/>
      <c r="J131" s="1186"/>
      <c r="K131" s="1186"/>
      <c r="L131" s="1186"/>
      <c r="M131" s="1186"/>
      <c r="N131" s="1077"/>
      <c r="O131" s="1077"/>
      <c r="P131" s="1077"/>
      <c r="Q131" s="1077"/>
    </row>
    <row r="132" spans="1:18">
      <c r="A132" s="1077"/>
      <c r="B132" s="1080">
        <f>MAX($B$13:B131)+1</f>
        <v>64</v>
      </c>
      <c r="C132" s="1077"/>
      <c r="D132" s="1188" t="s">
        <v>1295</v>
      </c>
      <c r="E132" s="1077"/>
      <c r="F132" s="1186">
        <v>6.7992023508801296</v>
      </c>
      <c r="G132" s="1186"/>
      <c r="H132" s="1186"/>
      <c r="I132" s="1186"/>
      <c r="J132" s="1186"/>
      <c r="K132" s="1173"/>
      <c r="L132" s="1203"/>
      <c r="M132" s="1186"/>
      <c r="N132" s="1077"/>
      <c r="O132" s="1077"/>
      <c r="P132" s="1077"/>
      <c r="Q132" s="1077"/>
    </row>
    <row r="133" spans="1:18">
      <c r="A133" s="1077"/>
      <c r="B133" s="1080">
        <f>MAX($B$13:B132)+1</f>
        <v>65</v>
      </c>
      <c r="C133" s="1077"/>
      <c r="D133" s="1188" t="s">
        <v>1296</v>
      </c>
      <c r="E133" s="1077"/>
      <c r="F133" s="539">
        <v>0.9</v>
      </c>
      <c r="G133" s="1186"/>
      <c r="H133" s="540"/>
      <c r="I133" s="1186"/>
      <c r="J133" s="1186"/>
      <c r="K133" s="1173"/>
      <c r="L133" s="1173"/>
      <c r="M133" s="1186"/>
      <c r="N133" s="1077"/>
      <c r="O133" s="1077"/>
      <c r="P133" s="1077"/>
      <c r="Q133" s="1077"/>
    </row>
    <row r="134" spans="1:18">
      <c r="A134" s="1077"/>
      <c r="B134" s="1080">
        <f>MAX($B$13:B133)+1</f>
        <v>66</v>
      </c>
      <c r="C134" s="1077"/>
      <c r="D134" s="1194" t="s">
        <v>1297</v>
      </c>
      <c r="E134" s="1077"/>
      <c r="F134" s="1199">
        <f>F132*F133</f>
        <v>6.1192821157921164</v>
      </c>
      <c r="G134" s="1186"/>
      <c r="H134" s="1192">
        <f>F134</f>
        <v>6.1192821157921164</v>
      </c>
      <c r="I134" s="1186"/>
      <c r="J134" s="1201"/>
      <c r="K134" s="1173"/>
      <c r="L134" s="1173"/>
      <c r="M134" s="1186"/>
      <c r="N134" s="1077"/>
      <c r="O134" s="1077"/>
      <c r="P134" s="1077"/>
      <c r="Q134" s="1077"/>
    </row>
    <row r="135" spans="1:18">
      <c r="A135" s="1077"/>
      <c r="B135" s="1083"/>
      <c r="C135" s="1077"/>
      <c r="D135" s="1194"/>
      <c r="E135" s="1077"/>
      <c r="F135" s="1077"/>
      <c r="G135" s="1077"/>
      <c r="H135" s="1077"/>
      <c r="I135" s="1077"/>
      <c r="J135" s="1077"/>
      <c r="K135" s="1077"/>
      <c r="L135" s="1077"/>
      <c r="M135" s="1186"/>
      <c r="N135" s="1077"/>
      <c r="O135" s="1077"/>
      <c r="P135" s="1204" t="s">
        <v>1298</v>
      </c>
      <c r="Q135" s="1205"/>
      <c r="R135" s="1206"/>
    </row>
    <row r="136" spans="1:18">
      <c r="A136" s="1077"/>
      <c r="B136" s="1080"/>
      <c r="C136" s="1077"/>
      <c r="D136" s="1194" t="s">
        <v>1299</v>
      </c>
      <c r="E136" s="1077"/>
      <c r="F136" s="1077"/>
      <c r="G136" s="1077"/>
      <c r="H136" s="1077"/>
      <c r="I136" s="1077"/>
      <c r="J136" s="1077"/>
      <c r="K136" s="1077"/>
      <c r="L136" s="1077"/>
      <c r="M136" s="1186"/>
      <c r="N136" s="1077"/>
      <c r="O136" s="1077"/>
      <c r="P136" s="1207" t="s">
        <v>1300</v>
      </c>
      <c r="Q136" s="1208"/>
      <c r="R136" s="1209">
        <v>713737.64702999999</v>
      </c>
    </row>
    <row r="137" spans="1:18">
      <c r="A137" s="1077"/>
      <c r="B137" s="1080">
        <f>MAX($B$13:B136)+1</f>
        <v>67</v>
      </c>
      <c r="C137" s="1077"/>
      <c r="D137" s="1188" t="s">
        <v>1301</v>
      </c>
      <c r="E137" s="1077"/>
      <c r="F137" s="1186">
        <v>5.3179736094631993</v>
      </c>
      <c r="G137" s="1186"/>
      <c r="H137" s="1186"/>
      <c r="I137" s="1077"/>
      <c r="J137" s="1077"/>
      <c r="K137" s="1173"/>
      <c r="L137" s="1203"/>
      <c r="M137" s="1186"/>
      <c r="N137" s="1077"/>
      <c r="O137" s="1077"/>
      <c r="P137" s="1207" t="s">
        <v>1302</v>
      </c>
      <c r="Q137" s="1208"/>
      <c r="R137" s="1209">
        <v>5988.1806666666671</v>
      </c>
    </row>
    <row r="138" spans="1:18">
      <c r="A138" s="1077"/>
      <c r="B138" s="1080">
        <f>MAX($B$13:B137)+1</f>
        <v>68</v>
      </c>
      <c r="C138" s="1077"/>
      <c r="D138" s="1188" t="s">
        <v>1303</v>
      </c>
      <c r="E138" s="1077"/>
      <c r="F138" s="1186">
        <v>0.35580000000000001</v>
      </c>
      <c r="G138" s="1186"/>
      <c r="H138" s="1186"/>
      <c r="I138" s="1077"/>
      <c r="J138" s="1077"/>
      <c r="K138" s="1173"/>
      <c r="L138" s="1173"/>
      <c r="M138" s="1186"/>
      <c r="N138" s="1077"/>
      <c r="O138" s="1077"/>
      <c r="P138" s="1207" t="s">
        <v>1304</v>
      </c>
      <c r="Q138" s="1208"/>
      <c r="R138" s="541">
        <f>ROUND(R136/(R137*365),4)</f>
        <v>0.3266</v>
      </c>
    </row>
    <row r="139" spans="1:18">
      <c r="A139" s="1077"/>
      <c r="B139" s="1080">
        <f>MAX($B$13:B138)+1</f>
        <v>69</v>
      </c>
      <c r="C139" s="1077"/>
      <c r="D139" s="1194" t="s">
        <v>1305</v>
      </c>
      <c r="E139" s="1077"/>
      <c r="F139" s="1199">
        <f>F137+F138</f>
        <v>5.6737736094631996</v>
      </c>
      <c r="G139" s="1077"/>
      <c r="H139" s="1192">
        <f>F139</f>
        <v>5.6737736094631996</v>
      </c>
      <c r="I139" s="1077"/>
      <c r="J139" s="1201"/>
      <c r="K139" s="1173"/>
      <c r="L139" s="1173"/>
      <c r="M139" s="1077"/>
      <c r="N139" s="1077"/>
      <c r="O139" s="1077"/>
      <c r="P139" s="1210" t="s">
        <v>1306</v>
      </c>
      <c r="Q139" s="1211"/>
      <c r="R139" s="542">
        <f>ROUND(R138*0.7,4)</f>
        <v>0.2286</v>
      </c>
    </row>
    <row r="140" spans="1:18">
      <c r="A140" s="1077"/>
      <c r="B140" s="1083"/>
      <c r="C140" s="1077"/>
      <c r="D140" s="1194"/>
      <c r="E140" s="1077"/>
      <c r="F140" s="1077"/>
      <c r="G140" s="1077"/>
      <c r="H140" s="1077"/>
      <c r="I140" s="1077"/>
      <c r="J140" s="1077"/>
      <c r="K140" s="1077"/>
      <c r="L140" s="1077"/>
      <c r="M140" s="1077"/>
      <c r="N140" s="1077"/>
      <c r="O140" s="1077"/>
      <c r="P140" s="1077"/>
      <c r="Q140" s="1077"/>
    </row>
    <row r="141" spans="1:18">
      <c r="A141" s="1077"/>
      <c r="B141" s="1080"/>
      <c r="C141" s="1077"/>
      <c r="D141" s="1194" t="s">
        <v>1307</v>
      </c>
      <c r="E141" s="1077"/>
      <c r="F141" s="1077"/>
      <c r="G141" s="1077"/>
      <c r="H141" s="1077"/>
      <c r="I141" s="1077"/>
      <c r="J141" s="1077"/>
      <c r="K141" s="1077"/>
      <c r="L141" s="1077"/>
      <c r="M141" s="1077"/>
      <c r="N141" s="1077"/>
      <c r="O141" s="1077"/>
      <c r="P141" s="1077"/>
      <c r="Q141" s="1077"/>
    </row>
    <row r="142" spans="1:18">
      <c r="A142" s="1077"/>
      <c r="B142" s="1080">
        <f>MAX($B$13:B141)+1</f>
        <v>70</v>
      </c>
      <c r="C142" s="1077"/>
      <c r="D142" s="1188" t="s">
        <v>1308</v>
      </c>
      <c r="E142" s="1077"/>
      <c r="F142" s="1186">
        <v>6.9897</v>
      </c>
      <c r="G142" s="1186"/>
      <c r="H142" s="1172"/>
      <c r="I142" s="1077"/>
      <c r="J142" s="1173"/>
      <c r="K142" s="1173"/>
      <c r="L142" s="1203"/>
      <c r="M142" s="1077"/>
      <c r="N142" s="1077"/>
      <c r="O142" s="1077"/>
      <c r="P142" s="1077"/>
      <c r="Q142" s="1077"/>
    </row>
    <row r="143" spans="1:18">
      <c r="A143" s="1077"/>
      <c r="B143" s="1080">
        <f>MAX($B$13:B142)+1</f>
        <v>71</v>
      </c>
      <c r="C143" s="1077"/>
      <c r="D143" s="1188" t="s">
        <v>1309</v>
      </c>
      <c r="E143" s="1077"/>
      <c r="F143" s="1200">
        <v>0.33950000000000002</v>
      </c>
      <c r="G143" s="1186"/>
      <c r="H143" s="1172"/>
      <c r="I143" s="1077"/>
      <c r="J143" s="1173"/>
      <c r="K143" s="1173"/>
      <c r="L143" s="1173"/>
      <c r="M143" s="1077"/>
      <c r="N143" s="1077"/>
      <c r="O143" s="1077"/>
      <c r="P143" s="1077"/>
      <c r="Q143" s="1077"/>
    </row>
    <row r="144" spans="1:18">
      <c r="A144" s="1077"/>
      <c r="B144" s="1080">
        <f>MAX($B$13:B143)+1</f>
        <v>72</v>
      </c>
      <c r="C144" s="1077"/>
      <c r="D144" s="1194" t="s">
        <v>1310</v>
      </c>
      <c r="E144" s="1077"/>
      <c r="F144" s="1199">
        <f>F142+F143</f>
        <v>7.3292000000000002</v>
      </c>
      <c r="G144" s="1186"/>
      <c r="H144" s="1192">
        <f>F144</f>
        <v>7.3292000000000002</v>
      </c>
      <c r="I144" s="1077"/>
      <c r="J144" s="1173"/>
      <c r="K144" s="1173"/>
      <c r="L144" s="1173"/>
      <c r="M144" s="1077"/>
      <c r="N144" s="1077"/>
      <c r="O144" s="1077"/>
      <c r="P144" s="1077"/>
      <c r="Q144" s="1077"/>
    </row>
    <row r="145" spans="1:17">
      <c r="A145" s="1077"/>
      <c r="B145" s="1083"/>
      <c r="C145" s="1077"/>
      <c r="D145" s="1194"/>
      <c r="E145" s="1077"/>
      <c r="F145" s="1077"/>
      <c r="G145" s="1077"/>
      <c r="H145" s="1077"/>
      <c r="I145" s="1077"/>
      <c r="J145" s="1077"/>
      <c r="K145" s="1077"/>
      <c r="L145" s="1077"/>
      <c r="M145" s="1077"/>
      <c r="N145" s="1077"/>
      <c r="O145" s="1077"/>
      <c r="P145" s="1077"/>
      <c r="Q145" s="1077"/>
    </row>
    <row r="146" spans="1:17">
      <c r="A146" s="1077"/>
      <c r="B146" s="1080"/>
      <c r="C146" s="1077"/>
      <c r="D146" s="1194" t="s">
        <v>1311</v>
      </c>
      <c r="E146" s="1077"/>
      <c r="F146" s="1186"/>
      <c r="G146" s="1077"/>
      <c r="H146" s="1172"/>
      <c r="I146" s="1077"/>
      <c r="J146" s="1201"/>
      <c r="K146" s="1173"/>
      <c r="L146" s="1173"/>
      <c r="M146" s="1077"/>
      <c r="N146" s="1077"/>
      <c r="O146" s="1077"/>
      <c r="P146" s="1077"/>
      <c r="Q146" s="1077"/>
    </row>
    <row r="147" spans="1:17">
      <c r="A147" s="1077"/>
      <c r="B147" s="1080">
        <f>MAX($B$13:B146)+1</f>
        <v>73</v>
      </c>
      <c r="C147" s="1077"/>
      <c r="D147" s="1188" t="s">
        <v>1312</v>
      </c>
      <c r="E147" s="1077"/>
      <c r="F147" s="1212">
        <f>$H$139</f>
        <v>5.6737736094631996</v>
      </c>
      <c r="G147" s="1077"/>
      <c r="H147" s="1195"/>
      <c r="I147" s="1077"/>
      <c r="J147" s="1077"/>
      <c r="K147" s="1173"/>
      <c r="L147" s="1173"/>
      <c r="M147" s="1077"/>
      <c r="N147" s="1077"/>
      <c r="O147" s="1077"/>
      <c r="P147" s="1077"/>
      <c r="Q147" s="1077"/>
    </row>
    <row r="148" spans="1:17">
      <c r="A148" s="1077"/>
      <c r="B148" s="1080">
        <f>MAX($B$13:B147)+1</f>
        <v>74</v>
      </c>
      <c r="C148" s="1172"/>
      <c r="D148" s="1194" t="s">
        <v>1313</v>
      </c>
      <c r="E148" s="1172"/>
      <c r="F148" s="1186">
        <f>F147</f>
        <v>5.6737736094631996</v>
      </c>
      <c r="G148" s="1172"/>
      <c r="H148" s="1192">
        <f>H$139</f>
        <v>5.6737736094631996</v>
      </c>
      <c r="I148" s="1077"/>
      <c r="J148" s="1201"/>
      <c r="K148" s="1173"/>
      <c r="L148" s="1173"/>
      <c r="M148" s="1077"/>
      <c r="N148" s="1077"/>
      <c r="O148" s="1077"/>
      <c r="P148" s="1077"/>
      <c r="Q148" s="1077"/>
    </row>
    <row r="149" spans="1:17">
      <c r="A149" s="1077"/>
      <c r="B149" s="1172"/>
      <c r="C149" s="1172"/>
      <c r="D149" s="1172"/>
      <c r="E149" s="1195"/>
      <c r="F149" s="1195"/>
      <c r="G149" s="1195"/>
      <c r="H149" s="1195"/>
      <c r="I149" s="1172"/>
      <c r="J149" s="1173"/>
      <c r="K149" s="1173"/>
      <c r="L149" s="1173"/>
      <c r="M149" s="1077"/>
      <c r="N149" s="1077"/>
      <c r="O149" s="1077"/>
      <c r="P149" s="1077"/>
      <c r="Q149" s="1077"/>
    </row>
    <row r="150" spans="1:17">
      <c r="A150" s="1077"/>
      <c r="B150" s="1080"/>
      <c r="C150" s="1077"/>
      <c r="D150" s="1194" t="s">
        <v>1314</v>
      </c>
      <c r="E150" s="1077"/>
      <c r="F150" s="1186"/>
      <c r="G150" s="1077"/>
      <c r="H150" s="1077"/>
      <c r="I150" s="1172"/>
      <c r="J150" s="1173"/>
      <c r="K150" s="1173"/>
      <c r="L150" s="1173"/>
      <c r="M150" s="1077"/>
      <c r="N150" s="1077"/>
      <c r="O150" s="1077"/>
      <c r="P150" s="1077"/>
      <c r="Q150" s="1077"/>
    </row>
    <row r="151" spans="1:17">
      <c r="A151" s="1077"/>
      <c r="B151" s="1080">
        <f>MAX($B$13:B150)+1</f>
        <v>75</v>
      </c>
      <c r="C151" s="1077"/>
      <c r="D151" s="1188" t="s">
        <v>1312</v>
      </c>
      <c r="E151" s="1172"/>
      <c r="F151" s="1212">
        <f>$H$139</f>
        <v>5.6737736094631996</v>
      </c>
      <c r="G151" s="1077"/>
      <c r="H151" s="1195"/>
      <c r="I151" s="1172"/>
      <c r="J151" s="1173"/>
      <c r="K151" s="1173"/>
      <c r="L151" s="1173"/>
      <c r="M151" s="1077"/>
      <c r="N151" s="1077"/>
      <c r="O151" s="1077"/>
      <c r="P151" s="1077"/>
      <c r="Q151" s="1077"/>
    </row>
    <row r="152" spans="1:17">
      <c r="A152" s="1077"/>
      <c r="B152" s="1080">
        <f>MAX($B$13:B151)+1</f>
        <v>76</v>
      </c>
      <c r="C152" s="1077"/>
      <c r="D152" s="1194" t="s">
        <v>1315</v>
      </c>
      <c r="E152" s="1172"/>
      <c r="F152" s="1186">
        <f>F151</f>
        <v>5.6737736094631996</v>
      </c>
      <c r="G152" s="1172"/>
      <c r="H152" s="1192">
        <f>H$139</f>
        <v>5.6737736094631996</v>
      </c>
      <c r="I152" s="1172"/>
      <c r="J152" s="1189"/>
      <c r="K152" s="1173"/>
      <c r="L152" s="1173"/>
      <c r="M152" s="1077"/>
      <c r="N152" s="1077"/>
      <c r="O152" s="1077"/>
      <c r="P152" s="1077"/>
      <c r="Q152" s="1077"/>
    </row>
    <row r="153" spans="1:17">
      <c r="A153" s="1077"/>
      <c r="B153" s="1083"/>
      <c r="C153" s="1077"/>
      <c r="D153" s="1172"/>
      <c r="E153" s="1172"/>
      <c r="F153" s="1172"/>
      <c r="G153" s="1172"/>
      <c r="H153" s="1172"/>
      <c r="I153" s="1172"/>
      <c r="J153" s="1173"/>
      <c r="K153" s="1173"/>
      <c r="L153" s="1173"/>
      <c r="M153" s="1077"/>
      <c r="N153" s="1077"/>
      <c r="O153" s="1077"/>
      <c r="P153" s="1077"/>
      <c r="Q153" s="1077"/>
    </row>
    <row r="154" spans="1:17">
      <c r="A154" s="1077"/>
      <c r="B154" s="1083"/>
      <c r="C154" s="1077"/>
      <c r="D154" s="1172"/>
      <c r="E154" s="1172"/>
      <c r="F154" s="1172"/>
      <c r="G154" s="1172"/>
      <c r="H154" s="1172"/>
      <c r="I154" s="1172"/>
      <c r="J154" s="1173"/>
      <c r="K154" s="1173"/>
      <c r="L154" s="1173"/>
      <c r="M154" s="1077"/>
      <c r="N154" s="1077"/>
      <c r="O154" s="1077"/>
      <c r="P154" s="1077"/>
      <c r="Q154" s="1077"/>
    </row>
    <row r="155" spans="1:17">
      <c r="A155" s="1077"/>
      <c r="B155" s="1083"/>
      <c r="C155" s="1077"/>
      <c r="D155" s="1172"/>
      <c r="E155" s="1172"/>
      <c r="F155" s="1172"/>
      <c r="G155" s="1172"/>
      <c r="H155" s="1172"/>
      <c r="I155" s="1172"/>
      <c r="J155" s="1173"/>
      <c r="K155" s="1173"/>
      <c r="L155" s="1173"/>
      <c r="M155" s="1077"/>
      <c r="N155" s="1077"/>
      <c r="O155" s="1077"/>
      <c r="P155" s="1077"/>
      <c r="Q155" s="1077"/>
    </row>
    <row r="156" spans="1:17" ht="39.75" customHeight="1">
      <c r="A156" s="1077"/>
      <c r="B156" s="1175"/>
      <c r="C156" s="1084"/>
      <c r="D156" s="1175"/>
      <c r="E156" s="1175"/>
      <c r="F156" s="1175"/>
      <c r="G156" s="1175"/>
      <c r="H156" s="1175"/>
      <c r="I156" s="1175"/>
      <c r="J156" s="1173"/>
      <c r="K156" s="1173"/>
      <c r="L156" s="1173"/>
      <c r="M156" s="1077"/>
      <c r="N156" s="1077"/>
      <c r="O156" s="1077"/>
      <c r="P156" s="1077"/>
      <c r="Q156" s="1077"/>
    </row>
    <row r="157" spans="1:17">
      <c r="A157" s="1077"/>
      <c r="B157" s="1338" t="s">
        <v>1268</v>
      </c>
      <c r="C157" s="1338"/>
      <c r="D157" s="1338"/>
      <c r="E157" s="1338"/>
      <c r="F157" s="1338"/>
      <c r="G157" s="1338"/>
      <c r="H157" s="1338"/>
      <c r="I157" s="1175"/>
      <c r="J157" s="1173"/>
      <c r="K157" s="1173"/>
      <c r="L157" s="1173"/>
      <c r="M157" s="1077"/>
      <c r="N157" s="1077"/>
      <c r="O157" s="1077"/>
      <c r="P157" s="1077"/>
      <c r="Q157" s="1077"/>
    </row>
    <row r="158" spans="1:17">
      <c r="A158" s="1077"/>
      <c r="B158" s="1080"/>
      <c r="C158" s="1080"/>
      <c r="D158" s="1080"/>
      <c r="E158" s="1080"/>
      <c r="F158" s="1083"/>
      <c r="G158" s="1077"/>
      <c r="H158" s="1083"/>
      <c r="I158" s="1077"/>
      <c r="J158" s="1083"/>
      <c r="K158" s="1213"/>
      <c r="L158" s="1213"/>
      <c r="M158" s="1173"/>
      <c r="N158" s="1173"/>
      <c r="O158" s="1173"/>
      <c r="P158" s="1173"/>
      <c r="Q158" s="1173"/>
    </row>
    <row r="159" spans="1:17">
      <c r="A159" s="1077"/>
      <c r="B159" s="1080" t="s">
        <v>1</v>
      </c>
      <c r="C159" s="1176"/>
      <c r="D159" s="1176"/>
      <c r="E159" s="1176"/>
      <c r="F159" s="1083"/>
      <c r="G159" s="1077"/>
      <c r="H159" s="1080"/>
      <c r="I159" s="1077"/>
      <c r="J159" s="1080"/>
      <c r="K159" s="1213"/>
      <c r="L159" s="1213"/>
      <c r="M159" s="1173"/>
      <c r="N159" s="1173"/>
      <c r="O159" s="1173"/>
      <c r="P159" s="1173"/>
      <c r="Q159" s="1173"/>
    </row>
    <row r="160" spans="1:17">
      <c r="A160" s="1077"/>
      <c r="B160" s="1089" t="s">
        <v>2</v>
      </c>
      <c r="C160" s="1176"/>
      <c r="D160" s="1177" t="s">
        <v>3</v>
      </c>
      <c r="E160" s="1089"/>
      <c r="F160" s="1090"/>
      <c r="G160" s="1077"/>
      <c r="H160" s="1178" t="s">
        <v>204</v>
      </c>
      <c r="I160" s="1077"/>
      <c r="J160" s="1214"/>
      <c r="K160" s="1077"/>
      <c r="L160" s="1077"/>
      <c r="M160" s="1077"/>
      <c r="N160" s="1077"/>
      <c r="O160" s="1077"/>
      <c r="P160" s="1077"/>
      <c r="Q160" s="1077"/>
    </row>
    <row r="161" spans="1:17">
      <c r="A161" s="1077"/>
      <c r="B161" s="1080"/>
      <c r="C161" s="1176"/>
      <c r="D161" s="1176"/>
      <c r="E161" s="1080"/>
      <c r="F161" s="1083"/>
      <c r="G161" s="1080"/>
      <c r="H161" s="1080" t="s">
        <v>8</v>
      </c>
      <c r="I161" s="1080"/>
      <c r="J161" s="1080"/>
      <c r="K161" s="1077"/>
      <c r="L161" s="1077"/>
      <c r="M161" s="1077"/>
      <c r="N161" s="1077"/>
      <c r="O161" s="1077"/>
      <c r="P161" s="1077"/>
      <c r="Q161" s="1077"/>
    </row>
    <row r="162" spans="1:17">
      <c r="A162" s="1077"/>
      <c r="B162" s="1080"/>
      <c r="C162" s="1176"/>
      <c r="D162" s="1194"/>
      <c r="E162" s="1080"/>
      <c r="F162" s="65"/>
      <c r="G162" s="1080"/>
      <c r="H162" s="1186"/>
      <c r="I162" s="1186"/>
      <c r="J162" s="1186"/>
      <c r="K162" s="1186"/>
      <c r="L162" s="1186"/>
      <c r="M162" s="1186"/>
      <c r="N162" s="1077"/>
      <c r="O162" s="1077"/>
      <c r="P162" s="1077"/>
      <c r="Q162" s="1077"/>
    </row>
    <row r="163" spans="1:17">
      <c r="A163" s="1077"/>
      <c r="B163" s="1083"/>
      <c r="C163" s="1077"/>
      <c r="D163" s="1182" t="s">
        <v>1316</v>
      </c>
      <c r="E163" s="1077"/>
      <c r="F163" s="1077"/>
      <c r="G163" s="1077"/>
      <c r="H163" s="1186"/>
      <c r="I163" s="1186"/>
      <c r="J163" s="1186"/>
      <c r="K163" s="1186"/>
      <c r="L163" s="1186"/>
      <c r="M163" s="1186"/>
      <c r="N163" s="1077"/>
      <c r="O163" s="1077"/>
      <c r="P163" s="1077"/>
      <c r="Q163" s="1077"/>
    </row>
    <row r="164" spans="1:17">
      <c r="A164" s="1077"/>
      <c r="B164" s="1083"/>
      <c r="C164" s="1077"/>
      <c r="D164" s="1172"/>
      <c r="E164" s="1077"/>
      <c r="F164" s="1077"/>
      <c r="G164" s="1077"/>
      <c r="H164" s="1186"/>
      <c r="I164" s="1186"/>
      <c r="J164" s="1186"/>
      <c r="K164" s="1186"/>
      <c r="L164" s="1186"/>
      <c r="M164" s="1186"/>
      <c r="N164" s="1077"/>
      <c r="O164" s="1077"/>
      <c r="P164" s="1077"/>
      <c r="Q164" s="1077"/>
    </row>
    <row r="165" spans="1:17">
      <c r="A165" s="1077"/>
      <c r="B165" s="1083"/>
      <c r="C165" s="1077"/>
      <c r="D165" s="1194" t="s">
        <v>1317</v>
      </c>
      <c r="E165" s="1077"/>
      <c r="F165" s="1077"/>
      <c r="G165" s="1077"/>
      <c r="H165" s="1077"/>
      <c r="I165" s="1077"/>
      <c r="J165" s="1077"/>
      <c r="K165" s="1077"/>
      <c r="L165" s="1077"/>
      <c r="M165" s="1077"/>
      <c r="N165" s="1077"/>
      <c r="O165" s="1077"/>
      <c r="P165" s="1077"/>
      <c r="Q165" s="1077"/>
    </row>
    <row r="166" spans="1:17">
      <c r="A166" s="1077"/>
      <c r="B166" s="1080">
        <f>MAX($B$13:B165)+1</f>
        <v>77</v>
      </c>
      <c r="C166" s="1077"/>
      <c r="D166" s="1188" t="s">
        <v>1318</v>
      </c>
      <c r="E166" s="1077"/>
      <c r="F166" s="1186">
        <v>0.37868623231818693</v>
      </c>
      <c r="G166" s="1077"/>
      <c r="H166" s="1077"/>
      <c r="I166" s="1077"/>
      <c r="J166" s="1077"/>
      <c r="K166" s="1077"/>
      <c r="L166" s="1077"/>
      <c r="M166" s="1077"/>
      <c r="N166" s="1077"/>
      <c r="O166" s="1077"/>
      <c r="P166" s="1077"/>
      <c r="Q166" s="1077"/>
    </row>
    <row r="167" spans="1:17">
      <c r="A167" s="1077"/>
      <c r="B167" s="1080">
        <f>MAX($B$13:B166)+1</f>
        <v>78</v>
      </c>
      <c r="C167" s="1077"/>
      <c r="D167" s="1194" t="s">
        <v>1317</v>
      </c>
      <c r="E167" s="1077"/>
      <c r="F167" s="1199">
        <f>F166</f>
        <v>0.37868623231818693</v>
      </c>
      <c r="G167" s="1077"/>
      <c r="H167" s="1192">
        <f>F167</f>
        <v>0.37868623231818693</v>
      </c>
      <c r="I167" s="1077"/>
      <c r="J167" s="1077"/>
      <c r="K167" s="1077"/>
      <c r="L167" s="1077"/>
      <c r="M167" s="1077"/>
      <c r="N167" s="1077"/>
      <c r="O167" s="1077"/>
      <c r="P167" s="1077"/>
      <c r="Q167" s="1077"/>
    </row>
    <row r="168" spans="1:17">
      <c r="A168" s="1077"/>
      <c r="B168" s="1083"/>
      <c r="C168" s="1077"/>
      <c r="D168" s="1077"/>
      <c r="E168" s="1077"/>
      <c r="F168" s="1077"/>
      <c r="G168" s="1077"/>
      <c r="H168" s="1077"/>
      <c r="I168" s="1077"/>
      <c r="J168" s="1077"/>
      <c r="K168" s="1173"/>
      <c r="L168" s="1173"/>
      <c r="M168" s="1077"/>
      <c r="N168" s="1077"/>
      <c r="O168" s="1077"/>
      <c r="P168" s="1077"/>
      <c r="Q168" s="1077"/>
    </row>
    <row r="169" spans="1:17">
      <c r="A169" s="1077"/>
      <c r="B169" s="1083"/>
      <c r="C169" s="1077"/>
      <c r="D169" s="1183" t="s">
        <v>1319</v>
      </c>
      <c r="E169" s="1077"/>
      <c r="F169" s="1077"/>
      <c r="G169" s="1077"/>
      <c r="H169" s="1077"/>
      <c r="I169" s="1077"/>
      <c r="J169" s="1077"/>
      <c r="K169" s="1173"/>
      <c r="L169" s="1173"/>
      <c r="M169" s="1077"/>
      <c r="N169" s="1077"/>
      <c r="O169" s="1077"/>
      <c r="P169" s="1077"/>
      <c r="Q169" s="1077"/>
    </row>
    <row r="170" spans="1:17">
      <c r="A170" s="1077"/>
      <c r="B170" s="1083"/>
      <c r="C170" s="1077"/>
      <c r="D170" s="1185" t="s">
        <v>1320</v>
      </c>
      <c r="E170" s="1077"/>
      <c r="F170" s="1077"/>
      <c r="G170" s="1077"/>
      <c r="H170" s="1077"/>
      <c r="I170" s="1077"/>
      <c r="J170" s="1077"/>
      <c r="K170" s="1173"/>
      <c r="L170" s="1173"/>
      <c r="M170" s="1077"/>
      <c r="N170" s="1077"/>
      <c r="O170" s="1077"/>
      <c r="P170" s="1077"/>
      <c r="Q170" s="1077"/>
    </row>
    <row r="171" spans="1:17">
      <c r="A171" s="1077"/>
      <c r="B171" s="1080"/>
      <c r="C171" s="1077"/>
      <c r="D171" s="1215" t="s">
        <v>1321</v>
      </c>
      <c r="E171" s="1077"/>
      <c r="F171" s="1077"/>
      <c r="G171" s="1077"/>
      <c r="H171" s="1077"/>
      <c r="I171" s="1077"/>
      <c r="J171" s="1077"/>
      <c r="K171" s="1173"/>
      <c r="L171" s="1173"/>
      <c r="M171" s="1077"/>
      <c r="N171" s="1077"/>
      <c r="O171" s="1077"/>
      <c r="P171" s="1077"/>
      <c r="Q171" s="1077"/>
    </row>
    <row r="172" spans="1:17">
      <c r="A172" s="1077"/>
      <c r="B172" s="1080">
        <f>MAX($B$13:B171)+1</f>
        <v>79</v>
      </c>
      <c r="C172" s="1077"/>
      <c r="D172" s="1215" t="s">
        <v>1322</v>
      </c>
      <c r="E172" s="1077"/>
      <c r="F172" s="1186">
        <v>29.139199999999999</v>
      </c>
      <c r="G172" s="1077"/>
      <c r="H172" s="1192">
        <f>F172</f>
        <v>29.139199999999999</v>
      </c>
      <c r="I172" s="1077"/>
      <c r="J172" s="1077"/>
      <c r="K172" s="1173"/>
      <c r="L172" s="1077"/>
      <c r="M172" s="1077"/>
      <c r="N172" s="1077"/>
      <c r="O172" s="1077"/>
      <c r="P172" s="1077"/>
      <c r="Q172" s="1077"/>
    </row>
    <row r="173" spans="1:17">
      <c r="A173" s="1077"/>
      <c r="B173" s="1080"/>
      <c r="C173" s="1077"/>
      <c r="D173" s="1185" t="s">
        <v>1323</v>
      </c>
      <c r="E173" s="1077"/>
      <c r="F173" s="1195"/>
      <c r="G173" s="1195"/>
      <c r="H173" s="1195"/>
      <c r="I173" s="1077"/>
      <c r="J173" s="1077"/>
      <c r="K173" s="1173"/>
      <c r="L173" s="1173"/>
      <c r="M173" s="1077"/>
      <c r="N173" s="1077"/>
      <c r="O173" s="1077"/>
      <c r="P173" s="1077"/>
      <c r="Q173" s="1077"/>
    </row>
    <row r="174" spans="1:17">
      <c r="A174" s="1077"/>
      <c r="B174" s="1080"/>
      <c r="C174" s="1077"/>
      <c r="D174" s="1215" t="s">
        <v>1321</v>
      </c>
      <c r="E174" s="1077"/>
      <c r="F174" s="1077"/>
      <c r="G174" s="1077"/>
      <c r="H174" s="1077"/>
      <c r="I174" s="1077"/>
      <c r="J174" s="1077"/>
      <c r="K174" s="1173"/>
      <c r="L174" s="1173"/>
      <c r="M174" s="1077"/>
      <c r="N174" s="1077"/>
      <c r="O174" s="1077"/>
      <c r="P174" s="1077"/>
      <c r="Q174" s="1077"/>
    </row>
    <row r="175" spans="1:17">
      <c r="A175" s="1077"/>
      <c r="B175" s="1080">
        <f>MAX($B$13:B174)+1</f>
        <v>80</v>
      </c>
      <c r="C175" s="1077"/>
      <c r="D175" s="1215" t="s">
        <v>1324</v>
      </c>
      <c r="E175" s="1077"/>
      <c r="F175" s="1186">
        <v>72.847999999999999</v>
      </c>
      <c r="G175" s="1077"/>
      <c r="H175" s="1192">
        <f>F175</f>
        <v>72.847999999999999</v>
      </c>
      <c r="I175" s="1077"/>
      <c r="J175" s="1077"/>
      <c r="K175" s="1173"/>
      <c r="L175" s="1077"/>
      <c r="M175" s="1077"/>
      <c r="N175" s="1077"/>
      <c r="O175" s="1077"/>
      <c r="P175" s="1077"/>
      <c r="Q175" s="1077"/>
    </row>
    <row r="176" spans="1:17">
      <c r="A176" s="1077"/>
      <c r="B176" s="1083"/>
      <c r="C176" s="1077"/>
      <c r="D176" s="1215"/>
      <c r="E176" s="1077"/>
      <c r="F176" s="1077"/>
      <c r="G176" s="1077"/>
      <c r="H176" s="1077"/>
      <c r="I176" s="1077"/>
      <c r="J176" s="1077"/>
      <c r="K176" s="1173"/>
      <c r="L176" s="1173"/>
      <c r="M176" s="1077"/>
      <c r="N176" s="1077"/>
      <c r="O176" s="1077"/>
      <c r="P176" s="1077"/>
      <c r="Q176" s="1077"/>
    </row>
    <row r="177" spans="1:18">
      <c r="A177" s="1077"/>
      <c r="B177" s="1083"/>
      <c r="C177" s="1077"/>
      <c r="D177" s="1183" t="s">
        <v>1325</v>
      </c>
      <c r="E177" s="1077"/>
      <c r="F177" s="1077"/>
      <c r="G177" s="1077"/>
      <c r="H177" s="1077"/>
      <c r="I177" s="1077"/>
      <c r="J177" s="1077"/>
      <c r="K177" s="1077"/>
      <c r="L177" s="1077"/>
      <c r="M177" s="1077"/>
      <c r="N177" s="1077"/>
      <c r="O177" s="1077"/>
      <c r="P177" s="1077"/>
      <c r="Q177" s="1077"/>
    </row>
    <row r="178" spans="1:18">
      <c r="A178" s="1077"/>
      <c r="B178" s="1080">
        <f>MAX($B$13:B177)+1</f>
        <v>81</v>
      </c>
      <c r="C178" s="1077"/>
      <c r="D178" s="1188" t="s">
        <v>1326</v>
      </c>
      <c r="E178" s="1077"/>
      <c r="F178" s="1216">
        <v>0.59706237966878628</v>
      </c>
      <c r="G178" s="1217"/>
      <c r="H178" s="1216"/>
      <c r="I178" s="1077"/>
      <c r="J178" s="1077"/>
      <c r="K178" s="1077"/>
      <c r="L178" s="1077"/>
      <c r="M178" s="1077"/>
      <c r="N178" s="1077"/>
      <c r="O178" s="1077"/>
      <c r="P178" s="1077"/>
      <c r="Q178" s="1077"/>
    </row>
    <row r="179" spans="1:18">
      <c r="A179" s="1077"/>
      <c r="B179" s="1080">
        <f>MAX($B$13:B178)+1</f>
        <v>82</v>
      </c>
      <c r="C179" s="1077"/>
      <c r="D179" s="1188" t="s">
        <v>1327</v>
      </c>
      <c r="E179" s="1077"/>
      <c r="F179" s="1216">
        <v>0.23061759595368148</v>
      </c>
      <c r="G179" s="1217"/>
      <c r="H179" s="1216"/>
      <c r="I179" s="1077"/>
      <c r="J179" s="1077"/>
      <c r="K179" s="1077"/>
      <c r="L179" s="1077"/>
      <c r="M179" s="1077"/>
      <c r="N179" s="1077"/>
      <c r="O179" s="1077"/>
      <c r="P179" s="1077"/>
      <c r="Q179" s="1077"/>
    </row>
    <row r="180" spans="1:18">
      <c r="A180" s="1077"/>
      <c r="B180" s="1080">
        <f>MAX($B$13:B179)+1</f>
        <v>83</v>
      </c>
      <c r="C180" s="1077"/>
      <c r="D180" s="1194" t="s">
        <v>1328</v>
      </c>
      <c r="E180" s="1077"/>
      <c r="F180" s="1218">
        <f>F178+F179</f>
        <v>0.82767997562246776</v>
      </c>
      <c r="G180" s="1217"/>
      <c r="H180" s="1219">
        <f>F180</f>
        <v>0.82767997562246776</v>
      </c>
      <c r="I180" s="1077"/>
      <c r="J180" s="1077"/>
      <c r="K180" s="1077"/>
      <c r="L180" s="1077"/>
      <c r="M180" s="1077"/>
      <c r="N180" s="1077"/>
      <c r="O180" s="1077"/>
      <c r="P180" s="1077"/>
      <c r="Q180" s="1077"/>
    </row>
    <row r="181" spans="1:18">
      <c r="A181" s="1077"/>
      <c r="B181" s="1083"/>
      <c r="C181" s="1077"/>
      <c r="D181" s="1195"/>
      <c r="E181" s="1195"/>
      <c r="F181" s="1195"/>
      <c r="G181" s="1195"/>
      <c r="H181" s="1195"/>
      <c r="I181" s="1077"/>
      <c r="J181" s="1077"/>
      <c r="K181" s="1077"/>
      <c r="L181" s="1193"/>
      <c r="M181" s="1077"/>
      <c r="N181" s="1077"/>
      <c r="O181" s="1077"/>
      <c r="P181" s="1077"/>
      <c r="Q181" s="1105"/>
      <c r="R181" s="1220"/>
    </row>
    <row r="182" spans="1:18">
      <c r="A182" s="1077"/>
      <c r="B182" s="1083"/>
      <c r="C182" s="1077"/>
      <c r="D182" s="1194" t="s">
        <v>1329</v>
      </c>
      <c r="E182" s="1077"/>
      <c r="F182" s="1077"/>
      <c r="G182" s="1077"/>
      <c r="H182" s="1077"/>
      <c r="I182" s="1077"/>
      <c r="J182" s="1077"/>
      <c r="K182" s="1077"/>
      <c r="L182" s="1077"/>
      <c r="M182" s="1077"/>
      <c r="N182" s="1077"/>
      <c r="O182" s="1077"/>
      <c r="P182" s="1077"/>
      <c r="Q182" s="1105"/>
      <c r="R182" s="544"/>
    </row>
    <row r="183" spans="1:18">
      <c r="A183" s="1077"/>
      <c r="B183" s="1080">
        <f>MAX($B$13:B182)+1</f>
        <v>84</v>
      </c>
      <c r="C183" s="1077"/>
      <c r="D183" s="1188" t="s">
        <v>1330</v>
      </c>
      <c r="E183" s="1077"/>
      <c r="F183" s="1186">
        <v>2.3631912328767126</v>
      </c>
      <c r="G183" s="1077"/>
      <c r="H183" s="1186"/>
      <c r="I183" s="1077"/>
      <c r="J183" s="1077"/>
      <c r="K183" s="1077"/>
      <c r="L183" s="1077"/>
      <c r="M183" s="1077"/>
      <c r="N183" s="1077"/>
      <c r="O183" s="1077"/>
      <c r="P183" s="1077"/>
      <c r="Q183" s="1105"/>
      <c r="R183" s="544"/>
    </row>
    <row r="184" spans="1:18">
      <c r="A184" s="1077"/>
      <c r="B184" s="1080">
        <f>MAX($B$13:B183)+1</f>
        <v>85</v>
      </c>
      <c r="C184" s="1077"/>
      <c r="D184" s="1188" t="s">
        <v>1331</v>
      </c>
      <c r="E184" s="1077"/>
      <c r="F184" s="1186">
        <v>1.9704999999999999</v>
      </c>
      <c r="G184" s="1077"/>
      <c r="H184" s="1186"/>
      <c r="I184" s="1077"/>
      <c r="J184" s="1077"/>
      <c r="K184" s="1077"/>
      <c r="L184" s="1077"/>
      <c r="M184" s="1077"/>
      <c r="N184" s="1077"/>
      <c r="O184" s="1077"/>
      <c r="P184" s="1077"/>
      <c r="Q184" s="1105"/>
      <c r="R184" s="544"/>
    </row>
    <row r="185" spans="1:18">
      <c r="A185" s="1077"/>
      <c r="B185" s="1080">
        <f>MAX($B$13:B184)+1</f>
        <v>86</v>
      </c>
      <c r="C185" s="1077"/>
      <c r="D185" s="1194" t="s">
        <v>1332</v>
      </c>
      <c r="E185" s="1077"/>
      <c r="F185" s="1199">
        <f>F183+F184</f>
        <v>4.3336912328767125</v>
      </c>
      <c r="G185" s="1077"/>
      <c r="H185" s="1192">
        <f>F185</f>
        <v>4.3336912328767125</v>
      </c>
      <c r="I185" s="1077"/>
      <c r="J185" s="1077"/>
      <c r="K185" s="1077"/>
      <c r="L185" s="1077"/>
      <c r="M185" s="1077"/>
      <c r="N185" s="1077"/>
      <c r="O185" s="1077"/>
      <c r="P185" s="1077"/>
      <c r="Q185" s="1105"/>
      <c r="R185" s="1220"/>
    </row>
    <row r="186" spans="1:18">
      <c r="A186" s="1077"/>
      <c r="B186" s="1083"/>
      <c r="C186" s="1077"/>
      <c r="D186" s="1077"/>
      <c r="E186" s="1077"/>
      <c r="F186" s="1077"/>
      <c r="G186" s="1077"/>
      <c r="H186" s="1077"/>
      <c r="I186" s="1077"/>
      <c r="J186" s="1077"/>
      <c r="K186" s="1077"/>
      <c r="L186" s="1077"/>
      <c r="M186" s="1077"/>
      <c r="N186" s="1077"/>
      <c r="O186" s="1077"/>
      <c r="P186" s="1077"/>
      <c r="Q186" s="1105"/>
      <c r="R186" s="1220"/>
    </row>
    <row r="187" spans="1:18">
      <c r="A187" s="1077"/>
      <c r="B187" s="1083"/>
      <c r="C187" s="1077"/>
      <c r="D187" s="1194" t="s">
        <v>1333</v>
      </c>
      <c r="E187" s="1077"/>
      <c r="F187" s="1077"/>
      <c r="G187" s="1077"/>
      <c r="H187" s="1077"/>
      <c r="I187" s="1077"/>
      <c r="J187" s="1077"/>
      <c r="K187" s="1077"/>
      <c r="L187" s="1203"/>
      <c r="M187" s="1077"/>
      <c r="N187" s="1196"/>
      <c r="O187" s="1077"/>
      <c r="P187" s="1077"/>
      <c r="Q187" s="1105"/>
      <c r="R187" s="1220"/>
    </row>
    <row r="188" spans="1:18">
      <c r="A188" s="1077"/>
      <c r="B188" s="1080">
        <f>MAX($B$13:B187)+1</f>
        <v>87</v>
      </c>
      <c r="C188" s="1077"/>
      <c r="D188" s="1188" t="s">
        <v>1318</v>
      </c>
      <c r="E188" s="1077"/>
      <c r="F188" s="1186">
        <v>0.91952547945205476</v>
      </c>
      <c r="G188" s="1077"/>
      <c r="H188" s="1186"/>
      <c r="I188" s="1217"/>
      <c r="J188" s="1077"/>
      <c r="K188" s="1077"/>
      <c r="L188" s="1203"/>
      <c r="M188" s="1077"/>
      <c r="N188" s="1077"/>
      <c r="O188" s="1077"/>
      <c r="P188" s="1077"/>
      <c r="Q188" s="1105"/>
      <c r="R188" s="1220"/>
    </row>
    <row r="189" spans="1:18">
      <c r="A189" s="1077"/>
      <c r="B189" s="1080">
        <f>MAX($B$13:B188)+1</f>
        <v>88</v>
      </c>
      <c r="C189" s="1077"/>
      <c r="D189" s="1188" t="s">
        <v>1286</v>
      </c>
      <c r="E189" s="1077"/>
      <c r="F189" s="1186">
        <v>0.25659999999999999</v>
      </c>
      <c r="G189" s="1077"/>
      <c r="H189" s="1186"/>
      <c r="I189" s="1217"/>
      <c r="J189" s="1077"/>
      <c r="K189" s="1077"/>
      <c r="M189" s="1077"/>
      <c r="N189" s="1129"/>
      <c r="O189" s="1221"/>
      <c r="P189" s="1077"/>
      <c r="Q189" s="1105"/>
      <c r="R189" s="1222"/>
    </row>
    <row r="190" spans="1:18">
      <c r="A190" s="1077"/>
      <c r="B190" s="1080">
        <f>MAX($B$13:B189)+1</f>
        <v>89</v>
      </c>
      <c r="C190" s="1077"/>
      <c r="D190" s="1194" t="s">
        <v>1333</v>
      </c>
      <c r="E190" s="1077"/>
      <c r="F190" s="1199">
        <f>F188+F189</f>
        <v>1.1761254794520548</v>
      </c>
      <c r="G190" s="1077"/>
      <c r="H190" s="1192">
        <f>F190</f>
        <v>1.1761254794520548</v>
      </c>
      <c r="I190" s="1217"/>
      <c r="J190" s="1077"/>
      <c r="K190" s="1077"/>
      <c r="L190" s="1077"/>
      <c r="M190" s="1077"/>
      <c r="N190" s="1129"/>
      <c r="O190" s="528"/>
      <c r="P190" s="1077"/>
      <c r="Q190" s="1129"/>
      <c r="R190" s="1223"/>
    </row>
    <row r="191" spans="1:18">
      <c r="A191" s="1077"/>
      <c r="B191" s="1083"/>
      <c r="C191" s="1077"/>
      <c r="D191" s="1077"/>
      <c r="E191" s="1077"/>
      <c r="F191" s="1224"/>
      <c r="G191" s="1225"/>
      <c r="H191" s="1224"/>
      <c r="I191" s="1077"/>
      <c r="J191" s="1077"/>
      <c r="K191" s="1077"/>
      <c r="L191" s="1077"/>
      <c r="M191" s="1077"/>
      <c r="N191" s="1129"/>
      <c r="O191" s="1226"/>
      <c r="P191" s="1077"/>
      <c r="Q191" s="1129"/>
      <c r="R191" s="1227"/>
    </row>
    <row r="192" spans="1:18">
      <c r="A192" s="1077"/>
      <c r="B192" s="1083"/>
      <c r="C192" s="1077"/>
      <c r="D192" s="1194" t="s">
        <v>1334</v>
      </c>
      <c r="E192" s="1077"/>
      <c r="F192" s="1224"/>
      <c r="G192" s="1225"/>
      <c r="H192" s="1224"/>
      <c r="I192" s="1077"/>
      <c r="J192" s="1077"/>
      <c r="K192" s="1077"/>
      <c r="L192" s="1077"/>
      <c r="M192" s="1077"/>
      <c r="N192" s="1105"/>
      <c r="O192" s="1105"/>
      <c r="P192" s="1077"/>
      <c r="Q192" s="1129"/>
      <c r="R192" s="1226"/>
    </row>
    <row r="193" spans="1:18" ht="15.75">
      <c r="A193" s="1077"/>
      <c r="B193" s="1080">
        <f>MAX($B$13:B192)+1</f>
        <v>90</v>
      </c>
      <c r="C193" s="1077"/>
      <c r="D193" s="1188" t="s">
        <v>1335</v>
      </c>
      <c r="E193" s="1077"/>
      <c r="F193" s="1216">
        <v>5.8191780821917817E-2</v>
      </c>
      <c r="G193" s="1217"/>
      <c r="H193" s="1216"/>
      <c r="I193" s="1077"/>
      <c r="J193" s="1077"/>
      <c r="K193" s="1077"/>
      <c r="L193" s="1203"/>
      <c r="M193" s="1077"/>
      <c r="N193" s="1228"/>
      <c r="O193" s="1229"/>
      <c r="P193" s="1077"/>
      <c r="Q193" s="1105"/>
      <c r="R193" s="1105"/>
    </row>
    <row r="194" spans="1:18" ht="15.75">
      <c r="A194" s="1077"/>
      <c r="B194" s="1080">
        <f>MAX($B$13:B193)+1</f>
        <v>91</v>
      </c>
      <c r="C194" s="1077"/>
      <c r="D194" s="1188" t="s">
        <v>1327</v>
      </c>
      <c r="E194" s="1077"/>
      <c r="F194" s="1216">
        <v>1.23E-2</v>
      </c>
      <c r="G194" s="1217"/>
      <c r="H194" s="1216"/>
      <c r="I194" s="1077"/>
      <c r="J194" s="1077"/>
      <c r="K194" s="1077"/>
      <c r="L194" s="1077"/>
      <c r="M194" s="1077"/>
      <c r="N194" s="1208"/>
      <c r="O194" s="1208"/>
      <c r="P194" s="1077"/>
      <c r="Q194" s="1228"/>
      <c r="R194" s="1229"/>
    </row>
    <row r="195" spans="1:18">
      <c r="A195" s="1077"/>
      <c r="B195" s="1080">
        <f>MAX($B$13:B194)+1</f>
        <v>92</v>
      </c>
      <c r="C195" s="1077"/>
      <c r="D195" s="1194" t="s">
        <v>1336</v>
      </c>
      <c r="E195" s="1077"/>
      <c r="F195" s="1219">
        <f>F193+F194</f>
        <v>7.0491780821917815E-2</v>
      </c>
      <c r="G195" s="1217"/>
      <c r="H195" s="1219">
        <f>F195</f>
        <v>7.0491780821917815E-2</v>
      </c>
      <c r="I195" s="1077"/>
      <c r="J195" s="1077"/>
      <c r="K195" s="1077"/>
      <c r="L195" s="1077"/>
      <c r="M195" s="1077"/>
      <c r="N195" s="1077"/>
      <c r="O195" s="1077"/>
      <c r="P195" s="1077"/>
      <c r="Q195" s="1077"/>
    </row>
    <row r="196" spans="1:18">
      <c r="A196" s="1077"/>
      <c r="B196" s="1083"/>
      <c r="C196" s="1077"/>
      <c r="D196" s="1077"/>
      <c r="E196" s="1077"/>
      <c r="F196" s="1077"/>
      <c r="G196" s="1077"/>
      <c r="H196" s="1077"/>
      <c r="I196" s="1077"/>
      <c r="J196" s="1077"/>
      <c r="K196" s="1077"/>
      <c r="L196" s="1077"/>
      <c r="M196" s="1077"/>
      <c r="N196" s="1077"/>
      <c r="O196" s="1077"/>
      <c r="P196" s="1077"/>
      <c r="Q196" s="1077"/>
    </row>
    <row r="197" spans="1:18">
      <c r="A197" s="1077"/>
      <c r="B197" s="1083"/>
      <c r="C197" s="1077"/>
      <c r="D197" s="1194" t="s">
        <v>1337</v>
      </c>
      <c r="E197" s="1077"/>
      <c r="F197" s="1077"/>
      <c r="G197" s="1077"/>
      <c r="H197" s="1077"/>
      <c r="I197" s="1077"/>
      <c r="J197" s="1077"/>
      <c r="K197" s="1077"/>
      <c r="L197" s="1077"/>
      <c r="M197" s="1077"/>
      <c r="N197" s="1077"/>
      <c r="O197" s="1077"/>
      <c r="P197" s="1077"/>
      <c r="Q197" s="1077"/>
    </row>
    <row r="198" spans="1:18">
      <c r="A198" s="1077"/>
      <c r="B198" s="1080">
        <f>MAX($B$13:B197)+1</f>
        <v>93</v>
      </c>
      <c r="C198" s="1077"/>
      <c r="D198" s="1188" t="s">
        <v>1338</v>
      </c>
      <c r="E198" s="1077"/>
      <c r="F198" s="1186">
        <v>1.4062389041095891</v>
      </c>
      <c r="G198" s="1077"/>
      <c r="H198" s="1186"/>
      <c r="I198" s="1077"/>
      <c r="J198" s="1077"/>
      <c r="K198" s="1077"/>
      <c r="L198" s="1077"/>
      <c r="M198" s="1077"/>
      <c r="N198" s="1077"/>
      <c r="O198" s="1077"/>
      <c r="P198" s="1077"/>
      <c r="Q198" s="1077"/>
    </row>
    <row r="199" spans="1:18">
      <c r="A199" s="1077"/>
      <c r="B199" s="1080">
        <f>MAX($B$13:B198)+1</f>
        <v>94</v>
      </c>
      <c r="C199" s="1077"/>
      <c r="D199" s="1188" t="s">
        <v>1339</v>
      </c>
      <c r="E199" s="1077"/>
      <c r="F199" s="1186">
        <v>0.1643</v>
      </c>
      <c r="G199" s="1077"/>
      <c r="H199" s="1186"/>
      <c r="I199" s="1077"/>
      <c r="J199" s="1077"/>
      <c r="K199" s="1077"/>
      <c r="L199" s="1077"/>
      <c r="M199" s="1077"/>
      <c r="N199" s="1077"/>
      <c r="O199" s="1077"/>
      <c r="P199" s="1077"/>
      <c r="Q199" s="1077"/>
    </row>
    <row r="200" spans="1:18">
      <c r="A200" s="1077"/>
      <c r="B200" s="1080">
        <f>MAX($B$13:B199)+1</f>
        <v>95</v>
      </c>
      <c r="C200" s="1077"/>
      <c r="D200" s="1194" t="s">
        <v>1337</v>
      </c>
      <c r="E200" s="1077"/>
      <c r="F200" s="1199">
        <f>F198+F199</f>
        <v>1.570538904109589</v>
      </c>
      <c r="G200" s="1077"/>
      <c r="H200" s="1192">
        <f>F200</f>
        <v>1.570538904109589</v>
      </c>
      <c r="I200" s="1077"/>
      <c r="J200" s="1077"/>
      <c r="K200" s="1077"/>
      <c r="L200" s="1077"/>
      <c r="M200" s="1077"/>
      <c r="N200" s="1077"/>
      <c r="O200" s="1077"/>
      <c r="P200" s="1077"/>
      <c r="Q200" s="1077"/>
    </row>
    <row r="201" spans="1:18">
      <c r="A201" s="1077"/>
      <c r="B201" s="1083"/>
      <c r="C201" s="1077"/>
      <c r="D201" s="1077"/>
      <c r="E201" s="1077"/>
      <c r="F201" s="1077"/>
      <c r="G201" s="1077"/>
      <c r="H201" s="1077"/>
      <c r="I201" s="1077"/>
      <c r="J201" s="1077"/>
      <c r="K201" s="1077"/>
      <c r="L201" s="1077"/>
      <c r="M201" s="1077"/>
      <c r="N201" s="1077"/>
      <c r="O201" s="1077"/>
      <c r="P201" s="1077"/>
      <c r="Q201" s="1077"/>
    </row>
    <row r="202" spans="1:18">
      <c r="A202" s="1077"/>
      <c r="B202" s="1083"/>
      <c r="C202" s="1077"/>
      <c r="D202" s="1194" t="s">
        <v>1340</v>
      </c>
      <c r="E202" s="1077"/>
      <c r="F202" s="1077"/>
      <c r="G202" s="1077"/>
      <c r="H202" s="1077"/>
      <c r="I202" s="1077"/>
      <c r="J202" s="1077"/>
      <c r="K202" s="1077"/>
      <c r="L202" s="1077"/>
      <c r="M202" s="1077"/>
      <c r="N202" s="1077"/>
      <c r="O202" s="1077"/>
      <c r="P202" s="1077"/>
      <c r="Q202" s="1077"/>
    </row>
    <row r="203" spans="1:18">
      <c r="A203" s="1077"/>
      <c r="B203" s="1080">
        <f>MAX($B$13:B202)+1</f>
        <v>96</v>
      </c>
      <c r="C203" s="1077"/>
      <c r="D203" s="1188" t="s">
        <v>1338</v>
      </c>
      <c r="E203" s="1077"/>
      <c r="F203" s="1186">
        <v>1.0931375342465754</v>
      </c>
      <c r="G203" s="1077"/>
      <c r="H203" s="1186"/>
      <c r="I203" s="1077"/>
      <c r="J203" s="1077"/>
      <c r="K203" s="1077"/>
      <c r="L203" s="1077"/>
      <c r="M203" s="1077"/>
      <c r="N203" s="1077"/>
      <c r="O203" s="1077"/>
      <c r="P203" s="1077"/>
      <c r="Q203" s="1077"/>
    </row>
    <row r="204" spans="1:18">
      <c r="A204" s="1077"/>
      <c r="B204" s="1080">
        <f>MAX($B$13:B203)+1</f>
        <v>97</v>
      </c>
      <c r="C204" s="1077"/>
      <c r="D204" s="1188" t="s">
        <v>1339</v>
      </c>
      <c r="E204" s="1077"/>
      <c r="F204" s="1186">
        <v>4.0300000000000002E-2</v>
      </c>
      <c r="G204" s="1077"/>
      <c r="H204" s="1186"/>
      <c r="I204" s="1077"/>
      <c r="J204" s="1077"/>
      <c r="K204" s="1077"/>
      <c r="L204" s="1077"/>
      <c r="M204" s="1077"/>
      <c r="N204" s="1077"/>
      <c r="O204" s="1077"/>
      <c r="P204" s="1077"/>
      <c r="Q204" s="1077"/>
    </row>
    <row r="205" spans="1:18">
      <c r="A205" s="1077"/>
      <c r="B205" s="1080">
        <f>MAX($B$13:B204)+1</f>
        <v>98</v>
      </c>
      <c r="C205" s="1077"/>
      <c r="D205" s="1194" t="s">
        <v>1340</v>
      </c>
      <c r="E205" s="1077"/>
      <c r="F205" s="1199">
        <f>F203+F204</f>
        <v>1.1334375342465755</v>
      </c>
      <c r="G205" s="1077"/>
      <c r="H205" s="1192">
        <f>F205</f>
        <v>1.1334375342465755</v>
      </c>
      <c r="I205" s="1077"/>
      <c r="J205" s="1077"/>
      <c r="K205" s="1077"/>
      <c r="L205" s="1077"/>
      <c r="M205" s="1077"/>
      <c r="N205" s="1077"/>
      <c r="O205" s="1077"/>
      <c r="P205" s="1077"/>
      <c r="Q205" s="1077"/>
    </row>
    <row r="206" spans="1:18">
      <c r="A206" s="1077"/>
      <c r="B206" s="1083"/>
      <c r="C206" s="1077"/>
      <c r="D206" s="1077"/>
      <c r="E206" s="1077"/>
      <c r="F206" s="1077"/>
      <c r="G206" s="1077"/>
      <c r="H206" s="1077"/>
      <c r="I206" s="1077"/>
      <c r="J206" s="1077"/>
      <c r="K206" s="1077"/>
      <c r="L206" s="1077"/>
      <c r="M206" s="1077"/>
      <c r="N206" s="1077"/>
      <c r="O206" s="1077"/>
      <c r="P206" s="1077"/>
      <c r="Q206" s="1077"/>
    </row>
    <row r="207" spans="1:18">
      <c r="A207" s="1077"/>
      <c r="B207" s="1083"/>
      <c r="C207" s="1077"/>
      <c r="D207" s="1194" t="s">
        <v>1341</v>
      </c>
      <c r="E207" s="1077"/>
      <c r="F207" s="1077"/>
      <c r="G207" s="1077"/>
      <c r="H207" s="1077"/>
      <c r="I207" s="1077"/>
      <c r="J207" s="1077"/>
      <c r="K207" s="1077"/>
      <c r="Q207" s="1077"/>
    </row>
    <row r="208" spans="1:18">
      <c r="A208" s="1077"/>
      <c r="B208" s="1080">
        <f>MAX($B$13:B207)+1</f>
        <v>99</v>
      </c>
      <c r="C208" s="1077"/>
      <c r="D208" s="1188" t="s">
        <v>1342</v>
      </c>
      <c r="E208" s="1077"/>
      <c r="F208" s="1186">
        <v>0.69962630136986304</v>
      </c>
      <c r="G208" s="1077"/>
      <c r="H208" s="1186"/>
      <c r="I208" s="1217"/>
      <c r="J208" s="1077"/>
      <c r="K208" s="1077"/>
      <c r="Q208" s="1077"/>
    </row>
    <row r="209" spans="1:17">
      <c r="A209" s="1077"/>
      <c r="B209" s="1080">
        <f>MAX($B$13:B208)+1</f>
        <v>100</v>
      </c>
      <c r="C209" s="1077"/>
      <c r="D209" s="1188" t="s">
        <v>1339</v>
      </c>
      <c r="E209" s="1077"/>
      <c r="F209" s="1186">
        <v>0.11729999999999999</v>
      </c>
      <c r="G209" s="1077"/>
      <c r="H209" s="1186"/>
      <c r="I209" s="1217"/>
      <c r="J209" s="1077"/>
      <c r="K209" s="1077"/>
      <c r="Q209" s="1077"/>
    </row>
    <row r="210" spans="1:17">
      <c r="A210" s="1077"/>
      <c r="B210" s="1080">
        <f>MAX($B$13:B209)+1</f>
        <v>101</v>
      </c>
      <c r="C210" s="1077"/>
      <c r="D210" s="1194" t="s">
        <v>1341</v>
      </c>
      <c r="E210" s="1077"/>
      <c r="F210" s="1199">
        <f>F208+F209</f>
        <v>0.81692630136986299</v>
      </c>
      <c r="G210" s="1077"/>
      <c r="H210" s="1192">
        <f>F210</f>
        <v>0.81692630136986299</v>
      </c>
      <c r="I210" s="1217"/>
      <c r="J210" s="1077"/>
      <c r="K210" s="1077"/>
      <c r="Q210" s="1077"/>
    </row>
    <row r="211" spans="1:17">
      <c r="A211" s="1077"/>
      <c r="B211" s="1083"/>
      <c r="C211" s="1077"/>
      <c r="D211" s="1188"/>
      <c r="E211" s="1077"/>
      <c r="F211" s="1077"/>
      <c r="G211" s="1077"/>
      <c r="H211" s="1216"/>
      <c r="I211" s="1217"/>
      <c r="J211" s="1077"/>
      <c r="K211" s="1077"/>
      <c r="L211" s="1077"/>
      <c r="M211" s="1077"/>
      <c r="N211" s="1077"/>
      <c r="O211" s="1077"/>
      <c r="P211" s="1077"/>
      <c r="Q211" s="1077"/>
    </row>
    <row r="212" spans="1:17">
      <c r="A212" s="1077"/>
      <c r="B212" s="1083"/>
      <c r="C212" s="1077"/>
      <c r="D212" s="1172"/>
      <c r="E212" s="1172"/>
      <c r="F212" s="1172"/>
      <c r="G212" s="1172"/>
      <c r="H212" s="1172"/>
      <c r="I212" s="1172"/>
      <c r="J212" s="1077"/>
      <c r="K212" s="1077"/>
      <c r="L212" s="1077"/>
      <c r="M212" s="1077"/>
      <c r="N212" s="1077"/>
      <c r="O212" s="1077"/>
      <c r="P212" s="1077"/>
      <c r="Q212" s="1077"/>
    </row>
    <row r="213" spans="1:17">
      <c r="A213" s="1077"/>
      <c r="B213" s="1083"/>
      <c r="C213" s="1077"/>
      <c r="D213" s="1172"/>
      <c r="E213" s="1172"/>
      <c r="F213" s="1172"/>
      <c r="G213" s="1172"/>
      <c r="H213" s="1172"/>
      <c r="I213" s="1172"/>
      <c r="J213" s="1173"/>
      <c r="K213" s="1173"/>
      <c r="L213" s="1173"/>
      <c r="M213" s="1077"/>
      <c r="N213" s="1077"/>
      <c r="O213" s="1077"/>
      <c r="P213" s="1077"/>
      <c r="Q213" s="1077"/>
    </row>
    <row r="214" spans="1:17" ht="20.25" customHeight="1">
      <c r="A214" s="1077"/>
      <c r="B214" s="1083"/>
      <c r="C214" s="1077"/>
      <c r="D214" s="1172"/>
      <c r="E214" s="1172"/>
      <c r="F214" s="1172"/>
      <c r="G214" s="1172"/>
      <c r="H214" s="1172"/>
      <c r="I214" s="1172"/>
      <c r="J214" s="1173"/>
      <c r="K214" s="1173"/>
      <c r="L214" s="1173"/>
      <c r="M214" s="1077"/>
      <c r="N214" s="1077"/>
      <c r="O214" s="1077"/>
      <c r="P214" s="1077"/>
      <c r="Q214" s="1077"/>
    </row>
    <row r="215" spans="1:17">
      <c r="A215" s="1077"/>
      <c r="B215" s="1083"/>
      <c r="C215" s="1077"/>
      <c r="D215" s="1172"/>
      <c r="E215" s="1172"/>
      <c r="F215" s="1172"/>
      <c r="G215" s="1172"/>
      <c r="H215" s="1172"/>
      <c r="I215" s="1172"/>
      <c r="J215" s="1173"/>
      <c r="K215" s="1173"/>
      <c r="L215" s="1173"/>
      <c r="M215" s="1077"/>
      <c r="N215" s="1077"/>
      <c r="O215" s="1077"/>
      <c r="P215" s="1077"/>
      <c r="Q215" s="1077"/>
    </row>
    <row r="216" spans="1:17">
      <c r="A216" s="1077"/>
      <c r="B216" s="1338" t="s">
        <v>1268</v>
      </c>
      <c r="C216" s="1338"/>
      <c r="D216" s="1342"/>
      <c r="E216" s="1342"/>
      <c r="F216" s="1342"/>
      <c r="G216" s="1342"/>
      <c r="H216" s="1342"/>
      <c r="I216" s="1175"/>
      <c r="J216" s="1173"/>
      <c r="K216" s="1173"/>
      <c r="L216" s="1173"/>
      <c r="M216" s="1077"/>
      <c r="N216" s="1077"/>
      <c r="O216" s="1077"/>
      <c r="P216" s="1077"/>
      <c r="Q216" s="1077"/>
    </row>
    <row r="217" spans="1:17">
      <c r="A217" s="1077"/>
      <c r="B217" s="1230"/>
      <c r="C217" s="1084"/>
      <c r="D217" s="1175"/>
      <c r="E217" s="1175"/>
      <c r="F217" s="1175"/>
      <c r="G217" s="1175"/>
      <c r="H217" s="1175"/>
      <c r="I217" s="1175"/>
      <c r="J217" s="1173"/>
      <c r="K217" s="1173"/>
      <c r="L217" s="1173"/>
      <c r="M217" s="1077"/>
      <c r="N217" s="1077"/>
      <c r="O217" s="1077"/>
      <c r="P217" s="1077"/>
      <c r="Q217" s="1077"/>
    </row>
    <row r="218" spans="1:17">
      <c r="A218" s="1077"/>
      <c r="B218" s="1080"/>
      <c r="C218" s="1080"/>
      <c r="D218" s="1080"/>
      <c r="E218" s="1080"/>
      <c r="F218" s="1083"/>
      <c r="G218" s="1077"/>
      <c r="H218" s="1083"/>
      <c r="I218" s="1077"/>
      <c r="J218" s="1083"/>
      <c r="K218" s="1213"/>
      <c r="L218" s="1213"/>
      <c r="M218" s="1173"/>
      <c r="N218" s="1173"/>
      <c r="O218" s="1173"/>
      <c r="P218" s="1173"/>
      <c r="Q218" s="1173"/>
    </row>
    <row r="219" spans="1:17">
      <c r="A219" s="1077"/>
      <c r="B219" s="1080" t="s">
        <v>1</v>
      </c>
      <c r="C219" s="1176"/>
      <c r="D219" s="1176"/>
      <c r="E219" s="1176"/>
      <c r="F219" s="1083"/>
      <c r="G219" s="1077"/>
      <c r="H219" s="1080"/>
      <c r="I219" s="1077"/>
      <c r="J219" s="1080"/>
      <c r="K219" s="1213"/>
      <c r="L219" s="1213"/>
      <c r="M219" s="1173"/>
      <c r="N219" s="1173"/>
      <c r="O219" s="1173"/>
      <c r="P219" s="1173"/>
      <c r="Q219" s="1173"/>
    </row>
    <row r="220" spans="1:17">
      <c r="A220" s="1077"/>
      <c r="B220" s="1089" t="s">
        <v>2</v>
      </c>
      <c r="C220" s="1176"/>
      <c r="D220" s="1177" t="s">
        <v>3</v>
      </c>
      <c r="E220" s="1089"/>
      <c r="F220" s="1090"/>
      <c r="G220" s="1077"/>
      <c r="H220" s="1178" t="s">
        <v>204</v>
      </c>
      <c r="I220" s="1077"/>
      <c r="J220" s="1214"/>
      <c r="K220" s="1077"/>
      <c r="L220" s="1077"/>
      <c r="M220" s="1077"/>
      <c r="N220" s="1077"/>
      <c r="O220" s="1077"/>
      <c r="P220" s="1077"/>
      <c r="Q220" s="1077"/>
    </row>
    <row r="221" spans="1:17">
      <c r="A221" s="1077"/>
      <c r="B221" s="1080"/>
      <c r="C221" s="1176"/>
      <c r="D221" s="1176"/>
      <c r="E221" s="1080"/>
      <c r="F221" s="1083"/>
      <c r="G221" s="1080"/>
      <c r="H221" s="1080" t="s">
        <v>8</v>
      </c>
      <c r="I221" s="1080"/>
      <c r="J221" s="1080"/>
      <c r="K221" s="1077"/>
      <c r="L221" s="1077"/>
      <c r="M221" s="1077"/>
      <c r="N221" s="1077"/>
      <c r="O221" s="1077"/>
      <c r="P221" s="1077"/>
      <c r="Q221" s="1077"/>
    </row>
    <row r="222" spans="1:17">
      <c r="A222" s="1077"/>
      <c r="B222" s="1083"/>
      <c r="C222" s="1077"/>
      <c r="D222" s="1172"/>
      <c r="E222" s="1172"/>
      <c r="F222" s="1172"/>
      <c r="G222" s="1172"/>
      <c r="H222" s="1172"/>
      <c r="I222" s="1172"/>
      <c r="J222" s="1173"/>
      <c r="K222" s="1173"/>
      <c r="L222" s="1173"/>
      <c r="M222" s="1077"/>
      <c r="N222" s="1077"/>
      <c r="O222" s="1077"/>
      <c r="P222" s="1077"/>
      <c r="Q222" s="1077"/>
    </row>
    <row r="223" spans="1:17">
      <c r="A223" s="1077"/>
      <c r="B223" s="1083"/>
      <c r="C223" s="1077"/>
      <c r="D223" s="1182" t="s">
        <v>1343</v>
      </c>
      <c r="E223" s="1077"/>
      <c r="F223" s="1077"/>
      <c r="G223" s="1077"/>
      <c r="H223" s="1077"/>
      <c r="I223" s="1077"/>
      <c r="J223" s="1077"/>
      <c r="K223" s="1077"/>
      <c r="L223" s="1077"/>
      <c r="M223" s="1077"/>
      <c r="N223" s="1077"/>
      <c r="O223" s="1077"/>
      <c r="P223" s="1077"/>
      <c r="Q223" s="1077"/>
    </row>
    <row r="224" spans="1:17">
      <c r="A224" s="1077"/>
      <c r="B224" s="1083"/>
      <c r="C224" s="1077"/>
      <c r="D224" s="1172"/>
      <c r="E224" s="1172"/>
      <c r="F224" s="1172"/>
      <c r="G224" s="1172"/>
      <c r="H224" s="1172"/>
      <c r="I224" s="1172"/>
      <c r="J224" s="1173"/>
      <c r="K224" s="1173"/>
      <c r="L224" s="1173"/>
      <c r="M224" s="1077"/>
      <c r="N224" s="1077"/>
      <c r="O224" s="1077"/>
      <c r="P224" s="1077"/>
      <c r="Q224" s="1077"/>
    </row>
    <row r="225" spans="1:17">
      <c r="A225" s="1077"/>
      <c r="B225" s="1080">
        <f>MAX($B$13:B224)+1</f>
        <v>102</v>
      </c>
      <c r="C225" s="1077"/>
      <c r="D225" s="1194" t="str">
        <f>"Rate 25 - 150% of Maximum Interruptible Delivery Commodity Charge (line "&amp; B134&amp;" x 150%)"</f>
        <v>Rate 25 - 150% of Maximum Interruptible Delivery Commodity Charge (line 66 x 150%)</v>
      </c>
      <c r="E225" s="1077"/>
      <c r="F225" s="1077"/>
      <c r="G225" s="1077"/>
      <c r="H225" s="1192">
        <f>F$134*1.5</f>
        <v>9.1789231736881742</v>
      </c>
      <c r="I225" s="1077"/>
      <c r="J225" s="1201"/>
      <c r="K225" s="1077"/>
      <c r="L225" s="1201"/>
      <c r="M225" s="1077"/>
      <c r="N225" s="1077"/>
      <c r="O225" s="1077"/>
      <c r="P225" s="1077"/>
      <c r="Q225" s="1077"/>
    </row>
    <row r="226" spans="1:17">
      <c r="A226" s="1077"/>
      <c r="B226" s="1083"/>
      <c r="C226" s="1077"/>
      <c r="D226" s="1077"/>
      <c r="E226" s="1077"/>
      <c r="F226" s="1077"/>
      <c r="G226" s="1077"/>
      <c r="H226" s="1077"/>
      <c r="I226" s="1077"/>
      <c r="J226" s="1077"/>
      <c r="K226" s="1077"/>
      <c r="L226" s="1077"/>
      <c r="M226" s="1077"/>
      <c r="N226" s="1077"/>
      <c r="O226" s="1077"/>
      <c r="P226" s="1077"/>
      <c r="Q226" s="1077"/>
    </row>
    <row r="227" spans="1:17">
      <c r="A227" s="1077"/>
      <c r="B227" s="1083"/>
      <c r="C227" s="1077"/>
      <c r="D227" s="1183" t="s">
        <v>1344</v>
      </c>
      <c r="E227" s="1077"/>
      <c r="F227" s="1077"/>
      <c r="G227" s="1077"/>
      <c r="H227" s="1077"/>
      <c r="I227" s="1077"/>
      <c r="J227" s="1077"/>
      <c r="K227" s="1077"/>
      <c r="L227" s="1077"/>
      <c r="M227" s="1077"/>
      <c r="N227" s="1077"/>
      <c r="O227" s="1077"/>
      <c r="P227" s="1077"/>
      <c r="Q227" s="1077"/>
    </row>
    <row r="228" spans="1:17">
      <c r="A228" s="1077"/>
      <c r="B228" s="1080">
        <f>MAX($B$13:B227)+1</f>
        <v>103</v>
      </c>
      <c r="C228" s="1077"/>
      <c r="D228" s="1185" t="s">
        <v>1345</v>
      </c>
      <c r="E228" s="1077"/>
      <c r="F228" s="1186">
        <v>6.7352999999999996</v>
      </c>
      <c r="G228" s="1077"/>
      <c r="H228" s="1192">
        <f>F228</f>
        <v>6.7352999999999996</v>
      </c>
      <c r="I228" s="1077"/>
      <c r="J228" s="1077"/>
      <c r="K228" s="1077"/>
      <c r="L228" s="1077"/>
      <c r="M228" s="1077"/>
      <c r="N228" s="1077"/>
      <c r="O228" s="1077"/>
      <c r="P228" s="1077"/>
      <c r="Q228" s="1077"/>
    </row>
    <row r="229" spans="1:17">
      <c r="A229" s="1077"/>
      <c r="B229" s="1083"/>
      <c r="C229" s="1077"/>
      <c r="D229" s="1077"/>
      <c r="E229" s="1077"/>
      <c r="F229" s="1077"/>
      <c r="G229" s="1077"/>
      <c r="H229" s="1077"/>
      <c r="I229" s="1077"/>
      <c r="J229" s="1077"/>
      <c r="K229" s="1077"/>
      <c r="M229" s="1077"/>
      <c r="N229" s="1077"/>
      <c r="O229" s="1077"/>
      <c r="P229" s="1077"/>
      <c r="Q229" s="1077"/>
    </row>
    <row r="230" spans="1:17">
      <c r="A230" s="1077"/>
      <c r="B230" s="1083"/>
      <c r="C230" s="1077"/>
      <c r="D230" s="1183" t="s">
        <v>1346</v>
      </c>
      <c r="E230" s="1077"/>
      <c r="F230" s="1077"/>
      <c r="G230" s="1077"/>
      <c r="H230" s="1077"/>
      <c r="I230" s="1077"/>
      <c r="J230" s="1077"/>
      <c r="K230" s="1077"/>
      <c r="L230" s="1173"/>
      <c r="M230" s="1077"/>
      <c r="N230" s="1077"/>
      <c r="O230" s="1077"/>
      <c r="P230" s="1077"/>
      <c r="Q230" s="1077"/>
    </row>
    <row r="231" spans="1:17">
      <c r="A231" s="1077"/>
      <c r="B231" s="1080">
        <f>MAX($B$13:B230)+1</f>
        <v>104</v>
      </c>
      <c r="C231" s="1077"/>
      <c r="D231" s="1185" t="s">
        <v>1345</v>
      </c>
      <c r="E231" s="1077"/>
      <c r="F231" s="1186">
        <v>6.7352999999999996</v>
      </c>
      <c r="G231" s="1077"/>
      <c r="H231" s="1186"/>
      <c r="I231" s="1077"/>
      <c r="J231" s="1077"/>
      <c r="K231" s="1077"/>
      <c r="M231" s="1077"/>
      <c r="N231" s="1077"/>
      <c r="O231" s="1077"/>
      <c r="P231" s="1077"/>
      <c r="Q231" s="1077"/>
    </row>
    <row r="232" spans="1:17">
      <c r="A232" s="1077"/>
      <c r="B232" s="1080">
        <f>MAX($B$13:B231)+1</f>
        <v>105</v>
      </c>
      <c r="C232" s="1077"/>
      <c r="D232" s="1185" t="s">
        <v>1347</v>
      </c>
      <c r="E232" s="1077"/>
      <c r="F232" s="545">
        <v>39.08</v>
      </c>
      <c r="G232" s="1077"/>
      <c r="H232" s="1077"/>
      <c r="I232" s="1077"/>
      <c r="J232" s="1077"/>
      <c r="K232" s="1077"/>
      <c r="L232" s="1173"/>
      <c r="M232" s="1077"/>
      <c r="N232" s="1077"/>
      <c r="O232" s="1077"/>
      <c r="P232" s="1077"/>
      <c r="Q232" s="1077"/>
    </row>
    <row r="233" spans="1:17">
      <c r="A233" s="1077"/>
      <c r="B233" s="1080">
        <f>MAX($B$13:B232)+1</f>
        <v>106</v>
      </c>
      <c r="C233" s="1077"/>
      <c r="D233" s="1183" t="str">
        <f>"Rates T1, T2 Unauthorized Injections/Withdrawals ($/GJ) (line" &amp; B231 &amp; " / line " &amp; B232 &amp;" x 10)"</f>
        <v>Rates T1, T2 Unauthorized Injections/Withdrawals ($/GJ) (line104 / line 105 x 10)</v>
      </c>
      <c r="E233" s="1077"/>
      <c r="F233" s="1216">
        <f>F231/F232*10</f>
        <v>1.7234646878198567</v>
      </c>
      <c r="G233" s="1077"/>
      <c r="H233" s="1219">
        <f>F233</f>
        <v>1.7234646878198567</v>
      </c>
      <c r="I233" s="1077"/>
      <c r="J233" s="1077"/>
      <c r="K233" s="1077"/>
      <c r="L233" s="1173"/>
      <c r="M233" s="1077"/>
      <c r="N233" s="1077"/>
      <c r="O233" s="1077"/>
      <c r="P233" s="1077"/>
      <c r="Q233" s="1077"/>
    </row>
    <row r="234" spans="1:17">
      <c r="A234" s="1077"/>
      <c r="B234" s="1083"/>
      <c r="C234" s="1077"/>
      <c r="D234" s="1077"/>
      <c r="E234" s="1077"/>
      <c r="F234" s="1077"/>
      <c r="G234" s="1077"/>
      <c r="H234" s="1077"/>
      <c r="I234" s="1077"/>
      <c r="J234" s="1077"/>
      <c r="K234" s="1077"/>
      <c r="L234" s="1173"/>
      <c r="M234" s="1077"/>
      <c r="N234" s="1077"/>
      <c r="O234" s="1077"/>
      <c r="P234" s="1077"/>
      <c r="Q234" s="1077"/>
    </row>
    <row r="235" spans="1:17">
      <c r="A235" s="1077"/>
      <c r="B235" s="1083"/>
      <c r="C235" s="1077"/>
      <c r="D235" s="1183" t="s">
        <v>1348</v>
      </c>
      <c r="E235" s="1077"/>
      <c r="F235" s="1077"/>
      <c r="G235" s="1077"/>
      <c r="H235" s="1077"/>
      <c r="I235" s="1077"/>
      <c r="J235" s="1077"/>
      <c r="K235" s="1077"/>
      <c r="L235" s="1173"/>
      <c r="M235" s="1077"/>
      <c r="N235" s="1077"/>
      <c r="O235" s="1077"/>
      <c r="P235" s="1077"/>
      <c r="Q235" s="1077"/>
    </row>
    <row r="236" spans="1:17">
      <c r="A236" s="1077"/>
      <c r="B236" s="1080">
        <f>MAX($B$13:B235)+1</f>
        <v>107</v>
      </c>
      <c r="C236" s="1077"/>
      <c r="D236" s="1185" t="s">
        <v>1349</v>
      </c>
      <c r="E236" s="1077"/>
      <c r="F236" s="1186">
        <v>36</v>
      </c>
      <c r="G236" s="1077"/>
      <c r="H236" s="1186"/>
      <c r="I236" s="1077"/>
      <c r="J236" s="1077"/>
      <c r="K236" s="1077"/>
      <c r="L236" s="1173"/>
      <c r="M236" s="1077"/>
      <c r="N236" s="1077"/>
      <c r="O236" s="1077"/>
      <c r="P236" s="1077"/>
      <c r="Q236" s="1077"/>
    </row>
    <row r="237" spans="1:17">
      <c r="A237" s="1077"/>
      <c r="B237" s="1080">
        <f>MAX($B$13:B236)+1</f>
        <v>108</v>
      </c>
      <c r="C237" s="1077"/>
      <c r="D237" s="1185" t="s">
        <v>1347</v>
      </c>
      <c r="E237" s="1077"/>
      <c r="F237" s="545">
        <v>39.08</v>
      </c>
      <c r="G237" s="1077"/>
      <c r="H237" s="1077"/>
      <c r="I237" s="1077"/>
      <c r="J237" s="1077"/>
      <c r="K237" s="1077"/>
      <c r="L237" s="1173"/>
      <c r="M237" s="1077"/>
      <c r="N237" s="1077"/>
      <c r="O237" s="1077"/>
      <c r="P237" s="1077"/>
      <c r="Q237" s="1077"/>
    </row>
    <row r="238" spans="1:17">
      <c r="A238" s="1077"/>
      <c r="B238" s="1080">
        <f>MAX($B$13:B237)+1</f>
        <v>109</v>
      </c>
      <c r="C238" s="1077"/>
      <c r="D238" s="1183" t="str">
        <f>"Rate T3 Unauthorized Injections/Withdrawals ($/GJ) (line " &amp;B236&amp;" / line " &amp;B237&amp;" x 10)"</f>
        <v>Rate T3 Unauthorized Injections/Withdrawals ($/GJ) (line 107 / line 108 x 10)</v>
      </c>
      <c r="E238" s="1077"/>
      <c r="F238" s="1216">
        <f>F236/F237*10</f>
        <v>9.2118730808597746</v>
      </c>
      <c r="G238" s="1077"/>
      <c r="H238" s="1219">
        <f>F238</f>
        <v>9.2118730808597746</v>
      </c>
      <c r="I238" s="1077"/>
      <c r="J238" s="1077"/>
      <c r="K238" s="1077"/>
      <c r="L238" s="1173"/>
      <c r="M238" s="1077"/>
      <c r="N238" s="1077"/>
      <c r="O238" s="1077"/>
      <c r="P238" s="1077"/>
      <c r="Q238" s="1077"/>
    </row>
    <row r="239" spans="1:17">
      <c r="A239" s="1077"/>
      <c r="B239" s="1083"/>
      <c r="C239" s="1077"/>
      <c r="D239" s="1077"/>
      <c r="E239" s="1077"/>
      <c r="F239" s="1077"/>
      <c r="G239" s="1077"/>
      <c r="H239" s="1077"/>
      <c r="I239" s="1077"/>
      <c r="J239" s="1077"/>
      <c r="K239" s="1077"/>
      <c r="L239" s="1173"/>
      <c r="M239" s="1077"/>
      <c r="N239" s="1077"/>
      <c r="O239" s="1077"/>
      <c r="P239" s="1077"/>
      <c r="Q239" s="1077"/>
    </row>
    <row r="240" spans="1:17">
      <c r="A240" s="1077"/>
      <c r="B240" s="1083"/>
      <c r="C240" s="1077"/>
      <c r="D240" s="1183" t="s">
        <v>1350</v>
      </c>
      <c r="E240" s="1077"/>
      <c r="F240" s="1077"/>
      <c r="G240" s="1077"/>
      <c r="H240" s="1077"/>
      <c r="I240" s="1077"/>
      <c r="J240" s="1077"/>
      <c r="K240" s="1077"/>
      <c r="L240" s="1173"/>
      <c r="M240" s="1077"/>
      <c r="N240" s="1077"/>
      <c r="O240" s="1077"/>
      <c r="P240" s="1077"/>
      <c r="Q240" s="1077"/>
    </row>
    <row r="241" spans="1:17">
      <c r="A241" s="1077"/>
      <c r="B241" s="1080">
        <f>MAX($B$13:B240)+1</f>
        <v>110</v>
      </c>
      <c r="C241" s="1077"/>
      <c r="D241" s="1185" t="s">
        <v>1351</v>
      </c>
      <c r="E241" s="1077"/>
      <c r="F241" s="1216">
        <v>60</v>
      </c>
      <c r="G241" s="1077"/>
      <c r="H241" s="1186"/>
      <c r="I241" s="1077"/>
      <c r="J241" s="1077"/>
      <c r="K241" s="1077"/>
      <c r="L241" s="1203"/>
      <c r="M241" s="1077"/>
      <c r="N241" s="1077"/>
      <c r="O241" s="1077"/>
      <c r="P241" s="1077"/>
      <c r="Q241" s="1077"/>
    </row>
    <row r="242" spans="1:17">
      <c r="A242" s="1077"/>
      <c r="B242" s="1080">
        <f>MAX($B$13:B241)+1</f>
        <v>111</v>
      </c>
      <c r="C242" s="1077"/>
      <c r="D242" s="1185" t="s">
        <v>1347</v>
      </c>
      <c r="E242" s="1077"/>
      <c r="F242" s="545">
        <v>39.08</v>
      </c>
      <c r="G242" s="1077"/>
      <c r="H242" s="1077"/>
      <c r="I242" s="1077"/>
      <c r="J242" s="1077"/>
      <c r="K242" s="1077"/>
      <c r="L242" s="1173"/>
      <c r="M242" s="1077"/>
      <c r="N242" s="1077"/>
      <c r="O242" s="1077"/>
      <c r="P242" s="1077"/>
      <c r="Q242" s="1077"/>
    </row>
    <row r="243" spans="1:17">
      <c r="A243" s="1077"/>
      <c r="B243" s="1080">
        <f>MAX($B$13:B242)+1</f>
        <v>112</v>
      </c>
      <c r="C243" s="1077"/>
      <c r="D243" s="1183" t="str">
        <f>"Unauthorized Overrun Non-Compliance (cents/m3) (line " &amp;B241 &amp;" x line " &amp;B242&amp; " / 10)"</f>
        <v>Unauthorized Overrun Non-Compliance (cents/m3) (line 110 x line 111 / 10)</v>
      </c>
      <c r="E243" s="1077"/>
      <c r="F243" s="1186">
        <f>F241*F242/10</f>
        <v>234.47999999999996</v>
      </c>
      <c r="G243" s="1231"/>
      <c r="H243" s="1192">
        <f>F243</f>
        <v>234.47999999999996</v>
      </c>
      <c r="I243" s="1077"/>
      <c r="J243" s="1189"/>
      <c r="K243" s="1077"/>
      <c r="L243" s="1173"/>
      <c r="M243" s="1077"/>
      <c r="N243" s="1077"/>
      <c r="O243" s="1077"/>
      <c r="P243" s="1077"/>
      <c r="Q243" s="1077"/>
    </row>
    <row r="244" spans="1:17">
      <c r="A244" s="1077"/>
      <c r="B244" s="1080"/>
      <c r="C244" s="1077"/>
      <c r="D244" s="1183"/>
      <c r="E244" s="1077"/>
      <c r="F244" s="1186"/>
      <c r="G244" s="1077"/>
      <c r="H244" s="1186"/>
      <c r="I244" s="1077"/>
      <c r="J244" s="1189"/>
      <c r="K244" s="1077"/>
      <c r="L244" s="1173"/>
      <c r="M244" s="1077"/>
      <c r="N244" s="1077"/>
      <c r="O244" s="1077"/>
      <c r="P244" s="1077"/>
      <c r="Q244" s="1077"/>
    </row>
    <row r="245" spans="1:17">
      <c r="A245" s="1077"/>
      <c r="B245" s="1080"/>
      <c r="C245" s="1077"/>
      <c r="D245" s="1183"/>
      <c r="E245" s="1077"/>
      <c r="F245" s="1186"/>
      <c r="G245" s="1077"/>
      <c r="H245" s="1186"/>
      <c r="I245" s="1077"/>
      <c r="J245" s="1189"/>
      <c r="K245" s="1077"/>
      <c r="L245" s="1173"/>
      <c r="M245" s="1077"/>
      <c r="N245" s="1077"/>
      <c r="O245" s="1077"/>
      <c r="P245" s="1077"/>
      <c r="Q245" s="1077"/>
    </row>
    <row r="246" spans="1:17">
      <c r="A246" s="1077"/>
      <c r="B246" s="1080"/>
      <c r="C246" s="1077"/>
      <c r="D246" s="1232" t="s">
        <v>1352</v>
      </c>
      <c r="E246" s="1077"/>
      <c r="F246" s="1186"/>
      <c r="G246" s="1077"/>
      <c r="H246" s="1186"/>
      <c r="I246" s="1077"/>
      <c r="J246" s="1189"/>
      <c r="K246" s="1077"/>
      <c r="L246" s="1173"/>
      <c r="M246" s="1077"/>
      <c r="N246" s="1077"/>
      <c r="O246" s="1077"/>
      <c r="P246" s="1077"/>
      <c r="Q246" s="1077"/>
    </row>
    <row r="247" spans="1:17">
      <c r="A247" s="1077"/>
      <c r="B247" s="1080"/>
      <c r="C247" s="1077"/>
      <c r="D247" s="1183"/>
      <c r="E247" s="1077"/>
      <c r="F247" s="1186"/>
      <c r="G247" s="1077"/>
      <c r="H247" s="1186"/>
      <c r="I247" s="1077"/>
      <c r="J247" s="1189"/>
      <c r="K247" s="1077"/>
      <c r="L247" s="1173"/>
      <c r="M247" s="1077"/>
      <c r="N247" s="1077"/>
      <c r="O247" s="1077"/>
      <c r="P247" s="1077"/>
      <c r="Q247" s="1077"/>
    </row>
    <row r="248" spans="1:17">
      <c r="A248" s="1077"/>
      <c r="B248" s="1080">
        <f>MAX($B$13:B247)+1</f>
        <v>113</v>
      </c>
      <c r="C248" s="1077"/>
      <c r="D248" s="1126" t="s">
        <v>1353</v>
      </c>
      <c r="E248" s="1077"/>
      <c r="F248" s="1216">
        <v>1.5181</v>
      </c>
      <c r="G248" s="1077"/>
      <c r="H248" s="1186"/>
      <c r="I248" s="1077"/>
      <c r="J248" s="1189"/>
      <c r="K248" s="1077"/>
      <c r="L248" s="1173"/>
      <c r="M248" s="1077"/>
      <c r="N248" s="1077"/>
      <c r="O248" s="1077"/>
      <c r="P248" s="1077"/>
      <c r="Q248" s="1077"/>
    </row>
    <row r="249" spans="1:17">
      <c r="A249" s="1077"/>
      <c r="B249" s="1080"/>
      <c r="C249" s="1077"/>
      <c r="D249" s="1233"/>
      <c r="E249" s="1077"/>
      <c r="F249" s="1186"/>
      <c r="G249" s="1077"/>
      <c r="H249" s="1186"/>
      <c r="I249" s="1077"/>
      <c r="J249" s="1189"/>
      <c r="K249" s="1077"/>
      <c r="L249" s="1173"/>
      <c r="M249" s="1077"/>
      <c r="N249" s="1077"/>
      <c r="O249" s="1077"/>
      <c r="P249" s="1077"/>
      <c r="Q249" s="1077"/>
    </row>
    <row r="250" spans="1:17">
      <c r="A250" s="1077"/>
      <c r="B250" s="1080"/>
      <c r="C250" s="1077"/>
      <c r="D250" s="1233" t="s">
        <v>1354</v>
      </c>
      <c r="E250" s="1077"/>
      <c r="F250" s="1186"/>
      <c r="G250" s="1077"/>
      <c r="H250" s="1186"/>
      <c r="I250" s="1077"/>
      <c r="J250" s="1189"/>
      <c r="K250" s="1077"/>
      <c r="L250" s="1173"/>
      <c r="M250" s="1077"/>
      <c r="N250" s="1077"/>
      <c r="O250" s="1077"/>
      <c r="P250" s="1077"/>
      <c r="Q250" s="1077"/>
    </row>
    <row r="251" spans="1:17">
      <c r="A251" s="1077"/>
      <c r="B251" s="1080">
        <f>MAX($B$13:B250)+1</f>
        <v>114</v>
      </c>
      <c r="C251" s="1077"/>
      <c r="D251" s="1234" t="s">
        <v>1355</v>
      </c>
      <c r="E251" s="1077"/>
      <c r="F251" s="1235">
        <v>75177124.25</v>
      </c>
      <c r="G251" s="1077"/>
      <c r="H251" s="1186"/>
      <c r="I251" s="1077"/>
      <c r="J251" s="1189"/>
      <c r="K251" s="1077"/>
      <c r="L251" s="1173"/>
      <c r="M251" s="1077"/>
      <c r="N251" s="1077"/>
      <c r="O251" s="1077"/>
      <c r="P251" s="1077"/>
      <c r="Q251" s="1077"/>
    </row>
    <row r="252" spans="1:17">
      <c r="A252" s="1077"/>
      <c r="B252" s="1080">
        <f>MAX($B$13:B251)+1</f>
        <v>115</v>
      </c>
      <c r="C252" s="1077"/>
      <c r="D252" s="1234" t="s">
        <v>1356</v>
      </c>
      <c r="E252" s="1077"/>
      <c r="F252" s="1236">
        <v>0.2</v>
      </c>
      <c r="G252" s="1077"/>
      <c r="H252" s="1186"/>
      <c r="I252" s="1077"/>
      <c r="J252" s="1189"/>
      <c r="K252" s="1077"/>
      <c r="L252" s="1173"/>
      <c r="M252" s="1077"/>
      <c r="N252" s="1077"/>
      <c r="O252" s="1077"/>
      <c r="P252" s="1077"/>
      <c r="Q252" s="1077"/>
    </row>
    <row r="253" spans="1:17">
      <c r="A253" s="1077"/>
      <c r="B253" s="1080">
        <f>MAX($B$13:B252)+1</f>
        <v>116</v>
      </c>
      <c r="C253" s="1077"/>
      <c r="D253" s="1234" t="str">
        <f>"Inventory  (line " &amp;B251&amp;" x line "&amp;B252&amp;")"</f>
        <v>Inventory  (line 114 x line 115)</v>
      </c>
      <c r="E253" s="1077"/>
      <c r="F253" s="1237">
        <f>F251*F252</f>
        <v>15035424.850000001</v>
      </c>
      <c r="G253" s="1077"/>
      <c r="H253" s="1186"/>
      <c r="I253" s="1077"/>
      <c r="J253" s="1189"/>
      <c r="K253" s="1077"/>
      <c r="L253" s="1173"/>
      <c r="M253" s="1077"/>
      <c r="N253" s="1077"/>
      <c r="O253" s="1077"/>
      <c r="P253" s="1077"/>
      <c r="Q253" s="1077"/>
    </row>
    <row r="254" spans="1:17">
      <c r="A254" s="1077"/>
      <c r="B254" s="1080"/>
      <c r="C254" s="1077"/>
      <c r="D254" s="1233"/>
      <c r="E254" s="1077"/>
      <c r="F254" s="1129"/>
      <c r="G254" s="1077"/>
      <c r="H254" s="1186"/>
      <c r="I254" s="1077"/>
      <c r="J254" s="1189"/>
      <c r="K254" s="1077"/>
      <c r="L254" s="1173"/>
      <c r="M254" s="1077"/>
      <c r="N254" s="1077"/>
      <c r="O254" s="1077"/>
      <c r="P254" s="1077"/>
      <c r="Q254" s="1077"/>
    </row>
    <row r="255" spans="1:17">
      <c r="A255" s="1077"/>
      <c r="B255" s="1080">
        <f>MAX($B$13:B254)+1</f>
        <v>117</v>
      </c>
      <c r="C255" s="1077"/>
      <c r="D255" s="1234" t="s">
        <v>1357</v>
      </c>
      <c r="E255" s="1077"/>
      <c r="F255" s="1238">
        <v>3.28</v>
      </c>
      <c r="G255" s="1077"/>
      <c r="H255" s="1186"/>
      <c r="I255" s="1077"/>
      <c r="J255" s="1189"/>
      <c r="K255" s="1077"/>
      <c r="L255" s="1173"/>
      <c r="M255" s="1077"/>
      <c r="N255" s="1077"/>
      <c r="O255" s="1077"/>
      <c r="P255" s="1077"/>
      <c r="Q255" s="1077"/>
    </row>
    <row r="256" spans="1:17">
      <c r="A256" s="1077"/>
      <c r="B256" s="1080">
        <f>MAX($B$13:B255)+1</f>
        <v>118</v>
      </c>
      <c r="C256" s="1077"/>
      <c r="D256" s="1234" t="s">
        <v>1358</v>
      </c>
      <c r="E256" s="1077"/>
      <c r="F256" s="506">
        <v>8.1699999999999995E-2</v>
      </c>
      <c r="G256" s="1077"/>
      <c r="H256" s="1186"/>
      <c r="I256" s="1077"/>
      <c r="J256" s="1189"/>
      <c r="K256" s="1077"/>
      <c r="L256" s="1173"/>
      <c r="M256" s="1077"/>
      <c r="N256" s="1077"/>
      <c r="O256" s="1077"/>
      <c r="P256" s="1077"/>
      <c r="Q256" s="1077"/>
    </row>
    <row r="257" spans="1:17">
      <c r="A257" s="1077"/>
      <c r="B257" s="1080">
        <f>MAX($B$13:B256)+1</f>
        <v>119</v>
      </c>
      <c r="C257" s="1077"/>
      <c r="D257" s="1234" t="str">
        <f>"Inventory Carrying Costs (line "&amp;B253&amp;" x line "&amp;B255&amp;" x line " &amp;B256&amp;" / 1000)"</f>
        <v>Inventory Carrying Costs (line 116 x line 117 x line 118 / 1000)</v>
      </c>
      <c r="E257" s="1077"/>
      <c r="F257" s="1237">
        <f>F253*F255*F256/1000</f>
        <v>4029.1330096035999</v>
      </c>
      <c r="G257" s="1077"/>
      <c r="H257" s="1186"/>
      <c r="I257" s="1077"/>
      <c r="J257" s="1189"/>
      <c r="K257" s="1077"/>
      <c r="L257" s="1173"/>
      <c r="M257" s="1077"/>
      <c r="N257" s="1077"/>
      <c r="O257" s="1077"/>
      <c r="P257" s="1077"/>
      <c r="Q257" s="1077"/>
    </row>
    <row r="258" spans="1:17">
      <c r="A258" s="1077"/>
      <c r="B258" s="1080"/>
      <c r="C258" s="1077"/>
      <c r="D258" s="1233"/>
      <c r="E258" s="1077"/>
      <c r="F258" s="1129"/>
      <c r="G258" s="1077"/>
      <c r="H258" s="1186"/>
      <c r="I258" s="1077"/>
      <c r="J258" s="1189"/>
      <c r="K258" s="1077"/>
      <c r="L258" s="1173"/>
      <c r="M258" s="1077"/>
      <c r="N258" s="1077"/>
      <c r="O258" s="1077"/>
      <c r="P258" s="1077"/>
      <c r="Q258" s="1077"/>
    </row>
    <row r="259" spans="1:17">
      <c r="A259" s="1077"/>
      <c r="B259" s="1080">
        <f>MAX($B$13:B258)+1</f>
        <v>120</v>
      </c>
      <c r="C259" s="1077"/>
      <c r="D259" s="1234" t="s">
        <v>1359</v>
      </c>
      <c r="E259" s="1077"/>
      <c r="F259" s="1235">
        <v>1332763.75</v>
      </c>
      <c r="G259" s="1077"/>
      <c r="H259" s="1186"/>
      <c r="I259" s="1077"/>
      <c r="J259" s="1189"/>
      <c r="K259" s="1077"/>
      <c r="L259" s="1173"/>
      <c r="M259" s="1077"/>
      <c r="N259" s="1077"/>
      <c r="O259" s="1077"/>
      <c r="P259" s="1077"/>
      <c r="Q259" s="1077"/>
    </row>
    <row r="260" spans="1:17">
      <c r="A260" s="1077"/>
      <c r="B260" s="1080"/>
      <c r="C260" s="1077"/>
      <c r="D260" s="1233"/>
      <c r="E260" s="1077"/>
      <c r="F260" s="1129"/>
      <c r="G260" s="1077"/>
      <c r="H260" s="1186"/>
      <c r="I260" s="1077"/>
      <c r="J260" s="1189"/>
      <c r="K260" s="1077"/>
      <c r="L260" s="1173"/>
      <c r="M260" s="1077"/>
      <c r="N260" s="1077"/>
      <c r="O260" s="1077"/>
      <c r="P260" s="1077"/>
      <c r="Q260" s="1077"/>
    </row>
    <row r="261" spans="1:17">
      <c r="A261" s="1077"/>
      <c r="B261" s="1080">
        <f>MAX($B$13:B260)+1</f>
        <v>121</v>
      </c>
      <c r="C261" s="1077"/>
      <c r="D261" s="1234" t="str">
        <f>"Line "&amp;B257&amp;" / line "&amp;B259&amp;" x 1000 / 12"</f>
        <v>Line 119 / line 120 x 1000 / 12</v>
      </c>
      <c r="E261" s="1077"/>
      <c r="F261" s="1239">
        <f>F257/F259*1000/12</f>
        <v>0.25192843377802959</v>
      </c>
      <c r="G261" s="1077"/>
      <c r="H261" s="1186"/>
      <c r="I261" s="1077"/>
      <c r="J261" s="1189"/>
      <c r="K261" s="1077"/>
      <c r="L261" s="1173"/>
      <c r="M261" s="1077"/>
      <c r="N261" s="1077"/>
      <c r="O261" s="1077"/>
      <c r="P261" s="1077"/>
      <c r="Q261" s="1077"/>
    </row>
    <row r="262" spans="1:17">
      <c r="A262" s="1077"/>
      <c r="B262" s="1080"/>
      <c r="C262" s="1077"/>
      <c r="D262" s="1233"/>
      <c r="E262" s="1077"/>
      <c r="F262" s="1129"/>
      <c r="G262" s="1077"/>
      <c r="H262" s="1186"/>
      <c r="I262" s="1077"/>
      <c r="J262" s="1189"/>
      <c r="K262" s="1077"/>
      <c r="L262" s="1173"/>
      <c r="M262" s="1077"/>
      <c r="N262" s="1077"/>
      <c r="O262" s="1077"/>
      <c r="P262" s="1077"/>
      <c r="Q262" s="1077"/>
    </row>
    <row r="263" spans="1:17">
      <c r="A263" s="1077"/>
      <c r="B263" s="1080">
        <f>MAX($B$13:B262)+1</f>
        <v>122</v>
      </c>
      <c r="C263" s="1077"/>
      <c r="D263" s="1234" t="s">
        <v>1360</v>
      </c>
      <c r="E263" s="1077"/>
      <c r="F263" s="1240">
        <f>ROUND(F248+F261,3)</f>
        <v>1.77</v>
      </c>
      <c r="G263" s="1077"/>
      <c r="H263" s="1219">
        <f>F263</f>
        <v>1.77</v>
      </c>
      <c r="I263" s="1077"/>
      <c r="J263" s="1189"/>
      <c r="K263" s="1077"/>
      <c r="L263" s="1173"/>
      <c r="M263" s="1077"/>
      <c r="N263" s="1077"/>
      <c r="O263" s="1077"/>
      <c r="P263" s="1077"/>
      <c r="Q263" s="1077"/>
    </row>
    <row r="264" spans="1:17">
      <c r="A264" s="1077"/>
      <c r="B264" s="1080"/>
      <c r="C264" s="1077"/>
      <c r="D264" s="1183"/>
      <c r="E264" s="1077"/>
      <c r="F264" s="1186"/>
      <c r="G264" s="1077"/>
      <c r="H264" s="1186"/>
      <c r="I264" s="1077"/>
      <c r="J264" s="1189"/>
      <c r="K264" s="1077"/>
      <c r="L264" s="1173"/>
      <c r="M264" s="1077"/>
      <c r="N264" s="1077"/>
      <c r="O264" s="1077"/>
      <c r="P264" s="1077"/>
      <c r="Q264" s="1077"/>
    </row>
    <row r="265" spans="1:17">
      <c r="A265" s="1077"/>
      <c r="B265" s="1080"/>
      <c r="C265" s="1077"/>
      <c r="D265" s="1183"/>
      <c r="E265" s="1077"/>
      <c r="F265" s="1186"/>
      <c r="G265" s="1077"/>
      <c r="H265" s="1186"/>
      <c r="I265" s="1077"/>
      <c r="J265" s="1189"/>
      <c r="K265" s="1077"/>
      <c r="L265" s="1173"/>
      <c r="M265" s="1077"/>
      <c r="N265" s="1077"/>
      <c r="O265" s="1077"/>
      <c r="P265" s="1077"/>
      <c r="Q265" s="1077"/>
    </row>
    <row r="266" spans="1:17">
      <c r="A266" s="1077"/>
      <c r="B266" s="1080"/>
      <c r="C266" s="1077"/>
      <c r="D266" s="1183"/>
      <c r="E266" s="1077"/>
      <c r="F266" s="1186"/>
      <c r="G266" s="1077"/>
      <c r="H266" s="1186"/>
      <c r="I266" s="1077"/>
      <c r="J266" s="1189"/>
      <c r="K266" s="1077"/>
      <c r="L266" s="1173"/>
      <c r="M266" s="1077"/>
      <c r="N266" s="1077"/>
      <c r="O266" s="1077"/>
      <c r="P266" s="1077"/>
      <c r="Q266" s="1077"/>
    </row>
    <row r="267" spans="1:17">
      <c r="A267" s="1077"/>
      <c r="B267" s="1080"/>
      <c r="C267" s="1077"/>
      <c r="D267" s="1183"/>
      <c r="E267" s="1077"/>
      <c r="F267" s="1186"/>
      <c r="G267" s="1077"/>
      <c r="H267" s="1186"/>
      <c r="I267" s="1077"/>
      <c r="J267" s="1189"/>
      <c r="K267" s="1077"/>
      <c r="L267" s="1173"/>
      <c r="M267" s="1077"/>
      <c r="N267" s="1077"/>
      <c r="O267" s="1077"/>
      <c r="P267" s="1077"/>
      <c r="Q267" s="1077"/>
    </row>
    <row r="268" spans="1:17">
      <c r="A268" s="1077"/>
      <c r="B268" s="1080"/>
      <c r="C268" s="1077"/>
      <c r="D268" s="1183"/>
      <c r="E268" s="1077"/>
      <c r="F268" s="1186"/>
      <c r="G268" s="1077"/>
      <c r="H268" s="1186"/>
      <c r="I268" s="1077"/>
      <c r="J268" s="1189"/>
      <c r="K268" s="1077"/>
      <c r="L268" s="1173"/>
      <c r="M268" s="1077"/>
      <c r="N268" s="1077"/>
      <c r="O268" s="1077"/>
      <c r="P268" s="1077"/>
      <c r="Q268" s="1077"/>
    </row>
    <row r="269" spans="1:17">
      <c r="A269" s="1077"/>
      <c r="B269" s="1080"/>
      <c r="C269" s="1077"/>
      <c r="D269" s="1183"/>
      <c r="E269" s="1077"/>
      <c r="F269" s="1186"/>
      <c r="G269" s="1077"/>
      <c r="H269" s="1186"/>
      <c r="I269" s="1077"/>
      <c r="J269" s="1189"/>
      <c r="K269" s="1077"/>
      <c r="L269" s="1173"/>
      <c r="M269" s="1077"/>
      <c r="N269" s="1077"/>
      <c r="O269" s="1077"/>
      <c r="P269" s="1077"/>
      <c r="Q269" s="1077"/>
    </row>
    <row r="270" spans="1:17">
      <c r="A270" s="1077"/>
      <c r="B270" s="1080"/>
      <c r="C270" s="1077"/>
      <c r="D270" s="1183"/>
      <c r="E270" s="1077"/>
      <c r="F270" s="1186"/>
      <c r="G270" s="1077"/>
      <c r="H270" s="1186"/>
      <c r="I270" s="1077"/>
      <c r="J270" s="1189"/>
      <c r="K270" s="1077"/>
      <c r="L270" s="1173"/>
      <c r="M270" s="1077"/>
      <c r="N270" s="1077"/>
      <c r="O270" s="1077"/>
      <c r="P270" s="1077"/>
      <c r="Q270" s="1077"/>
    </row>
    <row r="271" spans="1:17">
      <c r="A271" s="1077"/>
      <c r="B271" s="1083"/>
      <c r="C271" s="1077"/>
      <c r="D271" s="1172"/>
      <c r="E271" s="1172"/>
      <c r="F271" s="1172"/>
      <c r="G271" s="1172"/>
      <c r="H271" s="1172"/>
      <c r="I271" s="1172"/>
      <c r="J271" s="1189"/>
      <c r="K271" s="1173"/>
      <c r="L271" s="1173"/>
      <c r="M271" s="1077"/>
      <c r="N271" s="1077"/>
      <c r="O271" s="1077"/>
      <c r="P271" s="1077"/>
      <c r="Q271" s="1077"/>
    </row>
    <row r="272" spans="1:17">
      <c r="A272" s="1077"/>
      <c r="B272" s="1083"/>
      <c r="C272" s="1077"/>
      <c r="D272" s="1172"/>
      <c r="E272" s="1172"/>
      <c r="F272" s="1172"/>
      <c r="G272" s="1172"/>
      <c r="H272" s="1172"/>
      <c r="I272" s="1172"/>
      <c r="J272" s="1173"/>
      <c r="K272" s="1173"/>
      <c r="L272" s="1173"/>
      <c r="M272" s="1077"/>
      <c r="N272" s="1077"/>
      <c r="O272" s="1077"/>
      <c r="P272" s="1077"/>
      <c r="Q272" s="1077"/>
    </row>
    <row r="273" spans="1:17">
      <c r="A273" s="1077"/>
      <c r="B273" s="1083"/>
      <c r="C273" s="1077"/>
      <c r="D273" s="1172"/>
      <c r="E273" s="1172"/>
      <c r="F273" s="1172"/>
      <c r="G273" s="1172"/>
      <c r="H273" s="1172"/>
      <c r="I273" s="1172"/>
      <c r="J273" s="1173"/>
      <c r="K273" s="1173"/>
      <c r="L273" s="1173"/>
      <c r="M273" s="1077"/>
      <c r="N273" s="1077"/>
      <c r="O273" s="1077"/>
      <c r="P273" s="1077"/>
      <c r="Q273" s="1077"/>
    </row>
    <row r="274" spans="1:17">
      <c r="A274" s="1077"/>
      <c r="B274" s="1083"/>
      <c r="C274" s="1077"/>
      <c r="D274" s="1172"/>
      <c r="E274" s="1172"/>
      <c r="F274" s="1172"/>
      <c r="G274" s="1172"/>
      <c r="H274" s="1172"/>
      <c r="I274" s="1172"/>
      <c r="J274" s="1173"/>
      <c r="K274" s="1173"/>
      <c r="L274" s="1173"/>
      <c r="M274" s="1077"/>
      <c r="N274" s="1077"/>
      <c r="O274" s="1077"/>
      <c r="P274" s="1077"/>
      <c r="Q274" s="1077"/>
    </row>
    <row r="275" spans="1:17" ht="40.5" customHeight="1">
      <c r="A275" s="1077"/>
      <c r="B275" s="1175"/>
      <c r="C275" s="1084"/>
      <c r="D275" s="1175"/>
      <c r="E275" s="1175"/>
      <c r="F275" s="1175"/>
      <c r="G275" s="1175"/>
      <c r="H275" s="1175"/>
      <c r="I275" s="1175"/>
      <c r="J275" s="1173"/>
      <c r="K275" s="1173"/>
      <c r="L275" s="1173"/>
      <c r="M275" s="1077"/>
      <c r="N275" s="1077"/>
      <c r="O275" s="1077"/>
      <c r="P275" s="1077"/>
      <c r="Q275" s="1077"/>
    </row>
    <row r="276" spans="1:17">
      <c r="A276" s="1077"/>
      <c r="B276" s="1338" t="s">
        <v>1268</v>
      </c>
      <c r="C276" s="1338"/>
      <c r="D276" s="1342"/>
      <c r="E276" s="1342"/>
      <c r="F276" s="1342"/>
      <c r="G276" s="1342"/>
      <c r="H276" s="1342"/>
      <c r="I276" s="1175"/>
      <c r="J276" s="1173"/>
      <c r="K276" s="1173"/>
      <c r="L276" s="1173"/>
      <c r="M276" s="1077"/>
      <c r="N276" s="1077"/>
      <c r="O276" s="1077"/>
      <c r="P276" s="1077"/>
      <c r="Q276" s="1077"/>
    </row>
    <row r="277" spans="1:17">
      <c r="A277" s="1077"/>
      <c r="B277" s="1080"/>
      <c r="C277" s="1080"/>
      <c r="D277" s="1080"/>
      <c r="E277" s="1080"/>
      <c r="F277" s="1077"/>
      <c r="G277" s="1077"/>
      <c r="H277" s="1077"/>
      <c r="I277" s="1077"/>
      <c r="J277" s="1083"/>
      <c r="K277" s="1213"/>
      <c r="L277" s="1213"/>
      <c r="M277" s="1173"/>
      <c r="N277" s="1173"/>
      <c r="O277" s="1173"/>
      <c r="P277" s="1173"/>
      <c r="Q277" s="1173"/>
    </row>
    <row r="278" spans="1:17">
      <c r="A278" s="1077"/>
      <c r="B278" s="1080" t="s">
        <v>1</v>
      </c>
      <c r="C278" s="1176"/>
      <c r="D278" s="1176"/>
      <c r="E278" s="1176"/>
      <c r="F278" s="1224"/>
      <c r="G278" s="1224"/>
      <c r="H278" s="1224"/>
      <c r="I278" s="1077"/>
      <c r="J278" s="1080"/>
      <c r="K278" s="1213"/>
      <c r="L278" s="1213"/>
      <c r="M278" s="1173"/>
      <c r="N278" s="1173"/>
      <c r="O278" s="1173"/>
      <c r="P278" s="1173"/>
      <c r="Q278" s="1173"/>
    </row>
    <row r="279" spans="1:17">
      <c r="A279" s="1077"/>
      <c r="B279" s="1089" t="s">
        <v>2</v>
      </c>
      <c r="C279" s="1176"/>
      <c r="D279" s="1177" t="s">
        <v>3</v>
      </c>
      <c r="E279" s="1089"/>
      <c r="F279" s="1241" t="s">
        <v>1361</v>
      </c>
      <c r="G279" s="1224"/>
      <c r="H279" s="1241" t="s">
        <v>1361</v>
      </c>
      <c r="I279" s="1077"/>
      <c r="J279" s="1214"/>
      <c r="K279" s="1077"/>
      <c r="L279" s="1077"/>
      <c r="M279" s="1077"/>
      <c r="N279" s="1077"/>
      <c r="O279" s="1077"/>
      <c r="P279" s="1077"/>
      <c r="Q279" s="1077"/>
    </row>
    <row r="280" spans="1:17">
      <c r="A280" s="1077"/>
      <c r="B280" s="1080"/>
      <c r="C280" s="1176"/>
      <c r="D280" s="1176"/>
      <c r="E280" s="1080"/>
      <c r="F280" s="1242" t="s">
        <v>8</v>
      </c>
      <c r="G280" s="1243"/>
      <c r="H280" s="1242" t="s">
        <v>9</v>
      </c>
      <c r="I280" s="1080"/>
      <c r="J280" s="1080"/>
      <c r="K280" s="1077"/>
      <c r="L280" s="1077"/>
      <c r="M280" s="1077"/>
      <c r="N280" s="1077"/>
      <c r="O280" s="1077"/>
      <c r="P280" s="1077"/>
      <c r="Q280" s="1077"/>
    </row>
    <row r="281" spans="1:17">
      <c r="A281" s="1077"/>
      <c r="B281" s="1083"/>
      <c r="C281" s="1077"/>
      <c r="D281" s="1172"/>
      <c r="E281" s="1077"/>
      <c r="F281" s="1077"/>
      <c r="G281" s="1077"/>
      <c r="H281" s="1186"/>
      <c r="I281" s="1186"/>
      <c r="J281" s="1186"/>
      <c r="K281" s="1186"/>
      <c r="L281" s="1186"/>
      <c r="M281" s="1186"/>
      <c r="N281" s="1077"/>
      <c r="O281" s="1077"/>
      <c r="P281" s="1077"/>
      <c r="Q281" s="1077"/>
    </row>
    <row r="282" spans="1:17">
      <c r="A282" s="1077"/>
      <c r="B282" s="1083"/>
      <c r="C282" s="1077"/>
      <c r="D282" s="1182" t="s">
        <v>1362</v>
      </c>
      <c r="E282" s="1077"/>
      <c r="F282" s="1084"/>
      <c r="G282" s="1084"/>
      <c r="H282" s="1084"/>
      <c r="I282" s="1186"/>
      <c r="J282" s="1186"/>
      <c r="K282" s="1186"/>
      <c r="L282" s="1186"/>
      <c r="M282" s="1186"/>
      <c r="N282" s="1077"/>
      <c r="O282" s="1077"/>
      <c r="P282" s="1077"/>
      <c r="Q282" s="1077"/>
    </row>
    <row r="283" spans="1:17">
      <c r="A283" s="1077"/>
      <c r="B283" s="1083"/>
      <c r="C283" s="1077"/>
      <c r="D283" s="1172"/>
      <c r="E283" s="1172"/>
      <c r="F283" s="1244" t="s">
        <v>1363</v>
      </c>
      <c r="G283" s="1244"/>
      <c r="H283" s="1244" t="s">
        <v>1363</v>
      </c>
      <c r="I283" s="1172"/>
      <c r="J283" s="1173"/>
      <c r="K283" s="1173"/>
      <c r="L283" s="1173"/>
      <c r="M283" s="1077"/>
      <c r="N283" s="1077"/>
      <c r="O283" s="1077"/>
      <c r="P283" s="1077"/>
      <c r="Q283" s="1077"/>
    </row>
    <row r="284" spans="1:17">
      <c r="A284" s="1077"/>
      <c r="B284" s="1083"/>
      <c r="C284" s="1077"/>
      <c r="D284" s="1245" t="s">
        <v>1364</v>
      </c>
      <c r="E284" s="1077"/>
      <c r="F284" s="1241" t="s">
        <v>276</v>
      </c>
      <c r="G284" s="1244"/>
      <c r="H284" s="1241" t="s">
        <v>277</v>
      </c>
      <c r="I284" s="1077"/>
      <c r="J284" s="1077"/>
      <c r="K284" s="1077"/>
      <c r="L284" s="1077"/>
      <c r="M284" s="1077"/>
      <c r="N284" s="1077"/>
      <c r="O284" s="1077"/>
      <c r="P284" s="1077"/>
      <c r="Q284" s="1077"/>
    </row>
    <row r="285" spans="1:17">
      <c r="A285" s="1077"/>
      <c r="B285" s="1083"/>
      <c r="C285" s="1077"/>
      <c r="D285" s="1245"/>
      <c r="E285" s="1077"/>
      <c r="F285" s="1077"/>
      <c r="G285" s="1077"/>
      <c r="H285" s="1077"/>
      <c r="I285" s="1077"/>
      <c r="J285" s="1077"/>
      <c r="K285" s="1077"/>
      <c r="L285" s="1077"/>
      <c r="M285" s="1077"/>
      <c r="N285" s="1077"/>
      <c r="O285" s="1077"/>
      <c r="P285" s="1077"/>
      <c r="Q285" s="1077"/>
    </row>
    <row r="286" spans="1:17">
      <c r="A286" s="1077"/>
      <c r="B286" s="1080"/>
      <c r="C286" s="1077"/>
      <c r="D286" s="1194" t="s">
        <v>1365</v>
      </c>
      <c r="E286" s="1077"/>
      <c r="F286" s="1077"/>
      <c r="G286" s="1077"/>
      <c r="H286" s="1077"/>
      <c r="I286" s="1077"/>
      <c r="J286" s="1077"/>
      <c r="K286" s="1077"/>
      <c r="L286" s="1077"/>
      <c r="M286" s="1077"/>
      <c r="N286" s="1077"/>
      <c r="O286" s="1077"/>
      <c r="P286" s="1077"/>
      <c r="Q286" s="1077"/>
    </row>
    <row r="287" spans="1:17">
      <c r="A287" s="1077"/>
      <c r="B287" s="1080">
        <f>MAX($B$13:B286)+1</f>
        <v>123</v>
      </c>
      <c r="C287" s="1077"/>
      <c r="D287" s="1188" t="s">
        <v>1366</v>
      </c>
      <c r="E287" s="1077"/>
      <c r="F287" s="1186">
        <v>2.3107463013698633</v>
      </c>
      <c r="G287" s="1077"/>
      <c r="H287" s="1186">
        <v>2.3107463013698633</v>
      </c>
      <c r="I287" s="1077"/>
      <c r="J287" s="1077"/>
      <c r="K287" s="1173"/>
      <c r="L287" s="1173"/>
      <c r="M287" s="1077"/>
      <c r="N287" s="1077"/>
      <c r="O287" s="1077"/>
      <c r="P287" s="1077"/>
      <c r="Q287" s="1077"/>
    </row>
    <row r="288" spans="1:17">
      <c r="A288" s="1077"/>
      <c r="B288" s="1080">
        <f>MAX($B$13:B287)+1</f>
        <v>124</v>
      </c>
      <c r="C288" s="1077"/>
      <c r="D288" s="1188" t="s">
        <v>1277</v>
      </c>
      <c r="E288" s="1077"/>
      <c r="F288" s="1186">
        <v>0.72160000000000002</v>
      </c>
      <c r="G288" s="1077"/>
      <c r="H288" s="1186">
        <v>0.72160000000000002</v>
      </c>
      <c r="I288" s="1077"/>
      <c r="J288" s="1077"/>
      <c r="K288" s="1173"/>
      <c r="L288" s="1173"/>
      <c r="M288" s="1077"/>
      <c r="N288" s="1077"/>
      <c r="O288" s="1077"/>
      <c r="P288" s="1077"/>
      <c r="Q288" s="1077"/>
    </row>
    <row r="289" spans="1:17">
      <c r="A289" s="1077"/>
      <c r="B289" s="1080">
        <f>MAX($B$13:B288)+1</f>
        <v>125</v>
      </c>
      <c r="C289" s="1077"/>
      <c r="D289" s="1194" t="s">
        <v>1365</v>
      </c>
      <c r="E289" s="1077"/>
      <c r="F289" s="1192">
        <f>F287+F288</f>
        <v>3.0323463013698633</v>
      </c>
      <c r="G289" s="1077"/>
      <c r="H289" s="1192">
        <f>H287+H288</f>
        <v>3.0323463013698633</v>
      </c>
      <c r="I289" s="1077"/>
      <c r="J289" s="1201"/>
      <c r="K289" s="1173"/>
      <c r="L289" s="1173"/>
      <c r="M289" s="1077"/>
      <c r="N289" s="1077"/>
      <c r="O289" s="1077"/>
      <c r="P289" s="1077"/>
      <c r="Q289" s="1077"/>
    </row>
    <row r="290" spans="1:17">
      <c r="A290" s="1077"/>
      <c r="B290" s="1083"/>
      <c r="C290" s="1077"/>
      <c r="D290" s="1077"/>
      <c r="E290" s="1077"/>
      <c r="F290" s="1077"/>
      <c r="G290" s="1077"/>
      <c r="H290" s="1077"/>
      <c r="I290" s="1077"/>
      <c r="J290" s="1077"/>
      <c r="K290" s="1077"/>
      <c r="L290" s="1077"/>
      <c r="M290" s="1186"/>
      <c r="N290" s="1077"/>
      <c r="O290" s="1077"/>
      <c r="P290" s="1077"/>
      <c r="Q290" s="1077"/>
    </row>
    <row r="291" spans="1:17">
      <c r="A291" s="1077"/>
      <c r="B291" s="1080"/>
      <c r="C291" s="1077"/>
      <c r="D291" s="1194" t="s">
        <v>1367</v>
      </c>
      <c r="E291" s="1077"/>
      <c r="F291" s="1077"/>
      <c r="G291" s="1077"/>
      <c r="H291" s="1077"/>
      <c r="I291" s="1077"/>
      <c r="J291" s="1077"/>
      <c r="K291" s="1077"/>
      <c r="L291" s="1077"/>
      <c r="M291" s="1077"/>
      <c r="N291" s="1077"/>
      <c r="O291" s="1077"/>
      <c r="P291" s="1077"/>
      <c r="Q291" s="1077"/>
    </row>
    <row r="292" spans="1:17">
      <c r="A292" s="1077"/>
      <c r="B292" s="1080">
        <f>MAX($B$13:B291)+1</f>
        <v>126</v>
      </c>
      <c r="C292" s="1077"/>
      <c r="D292" s="1188" t="s">
        <v>1368</v>
      </c>
      <c r="E292" s="1077"/>
      <c r="F292" s="1186">
        <v>2.1831846575342464</v>
      </c>
      <c r="G292" s="1077"/>
      <c r="H292" s="1186">
        <v>2.5579331506849314</v>
      </c>
      <c r="I292" s="1077"/>
      <c r="J292" s="1077"/>
      <c r="K292" s="1077"/>
      <c r="L292" s="1077"/>
      <c r="M292" s="1186"/>
      <c r="N292" s="1077"/>
      <c r="O292" s="1077"/>
      <c r="P292" s="1077"/>
      <c r="Q292" s="1077"/>
    </row>
    <row r="293" spans="1:17">
      <c r="A293" s="1077"/>
      <c r="B293" s="1080">
        <f>MAX($B$13:B292)+1</f>
        <v>127</v>
      </c>
      <c r="C293" s="1077"/>
      <c r="D293" s="1188" t="s">
        <v>266</v>
      </c>
      <c r="E293" s="1077"/>
      <c r="F293" s="1186">
        <v>1.8945999999999996</v>
      </c>
      <c r="G293" s="1077"/>
      <c r="H293" s="1186">
        <v>1.3942000000000001</v>
      </c>
      <c r="I293" s="1077"/>
      <c r="J293" s="1077"/>
      <c r="K293" s="1077"/>
      <c r="L293" s="1077"/>
      <c r="M293" s="1186"/>
      <c r="N293" s="1077"/>
      <c r="O293" s="1077"/>
      <c r="P293" s="1077"/>
      <c r="Q293" s="1077"/>
    </row>
    <row r="294" spans="1:17">
      <c r="A294" s="1077"/>
      <c r="B294" s="1080">
        <f>MAX($B$13:B293)+1</f>
        <v>128</v>
      </c>
      <c r="C294" s="1077"/>
      <c r="D294" s="1188" t="s">
        <v>1369</v>
      </c>
      <c r="E294" s="1077"/>
      <c r="F294" s="1186">
        <v>0.37780000000000002</v>
      </c>
      <c r="G294" s="1077"/>
      <c r="H294" s="1186">
        <v>-8.1899999999999987E-2</v>
      </c>
      <c r="I294" s="1077"/>
      <c r="J294" s="1077"/>
      <c r="K294" s="1077"/>
      <c r="L294" s="1180"/>
      <c r="M294" s="1186"/>
      <c r="N294" s="1077"/>
      <c r="O294" s="1077"/>
      <c r="P294" s="1077"/>
      <c r="Q294" s="1077"/>
    </row>
    <row r="295" spans="1:17">
      <c r="A295" s="1077"/>
      <c r="B295" s="1080">
        <f>MAX($B$13:B294)+1</f>
        <v>129</v>
      </c>
      <c r="C295" s="1077"/>
      <c r="D295" s="1188" t="s">
        <v>1370</v>
      </c>
      <c r="E295" s="1077"/>
      <c r="F295" s="1200">
        <f>(F293+F294) * (4/5)</f>
        <v>1.81792</v>
      </c>
      <c r="G295" s="1077"/>
      <c r="H295" s="1200">
        <f>(H293+H294) * (4/5)</f>
        <v>1.0498400000000001</v>
      </c>
      <c r="I295" s="1077"/>
      <c r="J295" s="1077"/>
      <c r="K295" s="1077"/>
      <c r="L295" s="1180"/>
      <c r="M295" s="1186"/>
      <c r="N295" s="1077"/>
      <c r="O295" s="1077"/>
      <c r="P295" s="1077"/>
      <c r="Q295" s="1077"/>
    </row>
    <row r="296" spans="1:17">
      <c r="A296" s="1077"/>
      <c r="B296" s="1080">
        <f>MAX($B$13:B295)+1</f>
        <v>130</v>
      </c>
      <c r="C296" s="1077"/>
      <c r="D296" s="1194" t="s">
        <v>1371</v>
      </c>
      <c r="E296" s="1077"/>
      <c r="F296" s="1200">
        <f>F292+F295</f>
        <v>4.0011046575342464</v>
      </c>
      <c r="G296" s="1077"/>
      <c r="H296" s="1200">
        <f>H292+H295</f>
        <v>3.6077731506849315</v>
      </c>
      <c r="I296" s="1077"/>
      <c r="J296" s="1077"/>
      <c r="K296" s="1077"/>
      <c r="L296" s="1077"/>
      <c r="M296" s="1186"/>
      <c r="N296" s="1077"/>
      <c r="O296" s="1077"/>
      <c r="P296" s="1077"/>
      <c r="Q296" s="1077"/>
    </row>
    <row r="297" spans="1:17">
      <c r="A297" s="1077"/>
      <c r="B297" s="1083"/>
      <c r="C297" s="1077"/>
      <c r="D297" s="1194"/>
      <c r="E297" s="1077"/>
      <c r="F297" s="1186"/>
      <c r="G297" s="1077"/>
      <c r="H297" s="1077"/>
      <c r="I297" s="1077"/>
      <c r="J297" s="1077"/>
      <c r="K297" s="1077"/>
      <c r="L297" s="1077"/>
      <c r="M297" s="1186"/>
      <c r="N297" s="1077"/>
      <c r="O297" s="1077"/>
      <c r="P297" s="1077"/>
      <c r="Q297" s="1077"/>
    </row>
    <row r="298" spans="1:17">
      <c r="A298" s="1077"/>
      <c r="B298" s="1080">
        <f>MAX($B$13:B297)+1</f>
        <v>131</v>
      </c>
      <c r="C298" s="1077"/>
      <c r="D298" s="1194" t="s">
        <v>1372</v>
      </c>
      <c r="E298" s="1077"/>
      <c r="F298" s="1192">
        <f>F289+F296</f>
        <v>7.0334509589041101</v>
      </c>
      <c r="G298" s="1077"/>
      <c r="H298" s="1192">
        <f>H289+H296</f>
        <v>6.6401194520547948</v>
      </c>
      <c r="I298" s="1077"/>
      <c r="J298" s="1077"/>
      <c r="K298" s="1077"/>
      <c r="L298" s="1077"/>
      <c r="M298" s="1186"/>
      <c r="N298" s="1077"/>
      <c r="O298" s="1077"/>
      <c r="P298" s="1077"/>
      <c r="Q298" s="1077"/>
    </row>
    <row r="299" spans="1:17">
      <c r="A299" s="1077"/>
      <c r="B299" s="1083"/>
      <c r="C299" s="1077"/>
      <c r="D299" s="1077"/>
      <c r="E299" s="1077"/>
      <c r="F299" s="1077"/>
      <c r="G299" s="1077"/>
      <c r="H299" s="1077"/>
      <c r="I299" s="1077"/>
      <c r="J299" s="1077"/>
      <c r="K299" s="1077"/>
      <c r="L299" s="1077"/>
      <c r="M299" s="1186"/>
      <c r="N299" s="1077"/>
      <c r="O299" s="1077"/>
      <c r="P299" s="1077"/>
      <c r="Q299" s="1077"/>
    </row>
    <row r="300" spans="1:17">
      <c r="A300" s="1077"/>
      <c r="B300" s="1083"/>
      <c r="C300" s="1077"/>
      <c r="D300" s="1245" t="s">
        <v>1373</v>
      </c>
      <c r="E300" s="1077"/>
      <c r="F300" s="1077"/>
      <c r="G300" s="1077"/>
      <c r="H300" s="1186"/>
      <c r="I300" s="1186"/>
      <c r="J300" s="1186"/>
      <c r="K300" s="1186"/>
      <c r="L300" s="1186"/>
      <c r="M300" s="1077"/>
      <c r="N300" s="1077"/>
      <c r="O300" s="1077"/>
      <c r="P300" s="1077"/>
      <c r="Q300" s="1077"/>
    </row>
    <row r="301" spans="1:17">
      <c r="A301" s="1077"/>
      <c r="B301" s="1083"/>
      <c r="C301" s="1077"/>
      <c r="D301" s="1245"/>
      <c r="E301" s="1077"/>
      <c r="F301" s="1077"/>
      <c r="G301" s="1077"/>
      <c r="H301" s="1186"/>
      <c r="I301" s="1186"/>
      <c r="J301" s="1186"/>
      <c r="K301" s="1186"/>
      <c r="L301" s="1186"/>
      <c r="M301" s="1077"/>
      <c r="N301" s="1077"/>
      <c r="O301" s="1077"/>
      <c r="P301" s="1077"/>
      <c r="Q301" s="1077"/>
    </row>
    <row r="302" spans="1:17">
      <c r="A302" s="1077"/>
      <c r="B302" s="1080"/>
      <c r="C302" s="1077"/>
      <c r="D302" s="1194" t="s">
        <v>1365</v>
      </c>
      <c r="E302" s="1077"/>
      <c r="F302" s="1077"/>
      <c r="G302" s="1077"/>
      <c r="H302" s="1077"/>
      <c r="I302" s="1077"/>
      <c r="J302" s="1077"/>
      <c r="K302" s="1077"/>
      <c r="L302" s="1077"/>
      <c r="M302" s="1077"/>
      <c r="N302" s="1077"/>
      <c r="O302" s="1077"/>
      <c r="P302" s="1077"/>
      <c r="Q302" s="1077"/>
    </row>
    <row r="303" spans="1:17">
      <c r="A303" s="1077"/>
      <c r="B303" s="1080">
        <f>MAX($B$13:B302)+1</f>
        <v>132</v>
      </c>
      <c r="C303" s="1077"/>
      <c r="D303" s="1188" t="s">
        <v>1374</v>
      </c>
      <c r="E303" s="1077"/>
      <c r="F303" s="1186">
        <v>0.93363757338551834</v>
      </c>
      <c r="G303" s="1077"/>
      <c r="H303" s="1186">
        <v>0.93363757338551834</v>
      </c>
      <c r="I303" s="1077"/>
      <c r="J303" s="1077"/>
      <c r="K303" s="1173"/>
      <c r="L303" s="1173"/>
      <c r="M303" s="1077"/>
      <c r="N303" s="1077"/>
      <c r="O303" s="1077"/>
      <c r="P303" s="1077"/>
      <c r="Q303" s="1077"/>
    </row>
    <row r="304" spans="1:17">
      <c r="A304" s="1077"/>
      <c r="B304" s="1080">
        <f>MAX($B$13:B303)+1</f>
        <v>133</v>
      </c>
      <c r="C304" s="1077"/>
      <c r="D304" s="1188" t="s">
        <v>1286</v>
      </c>
      <c r="E304" s="1077"/>
      <c r="F304" s="1186">
        <v>0.2853</v>
      </c>
      <c r="G304" s="1077"/>
      <c r="H304" s="1186">
        <v>0.2853</v>
      </c>
      <c r="I304" s="1077"/>
      <c r="J304" s="1077"/>
      <c r="K304" s="1173"/>
      <c r="L304" s="1173"/>
      <c r="M304" s="1077"/>
      <c r="N304" s="1077"/>
      <c r="O304" s="1077"/>
      <c r="P304" s="1077"/>
      <c r="Q304" s="1077"/>
    </row>
    <row r="305" spans="1:18">
      <c r="A305" s="1077"/>
      <c r="B305" s="1080">
        <f>MAX($B$13:B304)+1</f>
        <v>134</v>
      </c>
      <c r="C305" s="1077"/>
      <c r="D305" s="1194" t="s">
        <v>1365</v>
      </c>
      <c r="E305" s="1077"/>
      <c r="F305" s="1199">
        <f>F303+F304</f>
        <v>1.2189375733855183</v>
      </c>
      <c r="G305" s="1077"/>
      <c r="H305" s="1199">
        <f>H303+H304</f>
        <v>1.2189375733855183</v>
      </c>
      <c r="I305" s="1077"/>
      <c r="J305" s="1201"/>
      <c r="K305" s="1173"/>
      <c r="L305" s="1173"/>
      <c r="M305" s="1077"/>
      <c r="N305" s="1077"/>
      <c r="O305" s="1077"/>
      <c r="P305" s="1077"/>
      <c r="Q305" s="1077"/>
    </row>
    <row r="306" spans="1:18">
      <c r="A306" s="1077"/>
      <c r="B306" s="1083"/>
      <c r="C306" s="1077"/>
      <c r="D306" s="1172"/>
      <c r="E306" s="1172"/>
      <c r="F306" s="1172"/>
      <c r="G306" s="1172"/>
      <c r="H306" s="1172"/>
      <c r="I306" s="1172"/>
      <c r="J306" s="1173"/>
      <c r="K306" s="1173"/>
      <c r="L306" s="1173"/>
      <c r="M306" s="1077"/>
      <c r="N306" s="1077"/>
      <c r="O306" s="1077"/>
      <c r="P306" s="1077"/>
      <c r="Q306" s="1077"/>
    </row>
    <row r="307" spans="1:18">
      <c r="A307" s="1077"/>
      <c r="B307" s="1080"/>
      <c r="C307" s="1077"/>
      <c r="D307" s="1194" t="s">
        <v>1367</v>
      </c>
      <c r="E307" s="1172"/>
      <c r="F307" s="1172"/>
      <c r="G307" s="1172"/>
      <c r="H307" s="1172"/>
      <c r="I307" s="1172"/>
      <c r="J307" s="1173"/>
      <c r="K307" s="1173"/>
      <c r="L307" s="1173"/>
      <c r="M307" s="1077"/>
      <c r="N307" s="1077"/>
      <c r="O307" s="1077"/>
      <c r="P307" s="1077"/>
      <c r="Q307" s="1077"/>
    </row>
    <row r="308" spans="1:18">
      <c r="A308" s="1077"/>
      <c r="B308" s="1080">
        <f>MAX($B$13:B307)+1</f>
        <v>135</v>
      </c>
      <c r="C308" s="1077"/>
      <c r="D308" s="1188" t="s">
        <v>1375</v>
      </c>
      <c r="E308" s="1172"/>
      <c r="F308" s="1186">
        <v>2.5700013979491656</v>
      </c>
      <c r="G308" s="1077"/>
      <c r="H308" s="1186">
        <v>4.07709283126123</v>
      </c>
      <c r="I308" s="1172"/>
      <c r="J308" s="1173"/>
      <c r="K308" s="1173"/>
      <c r="L308" s="1180"/>
      <c r="M308" s="1077"/>
      <c r="N308" s="1077"/>
      <c r="O308" s="1077"/>
      <c r="P308" s="1077"/>
      <c r="Q308" s="1077"/>
    </row>
    <row r="309" spans="1:18">
      <c r="A309" s="1077"/>
      <c r="B309" s="1080">
        <f>MAX($B$13:B308)+1</f>
        <v>136</v>
      </c>
      <c r="C309" s="1077"/>
      <c r="D309" s="1188" t="s">
        <v>266</v>
      </c>
      <c r="E309" s="1172"/>
      <c r="F309" s="1186">
        <v>3.06338749331533</v>
      </c>
      <c r="G309" s="1077"/>
      <c r="H309" s="1186">
        <v>4.9586210454098776</v>
      </c>
      <c r="I309" s="1172"/>
      <c r="J309" s="1173"/>
      <c r="K309" s="1173"/>
      <c r="L309" s="1173"/>
      <c r="M309" s="1077"/>
      <c r="N309" s="1077"/>
      <c r="O309" s="1077"/>
      <c r="P309" s="1077"/>
      <c r="Q309" s="1077"/>
    </row>
    <row r="310" spans="1:18">
      <c r="A310" s="1077"/>
      <c r="B310" s="1080">
        <f>MAX($B$13:B309)+1</f>
        <v>137</v>
      </c>
      <c r="C310" s="1077"/>
      <c r="D310" s="1188" t="s">
        <v>1376</v>
      </c>
      <c r="E310" s="1172"/>
      <c r="F310" s="1186">
        <f>(F308+F309) * (3/7)</f>
        <v>2.4143095248276407</v>
      </c>
      <c r="G310" s="1077"/>
      <c r="H310" s="1186">
        <f>(H308+H309) * (3/7)</f>
        <v>3.8724488042876168</v>
      </c>
      <c r="I310" s="1172"/>
      <c r="J310" s="1173"/>
      <c r="K310" s="1173"/>
      <c r="L310" s="1173"/>
      <c r="M310" s="1077"/>
      <c r="N310" s="1077"/>
      <c r="O310" s="1077"/>
      <c r="P310" s="1077"/>
      <c r="Q310" s="1077"/>
    </row>
    <row r="311" spans="1:18">
      <c r="A311" s="1077"/>
      <c r="B311" s="1080">
        <f>MAX($B$13:B310)+1</f>
        <v>138</v>
      </c>
      <c r="C311" s="1077"/>
      <c r="D311" s="1194" t="s">
        <v>1377</v>
      </c>
      <c r="E311" s="1172"/>
      <c r="F311" s="1199">
        <f>F308+F310</f>
        <v>4.9843109227768068</v>
      </c>
      <c r="G311" s="1077"/>
      <c r="H311" s="1199">
        <f>H308+H310</f>
        <v>7.9495416355488473</v>
      </c>
      <c r="I311" s="1172"/>
      <c r="J311" s="1173"/>
      <c r="K311" s="1173"/>
      <c r="L311" s="1173"/>
      <c r="M311" s="1077"/>
      <c r="N311" s="1077"/>
      <c r="O311" s="1077"/>
      <c r="P311" s="1077"/>
      <c r="Q311" s="1077"/>
    </row>
    <row r="312" spans="1:18">
      <c r="A312" s="1077"/>
      <c r="B312" s="1083"/>
      <c r="C312" s="1077"/>
      <c r="D312" s="1172"/>
      <c r="E312" s="1172"/>
      <c r="F312" s="1172"/>
      <c r="G312" s="1172"/>
      <c r="H312" s="1172"/>
      <c r="I312" s="1172"/>
      <c r="J312" s="1173"/>
      <c r="K312" s="1173"/>
      <c r="L312" s="1173"/>
      <c r="M312" s="1077"/>
      <c r="N312" s="1077"/>
      <c r="O312" s="1077"/>
      <c r="P312" s="1077"/>
      <c r="Q312" s="1077"/>
    </row>
    <row r="313" spans="1:18">
      <c r="A313" s="1077"/>
      <c r="B313" s="1080">
        <f>MAX($B$13:B312)+1</f>
        <v>139</v>
      </c>
      <c r="C313" s="1077"/>
      <c r="D313" s="1194" t="s">
        <v>1378</v>
      </c>
      <c r="E313" s="1077"/>
      <c r="F313" s="1192">
        <f>F305+F311</f>
        <v>6.2032484961623249</v>
      </c>
      <c r="G313" s="1077"/>
      <c r="H313" s="1192">
        <f>H305+H311</f>
        <v>9.1684792089343663</v>
      </c>
      <c r="I313" s="1077"/>
      <c r="J313" s="1077"/>
      <c r="K313" s="1173"/>
      <c r="L313" s="1173"/>
      <c r="M313" s="1186"/>
      <c r="N313" s="1077"/>
      <c r="O313" s="1077"/>
      <c r="P313" s="1077"/>
      <c r="Q313" s="1077"/>
    </row>
    <row r="314" spans="1:18">
      <c r="A314" s="1077"/>
      <c r="B314" s="1083"/>
      <c r="C314" s="1077"/>
      <c r="D314" s="1077"/>
      <c r="E314" s="1077"/>
      <c r="F314" s="1084"/>
      <c r="G314" s="1084"/>
      <c r="H314" s="1084"/>
      <c r="I314" s="1077"/>
      <c r="J314" s="1077"/>
      <c r="K314" s="1173"/>
      <c r="L314" s="1173"/>
      <c r="M314" s="1186"/>
      <c r="N314" s="1077"/>
      <c r="O314" s="1077"/>
      <c r="P314" s="1077"/>
      <c r="Q314" s="1077"/>
    </row>
    <row r="315" spans="1:18">
      <c r="A315" s="1077"/>
      <c r="B315" s="1083"/>
      <c r="C315" s="1077"/>
      <c r="D315" s="1245" t="s">
        <v>1379</v>
      </c>
      <c r="E315" s="1077"/>
      <c r="F315" s="1186"/>
      <c r="G315" s="1186"/>
      <c r="H315" s="1186"/>
      <c r="I315" s="1186"/>
      <c r="J315" s="1186"/>
      <c r="K315" s="1173"/>
      <c r="L315" s="1173"/>
      <c r="M315" s="1077"/>
      <c r="N315" s="1077"/>
      <c r="O315" s="1077"/>
      <c r="P315" s="1208"/>
      <c r="Q315" s="1208"/>
      <c r="R315" s="1208"/>
    </row>
    <row r="316" spans="1:18">
      <c r="A316" s="1077"/>
      <c r="B316" s="1080">
        <f>MAX($B$13:B315)+1</f>
        <v>140</v>
      </c>
      <c r="C316" s="1077"/>
      <c r="D316" s="1188" t="s">
        <v>1380</v>
      </c>
      <c r="E316" s="1077"/>
      <c r="F316" s="1186">
        <v>3.7222558699427051</v>
      </c>
      <c r="G316" s="1077"/>
      <c r="H316" s="1186"/>
      <c r="I316" s="1077"/>
      <c r="J316" s="1077"/>
      <c r="K316" s="1173"/>
      <c r="L316" s="1173"/>
      <c r="M316" s="1077"/>
      <c r="N316" s="1077"/>
      <c r="O316" s="1077"/>
      <c r="P316" s="1208"/>
      <c r="Q316" s="1208"/>
      <c r="R316" s="1246"/>
    </row>
    <row r="317" spans="1:18">
      <c r="A317" s="1077"/>
      <c r="B317" s="1080">
        <f>MAX($B$13:B316)+1</f>
        <v>141</v>
      </c>
      <c r="C317" s="1077"/>
      <c r="D317" s="1188" t="s">
        <v>1286</v>
      </c>
      <c r="E317" s="1077"/>
      <c r="F317" s="1186">
        <v>0.35580000000000001</v>
      </c>
      <c r="G317" s="1077"/>
      <c r="H317" s="1186"/>
      <c r="I317" s="1077"/>
      <c r="J317" s="1077"/>
      <c r="K317" s="1173"/>
      <c r="L317" s="1077"/>
      <c r="M317" s="1077"/>
      <c r="N317" s="1077"/>
      <c r="O317" s="1077"/>
      <c r="P317" s="1208"/>
      <c r="Q317" s="1208"/>
      <c r="R317" s="1246"/>
    </row>
    <row r="318" spans="1:18">
      <c r="A318" s="1077"/>
      <c r="B318" s="1080">
        <f>MAX($B$13:B317)+1</f>
        <v>142</v>
      </c>
      <c r="C318" s="1077"/>
      <c r="D318" s="1194" t="s">
        <v>1381</v>
      </c>
      <c r="E318" s="1077"/>
      <c r="F318" s="1199">
        <f>F316+F317</f>
        <v>4.0780558699427054</v>
      </c>
      <c r="G318" s="1077"/>
      <c r="H318" s="1192">
        <f>F318</f>
        <v>4.0780558699427054</v>
      </c>
      <c r="I318" s="1077"/>
      <c r="J318" s="1201"/>
      <c r="K318" s="1173"/>
      <c r="L318" s="1173"/>
      <c r="M318" s="1077"/>
      <c r="N318" s="1077"/>
      <c r="O318" s="1077"/>
      <c r="P318" s="1208"/>
      <c r="Q318" s="1208"/>
      <c r="R318" s="549"/>
    </row>
    <row r="319" spans="1:18">
      <c r="A319" s="1077"/>
      <c r="B319" s="1083"/>
      <c r="C319" s="1077"/>
      <c r="D319" s="1172"/>
      <c r="E319" s="1172"/>
      <c r="F319" s="1172"/>
      <c r="G319" s="1172"/>
      <c r="H319" s="1172"/>
      <c r="I319" s="1172"/>
      <c r="J319" s="1173"/>
      <c r="K319" s="1173"/>
      <c r="L319" s="1173"/>
      <c r="M319" s="1077"/>
      <c r="N319" s="1077"/>
      <c r="O319" s="1077"/>
      <c r="P319" s="1208"/>
      <c r="Q319" s="1208"/>
      <c r="R319" s="549"/>
    </row>
    <row r="320" spans="1:18">
      <c r="A320" s="1077"/>
      <c r="B320" s="1083"/>
      <c r="C320" s="1077"/>
      <c r="D320" s="1077"/>
      <c r="E320" s="1077"/>
      <c r="F320" s="1077"/>
      <c r="G320" s="1077"/>
      <c r="H320" s="1172"/>
      <c r="I320" s="1077"/>
      <c r="J320" s="1077"/>
      <c r="K320" s="1077"/>
      <c r="L320" s="1077"/>
      <c r="M320" s="1077"/>
      <c r="N320" s="1077"/>
      <c r="O320" s="1077"/>
      <c r="P320" s="1077"/>
      <c r="Q320" s="1077"/>
    </row>
    <row r="321" spans="1:17">
      <c r="A321" s="1077"/>
      <c r="B321" s="1083"/>
      <c r="C321" s="1077"/>
      <c r="D321" s="1172"/>
      <c r="E321" s="1172"/>
      <c r="F321" s="1172"/>
      <c r="G321" s="1172"/>
      <c r="H321" s="1172"/>
      <c r="I321" s="1172"/>
      <c r="J321" s="1189"/>
      <c r="K321" s="1173"/>
      <c r="L321" s="1173"/>
      <c r="M321" s="1077"/>
      <c r="N321" s="1077"/>
      <c r="O321" s="1077"/>
      <c r="P321" s="1077"/>
      <c r="Q321" s="1077"/>
    </row>
    <row r="322" spans="1:17">
      <c r="A322" s="1077"/>
      <c r="B322" s="1083"/>
      <c r="C322" s="1077"/>
      <c r="D322" s="1172"/>
      <c r="E322" s="1172"/>
      <c r="F322" s="1172"/>
      <c r="G322" s="1172"/>
      <c r="H322" s="1172"/>
      <c r="I322" s="1172"/>
      <c r="J322" s="1173"/>
      <c r="K322" s="1173"/>
      <c r="L322" s="1173"/>
      <c r="M322" s="1077"/>
      <c r="N322" s="1077"/>
      <c r="O322" s="1077"/>
      <c r="P322" s="1077"/>
      <c r="Q322" s="1077"/>
    </row>
    <row r="323" spans="1:17">
      <c r="A323" s="1077"/>
      <c r="B323" s="1338"/>
      <c r="C323" s="1338"/>
      <c r="D323" s="1342"/>
      <c r="E323" s="1342"/>
      <c r="F323" s="1342"/>
      <c r="G323" s="1342"/>
      <c r="H323" s="1342"/>
      <c r="I323" s="1172"/>
      <c r="J323" s="1173"/>
      <c r="K323" s="1173"/>
      <c r="L323" s="1173"/>
      <c r="M323" s="1077"/>
      <c r="N323" s="1077"/>
      <c r="O323" s="1077"/>
      <c r="P323" s="1077"/>
      <c r="Q323" s="1077"/>
    </row>
    <row r="324" spans="1:17">
      <c r="A324" s="1077"/>
      <c r="B324" s="1338"/>
      <c r="C324" s="1338"/>
      <c r="D324" s="1342"/>
      <c r="E324" s="1342"/>
      <c r="F324" s="1342"/>
      <c r="G324" s="1342"/>
      <c r="H324" s="1342"/>
      <c r="I324" s="1172"/>
      <c r="J324" s="1173"/>
      <c r="K324" s="1173"/>
      <c r="L324" s="1173"/>
      <c r="M324" s="1077"/>
      <c r="N324" s="1077"/>
      <c r="O324" s="1077"/>
      <c r="P324" s="1077"/>
      <c r="Q324" s="1077"/>
    </row>
    <row r="325" spans="1:17">
      <c r="A325" s="1077"/>
      <c r="B325" s="1338" t="s">
        <v>1268</v>
      </c>
      <c r="C325" s="1338"/>
      <c r="D325" s="1342"/>
      <c r="E325" s="1342"/>
      <c r="F325" s="1342"/>
      <c r="G325" s="1342"/>
      <c r="H325" s="1342"/>
      <c r="I325" s="1175"/>
      <c r="J325" s="1173"/>
      <c r="K325" s="1173"/>
      <c r="L325" s="1173"/>
      <c r="M325" s="1077"/>
      <c r="N325" s="1077"/>
      <c r="O325" s="1077"/>
      <c r="P325" s="1077"/>
      <c r="Q325" s="1077"/>
    </row>
    <row r="326" spans="1:17">
      <c r="A326" s="1077"/>
      <c r="B326" s="1230"/>
      <c r="C326" s="1084"/>
      <c r="D326" s="1175"/>
      <c r="E326" s="1175"/>
      <c r="F326" s="1175"/>
      <c r="G326" s="1175"/>
      <c r="H326" s="1175"/>
      <c r="I326" s="1175"/>
      <c r="J326" s="1173"/>
      <c r="K326" s="1173"/>
      <c r="L326" s="1173"/>
      <c r="M326" s="1077"/>
      <c r="N326" s="1077"/>
      <c r="O326" s="1077"/>
      <c r="P326" s="1077"/>
      <c r="Q326" s="1077"/>
    </row>
    <row r="327" spans="1:17">
      <c r="A327" s="1077"/>
      <c r="B327" s="1080"/>
      <c r="C327" s="1080"/>
      <c r="D327" s="1080"/>
      <c r="E327" s="1080"/>
      <c r="F327" s="1083"/>
      <c r="G327" s="1077"/>
      <c r="H327" s="1083"/>
      <c r="I327" s="1077"/>
      <c r="J327" s="1083"/>
      <c r="K327" s="1213"/>
      <c r="L327" s="1213"/>
      <c r="M327" s="1173"/>
      <c r="N327" s="1173"/>
      <c r="O327" s="1173"/>
      <c r="P327" s="1173"/>
      <c r="Q327" s="1173"/>
    </row>
    <row r="328" spans="1:17">
      <c r="A328" s="1077"/>
      <c r="B328" s="1080" t="s">
        <v>1</v>
      </c>
      <c r="C328" s="1176"/>
      <c r="D328" s="1176"/>
      <c r="E328" s="1176"/>
      <c r="F328" s="1083"/>
      <c r="G328" s="1077"/>
      <c r="H328" s="1080"/>
      <c r="I328" s="1077"/>
      <c r="J328" s="1080"/>
      <c r="K328" s="1213"/>
      <c r="L328" s="1213"/>
      <c r="M328" s="1173"/>
      <c r="N328" s="1173"/>
      <c r="O328" s="1173"/>
      <c r="P328" s="1173"/>
      <c r="Q328" s="1173"/>
    </row>
    <row r="329" spans="1:17">
      <c r="A329" s="1077"/>
      <c r="B329" s="1089" t="s">
        <v>2</v>
      </c>
      <c r="C329" s="1176"/>
      <c r="D329" s="1177" t="s">
        <v>3</v>
      </c>
      <c r="E329" s="1089"/>
      <c r="F329" s="1090"/>
      <c r="G329" s="1077"/>
      <c r="H329" s="1178" t="s">
        <v>204</v>
      </c>
      <c r="I329" s="1077"/>
      <c r="J329" s="1214"/>
      <c r="K329" s="1077"/>
      <c r="L329" s="1077"/>
      <c r="M329" s="1077"/>
      <c r="N329" s="1077"/>
      <c r="O329" s="1077"/>
      <c r="P329" s="1077"/>
      <c r="Q329" s="1077"/>
    </row>
    <row r="330" spans="1:17">
      <c r="A330" s="1077"/>
      <c r="B330" s="1080"/>
      <c r="C330" s="1176"/>
      <c r="D330" s="1176"/>
      <c r="E330" s="1080"/>
      <c r="F330" s="1083"/>
      <c r="G330" s="1080"/>
      <c r="H330" s="1080" t="s">
        <v>8</v>
      </c>
      <c r="I330" s="1080"/>
      <c r="J330" s="1080"/>
      <c r="K330" s="1077"/>
      <c r="L330" s="1077"/>
      <c r="M330" s="1077"/>
      <c r="N330" s="1077"/>
      <c r="O330" s="1077"/>
      <c r="P330" s="1077"/>
      <c r="Q330" s="1077"/>
    </row>
    <row r="331" spans="1:17">
      <c r="A331" s="1077"/>
      <c r="B331" s="1083"/>
      <c r="C331" s="1077"/>
      <c r="D331" s="1172"/>
      <c r="E331" s="1077"/>
      <c r="F331" s="1077"/>
      <c r="G331" s="1077"/>
      <c r="H331" s="1186"/>
      <c r="I331" s="1186"/>
      <c r="J331" s="1186"/>
      <c r="K331" s="1186"/>
      <c r="L331" s="1186"/>
      <c r="M331" s="1186"/>
      <c r="N331" s="1077"/>
      <c r="O331" s="1077"/>
      <c r="P331" s="1077"/>
      <c r="Q331" s="1077"/>
    </row>
    <row r="332" spans="1:17">
      <c r="A332" s="1077"/>
      <c r="B332" s="1083"/>
      <c r="C332" s="1077"/>
      <c r="D332" s="1182" t="s">
        <v>1382</v>
      </c>
      <c r="E332" s="1077"/>
      <c r="F332" s="1077"/>
      <c r="G332" s="1077"/>
      <c r="H332" s="1195"/>
      <c r="I332" s="1077"/>
      <c r="J332" s="1077"/>
      <c r="K332" s="1077"/>
      <c r="L332" s="1077"/>
      <c r="M332" s="1077"/>
      <c r="N332" s="1077"/>
      <c r="O332" s="1077"/>
      <c r="P332" s="1077"/>
      <c r="Q332" s="1077"/>
    </row>
    <row r="333" spans="1:17">
      <c r="A333" s="1077"/>
      <c r="B333" s="1083"/>
      <c r="C333" s="1077"/>
      <c r="D333" s="1077"/>
      <c r="E333" s="1077"/>
      <c r="F333" s="1077"/>
      <c r="G333" s="1077"/>
      <c r="H333" s="1178" t="s">
        <v>286</v>
      </c>
      <c r="I333" s="1077"/>
      <c r="J333" s="1077"/>
      <c r="K333" s="1077"/>
      <c r="L333" s="1077"/>
      <c r="M333" s="1077"/>
      <c r="N333" s="1077"/>
      <c r="O333" s="1077"/>
      <c r="P333" s="1077"/>
      <c r="Q333" s="1077"/>
    </row>
    <row r="334" spans="1:17">
      <c r="A334" s="1077"/>
      <c r="B334" s="1083"/>
      <c r="C334" s="1077"/>
      <c r="D334" s="1077" t="s">
        <v>1383</v>
      </c>
      <c r="E334" s="1077"/>
      <c r="F334" s="1077"/>
      <c r="G334" s="1077"/>
      <c r="H334" s="1080" t="s">
        <v>8</v>
      </c>
      <c r="I334" s="1077"/>
      <c r="K334" s="1077"/>
      <c r="L334" s="1180"/>
      <c r="M334" s="1077"/>
      <c r="N334" s="1077"/>
      <c r="O334" s="1077"/>
      <c r="P334" s="1077"/>
      <c r="Q334" s="1077"/>
    </row>
    <row r="335" spans="1:17">
      <c r="A335" s="1077"/>
      <c r="B335" s="1083"/>
      <c r="C335" s="1077"/>
      <c r="D335" s="1077" t="s">
        <v>1384</v>
      </c>
      <c r="E335" s="1077"/>
      <c r="F335" s="1077"/>
      <c r="G335" s="1077"/>
      <c r="H335" s="1172"/>
      <c r="I335" s="1077"/>
      <c r="J335" s="1077"/>
      <c r="K335" s="1077"/>
      <c r="L335" s="1077"/>
      <c r="M335" s="1077"/>
      <c r="N335" s="1077"/>
      <c r="O335" s="1077"/>
      <c r="P335" s="1077"/>
      <c r="Q335" s="1077"/>
    </row>
    <row r="336" spans="1:17">
      <c r="A336" s="1077"/>
      <c r="B336" s="1083"/>
      <c r="C336" s="1077"/>
      <c r="D336" s="1077" t="s">
        <v>1385</v>
      </c>
      <c r="E336" s="1077"/>
      <c r="F336" s="1077"/>
      <c r="G336" s="1077"/>
      <c r="H336" s="1172"/>
      <c r="I336" s="1077"/>
      <c r="J336" s="1077"/>
      <c r="K336" s="1077"/>
      <c r="L336" s="1077"/>
      <c r="M336" s="1077"/>
      <c r="N336" s="1077"/>
      <c r="O336" s="1077"/>
      <c r="P336" s="1077"/>
      <c r="Q336" s="1077"/>
    </row>
    <row r="337" spans="1:17">
      <c r="A337" s="1077"/>
      <c r="B337" s="1083"/>
      <c r="C337" s="1077"/>
      <c r="D337" s="1077" t="s">
        <v>1386</v>
      </c>
      <c r="E337" s="1077"/>
      <c r="F337" s="1077"/>
      <c r="G337" s="1077"/>
      <c r="H337" s="1172"/>
      <c r="I337" s="1077"/>
      <c r="J337" s="1077"/>
      <c r="K337" s="1077"/>
      <c r="M337" s="1077"/>
      <c r="N337" s="1077"/>
      <c r="O337" s="1077"/>
      <c r="P337" s="1077"/>
      <c r="Q337" s="1077"/>
    </row>
    <row r="338" spans="1:17">
      <c r="A338" s="1077"/>
      <c r="B338" s="1080"/>
      <c r="C338" s="1077"/>
      <c r="D338" s="1077" t="s">
        <v>1387</v>
      </c>
      <c r="E338" s="1077"/>
      <c r="F338" s="1077"/>
      <c r="G338" s="1077"/>
      <c r="H338" s="1172"/>
      <c r="I338" s="1077"/>
      <c r="J338" s="1077"/>
      <c r="K338" s="1077"/>
      <c r="L338" s="1180"/>
      <c r="M338" s="1077"/>
      <c r="N338" s="1077"/>
      <c r="O338" s="1077"/>
      <c r="P338" s="1077"/>
      <c r="Q338" s="1077"/>
    </row>
    <row r="339" spans="1:17">
      <c r="A339" s="1077"/>
      <c r="B339" s="1080"/>
      <c r="C339" s="1077"/>
      <c r="D339" s="1077" t="s">
        <v>1388</v>
      </c>
      <c r="E339" s="1077"/>
      <c r="F339" s="1077"/>
      <c r="G339" s="1077"/>
      <c r="H339" s="1172"/>
      <c r="I339" s="1077"/>
      <c r="J339" s="1077"/>
      <c r="K339" s="1077"/>
      <c r="L339" s="1077"/>
      <c r="M339" s="1077"/>
      <c r="N339" s="1077"/>
      <c r="O339" s="1077"/>
      <c r="P339" s="1077"/>
      <c r="Q339" s="1077"/>
    </row>
    <row r="340" spans="1:17">
      <c r="A340" s="1077"/>
      <c r="B340" s="1080">
        <f>MAX($B$13:B339)+1</f>
        <v>143</v>
      </c>
      <c r="C340" s="1077"/>
      <c r="D340" s="1183" t="s">
        <v>1389</v>
      </c>
      <c r="E340" s="1077"/>
      <c r="F340" s="550">
        <f>$H$54</f>
        <v>4.9614910854222875E-3</v>
      </c>
      <c r="G340" s="1077"/>
      <c r="H340" s="1172"/>
      <c r="I340" s="1077"/>
      <c r="J340" s="1077"/>
      <c r="K340" s="1077"/>
      <c r="L340" s="1180"/>
      <c r="M340" s="1077"/>
      <c r="N340" s="1077"/>
      <c r="O340" s="1077"/>
      <c r="P340" s="1077"/>
      <c r="Q340" s="1077"/>
    </row>
    <row r="341" spans="1:17">
      <c r="A341" s="1077"/>
      <c r="B341" s="1080">
        <f>MAX($B$13:B340)+1</f>
        <v>144</v>
      </c>
      <c r="C341" s="1077"/>
      <c r="D341" s="1183" t="s">
        <v>1390</v>
      </c>
      <c r="E341" s="1077"/>
      <c r="F341" s="551">
        <v>5.3090000000000002</v>
      </c>
      <c r="G341" s="1077"/>
      <c r="H341" s="1172"/>
      <c r="I341" s="1077"/>
      <c r="J341" s="1189"/>
      <c r="K341" s="1186"/>
      <c r="L341" s="1173"/>
      <c r="M341" s="1077"/>
      <c r="N341" s="1077"/>
      <c r="O341" s="1077"/>
      <c r="P341" s="1077"/>
      <c r="Q341" s="1077"/>
    </row>
    <row r="342" spans="1:17">
      <c r="A342" s="1077"/>
      <c r="B342" s="1080">
        <f>MAX($B$13:B341)+1</f>
        <v>145</v>
      </c>
      <c r="C342" s="1077"/>
      <c r="D342" s="1247" t="str">
        <f>"Storage Withdrawal Charge (line "&amp;B340&amp;" x line "&amp;B341&amp;")"</f>
        <v>Storage Withdrawal Charge (line 143 x line 144)</v>
      </c>
      <c r="E342" s="1077"/>
      <c r="F342" s="1218">
        <f>F340*F341</f>
        <v>2.6340556172506926E-2</v>
      </c>
      <c r="G342" s="1077"/>
      <c r="H342" s="1219">
        <f>F342</f>
        <v>2.6340556172506926E-2</v>
      </c>
      <c r="I342" s="1077"/>
      <c r="J342" s="1189"/>
      <c r="K342" s="1186"/>
      <c r="L342" s="1173"/>
      <c r="M342" s="1077"/>
      <c r="N342" s="1077"/>
      <c r="O342" s="1077"/>
      <c r="P342" s="1077"/>
      <c r="Q342" s="1077"/>
    </row>
    <row r="343" spans="1:17">
      <c r="A343" s="1077"/>
      <c r="B343" s="1172"/>
      <c r="C343" s="1172"/>
      <c r="D343" s="1185"/>
      <c r="E343" s="1077"/>
      <c r="F343" s="1077"/>
      <c r="G343" s="1077"/>
      <c r="H343" s="1172"/>
      <c r="I343" s="1077"/>
      <c r="J343" s="1189"/>
      <c r="K343" s="1186"/>
      <c r="L343" s="1173"/>
      <c r="M343" s="1077"/>
      <c r="N343" s="1077"/>
      <c r="O343" s="1077"/>
      <c r="P343" s="1077"/>
      <c r="Q343" s="1077"/>
    </row>
    <row r="344" spans="1:17">
      <c r="A344" s="1077"/>
      <c r="B344" s="1172"/>
      <c r="C344" s="1172"/>
      <c r="D344" s="1077" t="s">
        <v>1391</v>
      </c>
      <c r="E344" s="1077"/>
      <c r="F344" s="1077"/>
      <c r="G344" s="1077"/>
      <c r="H344" s="1172"/>
      <c r="I344" s="1077"/>
      <c r="J344" s="1077"/>
      <c r="K344" s="1077"/>
      <c r="L344" s="1077"/>
      <c r="M344" s="1077"/>
      <c r="N344" s="1077"/>
      <c r="O344" s="1077"/>
      <c r="P344" s="1077"/>
      <c r="Q344" s="1077"/>
    </row>
    <row r="345" spans="1:17">
      <c r="A345" s="1077"/>
      <c r="B345" s="1080">
        <f>MAX($B$13:B344)+1</f>
        <v>146</v>
      </c>
      <c r="C345" s="1077"/>
      <c r="D345" s="1185" t="s">
        <v>1389</v>
      </c>
      <c r="E345" s="1077"/>
      <c r="F345" s="550">
        <f>$H$54</f>
        <v>4.9614910854222875E-3</v>
      </c>
      <c r="G345" s="1077"/>
      <c r="H345" s="1172"/>
      <c r="I345" s="1077"/>
      <c r="J345" s="1077"/>
      <c r="K345" s="1077"/>
      <c r="L345" s="1077"/>
      <c r="M345" s="1077"/>
      <c r="N345" s="1077"/>
      <c r="O345" s="1077"/>
      <c r="P345" s="1077"/>
      <c r="Q345" s="1077"/>
    </row>
    <row r="346" spans="1:17">
      <c r="A346" s="1077"/>
      <c r="B346" s="1080">
        <f>MAX($B$13:B345)+1</f>
        <v>147</v>
      </c>
      <c r="C346" s="1077"/>
      <c r="D346" s="1185" t="s">
        <v>1390</v>
      </c>
      <c r="E346" s="1077"/>
      <c r="F346" s="551">
        <v>5.3090000000000002</v>
      </c>
      <c r="G346" s="1077"/>
      <c r="H346" s="1172"/>
      <c r="I346" s="1077"/>
      <c r="J346" s="1077"/>
      <c r="K346" s="1077"/>
      <c r="L346" s="1232"/>
      <c r="M346" s="1077"/>
      <c r="N346" s="1077"/>
      <c r="O346" s="1077"/>
      <c r="P346" s="1077"/>
      <c r="Q346" s="1077"/>
    </row>
    <row r="347" spans="1:17">
      <c r="A347" s="1077"/>
      <c r="B347" s="1080">
        <f>MAX($B$13:B346)+1</f>
        <v>148</v>
      </c>
      <c r="C347" s="1077"/>
      <c r="D347" s="1183" t="str">
        <f>"Storage Withdrawal Charge (line "&amp;B345&amp;" x line "&amp;B346&amp;")"</f>
        <v>Storage Withdrawal Charge (line 146 x line 147)</v>
      </c>
      <c r="E347" s="1077"/>
      <c r="F347" s="1218">
        <f>F345*F346</f>
        <v>2.6340556172506926E-2</v>
      </c>
      <c r="G347" s="1077"/>
      <c r="H347" s="1172"/>
      <c r="I347" s="1077"/>
      <c r="J347" s="1077"/>
      <c r="K347" s="1077"/>
      <c r="L347" s="1077"/>
      <c r="M347" s="1077"/>
      <c r="N347" s="1077"/>
      <c r="O347" s="1077"/>
      <c r="P347" s="1077"/>
      <c r="Q347" s="1077"/>
    </row>
    <row r="348" spans="1:17">
      <c r="A348" s="1077"/>
      <c r="B348" s="1080">
        <f>MAX($B$13:B347)+1</f>
        <v>149</v>
      </c>
      <c r="C348" s="1077"/>
      <c r="D348" s="1233" t="s">
        <v>1392</v>
      </c>
      <c r="E348" s="1077"/>
      <c r="F348" s="552">
        <v>1.029632219178082</v>
      </c>
      <c r="G348" s="1077"/>
      <c r="H348" s="1172"/>
      <c r="I348" s="1077"/>
      <c r="J348" s="1077"/>
      <c r="K348" s="1077"/>
      <c r="L348" s="1180"/>
      <c r="M348" s="1077"/>
      <c r="N348" s="1077"/>
      <c r="O348" s="1077"/>
      <c r="P348" s="1077"/>
      <c r="Q348" s="1077"/>
    </row>
    <row r="349" spans="1:17">
      <c r="A349" s="1077"/>
      <c r="B349" s="1080">
        <f>MAX($B$13:B348)+1</f>
        <v>150</v>
      </c>
      <c r="C349" s="1077"/>
      <c r="D349" s="1247" t="str">
        <f>"Total (line "&amp;B347&amp;" + line "&amp;B348&amp;")"</f>
        <v>Total (line 148 + line 149)</v>
      </c>
      <c r="E349" s="1077"/>
      <c r="F349" s="1219">
        <f>F347+F348</f>
        <v>1.055972775350589</v>
      </c>
      <c r="G349" s="1077"/>
      <c r="H349" s="1219">
        <f>F349</f>
        <v>1.055972775350589</v>
      </c>
      <c r="I349" s="1077"/>
      <c r="J349" s="1077"/>
      <c r="K349" s="1077"/>
      <c r="L349" s="1077"/>
      <c r="M349" s="1077"/>
      <c r="N349" s="1077"/>
      <c r="O349" s="1077"/>
      <c r="P349" s="1077"/>
      <c r="Q349" s="1077"/>
    </row>
    <row r="350" spans="1:17">
      <c r="A350" s="1077"/>
      <c r="B350" s="1080"/>
      <c r="C350" s="1077"/>
      <c r="D350" s="1247"/>
      <c r="E350" s="1077"/>
      <c r="F350" s="1216"/>
      <c r="G350" s="1077"/>
      <c r="H350" s="1216"/>
      <c r="I350" s="1077"/>
      <c r="J350" s="1077"/>
      <c r="K350" s="1077"/>
      <c r="L350" s="1077"/>
      <c r="M350" s="1077"/>
      <c r="N350" s="1077"/>
      <c r="O350" s="1077"/>
      <c r="P350" s="1077"/>
      <c r="Q350" s="1077"/>
    </row>
    <row r="351" spans="1:17" ht="15" customHeight="1">
      <c r="A351" s="1077"/>
      <c r="B351" s="1080"/>
      <c r="C351" s="1077"/>
      <c r="D351" s="1077" t="s">
        <v>1393</v>
      </c>
      <c r="E351" s="1077"/>
      <c r="F351" s="1077"/>
      <c r="G351" s="1077"/>
      <c r="H351" s="1172"/>
      <c r="I351" s="1077"/>
      <c r="J351" s="1077"/>
      <c r="K351" s="1077"/>
      <c r="L351" s="1077"/>
      <c r="M351" s="1077"/>
      <c r="N351" s="1077"/>
      <c r="O351" s="1077"/>
      <c r="P351" s="1077"/>
      <c r="Q351" s="1077"/>
    </row>
    <row r="352" spans="1:17" ht="15" customHeight="1">
      <c r="A352" s="1077"/>
      <c r="B352" s="1080">
        <f>MAX($B$13:B351)+1</f>
        <v>151</v>
      </c>
      <c r="C352" s="1077"/>
      <c r="D352" s="1185" t="s">
        <v>1389</v>
      </c>
      <c r="E352" s="1077"/>
      <c r="F352" s="550">
        <f>$H$54</f>
        <v>4.9614910854222875E-3</v>
      </c>
      <c r="G352" s="1077"/>
      <c r="H352" s="1172"/>
      <c r="I352" s="1077"/>
      <c r="J352" s="1077"/>
      <c r="K352" s="1077"/>
      <c r="L352" s="1077"/>
      <c r="M352" s="1077"/>
      <c r="N352" s="1077"/>
      <c r="O352" s="1077"/>
      <c r="P352" s="1077"/>
      <c r="Q352" s="1077"/>
    </row>
    <row r="353" spans="1:17" ht="15" customHeight="1">
      <c r="A353" s="1077"/>
      <c r="B353" s="1080">
        <f>MAX($B$13:B352)+1</f>
        <v>152</v>
      </c>
      <c r="C353" s="1077"/>
      <c r="D353" s="1185" t="s">
        <v>1390</v>
      </c>
      <c r="E353" s="1077"/>
      <c r="F353" s="551">
        <v>5.3090000000000002</v>
      </c>
      <c r="G353" s="1077"/>
      <c r="H353" s="1172"/>
      <c r="I353" s="1077"/>
      <c r="J353" s="1077"/>
      <c r="K353" s="1077"/>
      <c r="L353" s="1077"/>
      <c r="M353" s="1077"/>
      <c r="N353" s="1077"/>
      <c r="O353" s="1077"/>
      <c r="P353" s="1077"/>
      <c r="Q353" s="1077"/>
    </row>
    <row r="354" spans="1:17" ht="15" customHeight="1">
      <c r="A354" s="1077"/>
      <c r="B354" s="1080">
        <f>MAX($B$13:B353)+1</f>
        <v>153</v>
      </c>
      <c r="C354" s="1077"/>
      <c r="D354" s="1183" t="s">
        <v>1394</v>
      </c>
      <c r="E354" s="1077"/>
      <c r="F354" s="1218">
        <f>F352*F353</f>
        <v>2.6340556172506926E-2</v>
      </c>
      <c r="G354" s="1077"/>
      <c r="H354" s="1172"/>
      <c r="I354" s="1077"/>
      <c r="J354" s="1077"/>
      <c r="K354" s="1077"/>
      <c r="L354" s="1077"/>
      <c r="M354" s="1077"/>
      <c r="N354" s="1077"/>
      <c r="O354" s="1077"/>
      <c r="P354" s="1077"/>
      <c r="Q354" s="1077"/>
    </row>
    <row r="355" spans="1:17">
      <c r="A355" s="1077"/>
      <c r="B355" s="1080">
        <f>MAX($B$13:B354)+1</f>
        <v>154</v>
      </c>
      <c r="C355" s="1077"/>
      <c r="D355" s="1185" t="s">
        <v>1395</v>
      </c>
      <c r="E355" s="1077"/>
      <c r="F355" s="528">
        <v>3.0021488971966161E-3</v>
      </c>
      <c r="G355" s="1077"/>
      <c r="H355" s="1172"/>
      <c r="I355" s="1077"/>
      <c r="J355" s="1077"/>
      <c r="K355" s="1077"/>
      <c r="L355" s="1077"/>
      <c r="M355" s="1077"/>
      <c r="N355" s="1077"/>
      <c r="O355" s="1077"/>
      <c r="P355" s="1077"/>
      <c r="Q355" s="1077"/>
    </row>
    <row r="356" spans="1:17">
      <c r="A356" s="1077"/>
      <c r="B356" s="1080">
        <f>MAX($B$13:B355)+1</f>
        <v>155</v>
      </c>
      <c r="C356" s="1077"/>
      <c r="D356" s="1185" t="s">
        <v>1390</v>
      </c>
      <c r="E356" s="1077"/>
      <c r="F356" s="551">
        <v>5.3090000000000002</v>
      </c>
      <c r="G356" s="1077"/>
      <c r="H356" s="1172"/>
      <c r="I356" s="1077"/>
      <c r="J356" s="1077"/>
      <c r="K356" s="1077"/>
      <c r="L356" s="1077"/>
      <c r="M356" s="1077"/>
      <c r="N356" s="1077"/>
      <c r="O356" s="1077"/>
      <c r="P356" s="1077"/>
      <c r="Q356" s="1077"/>
    </row>
    <row r="357" spans="1:17">
      <c r="A357" s="1077"/>
      <c r="B357" s="1080">
        <f>MAX($B$13:B356)+1</f>
        <v>156</v>
      </c>
      <c r="C357" s="1077"/>
      <c r="D357" s="1183" t="s">
        <v>1396</v>
      </c>
      <c r="E357" s="1077"/>
      <c r="F357" s="551">
        <f>F355*F356</f>
        <v>1.5938408495216834E-2</v>
      </c>
      <c r="G357" s="1077"/>
      <c r="H357" s="1172"/>
      <c r="I357" s="1077"/>
      <c r="J357" s="1077"/>
      <c r="K357" s="1077"/>
      <c r="L357" s="1077"/>
      <c r="M357" s="1077"/>
      <c r="N357" s="1077"/>
      <c r="O357" s="1077"/>
      <c r="P357" s="1077"/>
      <c r="Q357" s="1077"/>
    </row>
    <row r="358" spans="1:17">
      <c r="A358" s="1077"/>
      <c r="B358" s="1080">
        <f>MAX($B$13:B357)+1</f>
        <v>157</v>
      </c>
      <c r="C358" s="1077"/>
      <c r="D358" s="1183" t="s">
        <v>1397</v>
      </c>
      <c r="E358" s="1077"/>
      <c r="F358" s="552">
        <v>1.029632219178082</v>
      </c>
      <c r="G358" s="1077"/>
      <c r="H358" s="1172"/>
      <c r="I358" s="1077"/>
      <c r="J358" s="1077"/>
      <c r="K358" s="1077"/>
      <c r="L358" s="1077"/>
      <c r="M358" s="1077"/>
      <c r="N358" s="1077"/>
      <c r="O358" s="1077"/>
      <c r="P358" s="1077"/>
      <c r="Q358" s="1077"/>
    </row>
    <row r="359" spans="1:17">
      <c r="A359" s="1077"/>
      <c r="B359" s="1080">
        <f>MAX($B$13:B358)+1</f>
        <v>158</v>
      </c>
      <c r="C359" s="1077"/>
      <c r="D359" s="1247" t="s">
        <v>1398</v>
      </c>
      <c r="E359" s="1077"/>
      <c r="F359" s="551">
        <f>F354+F357+F358</f>
        <v>1.0719111838458057</v>
      </c>
      <c r="G359" s="1077"/>
      <c r="H359" s="1219">
        <f>F359</f>
        <v>1.0719111838458057</v>
      </c>
      <c r="I359" s="1077"/>
      <c r="J359" s="1077"/>
      <c r="K359" s="1077"/>
      <c r="L359" s="1077"/>
      <c r="M359" s="1077"/>
      <c r="N359" s="1077"/>
      <c r="O359" s="1077"/>
      <c r="P359" s="1077"/>
      <c r="Q359" s="1077"/>
    </row>
    <row r="360" spans="1:17">
      <c r="A360" s="1077"/>
      <c r="B360" s="1080"/>
      <c r="C360" s="1077"/>
      <c r="D360" s="1195"/>
      <c r="E360" s="1195"/>
      <c r="F360" s="1195"/>
      <c r="G360" s="1195"/>
      <c r="H360" s="1195"/>
      <c r="I360" s="1077"/>
      <c r="J360" s="1077"/>
      <c r="K360" s="1077"/>
      <c r="L360" s="1077"/>
      <c r="M360" s="1077"/>
      <c r="N360" s="1077"/>
      <c r="O360" s="1077"/>
      <c r="P360" s="1077"/>
      <c r="Q360" s="1077"/>
    </row>
    <row r="361" spans="1:17">
      <c r="A361" s="1077"/>
      <c r="B361" s="1083"/>
      <c r="C361" s="1077"/>
      <c r="D361" s="1248" t="s">
        <v>1399</v>
      </c>
      <c r="E361" s="1077"/>
      <c r="F361" s="1077"/>
      <c r="G361" s="1077"/>
      <c r="H361" s="1172"/>
      <c r="I361" s="1077"/>
      <c r="J361" s="1077"/>
      <c r="K361" s="1077"/>
      <c r="L361" s="1077"/>
      <c r="M361" s="1077"/>
      <c r="N361" s="1077"/>
      <c r="O361" s="1077"/>
      <c r="P361" s="1077"/>
      <c r="Q361" s="1077"/>
    </row>
    <row r="362" spans="1:17">
      <c r="A362" s="1077"/>
      <c r="B362" s="1080">
        <f>MAX($B$13:B361)+1</f>
        <v>159</v>
      </c>
      <c r="C362" s="1077"/>
      <c r="D362" s="1183" t="s">
        <v>1400</v>
      </c>
      <c r="E362" s="1077"/>
      <c r="F362" s="520">
        <v>6.7352999999999996</v>
      </c>
      <c r="G362" s="1077"/>
      <c r="H362" s="1172"/>
      <c r="I362" s="1077"/>
      <c r="J362" s="1077"/>
      <c r="K362" s="1077"/>
      <c r="L362" s="1077"/>
      <c r="M362" s="1077"/>
      <c r="N362" s="1077"/>
      <c r="O362" s="1077"/>
      <c r="P362" s="1077"/>
      <c r="Q362" s="1077"/>
    </row>
    <row r="363" spans="1:17">
      <c r="A363" s="1077"/>
      <c r="B363" s="1080">
        <f>MAX($B$13:B362)+1</f>
        <v>160</v>
      </c>
      <c r="C363" s="1077"/>
      <c r="D363" s="1183" t="s">
        <v>1401</v>
      </c>
      <c r="E363" s="1077"/>
      <c r="F363" s="520">
        <v>1.43E-2</v>
      </c>
      <c r="G363" s="1077"/>
      <c r="H363" s="1172"/>
      <c r="I363" s="1077"/>
      <c r="J363" s="1077"/>
      <c r="K363" s="1077"/>
      <c r="L363" s="1077"/>
      <c r="M363" s="1077"/>
      <c r="N363" s="1077"/>
      <c r="O363" s="1077"/>
      <c r="P363" s="1077"/>
      <c r="Q363" s="1077"/>
    </row>
    <row r="364" spans="1:17">
      <c r="A364" s="1077"/>
      <c r="B364" s="1080">
        <f>MAX($B$13:B363)+1</f>
        <v>161</v>
      </c>
      <c r="C364" s="1077"/>
      <c r="D364" s="1183" t="s">
        <v>1402</v>
      </c>
      <c r="E364" s="1077"/>
      <c r="F364" s="554">
        <f>4.25*365/30/10</f>
        <v>5.1708333333333334</v>
      </c>
      <c r="G364" s="1077"/>
      <c r="H364" s="1172"/>
      <c r="I364" s="1077"/>
      <c r="J364" s="1077"/>
      <c r="K364" s="1077"/>
      <c r="L364" s="1077"/>
      <c r="M364" s="1077"/>
      <c r="N364" s="1077"/>
      <c r="O364" s="1077"/>
      <c r="P364" s="1077"/>
      <c r="Q364" s="1077"/>
    </row>
    <row r="365" spans="1:17">
      <c r="A365" s="1077"/>
      <c r="B365" s="1080">
        <f>MAX($B$13:B364)+1</f>
        <v>162</v>
      </c>
      <c r="C365" s="1077"/>
      <c r="D365" s="1247" t="s">
        <v>1403</v>
      </c>
      <c r="E365" s="1077"/>
      <c r="F365" s="520">
        <f>SUM(F362:F364)</f>
        <v>11.920433333333333</v>
      </c>
      <c r="G365" s="1077"/>
      <c r="H365" s="1172"/>
      <c r="I365" s="1077"/>
      <c r="J365" s="1077"/>
      <c r="K365" s="1077"/>
      <c r="L365" s="1077"/>
      <c r="M365" s="1077"/>
      <c r="N365" s="1077"/>
      <c r="O365" s="1077"/>
      <c r="P365" s="1077"/>
      <c r="Q365" s="1077"/>
    </row>
    <row r="366" spans="1:17">
      <c r="A366" s="1077"/>
      <c r="B366" s="1080">
        <f>MAX($B$13:B365)+1</f>
        <v>163</v>
      </c>
      <c r="C366" s="1077"/>
      <c r="D366" s="1183" t="s">
        <v>1347</v>
      </c>
      <c r="E366" s="1077"/>
      <c r="F366" s="545">
        <v>39.08</v>
      </c>
      <c r="G366" s="1077"/>
      <c r="H366" s="1172"/>
      <c r="I366" s="1077"/>
      <c r="J366" s="1077"/>
      <c r="K366" s="1077"/>
      <c r="L366" s="1077"/>
      <c r="M366" s="1077"/>
      <c r="N366" s="1077"/>
      <c r="O366" s="1077"/>
      <c r="P366" s="1077"/>
      <c r="Q366" s="1077"/>
    </row>
    <row r="367" spans="1:17">
      <c r="A367" s="1077"/>
      <c r="B367" s="1080">
        <f>MAX($B$13:B366)+1</f>
        <v>164</v>
      </c>
      <c r="C367" s="1077"/>
      <c r="D367" s="1247" t="str">
        <f>"Failure to Deliver Charge ($/GJ) (line "&amp;B365&amp;" / line "&amp;B366&amp;" x 10)"</f>
        <v>Failure to Deliver Charge ($/GJ) (line 162 / line 163 x 10)</v>
      </c>
      <c r="E367" s="1077"/>
      <c r="F367" s="1249">
        <f>F365/F366*10</f>
        <v>3.0502644148754694</v>
      </c>
      <c r="G367" s="1077"/>
      <c r="H367" s="1219">
        <f>F367</f>
        <v>3.0502644148754694</v>
      </c>
      <c r="I367" s="1077"/>
      <c r="J367" s="1077"/>
      <c r="K367" s="1077"/>
      <c r="L367" s="1077"/>
      <c r="M367" s="1077"/>
      <c r="N367" s="1077"/>
      <c r="O367" s="1077"/>
      <c r="P367" s="1077"/>
      <c r="Q367" s="1077"/>
    </row>
    <row r="368" spans="1:17">
      <c r="A368" s="1077"/>
      <c r="B368" s="1083"/>
      <c r="C368" s="1077"/>
      <c r="D368" s="1185"/>
      <c r="E368" s="1077"/>
      <c r="F368" s="1077"/>
      <c r="G368" s="1077"/>
      <c r="H368" s="1172"/>
      <c r="I368" s="1077"/>
      <c r="J368" s="1077"/>
      <c r="K368" s="1077"/>
      <c r="L368" s="1077"/>
      <c r="M368" s="1077"/>
      <c r="N368" s="1077"/>
      <c r="O368" s="1077"/>
      <c r="P368" s="1077"/>
      <c r="Q368" s="1077"/>
    </row>
    <row r="369" spans="1:17">
      <c r="A369" s="1077"/>
      <c r="B369" s="1083"/>
      <c r="C369" s="1077"/>
      <c r="D369" s="1250" t="s">
        <v>1404</v>
      </c>
      <c r="E369" s="1077"/>
      <c r="F369" s="1077"/>
      <c r="G369" s="1077"/>
      <c r="H369" s="1172"/>
      <c r="I369" s="1077"/>
      <c r="J369" s="1077"/>
      <c r="K369" s="1077"/>
      <c r="L369" s="1077"/>
      <c r="M369" s="1077"/>
      <c r="N369" s="1077"/>
      <c r="O369" s="1077"/>
      <c r="P369" s="1077"/>
      <c r="Q369" s="1077"/>
    </row>
    <row r="370" spans="1:17">
      <c r="A370" s="1077"/>
      <c r="B370" s="1080">
        <f>MAX($B$13:B369)+1</f>
        <v>165</v>
      </c>
      <c r="C370" s="1077"/>
      <c r="D370" s="1183" t="s">
        <v>1405</v>
      </c>
      <c r="E370" s="1077"/>
      <c r="F370" s="551">
        <v>0.12703316247167087</v>
      </c>
      <c r="G370" s="1077"/>
      <c r="H370" s="1077"/>
      <c r="I370" s="1077"/>
      <c r="J370" s="1077"/>
      <c r="K370" s="1077"/>
      <c r="L370" s="1077"/>
      <c r="M370" s="1077"/>
      <c r="N370" s="1077"/>
      <c r="O370" s="1077"/>
      <c r="P370" s="1077"/>
      <c r="Q370" s="1077"/>
    </row>
    <row r="371" spans="1:17">
      <c r="A371" s="1077"/>
      <c r="B371" s="1080">
        <f>MAX($B$13:B370)+1</f>
        <v>166</v>
      </c>
      <c r="C371" s="1077"/>
      <c r="D371" s="1194" t="s">
        <v>1406</v>
      </c>
      <c r="E371" s="1077"/>
      <c r="F371" s="551">
        <v>3.5000000000000003E-2</v>
      </c>
      <c r="G371" s="1077"/>
      <c r="H371" s="1077"/>
      <c r="I371" s="1077"/>
      <c r="J371" s="1077"/>
      <c r="K371" s="1077"/>
      <c r="L371" s="1077"/>
      <c r="M371" s="1077"/>
      <c r="N371" s="1077"/>
      <c r="O371" s="1077"/>
      <c r="P371" s="1077"/>
      <c r="Q371" s="1077"/>
    </row>
    <row r="372" spans="1:17">
      <c r="A372" s="1077"/>
      <c r="B372" s="1080">
        <f>MAX($B$13:B371)+1</f>
        <v>167</v>
      </c>
      <c r="C372" s="1077"/>
      <c r="D372" s="1194" t="s">
        <v>1407</v>
      </c>
      <c r="E372" s="1077"/>
      <c r="F372" s="552">
        <v>4.0000000000000001E-3</v>
      </c>
      <c r="G372" s="1077"/>
      <c r="H372" s="1077"/>
      <c r="I372" s="1077"/>
      <c r="J372" s="1077"/>
      <c r="K372" s="1077"/>
      <c r="L372" s="1077"/>
      <c r="M372" s="1077"/>
      <c r="N372" s="1077"/>
      <c r="O372" s="1077"/>
      <c r="P372" s="1077"/>
      <c r="Q372" s="1077"/>
    </row>
    <row r="373" spans="1:17">
      <c r="A373" s="1077"/>
      <c r="B373" s="1080">
        <f>MAX($B$13:B372)+1</f>
        <v>168</v>
      </c>
      <c r="C373" s="1176"/>
      <c r="D373" s="1202" t="str">
        <f>"Total (line "&amp;B370&amp;" + line "&amp;B371&amp;"+ line "&amp;B372&amp;") x (-1)"</f>
        <v>Total (line 165 + line 166+ line 167) x (-1)</v>
      </c>
      <c r="E373" s="1077"/>
      <c r="F373" s="1249">
        <f>-SUM(F370:F372)</f>
        <v>-0.16603316247167088</v>
      </c>
      <c r="G373" s="1176"/>
      <c r="H373" s="556">
        <f>ROUND(F373,3)</f>
        <v>-0.16600000000000001</v>
      </c>
      <c r="I373" s="1077"/>
      <c r="J373" s="1077"/>
      <c r="K373" s="1077"/>
      <c r="L373" s="1077"/>
      <c r="M373" s="1077"/>
      <c r="N373" s="1077"/>
      <c r="O373" s="1077"/>
      <c r="P373" s="1077"/>
      <c r="Q373" s="1077"/>
    </row>
    <row r="374" spans="1:17">
      <c r="A374" s="1077"/>
      <c r="B374" s="1083"/>
      <c r="C374" s="1077"/>
      <c r="D374" s="1077"/>
      <c r="E374" s="1077"/>
      <c r="F374" s="1077"/>
      <c r="G374" s="1077"/>
      <c r="H374" s="1172"/>
      <c r="I374" s="1077"/>
      <c r="J374" s="1077"/>
      <c r="K374" s="1077"/>
      <c r="L374" s="1077"/>
      <c r="M374" s="1077"/>
      <c r="N374" s="1077"/>
      <c r="O374" s="1077"/>
      <c r="P374" s="1077"/>
      <c r="Q374" s="1077"/>
    </row>
    <row r="375" spans="1:17">
      <c r="A375" s="1077"/>
      <c r="B375" s="1251" t="s">
        <v>39</v>
      </c>
      <c r="C375" s="1077"/>
      <c r="D375" s="1077"/>
      <c r="E375" s="1077"/>
      <c r="F375" s="1077"/>
      <c r="G375" s="1077"/>
      <c r="H375" s="1172"/>
      <c r="I375" s="1077"/>
      <c r="J375" s="1077"/>
      <c r="K375" s="1077"/>
      <c r="L375" s="1077"/>
      <c r="M375" s="1077"/>
      <c r="N375" s="1077"/>
      <c r="O375" s="1077"/>
      <c r="P375" s="1077"/>
      <c r="Q375" s="1077"/>
    </row>
    <row r="376" spans="1:17">
      <c r="A376" s="1077"/>
      <c r="B376" s="1252" t="s">
        <v>40</v>
      </c>
      <c r="C376" s="1247"/>
      <c r="D376" s="1247" t="s">
        <v>1408</v>
      </c>
      <c r="E376" s="1247"/>
      <c r="F376" s="1247"/>
      <c r="G376" s="1247"/>
      <c r="H376" s="1202"/>
      <c r="I376" s="1247"/>
      <c r="J376" s="1077"/>
      <c r="K376" s="1077"/>
      <c r="L376" s="1077"/>
      <c r="M376" s="1077"/>
      <c r="N376" s="1077"/>
      <c r="O376" s="1077"/>
      <c r="P376" s="1077"/>
      <c r="Q376" s="1077"/>
    </row>
    <row r="377" spans="1:17">
      <c r="A377" s="1077"/>
      <c r="B377" s="1252" t="s">
        <v>42</v>
      </c>
      <c r="C377" s="1077"/>
      <c r="D377" s="1077" t="s">
        <v>1409</v>
      </c>
      <c r="E377" s="1077"/>
      <c r="F377" s="1077"/>
      <c r="G377" s="1077"/>
      <c r="H377" s="1077"/>
      <c r="I377" s="1077"/>
      <c r="J377" s="1077"/>
      <c r="K377" s="1077"/>
      <c r="L377" s="1077"/>
      <c r="M377" s="1077"/>
      <c r="N377" s="1077"/>
      <c r="O377" s="1077"/>
      <c r="P377" s="1077"/>
      <c r="Q377" s="1077"/>
    </row>
    <row r="378" spans="1:17">
      <c r="A378" s="1077"/>
      <c r="B378" s="1252" t="s">
        <v>44</v>
      </c>
      <c r="C378" s="1247"/>
      <c r="D378" s="1247" t="s">
        <v>1410</v>
      </c>
      <c r="E378" s="1247"/>
      <c r="F378" s="1247"/>
      <c r="G378" s="1247"/>
      <c r="H378" s="1202"/>
      <c r="I378" s="1247"/>
      <c r="J378" s="1077"/>
      <c r="K378" s="1077"/>
      <c r="L378" s="1077"/>
      <c r="M378" s="1077"/>
      <c r="N378" s="1077"/>
      <c r="O378" s="1077"/>
      <c r="P378" s="1077"/>
      <c r="Q378" s="1077"/>
    </row>
    <row r="379" spans="1:17">
      <c r="A379" s="1077"/>
      <c r="B379" s="1253" t="s">
        <v>46</v>
      </c>
      <c r="C379" s="1247"/>
      <c r="D379" s="1247" t="s">
        <v>1411</v>
      </c>
      <c r="E379" s="1247"/>
      <c r="F379" s="1247"/>
      <c r="G379" s="1247"/>
      <c r="H379" s="1202"/>
      <c r="I379" s="1247"/>
      <c r="J379" s="1077"/>
      <c r="K379" s="1077"/>
      <c r="L379" s="1077"/>
      <c r="M379" s="1077"/>
      <c r="N379" s="1077"/>
      <c r="O379" s="1077"/>
      <c r="P379" s="1077"/>
      <c r="Q379" s="1077"/>
    </row>
    <row r="380" spans="1:17">
      <c r="A380" s="1077"/>
      <c r="B380" s="1252" t="s">
        <v>48</v>
      </c>
      <c r="C380" s="1254"/>
      <c r="D380" s="1340" t="s">
        <v>1412</v>
      </c>
      <c r="E380" s="1340"/>
      <c r="F380" s="1340"/>
      <c r="G380" s="1340"/>
      <c r="H380" s="1340"/>
      <c r="I380" s="1340"/>
      <c r="J380" s="1077"/>
      <c r="K380" s="1077"/>
      <c r="L380" s="1077"/>
      <c r="M380" s="1077"/>
      <c r="N380" s="1077"/>
      <c r="O380" s="1077"/>
      <c r="P380" s="1077"/>
      <c r="Q380" s="1077"/>
    </row>
    <row r="381" spans="1:17" ht="25.5">
      <c r="A381" s="1077"/>
      <c r="B381" s="1252" t="s">
        <v>50</v>
      </c>
      <c r="C381" s="1255"/>
      <c r="D381" s="1255" t="s">
        <v>1413</v>
      </c>
      <c r="E381" s="1255"/>
      <c r="F381" s="1255"/>
      <c r="G381" s="1255"/>
      <c r="H381" s="1255"/>
      <c r="I381" s="1255"/>
      <c r="J381" s="1077"/>
      <c r="K381" s="1077"/>
      <c r="L381" s="1077"/>
      <c r="M381" s="1077"/>
      <c r="N381" s="1077"/>
      <c r="O381" s="1077"/>
      <c r="P381" s="1077"/>
      <c r="Q381" s="1077"/>
    </row>
    <row r="382" spans="1:17">
      <c r="A382" s="1077"/>
      <c r="B382" s="1252" t="s">
        <v>52</v>
      </c>
      <c r="C382" s="1247"/>
      <c r="D382" s="1247" t="s">
        <v>1414</v>
      </c>
      <c r="E382" s="1247"/>
      <c r="F382" s="1247"/>
      <c r="G382" s="1247"/>
      <c r="H382" s="1202"/>
      <c r="I382" s="1247"/>
      <c r="J382" s="1077"/>
      <c r="K382" s="1077"/>
      <c r="L382" s="1077"/>
      <c r="M382" s="1077"/>
      <c r="N382" s="1077"/>
      <c r="O382" s="1077"/>
      <c r="P382" s="1077"/>
      <c r="Q382" s="1077"/>
    </row>
    <row r="383" spans="1:17">
      <c r="A383" s="1077"/>
      <c r="B383" s="1252" t="s">
        <v>54</v>
      </c>
      <c r="C383" s="1195"/>
      <c r="D383" s="1247" t="s">
        <v>1415</v>
      </c>
      <c r="E383" s="1247"/>
      <c r="F383" s="1247"/>
      <c r="G383" s="1247"/>
      <c r="H383" s="1202"/>
      <c r="I383" s="1247"/>
      <c r="J383" s="1077"/>
      <c r="K383" s="1077"/>
      <c r="L383" s="1077"/>
      <c r="M383" s="1077"/>
      <c r="N383" s="1077"/>
      <c r="O383" s="1077"/>
      <c r="P383" s="1077"/>
      <c r="Q383" s="1077"/>
    </row>
    <row r="384" spans="1:17">
      <c r="A384" s="1077"/>
      <c r="B384" s="1252" t="s">
        <v>56</v>
      </c>
      <c r="C384" s="1255"/>
      <c r="D384" s="1341" t="s">
        <v>1416</v>
      </c>
      <c r="E384" s="1341"/>
      <c r="F384" s="1341"/>
      <c r="G384" s="1341"/>
      <c r="H384" s="1341"/>
      <c r="I384" s="1341"/>
      <c r="J384" s="1077"/>
      <c r="K384" s="1077"/>
      <c r="L384" s="1077"/>
      <c r="M384" s="1077"/>
      <c r="N384" s="1077"/>
      <c r="O384" s="1077"/>
      <c r="P384" s="1077"/>
      <c r="Q384" s="1077"/>
    </row>
    <row r="385" spans="1:17">
      <c r="A385" s="1077"/>
      <c r="B385" s="1080"/>
      <c r="C385" s="1077"/>
      <c r="D385" s="1195"/>
      <c r="E385" s="1195"/>
      <c r="F385" s="1195"/>
      <c r="G385" s="1195"/>
      <c r="H385" s="1195"/>
      <c r="I385" s="1077"/>
      <c r="J385" s="1077"/>
      <c r="K385" s="1077"/>
      <c r="L385" s="1077"/>
      <c r="M385" s="1077"/>
      <c r="N385" s="1077"/>
      <c r="O385" s="1077"/>
      <c r="P385" s="1077"/>
      <c r="Q385" s="1077"/>
    </row>
    <row r="386" spans="1:17">
      <c r="A386" s="1077"/>
      <c r="B386" s="1080"/>
      <c r="C386" s="1077"/>
      <c r="D386" s="1195"/>
      <c r="E386" s="1195"/>
      <c r="F386" s="1195"/>
      <c r="G386" s="1195"/>
      <c r="H386" s="1195"/>
      <c r="I386" s="1077"/>
      <c r="J386" s="1077"/>
      <c r="K386" s="1077"/>
      <c r="L386" s="1077"/>
      <c r="M386" s="1077"/>
      <c r="N386" s="1077"/>
      <c r="O386" s="1077"/>
      <c r="P386" s="1077"/>
      <c r="Q386" s="1077"/>
    </row>
    <row r="387" spans="1:17">
      <c r="A387" s="1077"/>
      <c r="B387" s="1080"/>
      <c r="C387" s="1077"/>
      <c r="D387" s="1195"/>
      <c r="E387" s="1195"/>
      <c r="F387" s="1195"/>
      <c r="G387" s="1195"/>
      <c r="H387" s="1195"/>
      <c r="I387" s="1077"/>
      <c r="J387" s="1077"/>
      <c r="K387" s="1077"/>
      <c r="L387" s="1077"/>
      <c r="M387" s="1077"/>
      <c r="N387" s="1077"/>
      <c r="O387" s="1077"/>
      <c r="P387" s="1077"/>
      <c r="Q387" s="1077"/>
    </row>
    <row r="388" spans="1:17">
      <c r="A388" s="1077"/>
      <c r="B388" s="1080"/>
      <c r="C388" s="1077"/>
      <c r="D388" s="1195"/>
      <c r="E388" s="1195"/>
      <c r="F388" s="1195"/>
      <c r="G388" s="1195"/>
      <c r="H388" s="1195"/>
      <c r="I388" s="1077"/>
      <c r="J388" s="1077"/>
      <c r="K388" s="1077"/>
      <c r="L388" s="1077"/>
      <c r="M388" s="1077"/>
      <c r="N388" s="1077"/>
      <c r="O388" s="1077"/>
      <c r="P388" s="1077"/>
      <c r="Q388" s="1077"/>
    </row>
    <row r="389" spans="1:17">
      <c r="A389" s="1077"/>
      <c r="B389" s="1083"/>
      <c r="C389" s="1077"/>
      <c r="D389" s="1185"/>
      <c r="E389" s="1077"/>
      <c r="F389" s="1077"/>
      <c r="G389" s="1077"/>
      <c r="H389" s="1172"/>
      <c r="I389" s="1077"/>
      <c r="J389" s="1077"/>
      <c r="K389" s="1077"/>
      <c r="L389" s="1077"/>
      <c r="M389" s="1077"/>
      <c r="N389" s="1077"/>
      <c r="O389" s="1077"/>
      <c r="P389" s="1077"/>
      <c r="Q389" s="1077"/>
    </row>
    <row r="390" spans="1:17" ht="47.25" customHeight="1">
      <c r="A390" s="1077"/>
      <c r="B390" s="1195"/>
      <c r="C390" s="1195"/>
      <c r="D390" s="1195"/>
      <c r="E390" s="1195"/>
      <c r="F390" s="1195"/>
      <c r="G390" s="1195"/>
      <c r="H390" s="1195"/>
      <c r="I390" s="1077"/>
      <c r="J390" s="1077"/>
      <c r="K390" s="1077"/>
      <c r="L390" s="1077"/>
      <c r="M390" s="1077"/>
      <c r="N390" s="1077"/>
      <c r="O390" s="1077"/>
      <c r="P390" s="1077"/>
      <c r="Q390" s="1077"/>
    </row>
    <row r="391" spans="1:17">
      <c r="A391" s="1077"/>
      <c r="J391" s="1189"/>
      <c r="K391" s="1186"/>
      <c r="L391" s="1173"/>
      <c r="M391" s="1077"/>
      <c r="N391" s="1077"/>
      <c r="O391" s="1077"/>
      <c r="P391" s="1077"/>
      <c r="Q391" s="1077"/>
    </row>
    <row r="392" spans="1:17">
      <c r="A392" s="1077"/>
      <c r="J392" s="1077"/>
      <c r="K392" s="1077"/>
      <c r="L392" s="1077"/>
      <c r="M392" s="1077"/>
      <c r="N392" s="1077"/>
      <c r="O392" s="1077"/>
      <c r="P392" s="1077"/>
      <c r="Q392" s="1077"/>
    </row>
    <row r="393" spans="1:17">
      <c r="A393" s="1077"/>
      <c r="J393" s="1077"/>
      <c r="K393" s="1077"/>
      <c r="L393" s="1077"/>
      <c r="M393" s="1077"/>
      <c r="N393" s="1077"/>
      <c r="O393" s="1077"/>
      <c r="P393" s="1077"/>
      <c r="Q393" s="1077"/>
    </row>
    <row r="394" spans="1:17">
      <c r="A394" s="1077"/>
      <c r="J394" s="1077"/>
      <c r="K394" s="1077"/>
      <c r="L394" s="1077"/>
      <c r="M394" s="1077"/>
      <c r="N394" s="1077"/>
      <c r="O394" s="1077"/>
      <c r="P394" s="1077"/>
      <c r="Q394" s="1077"/>
    </row>
    <row r="395" spans="1:17">
      <c r="A395" s="1077"/>
      <c r="J395" s="1077"/>
      <c r="K395" s="1077"/>
      <c r="L395" s="1077"/>
      <c r="M395" s="1077"/>
      <c r="N395" s="1077"/>
      <c r="O395" s="1077"/>
      <c r="P395" s="1077"/>
      <c r="Q395" s="1077"/>
    </row>
    <row r="396" spans="1:17">
      <c r="A396" s="1077"/>
      <c r="J396" s="1077"/>
      <c r="K396" s="1077"/>
      <c r="L396" s="1077"/>
      <c r="M396" s="1077"/>
      <c r="N396" s="1077"/>
      <c r="O396" s="1077"/>
      <c r="P396" s="1077"/>
      <c r="Q396" s="1077"/>
    </row>
    <row r="397" spans="1:17">
      <c r="A397" s="1077"/>
      <c r="J397" s="1077"/>
      <c r="K397" s="1077"/>
      <c r="L397" s="1077"/>
      <c r="M397" s="1077"/>
      <c r="N397" s="1077"/>
      <c r="O397" s="1077"/>
      <c r="P397" s="1077"/>
      <c r="Q397" s="1077"/>
    </row>
    <row r="398" spans="1:17">
      <c r="A398" s="1077"/>
      <c r="J398" s="1077"/>
      <c r="K398" s="1077"/>
      <c r="L398" s="1077"/>
      <c r="M398" s="1077"/>
      <c r="N398" s="1077"/>
      <c r="O398" s="1077"/>
      <c r="P398" s="1077"/>
      <c r="Q398" s="1077"/>
    </row>
    <row r="399" spans="1:17">
      <c r="A399" s="1077"/>
      <c r="J399" s="1077"/>
      <c r="K399" s="1077"/>
      <c r="L399" s="1077"/>
      <c r="M399" s="1077"/>
      <c r="N399" s="1077"/>
      <c r="O399" s="1077"/>
      <c r="P399" s="1077"/>
      <c r="Q399" s="1077"/>
    </row>
    <row r="400" spans="1:17">
      <c r="A400" s="1077"/>
      <c r="J400" s="1077"/>
      <c r="K400" s="1077"/>
      <c r="L400" s="1180"/>
      <c r="M400" s="1077"/>
      <c r="N400" s="1077"/>
      <c r="O400" s="1077"/>
      <c r="P400" s="1077"/>
      <c r="Q400" s="1077"/>
    </row>
    <row r="401" spans="1:17">
      <c r="A401" s="1077"/>
      <c r="J401" s="1077"/>
      <c r="K401" s="1077"/>
      <c r="L401" s="1077"/>
      <c r="M401" s="1077"/>
      <c r="N401" s="1077"/>
      <c r="O401" s="1077"/>
      <c r="P401" s="1077"/>
      <c r="Q401" s="1077"/>
    </row>
    <row r="402" spans="1:17">
      <c r="A402" s="1077"/>
      <c r="J402" s="1077"/>
      <c r="K402" s="1077"/>
      <c r="L402" s="1077"/>
      <c r="M402" s="1077"/>
      <c r="N402" s="1077"/>
      <c r="O402" s="1077"/>
      <c r="P402" s="1077"/>
      <c r="Q402" s="1077"/>
    </row>
    <row r="403" spans="1:17">
      <c r="A403" s="1077"/>
      <c r="J403" s="1077"/>
      <c r="K403" s="1077"/>
      <c r="L403" s="1077"/>
      <c r="M403" s="1077"/>
      <c r="N403" s="1077"/>
      <c r="O403" s="1077"/>
      <c r="P403" s="1077"/>
      <c r="Q403" s="1077"/>
    </row>
    <row r="404" spans="1:17">
      <c r="A404" s="1077"/>
      <c r="J404" s="1077"/>
      <c r="K404" s="1077"/>
      <c r="L404" s="1077"/>
      <c r="M404" s="1077"/>
      <c r="N404" s="1077"/>
      <c r="O404" s="1077"/>
      <c r="P404" s="1077"/>
      <c r="Q404" s="1077"/>
    </row>
    <row r="405" spans="1:17">
      <c r="A405" s="1077"/>
      <c r="J405" s="1077"/>
      <c r="K405" s="1077"/>
      <c r="L405" s="1077"/>
      <c r="M405" s="1077"/>
      <c r="N405" s="1077"/>
      <c r="O405" s="1077"/>
      <c r="P405" s="1077"/>
      <c r="Q405" s="1077"/>
    </row>
    <row r="406" spans="1:17">
      <c r="A406" s="1077"/>
      <c r="J406" s="1077"/>
      <c r="K406" s="1077"/>
      <c r="L406" s="1077"/>
      <c r="M406" s="1077"/>
      <c r="N406" s="1077"/>
      <c r="O406" s="1077"/>
      <c r="P406" s="1077"/>
      <c r="Q406" s="1077"/>
    </row>
    <row r="407" spans="1:17">
      <c r="A407" s="1077"/>
      <c r="J407" s="1077"/>
      <c r="K407" s="1077"/>
      <c r="L407" s="1077"/>
      <c r="M407" s="1077"/>
      <c r="N407" s="1077"/>
      <c r="O407" s="1077"/>
      <c r="P407" s="1077"/>
      <c r="Q407" s="1083"/>
    </row>
    <row r="408" spans="1:17">
      <c r="A408" s="1077"/>
      <c r="J408" s="1077"/>
      <c r="K408" s="1077"/>
      <c r="L408" s="1077"/>
      <c r="M408" s="1077"/>
      <c r="N408" s="1077"/>
      <c r="O408" s="1077"/>
      <c r="P408" s="1077"/>
      <c r="Q408" s="1077"/>
    </row>
    <row r="409" spans="1:17">
      <c r="A409" s="1077"/>
      <c r="J409" s="1077"/>
      <c r="K409" s="1077"/>
      <c r="L409" s="1180"/>
      <c r="M409" s="1077"/>
      <c r="N409" s="1077"/>
      <c r="O409" s="1077"/>
      <c r="P409" s="1077"/>
      <c r="Q409" s="1077"/>
    </row>
    <row r="410" spans="1:17">
      <c r="A410" s="1077"/>
      <c r="J410" s="1077"/>
      <c r="K410" s="1077"/>
      <c r="L410" s="1077"/>
      <c r="M410" s="1077"/>
      <c r="N410" s="1077"/>
      <c r="O410" s="1077"/>
      <c r="P410" s="1077"/>
      <c r="Q410" s="1077"/>
    </row>
    <row r="411" spans="1:17">
      <c r="A411" s="1077"/>
      <c r="J411" s="1189"/>
      <c r="K411" s="1077"/>
      <c r="L411" s="1077"/>
      <c r="M411" s="1077"/>
      <c r="N411" s="1077"/>
      <c r="O411" s="1077"/>
      <c r="P411" s="1077"/>
      <c r="Q411" s="1077"/>
    </row>
    <row r="412" spans="1:17">
      <c r="A412" s="1077"/>
      <c r="J412" s="1173"/>
      <c r="K412" s="1173"/>
      <c r="L412" s="1173"/>
      <c r="M412" s="1173"/>
      <c r="N412" s="1173"/>
      <c r="O412" s="1173"/>
      <c r="P412" s="1173"/>
      <c r="Q412" s="1173"/>
    </row>
    <row r="413" spans="1:17">
      <c r="A413" s="1077"/>
      <c r="J413" s="1173"/>
      <c r="K413" s="1173"/>
      <c r="L413" s="1173"/>
      <c r="M413" s="1173"/>
      <c r="N413" s="1173"/>
      <c r="O413" s="1173"/>
      <c r="P413" s="1173"/>
      <c r="Q413" s="1173"/>
    </row>
    <row r="414" spans="1:17">
      <c r="A414" s="1077"/>
      <c r="B414" s="1093"/>
      <c r="C414" s="1077"/>
      <c r="D414" s="1077"/>
      <c r="E414" s="1077"/>
      <c r="F414" s="1077"/>
      <c r="G414" s="1077"/>
      <c r="H414" s="1172"/>
      <c r="I414" s="1077"/>
      <c r="J414" s="1173"/>
      <c r="K414" s="1173"/>
      <c r="L414" s="1173"/>
      <c r="M414" s="1173"/>
      <c r="N414" s="1173"/>
      <c r="O414" s="1173"/>
      <c r="P414" s="1173"/>
      <c r="Q414" s="1173"/>
    </row>
    <row r="415" spans="1:17">
      <c r="A415" s="1077"/>
      <c r="B415" s="1083"/>
      <c r="C415" s="1077"/>
      <c r="D415" s="1077"/>
      <c r="E415" s="1077"/>
      <c r="F415" s="1077"/>
      <c r="G415" s="1077"/>
      <c r="H415" s="1172"/>
      <c r="I415" s="1077"/>
      <c r="J415" s="1173"/>
      <c r="K415" s="1173"/>
      <c r="L415" s="1173"/>
      <c r="M415" s="1173"/>
      <c r="N415" s="1173"/>
      <c r="O415" s="1173"/>
      <c r="P415" s="1173"/>
      <c r="Q415" s="1173"/>
    </row>
    <row r="417" ht="28.15" customHeight="1"/>
    <row r="421" ht="27" customHeight="1"/>
  </sheetData>
  <mergeCells count="13">
    <mergeCell ref="D380:I380"/>
    <mergeCell ref="D384:I384"/>
    <mergeCell ref="B216:H216"/>
    <mergeCell ref="B276:H276"/>
    <mergeCell ref="B323:H323"/>
    <mergeCell ref="B324:H324"/>
    <mergeCell ref="B325:H325"/>
    <mergeCell ref="B157:H157"/>
    <mergeCell ref="B4:H4"/>
    <mergeCell ref="L29:V31"/>
    <mergeCell ref="B58:H58"/>
    <mergeCell ref="B59:H59"/>
    <mergeCell ref="B111:H111"/>
  </mergeCells>
  <pageMargins left="0.7" right="0.7" top="0.75" bottom="0.75" header="0.3" footer="0.3"/>
  <pageSetup scale="64" fitToHeight="0" orientation="portrait" horizontalDpi="1200" verticalDpi="1200" r:id="rId1"/>
  <headerFooter>
    <oddHeader>&amp;R&amp;10Updated: 2024-03-15
EB-2022-0200
Rate Order
Working Papers
Schedule 21
Page &amp;P of &amp;N</oddHeader>
  </headerFooter>
  <rowBreaks count="7" manualBreakCount="7">
    <brk id="56" max="8" man="1"/>
    <brk id="108" max="8" man="1"/>
    <brk id="155" max="8" man="1"/>
    <brk id="213" max="8" man="1"/>
    <brk id="274" max="8" man="1"/>
    <brk id="320" max="8" man="1"/>
    <brk id="389" max="8" man="1"/>
  </rowBreaks>
  <colBreaks count="1" manualBreakCount="1">
    <brk id="1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87C56-EBE7-445F-A666-EE5D874CDF6E}">
  <sheetPr>
    <pageSetUpPr fitToPage="1"/>
  </sheetPr>
  <dimension ref="A6:AD66"/>
  <sheetViews>
    <sheetView view="pageLayout" zoomScaleNormal="80" zoomScaleSheetLayoutView="100" workbookViewId="0">
      <selection activeCell="D29" sqref="D29"/>
    </sheetView>
  </sheetViews>
  <sheetFormatPr defaultColWidth="8.125" defaultRowHeight="12.75"/>
  <cols>
    <col min="1" max="1" width="5" style="14" customWidth="1"/>
    <col min="2" max="2" width="1.5" style="14" customWidth="1"/>
    <col min="3" max="3" width="24.625" style="14" customWidth="1"/>
    <col min="4" max="4" width="1.5" style="14" customWidth="1"/>
    <col min="5" max="5" width="7.125" style="14" customWidth="1"/>
    <col min="6" max="6" width="1.5" style="14" customWidth="1"/>
    <col min="7" max="8" width="10.5" style="14" customWidth="1"/>
    <col min="9" max="9" width="9" style="14" customWidth="1"/>
    <col min="10" max="10" width="1.5" style="14" customWidth="1"/>
    <col min="11" max="11" width="10.75" style="14" customWidth="1"/>
    <col min="12" max="12" width="1.5" style="14" customWidth="1"/>
    <col min="13" max="13" width="11.125" style="14" customWidth="1"/>
    <col min="14" max="14" width="1.5" style="14" customWidth="1"/>
    <col min="15" max="15" width="11.375" style="14" customWidth="1"/>
    <col min="16" max="16" width="1.5" style="14" customWidth="1"/>
    <col min="17" max="17" width="8.875" style="14" customWidth="1"/>
    <col min="18" max="18" width="1.5" style="14" customWidth="1"/>
    <col min="19" max="19" width="12" style="14" customWidth="1"/>
    <col min="20" max="20" width="1.5" style="14" customWidth="1"/>
    <col min="21" max="21" width="8.625" style="14" customWidth="1"/>
    <col min="22" max="22" width="1.5" style="14" customWidth="1"/>
    <col min="23" max="23" width="9.5" style="14" customWidth="1"/>
    <col min="24" max="24" width="1.5" style="14" customWidth="1"/>
    <col min="25" max="26" width="7.125" style="14" customWidth="1"/>
    <col min="27" max="27" width="12.625" style="14" customWidth="1"/>
    <col min="28" max="29" width="10" style="14" customWidth="1"/>
    <col min="30" max="16384" width="8.125" style="14"/>
  </cols>
  <sheetData>
    <row r="6" spans="1:28">
      <c r="A6" s="1306" t="s">
        <v>1417</v>
      </c>
      <c r="B6" s="1306"/>
      <c r="C6" s="1306"/>
      <c r="D6" s="1306"/>
      <c r="E6" s="1306"/>
      <c r="F6" s="1306"/>
      <c r="G6" s="1306"/>
      <c r="H6" s="1306"/>
      <c r="I6" s="1306"/>
      <c r="J6" s="1306"/>
      <c r="K6" s="1306"/>
      <c r="L6" s="1306"/>
      <c r="M6" s="1306"/>
      <c r="N6" s="1306"/>
      <c r="O6" s="1306"/>
      <c r="P6" s="1306"/>
      <c r="Q6" s="1306"/>
      <c r="R6" s="1306"/>
      <c r="S6" s="1306"/>
      <c r="T6" s="1306"/>
      <c r="U6" s="1306"/>
      <c r="V6" s="1306"/>
      <c r="W6" s="1306"/>
      <c r="X6" s="1306"/>
      <c r="Y6" s="22"/>
      <c r="Z6" s="22"/>
    </row>
    <row r="8" spans="1:28">
      <c r="G8" s="41"/>
      <c r="H8" s="41"/>
      <c r="I8" s="41"/>
      <c r="J8" s="20"/>
      <c r="K8" s="20"/>
      <c r="M8" s="41"/>
      <c r="N8" s="41"/>
      <c r="O8" s="20"/>
      <c r="Q8" s="41"/>
      <c r="R8" s="41"/>
      <c r="S8" s="20"/>
      <c r="U8" s="41"/>
      <c r="V8" s="41"/>
      <c r="W8" s="20"/>
    </row>
    <row r="9" spans="1:28">
      <c r="G9" s="1344" t="s">
        <v>1418</v>
      </c>
      <c r="H9" s="1344"/>
      <c r="I9" s="1344"/>
      <c r="J9" s="15"/>
      <c r="K9" s="15"/>
      <c r="M9" s="1344" t="s">
        <v>1419</v>
      </c>
      <c r="N9" s="1344"/>
      <c r="O9" s="1344"/>
      <c r="Q9" s="1344" t="s">
        <v>1420</v>
      </c>
      <c r="R9" s="1344"/>
      <c r="S9" s="1344"/>
      <c r="U9" s="1344" t="s">
        <v>100</v>
      </c>
      <c r="V9" s="1344"/>
      <c r="W9" s="1344"/>
    </row>
    <row r="10" spans="1:28">
      <c r="G10" s="15"/>
      <c r="H10" s="15"/>
      <c r="I10" s="15"/>
      <c r="J10" s="42"/>
      <c r="K10" s="33"/>
      <c r="M10" s="15"/>
      <c r="N10" s="15"/>
      <c r="O10" s="33"/>
      <c r="Q10" s="15"/>
      <c r="R10" s="15"/>
      <c r="S10" s="33"/>
      <c r="U10" s="15"/>
      <c r="V10" s="15"/>
      <c r="W10" s="33"/>
    </row>
    <row r="11" spans="1:28">
      <c r="G11" s="42"/>
      <c r="H11" s="42"/>
      <c r="I11" s="42"/>
      <c r="J11" s="42"/>
      <c r="K11" s="33" t="s">
        <v>1421</v>
      </c>
      <c r="M11" s="33" t="s">
        <v>1422</v>
      </c>
      <c r="N11" s="33"/>
      <c r="O11" s="33"/>
      <c r="Q11" s="33" t="s">
        <v>1422</v>
      </c>
      <c r="R11" s="33"/>
      <c r="S11" s="33"/>
      <c r="U11" s="33" t="s">
        <v>1422</v>
      </c>
      <c r="V11" s="33"/>
      <c r="W11" s="33"/>
    </row>
    <row r="12" spans="1:28">
      <c r="A12" s="16" t="s">
        <v>1</v>
      </c>
      <c r="E12" s="16" t="s">
        <v>670</v>
      </c>
      <c r="G12" s="33"/>
      <c r="H12" s="33"/>
      <c r="I12" s="33" t="s">
        <v>1423</v>
      </c>
      <c r="J12" s="42"/>
      <c r="K12" s="33" t="s">
        <v>691</v>
      </c>
      <c r="M12" s="33" t="s">
        <v>1424</v>
      </c>
      <c r="N12" s="33"/>
      <c r="O12" s="33" t="s">
        <v>503</v>
      </c>
      <c r="Q12" s="33" t="s">
        <v>1425</v>
      </c>
      <c r="R12" s="33"/>
      <c r="S12" s="33" t="s">
        <v>503</v>
      </c>
      <c r="U12" s="33" t="s">
        <v>463</v>
      </c>
      <c r="V12" s="33"/>
      <c r="W12" s="33" t="s">
        <v>503</v>
      </c>
    </row>
    <row r="13" spans="1:28">
      <c r="A13" s="17" t="s">
        <v>2</v>
      </c>
      <c r="C13" s="18" t="s">
        <v>3</v>
      </c>
      <c r="E13" s="17" t="s">
        <v>4</v>
      </c>
      <c r="G13" s="19" t="s">
        <v>562</v>
      </c>
      <c r="H13" s="19" t="s">
        <v>1419</v>
      </c>
      <c r="I13" s="19" t="s">
        <v>1419</v>
      </c>
      <c r="J13" s="42"/>
      <c r="K13" s="32" t="s">
        <v>466</v>
      </c>
      <c r="M13" s="19" t="s">
        <v>20</v>
      </c>
      <c r="N13" s="33"/>
      <c r="O13" s="19" t="s">
        <v>20</v>
      </c>
      <c r="Q13" s="19" t="s">
        <v>20</v>
      </c>
      <c r="R13" s="33"/>
      <c r="S13" s="19" t="s">
        <v>20</v>
      </c>
      <c r="U13" s="19" t="s">
        <v>20</v>
      </c>
      <c r="V13" s="33"/>
      <c r="W13" s="19" t="s">
        <v>20</v>
      </c>
    </row>
    <row r="14" spans="1:28">
      <c r="A14" s="16"/>
      <c r="G14" s="33" t="s">
        <v>8</v>
      </c>
      <c r="H14" s="43" t="s">
        <v>9</v>
      </c>
      <c r="I14" s="43" t="s">
        <v>1093</v>
      </c>
      <c r="J14" s="33"/>
      <c r="K14" s="33" t="s">
        <v>79</v>
      </c>
      <c r="M14" s="33" t="s">
        <v>115</v>
      </c>
      <c r="N14" s="33"/>
      <c r="O14" s="33" t="s">
        <v>1426</v>
      </c>
      <c r="Q14" s="33" t="s">
        <v>82</v>
      </c>
      <c r="R14" s="33"/>
      <c r="S14" s="33" t="s">
        <v>1427</v>
      </c>
      <c r="U14" s="33" t="s">
        <v>84</v>
      </c>
      <c r="V14" s="33"/>
      <c r="W14" s="33" t="s">
        <v>1428</v>
      </c>
      <c r="AA14" s="497"/>
      <c r="AB14" s="497"/>
    </row>
    <row r="15" spans="1:28">
      <c r="A15" s="16"/>
      <c r="AA15" s="497"/>
      <c r="AB15" s="497"/>
    </row>
    <row r="16" spans="1:28">
      <c r="A16" s="16"/>
      <c r="C16" s="6" t="s">
        <v>1429</v>
      </c>
      <c r="G16" s="47"/>
      <c r="AA16" s="497"/>
      <c r="AB16" s="497"/>
    </row>
    <row r="17" spans="1:29">
      <c r="A17" s="4">
        <v>1</v>
      </c>
      <c r="C17" s="12" t="s">
        <v>200</v>
      </c>
      <c r="E17" s="16" t="s">
        <v>704</v>
      </c>
      <c r="G17" s="44">
        <v>25957058</v>
      </c>
      <c r="H17" s="44">
        <f>G17</f>
        <v>25957058</v>
      </c>
      <c r="I17" s="44">
        <v>0</v>
      </c>
      <c r="K17" s="45">
        <v>2.2523657482546349</v>
      </c>
      <c r="M17" s="46"/>
      <c r="O17" s="44">
        <f>$K17*H17/1000</f>
        <v>58464.788364658962</v>
      </c>
      <c r="P17" s="47"/>
      <c r="R17" s="47"/>
      <c r="S17" s="44">
        <f>$K17*I17/1000</f>
        <v>0</v>
      </c>
      <c r="T17" s="47"/>
      <c r="V17" s="47"/>
      <c r="W17" s="44">
        <f>O17+S17</f>
        <v>58464.788364658962</v>
      </c>
      <c r="AA17" s="498"/>
      <c r="AB17" s="498"/>
    </row>
    <row r="18" spans="1:29">
      <c r="A18" s="4"/>
      <c r="C18" s="12" t="s">
        <v>1286</v>
      </c>
      <c r="E18" s="16"/>
      <c r="G18" s="44"/>
      <c r="H18" s="44"/>
      <c r="I18" s="44"/>
      <c r="K18" s="47"/>
      <c r="M18" s="44"/>
      <c r="N18" s="48"/>
      <c r="O18" s="49"/>
      <c r="P18" s="47"/>
      <c r="R18" s="47"/>
      <c r="S18" s="49"/>
      <c r="T18" s="47"/>
      <c r="V18" s="47"/>
      <c r="W18" s="49"/>
      <c r="AA18" s="498"/>
      <c r="AB18" s="498"/>
    </row>
    <row r="19" spans="1:29">
      <c r="A19" s="4">
        <f>MAX(A$17:A18)+1</f>
        <v>2</v>
      </c>
      <c r="C19" s="9" t="s">
        <v>203</v>
      </c>
      <c r="E19" s="16" t="s">
        <v>674</v>
      </c>
      <c r="G19" s="44">
        <v>712504.72543658817</v>
      </c>
      <c r="H19" s="44">
        <f>G19</f>
        <v>712504.72543658817</v>
      </c>
      <c r="I19" s="44">
        <v>0</v>
      </c>
      <c r="K19" s="50">
        <v>0.20902414727394461</v>
      </c>
      <c r="M19" s="46"/>
      <c r="O19" s="44">
        <f>$K19*H19/100</f>
        <v>1489.3069266303887</v>
      </c>
      <c r="P19" s="47"/>
      <c r="R19" s="47"/>
      <c r="S19" s="44">
        <f>$K19*I19/100</f>
        <v>0</v>
      </c>
      <c r="T19" s="47"/>
      <c r="V19" s="47"/>
      <c r="W19" s="44">
        <f t="shared" ref="W19:W22" si="0">O19+S19</f>
        <v>1489.3069266303887</v>
      </c>
      <c r="AA19" s="498"/>
      <c r="AB19" s="498"/>
    </row>
    <row r="20" spans="1:29">
      <c r="A20" s="4">
        <f>MAX(A$17:A19)+1</f>
        <v>3</v>
      </c>
      <c r="C20" s="9" t="s">
        <v>205</v>
      </c>
      <c r="E20" s="16" t="s">
        <v>674</v>
      </c>
      <c r="G20" s="44">
        <v>1022924.1636396735</v>
      </c>
      <c r="H20" s="44">
        <f t="shared" ref="H20:H22" si="1">G20</f>
        <v>1022924.1636396735</v>
      </c>
      <c r="I20" s="44">
        <v>0</v>
      </c>
      <c r="K20" s="50">
        <v>0.20902414727394461</v>
      </c>
      <c r="M20" s="46"/>
      <c r="O20" s="44">
        <f t="shared" ref="O20:O22" si="2">$K20*H20/100</f>
        <v>2138.1585103069574</v>
      </c>
      <c r="P20" s="47"/>
      <c r="R20" s="47"/>
      <c r="S20" s="44">
        <f>$K20*I20/100</f>
        <v>0</v>
      </c>
      <c r="T20" s="47"/>
      <c r="V20" s="47"/>
      <c r="W20" s="44">
        <f t="shared" si="0"/>
        <v>2138.1585103069574</v>
      </c>
      <c r="AA20" s="498"/>
      <c r="AB20" s="498"/>
    </row>
    <row r="21" spans="1:29">
      <c r="A21" s="4">
        <f>MAX(A$17:A20)+1</f>
        <v>4</v>
      </c>
      <c r="C21" s="9" t="s">
        <v>206</v>
      </c>
      <c r="E21" s="16" t="s">
        <v>674</v>
      </c>
      <c r="G21" s="44">
        <v>1109755.6772268531</v>
      </c>
      <c r="H21" s="44">
        <f t="shared" si="1"/>
        <v>1109755.6772268531</v>
      </c>
      <c r="I21" s="44">
        <v>0</v>
      </c>
      <c r="K21" s="50">
        <v>0.20902414727394461</v>
      </c>
      <c r="M21" s="46"/>
      <c r="O21" s="44">
        <f t="shared" si="2"/>
        <v>2319.6573411476188</v>
      </c>
      <c r="P21" s="47"/>
      <c r="R21" s="47"/>
      <c r="S21" s="44">
        <f>$K21*I21/100</f>
        <v>0</v>
      </c>
      <c r="T21" s="47"/>
      <c r="V21" s="47"/>
      <c r="W21" s="44">
        <f t="shared" si="0"/>
        <v>2319.6573411476188</v>
      </c>
      <c r="AA21" s="498"/>
      <c r="AB21" s="498"/>
    </row>
    <row r="22" spans="1:29">
      <c r="A22" s="4">
        <f>MAX(A$17:A21)+1</f>
        <v>5</v>
      </c>
      <c r="C22" s="9" t="s">
        <v>1430</v>
      </c>
      <c r="E22" s="16" t="s">
        <v>674</v>
      </c>
      <c r="G22" s="44">
        <v>2166403.060431628</v>
      </c>
      <c r="H22" s="44">
        <f t="shared" si="1"/>
        <v>2166403.060431628</v>
      </c>
      <c r="I22" s="44">
        <v>0</v>
      </c>
      <c r="K22" s="50">
        <v>0.20902414727394461</v>
      </c>
      <c r="M22" s="46"/>
      <c r="O22" s="44">
        <f t="shared" si="2"/>
        <v>4528.3055235838492</v>
      </c>
      <c r="P22" s="47"/>
      <c r="R22" s="47"/>
      <c r="S22" s="44">
        <f>$K22*I22/100</f>
        <v>0</v>
      </c>
      <c r="T22" s="47"/>
      <c r="V22" s="47"/>
      <c r="W22" s="44">
        <f t="shared" si="0"/>
        <v>4528.3055235838492</v>
      </c>
      <c r="AA22" s="498"/>
      <c r="AB22" s="498"/>
    </row>
    <row r="23" spans="1:29">
      <c r="A23" s="4">
        <f>MAX(A$17:A22)+1</f>
        <v>6</v>
      </c>
      <c r="C23" s="14" t="s">
        <v>1286</v>
      </c>
      <c r="E23" s="16"/>
      <c r="G23" s="51">
        <f>SUM(G19:G22)</f>
        <v>5011587.6267347429</v>
      </c>
      <c r="H23" s="51">
        <f t="shared" ref="H23:I23" si="3">SUM(H19:H22)</f>
        <v>5011587.6267347429</v>
      </c>
      <c r="I23" s="51">
        <f t="shared" si="3"/>
        <v>0</v>
      </c>
      <c r="K23" s="50"/>
      <c r="M23" s="46"/>
      <c r="O23" s="51">
        <f>SUM(O19:O22)</f>
        <v>10475.428301668813</v>
      </c>
      <c r="P23" s="47"/>
      <c r="R23" s="47"/>
      <c r="S23" s="51">
        <f>SUM(S19:S22)</f>
        <v>0</v>
      </c>
      <c r="T23" s="47"/>
      <c r="V23" s="47"/>
      <c r="W23" s="51">
        <f>SUM(W19:W22)</f>
        <v>10475.428301668813</v>
      </c>
      <c r="AA23" s="498"/>
      <c r="AB23" s="498"/>
    </row>
    <row r="24" spans="1:29">
      <c r="A24" s="16"/>
      <c r="E24" s="16"/>
      <c r="G24" s="494"/>
      <c r="H24" s="52"/>
      <c r="I24" s="52"/>
      <c r="K24" s="50"/>
      <c r="M24" s="46"/>
      <c r="O24" s="52"/>
      <c r="P24" s="47"/>
      <c r="R24" s="47"/>
      <c r="S24" s="52"/>
      <c r="T24" s="47"/>
      <c r="V24" s="47"/>
      <c r="W24" s="52"/>
      <c r="AA24" s="499"/>
      <c r="AB24" s="499"/>
    </row>
    <row r="25" spans="1:29">
      <c r="A25" s="4">
        <f>MAX(A$17:A24)+1</f>
        <v>7</v>
      </c>
      <c r="C25" s="14" t="s">
        <v>212</v>
      </c>
      <c r="E25" s="16"/>
      <c r="G25" s="494"/>
      <c r="H25" s="52"/>
      <c r="I25" s="52"/>
      <c r="K25" s="50"/>
      <c r="M25" s="46"/>
      <c r="O25" s="51">
        <f>O17+O23</f>
        <v>68940.216666327775</v>
      </c>
      <c r="P25" s="47"/>
      <c r="R25" s="47"/>
      <c r="S25" s="51">
        <f>S17+S23</f>
        <v>0</v>
      </c>
      <c r="T25" s="47"/>
      <c r="V25" s="47"/>
      <c r="W25" s="51">
        <f>W17+W23</f>
        <v>68940.216666327775</v>
      </c>
      <c r="AA25" s="499"/>
      <c r="AB25" s="499"/>
    </row>
    <row r="26" spans="1:29">
      <c r="E26" s="16"/>
      <c r="G26" s="47"/>
      <c r="K26" s="47"/>
      <c r="M26" s="46"/>
      <c r="P26" s="47"/>
      <c r="R26" s="47"/>
      <c r="T26" s="47"/>
      <c r="V26" s="47"/>
      <c r="AA26" s="497"/>
      <c r="AB26" s="497"/>
    </row>
    <row r="27" spans="1:29">
      <c r="A27" s="16"/>
      <c r="C27" s="6" t="s">
        <v>1431</v>
      </c>
      <c r="E27" s="16"/>
      <c r="G27" s="47"/>
      <c r="K27" s="47"/>
      <c r="M27" s="46"/>
      <c r="P27" s="47"/>
      <c r="R27" s="47"/>
      <c r="T27" s="47"/>
      <c r="V27" s="47"/>
      <c r="AA27" s="497"/>
      <c r="AB27" s="497"/>
    </row>
    <row r="28" spans="1:29">
      <c r="A28" s="4">
        <f>MAX(A$17:A27)+1</f>
        <v>8</v>
      </c>
      <c r="C28" s="12" t="s">
        <v>200</v>
      </c>
      <c r="E28" s="16" t="s">
        <v>704</v>
      </c>
      <c r="G28" s="44">
        <v>4435128.0000000037</v>
      </c>
      <c r="H28" s="44">
        <v>4083428</v>
      </c>
      <c r="I28" s="44">
        <v>351700</v>
      </c>
      <c r="K28" s="45">
        <v>2.2523657482546349</v>
      </c>
      <c r="M28" s="46"/>
      <c r="O28" s="44">
        <f>$K28*H28/1000</f>
        <v>9197.3733626639259</v>
      </c>
      <c r="P28" s="47"/>
      <c r="R28" s="47"/>
      <c r="S28" s="44">
        <f>$K28*I28/1000</f>
        <v>792.15703366115508</v>
      </c>
      <c r="T28" s="47"/>
      <c r="V28" s="47"/>
      <c r="W28" s="44">
        <f>O28+S28</f>
        <v>9989.5303963250808</v>
      </c>
      <c r="AA28" s="498"/>
      <c r="AB28" s="498"/>
    </row>
    <row r="29" spans="1:29">
      <c r="A29" s="16"/>
      <c r="C29" s="12" t="s">
        <v>1286</v>
      </c>
      <c r="E29" s="16"/>
      <c r="G29" s="44"/>
      <c r="H29" s="44"/>
      <c r="I29" s="44"/>
      <c r="K29" s="47"/>
      <c r="M29" s="46"/>
      <c r="N29" s="48"/>
      <c r="O29" s="49"/>
      <c r="P29" s="47"/>
      <c r="R29" s="47"/>
      <c r="S29" s="49"/>
      <c r="T29" s="47"/>
      <c r="V29" s="47"/>
      <c r="W29" s="49"/>
      <c r="AA29" s="498"/>
      <c r="AB29" s="498"/>
    </row>
    <row r="30" spans="1:29">
      <c r="A30" s="4">
        <f>MAX(A$17:A29)+1</f>
        <v>9</v>
      </c>
      <c r="C30" s="53" t="s">
        <v>247</v>
      </c>
      <c r="E30" s="16" t="s">
        <v>674</v>
      </c>
      <c r="G30" s="44">
        <v>299290.46273039118</v>
      </c>
      <c r="H30" s="44">
        <v>275148.81098988513</v>
      </c>
      <c r="I30" s="44">
        <v>24141.651740510715</v>
      </c>
      <c r="K30" s="50">
        <v>0.20902414727394461</v>
      </c>
      <c r="M30" s="46"/>
      <c r="O30" s="44">
        <f t="shared" ref="O30:O34" si="4">$K30*H30/100</f>
        <v>575.12745590600503</v>
      </c>
      <c r="P30" s="47"/>
      <c r="R30" s="47"/>
      <c r="S30" s="44">
        <f>$K30*I30/100</f>
        <v>50.461881688447932</v>
      </c>
      <c r="T30" s="47"/>
      <c r="V30" s="47"/>
      <c r="W30" s="44">
        <f t="shared" ref="W30:W34" si="5">O30+S30</f>
        <v>625.5893375944529</v>
      </c>
      <c r="AA30" s="498"/>
      <c r="AB30" s="498"/>
      <c r="AC30" s="54"/>
    </row>
    <row r="31" spans="1:29">
      <c r="A31" s="4">
        <f>MAX(A$17:A30)+1</f>
        <v>10</v>
      </c>
      <c r="C31" s="53" t="s">
        <v>248</v>
      </c>
      <c r="E31" s="16" t="s">
        <v>674</v>
      </c>
      <c r="G31" s="44">
        <v>342667.32910551433</v>
      </c>
      <c r="H31" s="44">
        <v>305390.69979678956</v>
      </c>
      <c r="I31" s="44">
        <v>37276.629308728734</v>
      </c>
      <c r="K31" s="50">
        <v>0.20902414727394461</v>
      </c>
      <c r="M31" s="46"/>
      <c r="O31" s="44">
        <f t="shared" si="4"/>
        <v>638.34030610417142</v>
      </c>
      <c r="P31" s="47"/>
      <c r="R31" s="47"/>
      <c r="S31" s="44">
        <f>$K31*I31/100</f>
        <v>77.917156545039546</v>
      </c>
      <c r="T31" s="47"/>
      <c r="V31" s="47"/>
      <c r="W31" s="44">
        <f t="shared" si="5"/>
        <v>716.25746264921099</v>
      </c>
      <c r="AA31" s="498"/>
      <c r="AB31" s="498"/>
      <c r="AC31" s="54"/>
    </row>
    <row r="32" spans="1:29">
      <c r="A32" s="4">
        <f>MAX(A$17:A31)+1</f>
        <v>11</v>
      </c>
      <c r="C32" s="53" t="s">
        <v>248</v>
      </c>
      <c r="E32" s="16" t="s">
        <v>674</v>
      </c>
      <c r="G32" s="44">
        <v>128559.93934024102</v>
      </c>
      <c r="H32" s="44">
        <v>99846.327225891058</v>
      </c>
      <c r="I32" s="44">
        <v>28713.612114352421</v>
      </c>
      <c r="K32" s="50">
        <v>0.20902414727394461</v>
      </c>
      <c r="M32" s="46"/>
      <c r="O32" s="44">
        <f t="shared" si="4"/>
        <v>208.70293406827116</v>
      </c>
      <c r="P32" s="47"/>
      <c r="R32" s="47"/>
      <c r="S32" s="44">
        <f>$K32*I32/100</f>
        <v>60.018382873573209</v>
      </c>
      <c r="T32" s="47"/>
      <c r="V32" s="47"/>
      <c r="W32" s="44">
        <f t="shared" si="5"/>
        <v>268.72131694184435</v>
      </c>
      <c r="AA32" s="498"/>
      <c r="AB32" s="498"/>
      <c r="AC32" s="54"/>
    </row>
    <row r="33" spans="1:29">
      <c r="A33" s="4">
        <f>MAX(A$17:A32)+1</f>
        <v>12</v>
      </c>
      <c r="C33" s="53" t="s">
        <v>249</v>
      </c>
      <c r="E33" s="16" t="s">
        <v>674</v>
      </c>
      <c r="G33" s="44">
        <v>86233.647863598511</v>
      </c>
      <c r="H33" s="44">
        <v>36991.181550098125</v>
      </c>
      <c r="I33" s="44">
        <v>49242.466313501245</v>
      </c>
      <c r="K33" s="50">
        <v>0.20902414727394461</v>
      </c>
      <c r="M33" s="46"/>
      <c r="O33" s="44">
        <f t="shared" si="4"/>
        <v>77.320501801649328</v>
      </c>
      <c r="S33" s="44">
        <f>$K33*I33/100</f>
        <v>102.9286453084554</v>
      </c>
      <c r="W33" s="44">
        <f t="shared" si="5"/>
        <v>180.24914711010473</v>
      </c>
      <c r="AA33" s="498"/>
      <c r="AB33" s="498"/>
      <c r="AC33" s="54"/>
    </row>
    <row r="34" spans="1:29">
      <c r="A34" s="4">
        <f>MAX(A$17:A33)+1</f>
        <v>13</v>
      </c>
      <c r="C34" s="53" t="s">
        <v>250</v>
      </c>
      <c r="E34" s="16" t="s">
        <v>674</v>
      </c>
      <c r="G34" s="44">
        <v>120128.48102739092</v>
      </c>
      <c r="H34" s="44">
        <v>6970.9939065417047</v>
      </c>
      <c r="I34" s="44">
        <v>113157.48712084911</v>
      </c>
      <c r="K34" s="50">
        <v>0.20902414727394461</v>
      </c>
      <c r="M34" s="46"/>
      <c r="O34" s="44">
        <f t="shared" si="4"/>
        <v>14.571060569667438</v>
      </c>
      <c r="S34" s="44">
        <f>$K34*I34/100</f>
        <v>236.52647253097854</v>
      </c>
      <c r="W34" s="44">
        <f t="shared" si="5"/>
        <v>251.09753310064599</v>
      </c>
      <c r="AA34" s="498"/>
      <c r="AB34" s="498"/>
      <c r="AC34" s="54"/>
    </row>
    <row r="35" spans="1:29">
      <c r="A35" s="4">
        <f>MAX(A$17:A34)+1</f>
        <v>14</v>
      </c>
      <c r="C35" s="14" t="s">
        <v>1286</v>
      </c>
      <c r="E35" s="16"/>
      <c r="G35" s="51">
        <f>SUM(G30:G34)</f>
        <v>976879.860067136</v>
      </c>
      <c r="H35" s="51">
        <f>SUM(H30:H34)</f>
        <v>724348.01346920559</v>
      </c>
      <c r="I35" s="51">
        <f>SUM(I30:I34)</f>
        <v>252531.84659794223</v>
      </c>
      <c r="K35" s="55"/>
      <c r="M35" s="46"/>
      <c r="O35" s="51">
        <f>SUM(O30:O34)</f>
        <v>1514.0622584497644</v>
      </c>
      <c r="S35" s="51">
        <f>SUM(S30:S34)</f>
        <v>527.85253894649463</v>
      </c>
      <c r="W35" s="51">
        <f>SUM(W30:W34)</f>
        <v>2041.914797396259</v>
      </c>
      <c r="AA35" s="498"/>
      <c r="AB35" s="498"/>
      <c r="AC35" s="54"/>
    </row>
    <row r="36" spans="1:29">
      <c r="A36" s="16"/>
      <c r="E36" s="16"/>
      <c r="G36" s="494"/>
      <c r="H36" s="52"/>
      <c r="I36" s="52"/>
      <c r="K36" s="55"/>
      <c r="M36" s="46"/>
      <c r="O36" s="52"/>
      <c r="S36" s="52"/>
      <c r="W36" s="52"/>
      <c r="AA36" s="499"/>
      <c r="AB36" s="499"/>
    </row>
    <row r="37" spans="1:29">
      <c r="A37" s="4">
        <f>MAX(A$17:A36)+1</f>
        <v>15</v>
      </c>
      <c r="C37" s="14" t="s">
        <v>259</v>
      </c>
      <c r="E37" s="16"/>
      <c r="G37" s="494"/>
      <c r="H37" s="52"/>
      <c r="I37" s="52"/>
      <c r="K37" s="55"/>
      <c r="M37" s="46"/>
      <c r="O37" s="51">
        <f>O28+O35</f>
        <v>10711.435621113691</v>
      </c>
      <c r="S37" s="51">
        <f>S28+S35</f>
        <v>1320.0095726076497</v>
      </c>
      <c r="W37" s="51">
        <f>W28+W35</f>
        <v>12031.44519372134</v>
      </c>
      <c r="AA37" s="499"/>
      <c r="AB37" s="499"/>
      <c r="AC37" s="54"/>
    </row>
    <row r="38" spans="1:29">
      <c r="E38" s="16"/>
      <c r="G38" s="47"/>
      <c r="M38" s="46"/>
      <c r="AA38" s="497"/>
      <c r="AB38" s="497"/>
    </row>
    <row r="39" spans="1:29">
      <c r="C39" s="6" t="s">
        <v>1432</v>
      </c>
      <c r="E39" s="16"/>
      <c r="G39" s="47"/>
      <c r="M39" s="46"/>
      <c r="AA39" s="497"/>
      <c r="AB39" s="497"/>
    </row>
    <row r="40" spans="1:29">
      <c r="A40" s="4">
        <f>MAX(A$17:A39)+1</f>
        <v>16</v>
      </c>
      <c r="C40" s="12" t="s">
        <v>200</v>
      </c>
      <c r="E40" s="16" t="s">
        <v>704</v>
      </c>
      <c r="G40" s="44">
        <v>14450119.000000004</v>
      </c>
      <c r="H40" s="44">
        <v>13408892</v>
      </c>
      <c r="I40" s="44">
        <v>1041227</v>
      </c>
      <c r="K40" s="45">
        <v>2.2523657482546349</v>
      </c>
      <c r="M40" s="46"/>
      <c r="O40" s="44">
        <f>$K40*H40/1000</f>
        <v>30201.729062845588</v>
      </c>
      <c r="S40" s="44">
        <f>$K40*I40/1000</f>
        <v>2345.2240309579288</v>
      </c>
      <c r="W40" s="44">
        <f>O40+S40</f>
        <v>32546.953093803517</v>
      </c>
      <c r="AA40" s="498"/>
      <c r="AB40" s="498"/>
    </row>
    <row r="41" spans="1:29">
      <c r="A41" s="16"/>
      <c r="C41" s="12" t="s">
        <v>1286</v>
      </c>
      <c r="E41" s="16"/>
      <c r="G41" s="44"/>
      <c r="H41" s="56"/>
      <c r="I41" s="56"/>
      <c r="M41" s="46"/>
      <c r="O41" s="57"/>
      <c r="S41" s="57"/>
      <c r="W41" s="57"/>
      <c r="AA41" s="500"/>
      <c r="AB41" s="500"/>
    </row>
    <row r="42" spans="1:29">
      <c r="A42" s="4">
        <f>MAX(A$17:A41)+1</f>
        <v>17</v>
      </c>
      <c r="C42" s="53" t="s">
        <v>1433</v>
      </c>
      <c r="E42" s="16" t="s">
        <v>674</v>
      </c>
      <c r="G42" s="44">
        <v>1046589.5733471487</v>
      </c>
      <c r="H42" s="44">
        <v>971539.94724867505</v>
      </c>
      <c r="I42" s="44">
        <v>75049.626098327222</v>
      </c>
      <c r="K42" s="50">
        <v>0.20902414727394461</v>
      </c>
      <c r="M42" s="46"/>
      <c r="O42" s="44">
        <f t="shared" ref="O42:O44" si="6">$K42*H42/100</f>
        <v>2030.7530901622742</v>
      </c>
      <c r="S42" s="44">
        <f>$K42*I42/100</f>
        <v>156.87184098431226</v>
      </c>
      <c r="W42" s="44">
        <f t="shared" ref="W42:W44" si="7">O42+S42</f>
        <v>2187.6249311465863</v>
      </c>
      <c r="AA42" s="498"/>
      <c r="AB42" s="498"/>
    </row>
    <row r="43" spans="1:29">
      <c r="A43" s="4">
        <f>MAX(A$17:A42)+1</f>
        <v>18</v>
      </c>
      <c r="C43" s="53" t="s">
        <v>1434</v>
      </c>
      <c r="E43" s="16" t="s">
        <v>674</v>
      </c>
      <c r="G43" s="44">
        <v>935574.92126953974</v>
      </c>
      <c r="H43" s="44">
        <v>849016.65048747195</v>
      </c>
      <c r="I43" s="44">
        <v>86558.270782026928</v>
      </c>
      <c r="K43" s="50">
        <v>0.20902414727394461</v>
      </c>
      <c r="M43" s="46"/>
      <c r="O43" s="44">
        <f t="shared" si="6"/>
        <v>1774.649813895245</v>
      </c>
      <c r="S43" s="44">
        <f>$K43*I43/100</f>
        <v>180.92768739720373</v>
      </c>
      <c r="W43" s="44">
        <f t="shared" si="7"/>
        <v>1955.5775012924487</v>
      </c>
      <c r="AA43" s="498"/>
      <c r="AB43" s="498"/>
    </row>
    <row r="44" spans="1:29">
      <c r="A44" s="4">
        <f>MAX(A$17:A43)+1</f>
        <v>19</v>
      </c>
      <c r="C44" s="53" t="s">
        <v>1435</v>
      </c>
      <c r="E44" s="16" t="s">
        <v>674</v>
      </c>
      <c r="G44" s="44">
        <v>1256700.005050699</v>
      </c>
      <c r="H44" s="44">
        <v>637235.52474036603</v>
      </c>
      <c r="I44" s="44">
        <v>619464.48031032248</v>
      </c>
      <c r="K44" s="50">
        <v>0.20902414727394461</v>
      </c>
      <c r="M44" s="46"/>
      <c r="O44" s="44">
        <f t="shared" si="6"/>
        <v>1331.9761217151963</v>
      </c>
      <c r="S44" s="44">
        <f>$K44*I44/100</f>
        <v>1294.8303476336241</v>
      </c>
      <c r="W44" s="44">
        <f t="shared" si="7"/>
        <v>2626.8064693488204</v>
      </c>
      <c r="AA44" s="498"/>
      <c r="AB44" s="498"/>
    </row>
    <row r="45" spans="1:29">
      <c r="A45" s="4">
        <f>MAX(A$17:A44)+1</f>
        <v>20</v>
      </c>
      <c r="C45" s="14" t="s">
        <v>1286</v>
      </c>
      <c r="E45" s="16"/>
      <c r="G45" s="51">
        <f>SUM(G42:G44)</f>
        <v>3238864.4996673875</v>
      </c>
      <c r="H45" s="51">
        <f t="shared" ref="H45:I45" si="8">SUM(H42:H44)</f>
        <v>2457792.122476513</v>
      </c>
      <c r="I45" s="51">
        <f t="shared" si="8"/>
        <v>781072.37719067663</v>
      </c>
      <c r="M45" s="46"/>
      <c r="O45" s="51">
        <f>SUM(O42:O44)</f>
        <v>5137.379025772716</v>
      </c>
      <c r="S45" s="51">
        <f>SUM(S42:S44)</f>
        <v>1632.6298760151401</v>
      </c>
      <c r="W45" s="51">
        <f>SUM(W42:W44)</f>
        <v>6770.0089017878554</v>
      </c>
      <c r="AA45" s="498"/>
      <c r="AB45" s="498"/>
    </row>
    <row r="46" spans="1:29">
      <c r="A46" s="16"/>
      <c r="E46" s="16"/>
      <c r="G46" s="58"/>
      <c r="H46" s="44"/>
      <c r="I46" s="44"/>
      <c r="M46" s="46"/>
      <c r="O46" s="58"/>
      <c r="S46" s="58"/>
      <c r="W46" s="58"/>
    </row>
    <row r="47" spans="1:29">
      <c r="A47" s="4">
        <f>MAX(A$17:A46)+1</f>
        <v>21</v>
      </c>
      <c r="C47" s="14" t="s">
        <v>297</v>
      </c>
      <c r="E47" s="16"/>
      <c r="G47" s="52"/>
      <c r="H47" s="52"/>
      <c r="I47" s="52"/>
      <c r="M47" s="46"/>
      <c r="O47" s="51">
        <f>O40+O45</f>
        <v>35339.108088618304</v>
      </c>
      <c r="S47" s="51">
        <f>S40+S45</f>
        <v>3977.8539069730687</v>
      </c>
      <c r="W47" s="51">
        <f>W40+W45</f>
        <v>39316.961995591373</v>
      </c>
    </row>
    <row r="48" spans="1:29">
      <c r="M48" s="46"/>
      <c r="N48" s="47"/>
      <c r="O48" s="47"/>
      <c r="P48" s="47"/>
      <c r="Q48" s="47"/>
    </row>
    <row r="49" spans="1:30" ht="13.5" thickBot="1">
      <c r="A49" s="4">
        <f>MAX(A$17:A48)+1</f>
        <v>22</v>
      </c>
      <c r="C49" s="14" t="s">
        <v>100</v>
      </c>
      <c r="M49" s="60">
        <v>114990.76037705978</v>
      </c>
      <c r="N49" s="47"/>
      <c r="O49" s="60">
        <f>O25+O37+O47</f>
        <v>114990.76037605977</v>
      </c>
      <c r="P49" s="47"/>
      <c r="Q49" s="60">
        <v>5297.8634785807189</v>
      </c>
      <c r="S49" s="59">
        <f>S25+S37+S47</f>
        <v>5297.8634795807184</v>
      </c>
      <c r="U49" s="60">
        <f>M49+Q49</f>
        <v>120288.6238556405</v>
      </c>
      <c r="W49" s="59">
        <f>W25+W37+W47</f>
        <v>120288.6238556405</v>
      </c>
    </row>
    <row r="50" spans="1:30" ht="13.5" thickTop="1">
      <c r="M50" s="46"/>
    </row>
    <row r="51" spans="1:30">
      <c r="A51" s="61" t="s">
        <v>39</v>
      </c>
      <c r="B51" s="10"/>
      <c r="C51" s="2"/>
      <c r="M51" s="46"/>
    </row>
    <row r="52" spans="1:30">
      <c r="A52" s="62" t="s">
        <v>40</v>
      </c>
      <c r="B52" s="11"/>
      <c r="C52" s="1343" t="s">
        <v>1436</v>
      </c>
      <c r="D52" s="1343"/>
      <c r="E52" s="1343"/>
      <c r="F52" s="1343"/>
      <c r="G52" s="1343"/>
    </row>
    <row r="53" spans="1:30" ht="12.75" customHeight="1">
      <c r="A53" s="62" t="s">
        <v>42</v>
      </c>
      <c r="B53" s="11"/>
      <c r="C53" s="30" t="s">
        <v>1437</v>
      </c>
      <c r="D53" s="30"/>
      <c r="E53" s="30"/>
      <c r="F53" s="30"/>
      <c r="G53" s="30"/>
    </row>
    <row r="58" spans="1:30">
      <c r="AA58" s="16"/>
      <c r="AB58" s="16"/>
    </row>
    <row r="60" spans="1:30">
      <c r="G60" s="57"/>
      <c r="H60" s="57"/>
      <c r="I60" s="57"/>
      <c r="K60" s="495"/>
      <c r="O60" s="57"/>
      <c r="P60" s="47"/>
      <c r="Q60" s="47"/>
      <c r="R60" s="47"/>
      <c r="S60" s="57"/>
      <c r="T60" s="47"/>
      <c r="U60" s="47"/>
      <c r="V60" s="47"/>
      <c r="W60" s="57"/>
      <c r="AB60" s="57"/>
      <c r="AC60" s="54"/>
      <c r="AD60" s="54"/>
    </row>
    <row r="61" spans="1:30">
      <c r="G61" s="57"/>
      <c r="H61" s="57"/>
      <c r="I61" s="57"/>
      <c r="K61" s="495"/>
      <c r="O61" s="57"/>
      <c r="P61" s="47"/>
      <c r="Q61" s="47"/>
      <c r="R61" s="47"/>
      <c r="S61" s="57"/>
      <c r="T61" s="47"/>
      <c r="U61" s="47"/>
      <c r="V61" s="47"/>
      <c r="W61" s="57"/>
      <c r="AB61" s="57"/>
    </row>
    <row r="62" spans="1:30">
      <c r="G62" s="57"/>
      <c r="H62" s="57"/>
      <c r="I62" s="57"/>
      <c r="K62" s="47"/>
      <c r="M62" s="44"/>
      <c r="O62" s="57"/>
      <c r="P62" s="47"/>
      <c r="Q62" s="44"/>
      <c r="R62" s="47"/>
      <c r="S62" s="44"/>
      <c r="T62" s="47"/>
      <c r="U62" s="44"/>
      <c r="V62" s="47"/>
      <c r="W62" s="44"/>
      <c r="AA62" s="57"/>
      <c r="AB62" s="57"/>
    </row>
    <row r="63" spans="1:30">
      <c r="K63" s="47"/>
      <c r="P63" s="47"/>
      <c r="Q63" s="47"/>
      <c r="R63" s="47"/>
      <c r="S63" s="47"/>
      <c r="T63" s="47"/>
      <c r="U63" s="47"/>
      <c r="V63" s="47"/>
      <c r="W63" s="47"/>
    </row>
    <row r="65" spans="21:21">
      <c r="U65" s="496"/>
    </row>
    <row r="66" spans="21:21">
      <c r="U66" s="63"/>
    </row>
  </sheetData>
  <mergeCells count="6">
    <mergeCell ref="C52:G52"/>
    <mergeCell ref="A6:X6"/>
    <mergeCell ref="G9:I9"/>
    <mergeCell ref="M9:O9"/>
    <mergeCell ref="Q9:S9"/>
    <mergeCell ref="U9:W9"/>
  </mergeCells>
  <pageMargins left="0.7" right="0.7" top="0.75" bottom="0.75" header="0.3" footer="0.3"/>
  <pageSetup scale="58" firstPageNumber="5" fitToHeight="0" orientation="landscape" useFirstPageNumber="1" horizontalDpi="1200" verticalDpi="1200" r:id="rId1"/>
  <headerFooter>
    <oddHeader>&amp;R&amp;10Updated: 2024-03-15
EB-2022-0200
Rate Order
Working Papers
Schedule 22
Page &amp;P of 5</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0108-F705-403C-A41D-975E28793D28}">
  <sheetPr>
    <pageSetUpPr fitToPage="1"/>
  </sheetPr>
  <dimension ref="A6:AF66"/>
  <sheetViews>
    <sheetView view="pageBreakPreview" topLeftCell="A37" zoomScaleNormal="85" zoomScaleSheetLayoutView="100" workbookViewId="0">
      <selection activeCell="M58" sqref="M58"/>
    </sheetView>
  </sheetViews>
  <sheetFormatPr defaultColWidth="8.625" defaultRowHeight="15"/>
  <cols>
    <col min="1" max="1" width="5.625" style="143" customWidth="1"/>
    <col min="2" max="2" width="1.625" style="143" customWidth="1"/>
    <col min="3" max="3" width="23.625" style="210" customWidth="1"/>
    <col min="4" max="4" width="1.625" style="210" customWidth="1"/>
    <col min="5" max="5" width="13" style="210" customWidth="1"/>
    <col min="6" max="6" width="1.125" style="210" customWidth="1"/>
    <col min="7" max="7" width="13.5" style="210" customWidth="1"/>
    <col min="8" max="8" width="1.125" style="210" customWidth="1"/>
    <col min="9" max="9" width="13.625" style="210" customWidth="1"/>
    <col min="10" max="10" width="1.125" style="210" customWidth="1"/>
    <col min="11" max="11" width="13.625" style="210" customWidth="1"/>
    <col min="12" max="12" width="1.125" style="210" customWidth="1"/>
    <col min="13" max="13" width="11.5" style="210" customWidth="1"/>
    <col min="14" max="14" width="1.125" style="210" customWidth="1"/>
    <col min="15" max="15" width="12.125" style="210" customWidth="1"/>
    <col min="16" max="16" width="1.125" style="210" customWidth="1"/>
    <col min="17" max="17" width="11" style="210" customWidth="1"/>
    <col min="18" max="18" width="1.125" style="210" customWidth="1"/>
    <col min="19" max="19" width="11.125" style="210" customWidth="1"/>
    <col min="20" max="20" width="1.125" style="210" customWidth="1"/>
    <col min="21" max="21" width="11.625" style="210" customWidth="1"/>
    <col min="22" max="22" width="1.125" style="210" customWidth="1"/>
    <col min="23" max="23" width="12.625" style="210" customWidth="1"/>
    <col min="24" max="24" width="6.125" style="210" customWidth="1"/>
    <col min="25" max="25" width="13.125" style="210" customWidth="1"/>
    <col min="26" max="26" width="17.5" style="210" customWidth="1"/>
    <col min="27" max="27" width="10.625" style="210" customWidth="1"/>
    <col min="28" max="28" width="8.625" style="210" customWidth="1"/>
    <col min="29" max="29" width="8.625" style="210"/>
    <col min="30" max="30" width="10.125" style="210" bestFit="1" customWidth="1"/>
    <col min="31" max="31" width="8.625" style="210" bestFit="1" customWidth="1"/>
    <col min="32" max="32" width="9.625" style="210" bestFit="1" customWidth="1"/>
    <col min="33" max="16384" width="8.625" style="210"/>
  </cols>
  <sheetData>
    <row r="6" spans="1:29">
      <c r="A6" s="1345" t="s">
        <v>1438</v>
      </c>
      <c r="B6" s="1345"/>
      <c r="C6" s="1345"/>
      <c r="D6" s="1345"/>
      <c r="E6" s="1345"/>
      <c r="F6" s="1345"/>
      <c r="G6" s="1345"/>
      <c r="H6" s="1345"/>
      <c r="I6" s="1345"/>
      <c r="J6" s="1345"/>
      <c r="K6" s="1345"/>
      <c r="L6" s="1345"/>
      <c r="M6" s="1345"/>
      <c r="N6" s="1345"/>
      <c r="O6" s="1345"/>
      <c r="P6" s="1345"/>
      <c r="Q6" s="1345"/>
      <c r="R6" s="1345"/>
      <c r="S6" s="1345"/>
      <c r="T6" s="1345"/>
      <c r="U6" s="1345"/>
      <c r="V6" s="1345"/>
      <c r="W6" s="1345"/>
    </row>
    <row r="7" spans="1:29">
      <c r="A7" s="1345" t="s">
        <v>1439</v>
      </c>
      <c r="B7" s="1345"/>
      <c r="C7" s="1345"/>
      <c r="D7" s="1345"/>
      <c r="E7" s="1345"/>
      <c r="F7" s="1345"/>
      <c r="G7" s="1345"/>
      <c r="H7" s="1345"/>
      <c r="I7" s="1345"/>
      <c r="J7" s="1345"/>
      <c r="K7" s="1345"/>
      <c r="L7" s="1345"/>
      <c r="M7" s="1345"/>
      <c r="N7" s="1345"/>
      <c r="O7" s="1345"/>
      <c r="P7" s="1345"/>
      <c r="Q7" s="1345"/>
      <c r="R7" s="1345"/>
      <c r="S7" s="1345"/>
      <c r="T7" s="1345"/>
      <c r="U7" s="1345"/>
      <c r="V7" s="1345"/>
      <c r="W7" s="1345"/>
    </row>
    <row r="8" spans="1:29">
      <c r="C8" s="211"/>
      <c r="D8" s="211"/>
      <c r="E8" s="211"/>
      <c r="F8" s="211"/>
      <c r="G8" s="211"/>
      <c r="H8" s="211"/>
      <c r="I8" s="211"/>
      <c r="J8" s="211"/>
      <c r="K8" s="211"/>
      <c r="L8" s="211"/>
      <c r="M8" s="211"/>
      <c r="N8" s="211"/>
      <c r="O8" s="211"/>
      <c r="P8" s="211"/>
      <c r="Q8" s="211"/>
      <c r="R8" s="211"/>
      <c r="S8" s="211"/>
      <c r="T8" s="211"/>
      <c r="U8" s="211"/>
      <c r="V8" s="211"/>
      <c r="W8" s="211"/>
      <c r="AA8" s="212"/>
    </row>
    <row r="9" spans="1:29">
      <c r="C9" s="211"/>
      <c r="D9" s="211"/>
      <c r="X9" s="211"/>
      <c r="Y9" s="211"/>
    </row>
    <row r="10" spans="1:29">
      <c r="A10" s="143" t="s">
        <v>1</v>
      </c>
      <c r="D10" s="211"/>
      <c r="E10" s="1346" t="s">
        <v>1440</v>
      </c>
      <c r="F10" s="1346"/>
      <c r="G10" s="1346"/>
      <c r="H10" s="1346"/>
      <c r="I10" s="1346"/>
      <c r="J10" s="1346"/>
      <c r="K10" s="1346"/>
      <c r="L10" s="1346"/>
      <c r="M10" s="1346"/>
      <c r="N10" s="214"/>
      <c r="O10" s="1346" t="s">
        <v>1441</v>
      </c>
      <c r="P10" s="1346"/>
      <c r="Q10" s="1346"/>
      <c r="R10" s="1346"/>
      <c r="S10" s="1346"/>
      <c r="T10" s="1346"/>
      <c r="U10" s="1346"/>
      <c r="V10" s="1346"/>
      <c r="W10" s="1346"/>
      <c r="X10" s="211"/>
      <c r="Y10" s="214"/>
    </row>
    <row r="11" spans="1:29">
      <c r="A11" s="215" t="s">
        <v>2</v>
      </c>
      <c r="C11" s="216" t="s">
        <v>1442</v>
      </c>
      <c r="D11" s="211"/>
      <c r="E11" s="412" t="s">
        <v>1443</v>
      </c>
      <c r="F11" s="143"/>
      <c r="G11" s="412" t="s">
        <v>1444</v>
      </c>
      <c r="H11" s="211"/>
      <c r="I11" s="412" t="s">
        <v>1445</v>
      </c>
      <c r="J11" s="143"/>
      <c r="K11" s="412" t="s">
        <v>1446</v>
      </c>
      <c r="L11" s="143"/>
      <c r="M11" s="412" t="s">
        <v>100</v>
      </c>
      <c r="N11" s="214"/>
      <c r="O11" s="412" t="s">
        <v>1443</v>
      </c>
      <c r="P11" s="211"/>
      <c r="Q11" s="412" t="s">
        <v>1444</v>
      </c>
      <c r="R11" s="143"/>
      <c r="S11" s="412" t="s">
        <v>1445</v>
      </c>
      <c r="T11" s="143"/>
      <c r="U11" s="412" t="s">
        <v>1446</v>
      </c>
      <c r="V11" s="143"/>
      <c r="W11" s="412" t="s">
        <v>100</v>
      </c>
      <c r="X11" s="211"/>
      <c r="Y11" s="214"/>
    </row>
    <row r="12" spans="1:29">
      <c r="C12" s="211"/>
      <c r="D12" s="211"/>
      <c r="E12" s="259" t="s">
        <v>8</v>
      </c>
      <c r="F12" s="211"/>
      <c r="G12" s="259" t="s">
        <v>9</v>
      </c>
      <c r="H12" s="211"/>
      <c r="I12" s="259" t="s">
        <v>370</v>
      </c>
      <c r="J12" s="211"/>
      <c r="K12" s="259" t="s">
        <v>79</v>
      </c>
      <c r="L12" s="211"/>
      <c r="M12" s="259" t="s">
        <v>115</v>
      </c>
      <c r="N12" s="211"/>
      <c r="O12" s="259" t="s">
        <v>81</v>
      </c>
      <c r="P12" s="211"/>
      <c r="Q12" s="259" t="s">
        <v>82</v>
      </c>
      <c r="R12" s="211"/>
      <c r="S12" s="259" t="s">
        <v>118</v>
      </c>
      <c r="T12" s="211"/>
      <c r="U12" s="259" t="s">
        <v>84</v>
      </c>
      <c r="V12" s="211"/>
      <c r="W12" s="259" t="s">
        <v>516</v>
      </c>
      <c r="X12" s="211"/>
      <c r="Y12" s="211"/>
    </row>
    <row r="13" spans="1:29">
      <c r="C13" s="217" t="s">
        <v>11</v>
      </c>
      <c r="D13" s="211"/>
      <c r="E13" s="143"/>
      <c r="F13" s="130"/>
      <c r="G13" s="143"/>
      <c r="H13" s="130"/>
      <c r="I13" s="218"/>
      <c r="J13" s="130"/>
      <c r="K13" s="143"/>
      <c r="L13" s="130"/>
      <c r="M13" s="143"/>
      <c r="N13" s="130"/>
      <c r="O13" s="130"/>
      <c r="P13" s="130"/>
      <c r="Q13" s="130"/>
      <c r="R13" s="130"/>
      <c r="S13" s="130"/>
      <c r="T13" s="130"/>
      <c r="U13" s="130"/>
      <c r="V13" s="130"/>
      <c r="W13" s="130"/>
      <c r="X13" s="211"/>
      <c r="Y13" s="211"/>
    </row>
    <row r="14" spans="1:29">
      <c r="A14" s="143">
        <v>1</v>
      </c>
      <c r="C14" s="211" t="s">
        <v>86</v>
      </c>
      <c r="D14" s="211"/>
      <c r="E14" s="219">
        <v>15787.788096522025</v>
      </c>
      <c r="F14" s="130"/>
      <c r="G14" s="219">
        <v>530.0902523540974</v>
      </c>
      <c r="H14" s="130"/>
      <c r="I14" s="219">
        <v>13027.395706562267</v>
      </c>
      <c r="J14" s="130"/>
      <c r="K14" s="219">
        <v>5985.1968992662751</v>
      </c>
      <c r="L14" s="130"/>
      <c r="M14" s="219">
        <f t="shared" ref="M14:M24" si="0">I14+K14+G14+E14</f>
        <v>35330.470954704666</v>
      </c>
      <c r="N14" s="130"/>
      <c r="O14" s="219">
        <v>15733.138523330314</v>
      </c>
      <c r="P14" s="130"/>
      <c r="Q14" s="219">
        <v>443.30283568334914</v>
      </c>
      <c r="R14" s="130"/>
      <c r="S14" s="219">
        <v>14276.994192075203</v>
      </c>
      <c r="T14" s="130"/>
      <c r="U14" s="219">
        <v>5345.7130368717526</v>
      </c>
      <c r="V14" s="130"/>
      <c r="W14" s="220">
        <f t="shared" ref="W14:W23" si="1">S14 + U14 + Q14 + O14</f>
        <v>35799.148587960619</v>
      </c>
      <c r="X14" s="211"/>
      <c r="Y14" s="221"/>
    </row>
    <row r="15" spans="1:29">
      <c r="A15" s="143">
        <v>2</v>
      </c>
      <c r="C15" s="211" t="s">
        <v>87</v>
      </c>
      <c r="D15" s="211"/>
      <c r="E15" s="219">
        <v>14219.390273088122</v>
      </c>
      <c r="F15" s="130"/>
      <c r="G15" s="219">
        <v>507.62961049273036</v>
      </c>
      <c r="H15" s="130"/>
      <c r="I15" s="219">
        <v>12313.689619333925</v>
      </c>
      <c r="J15" s="130"/>
      <c r="K15" s="219">
        <v>4882.6596804294222</v>
      </c>
      <c r="L15" s="130"/>
      <c r="M15" s="219">
        <f t="shared" si="0"/>
        <v>31923.369183344199</v>
      </c>
      <c r="N15" s="130"/>
      <c r="O15" s="219">
        <v>14170.169723336643</v>
      </c>
      <c r="P15" s="130"/>
      <c r="Q15" s="219">
        <v>424.5194941972639</v>
      </c>
      <c r="R15" s="130"/>
      <c r="S15" s="219">
        <v>13494.828831344279</v>
      </c>
      <c r="T15" s="130"/>
      <c r="U15" s="219">
        <v>4360.9755781767817</v>
      </c>
      <c r="V15" s="130"/>
      <c r="W15" s="220">
        <f t="shared" si="1"/>
        <v>32450.493627054966</v>
      </c>
      <c r="X15" s="211"/>
      <c r="Y15" s="221"/>
    </row>
    <row r="16" spans="1:29">
      <c r="A16" s="143">
        <v>3</v>
      </c>
      <c r="C16" s="211" t="s">
        <v>88</v>
      </c>
      <c r="D16" s="211"/>
      <c r="E16" s="219">
        <v>0</v>
      </c>
      <c r="F16" s="130"/>
      <c r="G16" s="219">
        <v>2.9012610510117431</v>
      </c>
      <c r="H16" s="130"/>
      <c r="I16" s="219">
        <v>58.27058444301003</v>
      </c>
      <c r="J16" s="130"/>
      <c r="K16" s="219">
        <v>0</v>
      </c>
      <c r="L16" s="130"/>
      <c r="M16" s="219">
        <f t="shared" si="0"/>
        <v>61.171845494021774</v>
      </c>
      <c r="N16" s="130"/>
      <c r="O16" s="219">
        <v>0</v>
      </c>
      <c r="P16" s="130"/>
      <c r="Q16" s="219">
        <v>2.4262608966294046</v>
      </c>
      <c r="R16" s="130"/>
      <c r="S16" s="219">
        <v>63.859946715414175</v>
      </c>
      <c r="T16" s="130"/>
      <c r="U16" s="219">
        <v>0</v>
      </c>
      <c r="V16" s="130"/>
      <c r="W16" s="220">
        <f t="shared" si="1"/>
        <v>66.286207612043583</v>
      </c>
      <c r="X16" s="211"/>
      <c r="Y16" s="221"/>
      <c r="AC16" s="210" t="s">
        <v>38</v>
      </c>
    </row>
    <row r="17" spans="1:25">
      <c r="A17" s="143">
        <v>4</v>
      </c>
      <c r="C17" s="211" t="s">
        <v>89</v>
      </c>
      <c r="D17" s="211"/>
      <c r="E17" s="219">
        <v>730.61878451440805</v>
      </c>
      <c r="F17" s="130"/>
      <c r="G17" s="219">
        <v>112.99521739962435</v>
      </c>
      <c r="H17" s="130"/>
      <c r="I17" s="219">
        <v>2382.67535616847</v>
      </c>
      <c r="J17" s="130"/>
      <c r="K17" s="219">
        <v>143.22101713704333</v>
      </c>
      <c r="L17" s="130"/>
      <c r="M17" s="219">
        <f t="shared" si="0"/>
        <v>3369.5103752195459</v>
      </c>
      <c r="N17" s="130"/>
      <c r="O17" s="219">
        <v>728.08974089566607</v>
      </c>
      <c r="P17" s="130"/>
      <c r="Q17" s="219">
        <v>94.495418599867804</v>
      </c>
      <c r="R17" s="130"/>
      <c r="S17" s="219">
        <v>2611.2235313833617</v>
      </c>
      <c r="T17" s="130"/>
      <c r="U17" s="219">
        <v>127.91867524982882</v>
      </c>
      <c r="V17" s="130"/>
      <c r="W17" s="220">
        <f t="shared" si="1"/>
        <v>3561.7273661287245</v>
      </c>
      <c r="X17" s="211"/>
      <c r="Y17" s="221"/>
    </row>
    <row r="18" spans="1:25">
      <c r="A18" s="143">
        <v>5</v>
      </c>
      <c r="C18" s="211" t="s">
        <v>90</v>
      </c>
      <c r="D18" s="211"/>
      <c r="E18" s="219">
        <v>88.058747902106859</v>
      </c>
      <c r="F18" s="130"/>
      <c r="G18" s="219">
        <v>40.391816945015499</v>
      </c>
      <c r="H18" s="130"/>
      <c r="I18" s="219">
        <v>822.74413908553538</v>
      </c>
      <c r="J18" s="130"/>
      <c r="K18" s="219">
        <v>20.314503846852869</v>
      </c>
      <c r="L18" s="130"/>
      <c r="M18" s="219">
        <f t="shared" si="0"/>
        <v>971.50920777951069</v>
      </c>
      <c r="N18" s="130"/>
      <c r="O18" s="219">
        <v>87.753931739182406</v>
      </c>
      <c r="P18" s="130"/>
      <c r="Q18" s="219">
        <v>33.778789386542314</v>
      </c>
      <c r="R18" s="130"/>
      <c r="S18" s="219">
        <v>901.66243199100415</v>
      </c>
      <c r="T18" s="130"/>
      <c r="U18" s="219">
        <v>18.144015957940407</v>
      </c>
      <c r="V18" s="130"/>
      <c r="W18" s="220">
        <f t="shared" si="1"/>
        <v>1041.3391690746694</v>
      </c>
      <c r="X18" s="211"/>
      <c r="Y18" s="221"/>
    </row>
    <row r="19" spans="1:25">
      <c r="A19" s="143">
        <v>6</v>
      </c>
      <c r="C19" s="211" t="s">
        <v>91</v>
      </c>
      <c r="D19" s="211"/>
      <c r="E19" s="219">
        <v>0</v>
      </c>
      <c r="F19" s="130"/>
      <c r="G19" s="219">
        <v>0</v>
      </c>
      <c r="H19" s="130"/>
      <c r="I19" s="219">
        <v>588.24265500000001</v>
      </c>
      <c r="J19" s="130"/>
      <c r="K19" s="219">
        <v>0</v>
      </c>
      <c r="L19" s="130"/>
      <c r="M19" s="219">
        <f t="shared" si="0"/>
        <v>588.24265500000001</v>
      </c>
      <c r="N19" s="130"/>
      <c r="O19" s="219">
        <v>0</v>
      </c>
      <c r="P19" s="130"/>
      <c r="Q19" s="219">
        <v>0</v>
      </c>
      <c r="R19" s="130"/>
      <c r="S19" s="219">
        <v>717.82949090787918</v>
      </c>
      <c r="T19" s="130"/>
      <c r="U19" s="219">
        <v>0</v>
      </c>
      <c r="V19" s="130"/>
      <c r="W19" s="220">
        <f t="shared" si="1"/>
        <v>717.82949090787918</v>
      </c>
      <c r="X19" s="211"/>
      <c r="Y19" s="413"/>
    </row>
    <row r="20" spans="1:25">
      <c r="A20" s="143">
        <v>7</v>
      </c>
      <c r="C20" s="211" t="s">
        <v>92</v>
      </c>
      <c r="D20" s="211"/>
      <c r="E20" s="219">
        <v>0</v>
      </c>
      <c r="F20" s="130"/>
      <c r="G20" s="219">
        <v>5.5685738769876725</v>
      </c>
      <c r="H20" s="130"/>
      <c r="I20" s="219">
        <v>111.84241907945309</v>
      </c>
      <c r="J20" s="130"/>
      <c r="K20" s="219">
        <v>0</v>
      </c>
      <c r="L20" s="130"/>
      <c r="M20" s="219">
        <f t="shared" si="0"/>
        <v>117.41099295644077</v>
      </c>
      <c r="N20" s="130"/>
      <c r="O20" s="219">
        <v>0</v>
      </c>
      <c r="P20" s="130"/>
      <c r="Q20" s="219">
        <v>4.6568760308610049</v>
      </c>
      <c r="R20" s="130"/>
      <c r="S20" s="219">
        <v>122.57043568736097</v>
      </c>
      <c r="T20" s="130"/>
      <c r="U20" s="219">
        <v>0</v>
      </c>
      <c r="V20" s="130"/>
      <c r="W20" s="220">
        <f t="shared" si="1"/>
        <v>127.22731171822197</v>
      </c>
      <c r="X20" s="211"/>
      <c r="Y20" s="413"/>
    </row>
    <row r="21" spans="1:25">
      <c r="A21" s="143">
        <v>8</v>
      </c>
      <c r="C21" s="211" t="s">
        <v>93</v>
      </c>
      <c r="D21" s="211"/>
      <c r="E21" s="219">
        <v>23.910450696564268</v>
      </c>
      <c r="F21" s="130"/>
      <c r="G21" s="219">
        <v>1.662079898703499</v>
      </c>
      <c r="H21" s="130"/>
      <c r="I21" s="219">
        <v>36.932415941470509</v>
      </c>
      <c r="J21" s="130"/>
      <c r="K21" s="219">
        <v>4.4912034239250485</v>
      </c>
      <c r="L21" s="130"/>
      <c r="M21" s="219">
        <f t="shared" si="0"/>
        <v>66.996149960663331</v>
      </c>
      <c r="N21" s="130"/>
      <c r="O21" s="219">
        <v>23.82768445233804</v>
      </c>
      <c r="P21" s="130"/>
      <c r="Q21" s="219">
        <v>1.3899609150620136</v>
      </c>
      <c r="R21" s="130"/>
      <c r="S21" s="219">
        <v>40.475003582647929</v>
      </c>
      <c r="T21" s="130"/>
      <c r="U21" s="219">
        <v>4.0113441710601707</v>
      </c>
      <c r="V21" s="130"/>
      <c r="W21" s="220">
        <f t="shared" si="1"/>
        <v>69.703993121108155</v>
      </c>
      <c r="X21" s="211"/>
      <c r="Y21" s="413"/>
    </row>
    <row r="22" spans="1:25">
      <c r="A22" s="143">
        <v>9</v>
      </c>
      <c r="C22" s="211" t="s">
        <v>94</v>
      </c>
      <c r="D22" s="211"/>
      <c r="E22" s="219">
        <v>215.84879949943192</v>
      </c>
      <c r="F22" s="130"/>
      <c r="G22" s="219">
        <v>34.191490404322586</v>
      </c>
      <c r="H22" s="130"/>
      <c r="I22" s="219">
        <v>719.46119587671512</v>
      </c>
      <c r="J22" s="130"/>
      <c r="K22" s="219">
        <v>41.417029465537894</v>
      </c>
      <c r="L22" s="130"/>
      <c r="M22" s="219">
        <f t="shared" si="0"/>
        <v>1010.9185152460076</v>
      </c>
      <c r="N22" s="130"/>
      <c r="O22" s="219">
        <v>215.10163690170319</v>
      </c>
      <c r="P22" s="130"/>
      <c r="Q22" s="219">
        <v>28.593592478194282</v>
      </c>
      <c r="R22" s="130"/>
      <c r="S22" s="219">
        <v>788.47250412307449</v>
      </c>
      <c r="T22" s="130"/>
      <c r="U22" s="219">
        <v>36.991858094020145</v>
      </c>
      <c r="V22" s="130"/>
      <c r="W22" s="220">
        <f t="shared" si="1"/>
        <v>1069.1595915969922</v>
      </c>
      <c r="X22" s="211"/>
      <c r="Y22" s="413"/>
    </row>
    <row r="23" spans="1:25">
      <c r="A23" s="143">
        <v>10</v>
      </c>
      <c r="C23" s="211" t="s">
        <v>95</v>
      </c>
      <c r="D23" s="211"/>
      <c r="E23" s="219">
        <v>550.32869750354416</v>
      </c>
      <c r="F23" s="130"/>
      <c r="G23" s="219">
        <v>19.975437885703734</v>
      </c>
      <c r="H23" s="130"/>
      <c r="I23" s="219">
        <v>484.16838165175238</v>
      </c>
      <c r="J23" s="130"/>
      <c r="K23" s="219">
        <v>150.91966472771608</v>
      </c>
      <c r="L23" s="130"/>
      <c r="M23" s="219">
        <f t="shared" si="0"/>
        <v>1205.3921817687165</v>
      </c>
      <c r="N23" s="130"/>
      <c r="O23" s="219">
        <v>548.42372967335484</v>
      </c>
      <c r="P23" s="130"/>
      <c r="Q23" s="219">
        <v>16.705019983717541</v>
      </c>
      <c r="R23" s="130"/>
      <c r="S23" s="219">
        <v>530.61021009337355</v>
      </c>
      <c r="T23" s="130"/>
      <c r="U23" s="219">
        <v>134.79476662733822</v>
      </c>
      <c r="V23" s="130"/>
      <c r="W23" s="220">
        <f t="shared" si="1"/>
        <v>1230.5337263777842</v>
      </c>
      <c r="X23" s="211"/>
      <c r="Y23" s="413"/>
    </row>
    <row r="24" spans="1:25">
      <c r="A24" s="143">
        <v>11</v>
      </c>
      <c r="C24" s="211" t="s">
        <v>96</v>
      </c>
      <c r="D24" s="211"/>
      <c r="E24" s="219">
        <v>0</v>
      </c>
      <c r="F24" s="130"/>
      <c r="G24" s="219">
        <v>0</v>
      </c>
      <c r="H24" s="130"/>
      <c r="I24" s="219">
        <v>0</v>
      </c>
      <c r="J24" s="130"/>
      <c r="K24" s="219">
        <v>0</v>
      </c>
      <c r="L24" s="130"/>
      <c r="M24" s="219">
        <f t="shared" si="0"/>
        <v>0</v>
      </c>
      <c r="N24" s="130"/>
      <c r="O24" s="219">
        <v>0</v>
      </c>
      <c r="P24" s="130"/>
      <c r="Q24" s="219">
        <v>0</v>
      </c>
      <c r="R24" s="130"/>
      <c r="S24" s="219">
        <v>0</v>
      </c>
      <c r="T24" s="130"/>
      <c r="U24" s="219">
        <v>0</v>
      </c>
      <c r="V24" s="130"/>
      <c r="W24" s="130"/>
      <c r="X24" s="211"/>
      <c r="Y24" s="413"/>
    </row>
    <row r="25" spans="1:25">
      <c r="A25" s="143">
        <v>12</v>
      </c>
      <c r="C25" s="211" t="s">
        <v>467</v>
      </c>
      <c r="D25" s="211"/>
      <c r="E25" s="233">
        <f>SUM(E14:E24)</f>
        <v>31615.943849726202</v>
      </c>
      <c r="F25" s="130"/>
      <c r="G25" s="233">
        <f>SUM(G14:G24)</f>
        <v>1255.405740308197</v>
      </c>
      <c r="H25" s="130"/>
      <c r="I25" s="233">
        <f>SUM(I14:I24)</f>
        <v>30545.422473142604</v>
      </c>
      <c r="J25" s="130"/>
      <c r="K25" s="233">
        <f>SUM(K14:K24)</f>
        <v>11228.219998296772</v>
      </c>
      <c r="L25" s="130"/>
      <c r="M25" s="233">
        <f>SUM(M14:M24)</f>
        <v>74644.992061473778</v>
      </c>
      <c r="N25" s="130"/>
      <c r="O25" s="233">
        <f>SUM(O14:O24)</f>
        <v>31506.504970329202</v>
      </c>
      <c r="P25" s="130"/>
      <c r="Q25" s="233">
        <f>SUM(Q14:Q24)</f>
        <v>1049.8682481714875</v>
      </c>
      <c r="R25" s="130"/>
      <c r="S25" s="233">
        <f>SUM(S14:S24)</f>
        <v>33548.526577903598</v>
      </c>
      <c r="T25" s="130"/>
      <c r="U25" s="233">
        <f>SUM(U14:U24)</f>
        <v>10028.549275148718</v>
      </c>
      <c r="V25" s="130"/>
      <c r="W25" s="233">
        <f>SUM(W14:W24)</f>
        <v>76133.449071552997</v>
      </c>
      <c r="X25" s="211"/>
      <c r="Y25" s="414"/>
    </row>
    <row r="26" spans="1:25">
      <c r="A26" s="213"/>
      <c r="B26" s="213"/>
      <c r="C26" s="211"/>
      <c r="D26" s="211"/>
      <c r="E26" s="130"/>
      <c r="F26" s="130"/>
      <c r="G26" s="130"/>
      <c r="H26" s="130"/>
      <c r="I26" s="130"/>
      <c r="J26" s="130"/>
      <c r="K26" s="130"/>
      <c r="L26" s="130"/>
      <c r="M26" s="130"/>
      <c r="N26" s="130"/>
      <c r="O26" s="130"/>
      <c r="P26" s="130"/>
      <c r="Q26" s="130"/>
      <c r="R26" s="130"/>
      <c r="S26" s="130"/>
      <c r="T26" s="130"/>
      <c r="U26" s="130"/>
      <c r="V26" s="130"/>
      <c r="W26" s="130"/>
      <c r="X26" s="211"/>
      <c r="Y26" s="211"/>
    </row>
    <row r="27" spans="1:25">
      <c r="C27" s="217" t="s">
        <v>172</v>
      </c>
      <c r="D27" s="211"/>
      <c r="E27" s="130"/>
      <c r="F27" s="130"/>
      <c r="G27" s="130"/>
      <c r="H27" s="130"/>
      <c r="I27" s="130"/>
      <c r="J27" s="130"/>
      <c r="K27" s="130"/>
      <c r="L27" s="130"/>
      <c r="M27" s="130"/>
      <c r="N27" s="130"/>
      <c r="O27" s="130"/>
      <c r="P27" s="130"/>
      <c r="Q27" s="130"/>
      <c r="R27" s="130"/>
      <c r="S27" s="130"/>
      <c r="T27" s="130"/>
      <c r="U27" s="130"/>
      <c r="V27" s="130"/>
      <c r="W27" s="130"/>
      <c r="X27" s="211"/>
      <c r="Y27" s="211"/>
    </row>
    <row r="28" spans="1:25">
      <c r="A28" s="143">
        <v>13</v>
      </c>
      <c r="C28" s="211" t="s">
        <v>120</v>
      </c>
      <c r="D28" s="211"/>
      <c r="E28" s="219">
        <v>2800.9558375251568</v>
      </c>
      <c r="F28" s="130"/>
      <c r="G28" s="219">
        <v>633.99502918357121</v>
      </c>
      <c r="H28" s="130"/>
      <c r="I28" s="219">
        <v>419.94052423709411</v>
      </c>
      <c r="J28" s="130"/>
      <c r="K28" s="219">
        <v>1855.1570796763663</v>
      </c>
      <c r="L28" s="130"/>
      <c r="M28" s="219">
        <f>I28+K28+G28+E28</f>
        <v>5710.0484706221887</v>
      </c>
      <c r="N28" s="130"/>
      <c r="O28" s="219">
        <v>2723.3095686261609</v>
      </c>
      <c r="P28" s="130"/>
      <c r="Q28" s="219">
        <v>594.2901811550862</v>
      </c>
      <c r="R28" s="130"/>
      <c r="S28" s="219">
        <v>515.8565803135383</v>
      </c>
      <c r="T28" s="130"/>
      <c r="U28" s="219">
        <v>1857.2479959658408</v>
      </c>
      <c r="V28" s="130"/>
      <c r="W28" s="220">
        <f>S28 + U28 + Q28 + O28</f>
        <v>5690.704326060626</v>
      </c>
      <c r="X28" s="211"/>
      <c r="Y28" s="211"/>
    </row>
    <row r="29" spans="1:25">
      <c r="A29" s="143">
        <v>14</v>
      </c>
      <c r="C29" s="211" t="s">
        <v>121</v>
      </c>
      <c r="D29" s="211"/>
      <c r="E29" s="219">
        <v>734.43604650190275</v>
      </c>
      <c r="F29" s="130"/>
      <c r="G29" s="219">
        <v>54.6662150220398</v>
      </c>
      <c r="H29" s="130"/>
      <c r="I29" s="219">
        <v>128.39221721433157</v>
      </c>
      <c r="J29" s="130"/>
      <c r="K29" s="219">
        <v>578.56725669838522</v>
      </c>
      <c r="L29" s="130"/>
      <c r="M29" s="219">
        <f>I29+K29+G29+E29</f>
        <v>1496.0617354366593</v>
      </c>
      <c r="N29" s="130"/>
      <c r="O29" s="219">
        <v>714.07648995630962</v>
      </c>
      <c r="P29" s="130"/>
      <c r="Q29" s="219">
        <v>51.24266489967107</v>
      </c>
      <c r="R29" s="130"/>
      <c r="S29" s="219">
        <v>157.71750114229079</v>
      </c>
      <c r="T29" s="130"/>
      <c r="U29" s="219">
        <v>579.21935010591403</v>
      </c>
      <c r="V29" s="130"/>
      <c r="W29" s="220">
        <f>S29 + U29 + Q29 + O29</f>
        <v>1502.2560061041854</v>
      </c>
      <c r="X29" s="211"/>
      <c r="Y29" s="211"/>
    </row>
    <row r="30" spans="1:25">
      <c r="A30" s="143">
        <v>15</v>
      </c>
      <c r="C30" s="211" t="s">
        <v>122</v>
      </c>
      <c r="D30" s="211"/>
      <c r="E30" s="219">
        <v>196.90344974972743</v>
      </c>
      <c r="F30" s="130"/>
      <c r="G30" s="219">
        <v>67.252376714950017</v>
      </c>
      <c r="H30" s="130"/>
      <c r="I30" s="219">
        <v>40.689596186354336</v>
      </c>
      <c r="J30" s="130"/>
      <c r="K30" s="219">
        <v>166.77869668835763</v>
      </c>
      <c r="L30" s="130"/>
      <c r="M30" s="219">
        <f>I30+K30+G30+E30</f>
        <v>471.62411933938938</v>
      </c>
      <c r="N30" s="130"/>
      <c r="O30" s="219">
        <v>191.44502087998987</v>
      </c>
      <c r="P30" s="130"/>
      <c r="Q30" s="219">
        <v>63.040600164493235</v>
      </c>
      <c r="R30" s="130"/>
      <c r="S30" s="219">
        <v>49.983258894016146</v>
      </c>
      <c r="T30" s="130"/>
      <c r="U30" s="219">
        <v>166.96667014756673</v>
      </c>
      <c r="V30" s="130"/>
      <c r="W30" s="220">
        <f>S30 + U30 + Q30 + O30</f>
        <v>471.43555008606597</v>
      </c>
      <c r="X30" s="211"/>
      <c r="Y30" s="211"/>
    </row>
    <row r="31" spans="1:25">
      <c r="A31" s="143">
        <v>16</v>
      </c>
      <c r="C31" s="211" t="s">
        <v>123</v>
      </c>
      <c r="D31" s="211"/>
      <c r="E31" s="219">
        <v>0</v>
      </c>
      <c r="F31" s="130"/>
      <c r="G31" s="219">
        <v>14.737676449939997</v>
      </c>
      <c r="H31" s="130"/>
      <c r="I31" s="219">
        <v>0</v>
      </c>
      <c r="J31" s="130"/>
      <c r="K31" s="219">
        <v>0</v>
      </c>
      <c r="L31" s="130"/>
      <c r="M31" s="219">
        <f>I31+K31+G31+E31</f>
        <v>14.737676449939997</v>
      </c>
      <c r="N31" s="130"/>
      <c r="O31" s="219">
        <v>0</v>
      </c>
      <c r="P31" s="130"/>
      <c r="Q31" s="219">
        <v>13.814708324320168</v>
      </c>
      <c r="R31" s="130"/>
      <c r="S31" s="219">
        <v>0</v>
      </c>
      <c r="T31" s="130"/>
      <c r="U31" s="219">
        <v>0</v>
      </c>
      <c r="V31" s="130"/>
      <c r="W31" s="220">
        <f>S31 + U31 + Q31 + O31</f>
        <v>13.814708324320168</v>
      </c>
      <c r="X31" s="211"/>
      <c r="Y31" s="211"/>
    </row>
    <row r="32" spans="1:25">
      <c r="A32" s="143">
        <v>17</v>
      </c>
      <c r="C32" s="211" t="s">
        <v>88</v>
      </c>
      <c r="D32" s="211"/>
      <c r="E32" s="219">
        <v>13.760700020675317</v>
      </c>
      <c r="F32" s="130"/>
      <c r="G32" s="219">
        <v>23.194032140369998</v>
      </c>
      <c r="H32" s="130"/>
      <c r="I32" s="219">
        <v>0</v>
      </c>
      <c r="J32" s="130"/>
      <c r="K32" s="219">
        <v>0</v>
      </c>
      <c r="L32" s="130"/>
      <c r="M32" s="219">
        <f>I32+K32+G32+E32</f>
        <v>36.954732161045314</v>
      </c>
      <c r="N32" s="130"/>
      <c r="O32" s="219">
        <v>13.37923487947986</v>
      </c>
      <c r="P32" s="130"/>
      <c r="Q32" s="219">
        <v>21.741472610862168</v>
      </c>
      <c r="R32" s="130"/>
      <c r="S32" s="219">
        <v>0</v>
      </c>
      <c r="T32" s="130"/>
      <c r="U32" s="219">
        <v>0</v>
      </c>
      <c r="V32" s="130"/>
      <c r="W32" s="220">
        <f>S32 + U32 + Q32 + O32</f>
        <v>35.120707490342028</v>
      </c>
      <c r="X32" s="211"/>
      <c r="Y32" s="211"/>
    </row>
    <row r="33" spans="1:25">
      <c r="A33" s="143">
        <v>18</v>
      </c>
      <c r="C33" s="211" t="s">
        <v>475</v>
      </c>
      <c r="D33" s="211"/>
      <c r="E33" s="233">
        <f>SUM(E28:E32)</f>
        <v>3746.0560337974621</v>
      </c>
      <c r="F33" s="130"/>
      <c r="G33" s="233">
        <f>SUM(G28:G32)</f>
        <v>793.84532951087101</v>
      </c>
      <c r="H33" s="130"/>
      <c r="I33" s="233">
        <f>SUM(I28:I32)</f>
        <v>589.02233763778008</v>
      </c>
      <c r="J33" s="130"/>
      <c r="K33" s="233">
        <f>SUM(K28:K32)</f>
        <v>2600.5030330631093</v>
      </c>
      <c r="L33" s="130"/>
      <c r="M33" s="233">
        <f>SUM(M28:M32)</f>
        <v>7729.4267340092238</v>
      </c>
      <c r="N33" s="130"/>
      <c r="O33" s="233">
        <f>SUM(O28:O32)</f>
        <v>3642.2103143419404</v>
      </c>
      <c r="P33" s="130"/>
      <c r="Q33" s="233">
        <f>SUM(Q28:Q32)</f>
        <v>744.1296271544328</v>
      </c>
      <c r="R33" s="130"/>
      <c r="S33" s="233">
        <f>SUM(S28:S32)</f>
        <v>723.55734034984516</v>
      </c>
      <c r="T33" s="130"/>
      <c r="U33" s="233">
        <f>SUM(U28:U32)</f>
        <v>2603.4340162193216</v>
      </c>
      <c r="V33" s="130"/>
      <c r="W33" s="233">
        <f>SUM(W28:W32)</f>
        <v>7713.3312980655401</v>
      </c>
      <c r="X33" s="211"/>
      <c r="Y33" s="211"/>
    </row>
    <row r="34" spans="1:25">
      <c r="A34" s="213"/>
      <c r="B34" s="213"/>
      <c r="C34" s="211"/>
      <c r="D34" s="211"/>
      <c r="E34" s="130"/>
      <c r="F34" s="130"/>
      <c r="G34" s="130"/>
      <c r="H34" s="130"/>
      <c r="I34" s="130"/>
      <c r="J34" s="130"/>
      <c r="K34" s="130"/>
      <c r="L34" s="130"/>
      <c r="M34" s="130"/>
      <c r="N34" s="130"/>
      <c r="O34" s="130"/>
      <c r="P34" s="130"/>
      <c r="Q34" s="130"/>
      <c r="R34" s="130"/>
      <c r="S34" s="130"/>
      <c r="T34" s="130"/>
      <c r="U34" s="130"/>
      <c r="V34" s="130"/>
      <c r="W34" s="130"/>
      <c r="X34" s="211"/>
      <c r="Y34" s="211"/>
    </row>
    <row r="35" spans="1:25">
      <c r="C35" s="217" t="s">
        <v>177</v>
      </c>
      <c r="D35" s="211"/>
      <c r="E35" s="130"/>
      <c r="F35" s="130"/>
      <c r="G35" s="130"/>
      <c r="H35" s="130"/>
      <c r="I35" s="130"/>
      <c r="J35" s="130"/>
      <c r="K35" s="130"/>
      <c r="L35" s="130"/>
      <c r="M35" s="130"/>
      <c r="N35" s="130"/>
      <c r="O35" s="130"/>
      <c r="P35" s="130"/>
      <c r="Q35" s="130"/>
      <c r="R35" s="130"/>
      <c r="S35" s="130"/>
      <c r="T35" s="130"/>
      <c r="U35" s="130"/>
      <c r="V35" s="130"/>
      <c r="W35" s="130"/>
      <c r="X35" s="211"/>
      <c r="Y35" s="211"/>
    </row>
    <row r="36" spans="1:25">
      <c r="A36" s="143">
        <v>19</v>
      </c>
      <c r="C36" s="211" t="s">
        <v>124</v>
      </c>
      <c r="D36" s="211"/>
      <c r="E36" s="219">
        <v>7786.7630788190054</v>
      </c>
      <c r="F36" s="130"/>
      <c r="G36" s="219">
        <v>1662.2711717529742</v>
      </c>
      <c r="H36" s="130"/>
      <c r="I36" s="219">
        <v>2033.0541288685467</v>
      </c>
      <c r="J36" s="130"/>
      <c r="K36" s="219">
        <v>2183.0645940097743</v>
      </c>
      <c r="L36" s="130"/>
      <c r="M36" s="219">
        <f t="shared" ref="M36:M47" si="2">I36+K36+G36+E36</f>
        <v>13665.1529734503</v>
      </c>
      <c r="N36" s="130"/>
      <c r="O36" s="219">
        <v>7570.9035169613735</v>
      </c>
      <c r="P36" s="130"/>
      <c r="Q36" s="219">
        <v>1558.1690554610284</v>
      </c>
      <c r="R36" s="130"/>
      <c r="S36" s="219">
        <v>2497.4116332681588</v>
      </c>
      <c r="T36" s="130"/>
      <c r="U36" s="219">
        <v>2185.5250893341849</v>
      </c>
      <c r="V36" s="130"/>
      <c r="W36" s="220">
        <f t="shared" ref="W36:W47" si="3">S36 + U36 + Q36 + O36</f>
        <v>13812.009295024745</v>
      </c>
      <c r="X36" s="211"/>
      <c r="Y36" s="211"/>
    </row>
    <row r="37" spans="1:25">
      <c r="A37" s="143">
        <v>20</v>
      </c>
      <c r="C37" s="211" t="s">
        <v>125</v>
      </c>
      <c r="D37" s="211"/>
      <c r="E37" s="219">
        <v>2654.934493458682</v>
      </c>
      <c r="F37" s="130"/>
      <c r="G37" s="219">
        <v>179.18666996406699</v>
      </c>
      <c r="H37" s="130"/>
      <c r="I37" s="219">
        <v>775.9686179721092</v>
      </c>
      <c r="J37" s="130"/>
      <c r="K37" s="219">
        <v>884.99160096949186</v>
      </c>
      <c r="L37" s="130"/>
      <c r="M37" s="219">
        <f t="shared" si="2"/>
        <v>4495.0813823643502</v>
      </c>
      <c r="N37" s="130"/>
      <c r="O37" s="219">
        <v>2581.3361329181394</v>
      </c>
      <c r="P37" s="130"/>
      <c r="Q37" s="219">
        <v>167.96484775385909</v>
      </c>
      <c r="R37" s="130"/>
      <c r="S37" s="219">
        <v>953.2028813483023</v>
      </c>
      <c r="T37" s="130"/>
      <c r="U37" s="219">
        <v>885.98906009291989</v>
      </c>
      <c r="V37" s="130"/>
      <c r="W37" s="220">
        <f t="shared" si="3"/>
        <v>4588.4929221132206</v>
      </c>
      <c r="X37" s="211"/>
      <c r="Y37" s="211"/>
    </row>
    <row r="38" spans="1:25">
      <c r="A38" s="143">
        <v>21</v>
      </c>
      <c r="C38" s="211" t="s">
        <v>644</v>
      </c>
      <c r="D38" s="211"/>
      <c r="E38" s="219">
        <v>388.30110748325848</v>
      </c>
      <c r="F38" s="130"/>
      <c r="G38" s="219">
        <v>118.15817852974007</v>
      </c>
      <c r="H38" s="130"/>
      <c r="I38" s="219">
        <v>563.17446288753706</v>
      </c>
      <c r="J38" s="130"/>
      <c r="K38" s="219">
        <v>649.88411438477726</v>
      </c>
      <c r="L38" s="130"/>
      <c r="M38" s="219">
        <f t="shared" si="2"/>
        <v>1719.5178632853128</v>
      </c>
      <c r="N38" s="130"/>
      <c r="O38" s="219">
        <v>377.53687771515797</v>
      </c>
      <c r="P38" s="130"/>
      <c r="Q38" s="219">
        <v>110.75835312750092</v>
      </c>
      <c r="R38" s="130"/>
      <c r="S38" s="219">
        <v>691.8057100415856</v>
      </c>
      <c r="T38" s="130"/>
      <c r="U38" s="219">
        <v>650.61658782108327</v>
      </c>
      <c r="V38" s="130"/>
      <c r="W38" s="220">
        <f t="shared" si="3"/>
        <v>1830.7175287053278</v>
      </c>
      <c r="X38" s="211"/>
      <c r="Y38" s="211"/>
    </row>
    <row r="39" spans="1:25">
      <c r="A39" s="143">
        <v>22</v>
      </c>
      <c r="C39" s="211" t="s">
        <v>645</v>
      </c>
      <c r="D39" s="211"/>
      <c r="E39" s="219">
        <v>19.643156988174308</v>
      </c>
      <c r="F39" s="130"/>
      <c r="G39" s="219">
        <v>2.9490087921875002E-2</v>
      </c>
      <c r="H39" s="130"/>
      <c r="I39" s="219">
        <v>0.17679428565583963</v>
      </c>
      <c r="J39" s="130"/>
      <c r="K39" s="219">
        <v>0.13488452849963448</v>
      </c>
      <c r="L39" s="130"/>
      <c r="M39" s="219">
        <f t="shared" si="2"/>
        <v>19.984325890251657</v>
      </c>
      <c r="N39" s="130"/>
      <c r="O39" s="219">
        <v>19.098622215760113</v>
      </c>
      <c r="P39" s="130"/>
      <c r="Q39" s="219">
        <v>2.7643228868748766E-2</v>
      </c>
      <c r="R39" s="130"/>
      <c r="S39" s="219">
        <v>0.21717479108042784</v>
      </c>
      <c r="T39" s="130"/>
      <c r="U39" s="219">
        <v>0.1350365545792197</v>
      </c>
      <c r="V39" s="130"/>
      <c r="W39" s="220">
        <f t="shared" si="3"/>
        <v>19.478476790288507</v>
      </c>
      <c r="X39" s="211"/>
      <c r="Y39" s="211"/>
    </row>
    <row r="40" spans="1:25">
      <c r="A40" s="143">
        <v>23</v>
      </c>
      <c r="C40" s="211" t="s">
        <v>1447</v>
      </c>
      <c r="D40" s="211"/>
      <c r="E40" s="219">
        <v>41.057865435177092</v>
      </c>
      <c r="F40" s="130"/>
      <c r="G40" s="219">
        <v>1.7443777838000429</v>
      </c>
      <c r="H40" s="130"/>
      <c r="I40" s="219">
        <v>3.917595260881924</v>
      </c>
      <c r="J40" s="130"/>
      <c r="K40" s="219">
        <v>2.997899813752662</v>
      </c>
      <c r="L40" s="130"/>
      <c r="M40" s="219">
        <f t="shared" si="2"/>
        <v>49.717738293611724</v>
      </c>
      <c r="N40" s="130"/>
      <c r="O40" s="219">
        <v>39.919686097506641</v>
      </c>
      <c r="P40" s="130"/>
      <c r="Q40" s="219">
        <v>1.6351336231648461</v>
      </c>
      <c r="R40" s="130"/>
      <c r="S40" s="219">
        <v>4.8123893210889177</v>
      </c>
      <c r="T40" s="130"/>
      <c r="U40" s="219">
        <v>3.00127869612519</v>
      </c>
      <c r="V40" s="130"/>
      <c r="W40" s="220">
        <f t="shared" si="3"/>
        <v>49.368487737885594</v>
      </c>
      <c r="X40" s="211"/>
      <c r="Y40" s="211"/>
    </row>
    <row r="41" spans="1:25">
      <c r="A41" s="143">
        <v>24</v>
      </c>
      <c r="C41" s="211" t="s">
        <v>676</v>
      </c>
      <c r="D41" s="211"/>
      <c r="E41" s="219">
        <v>463.16522971377901</v>
      </c>
      <c r="F41" s="130"/>
      <c r="G41" s="219">
        <v>7.352396845245841</v>
      </c>
      <c r="H41" s="130"/>
      <c r="I41" s="219">
        <v>44.077920403529298</v>
      </c>
      <c r="J41" s="130"/>
      <c r="K41" s="219">
        <v>33.629081894922024</v>
      </c>
      <c r="L41" s="130"/>
      <c r="M41" s="219">
        <f t="shared" si="2"/>
        <v>548.2246288574762</v>
      </c>
      <c r="N41" s="130"/>
      <c r="O41" s="219">
        <v>450.32566563025625</v>
      </c>
      <c r="P41" s="130"/>
      <c r="Q41" s="219">
        <v>6.8919424474226778</v>
      </c>
      <c r="R41" s="130"/>
      <c r="S41" s="219">
        <v>54.145489597615935</v>
      </c>
      <c r="T41" s="130"/>
      <c r="U41" s="219">
        <v>33.666984666554946</v>
      </c>
      <c r="V41" s="130"/>
      <c r="W41" s="220">
        <f t="shared" si="3"/>
        <v>545.03008234184983</v>
      </c>
      <c r="X41" s="211"/>
      <c r="Y41" s="211"/>
    </row>
    <row r="42" spans="1:25">
      <c r="A42" s="143">
        <v>25</v>
      </c>
      <c r="C42" s="211" t="s">
        <v>646</v>
      </c>
      <c r="D42" s="211"/>
      <c r="E42" s="219">
        <v>128.4609163617869</v>
      </c>
      <c r="F42" s="130"/>
      <c r="G42" s="219">
        <v>96.729260561217899</v>
      </c>
      <c r="H42" s="130"/>
      <c r="I42" s="219">
        <v>603.10218693489446</v>
      </c>
      <c r="J42" s="130"/>
      <c r="K42" s="219">
        <v>876.18024926415137</v>
      </c>
      <c r="L42" s="130"/>
      <c r="M42" s="219">
        <f t="shared" si="2"/>
        <v>1704.4726131220507</v>
      </c>
      <c r="N42" s="130"/>
      <c r="O42" s="219">
        <v>124.8998067144274</v>
      </c>
      <c r="P42" s="130"/>
      <c r="Q42" s="219">
        <v>90.671451881808125</v>
      </c>
      <c r="R42" s="130"/>
      <c r="S42" s="219">
        <v>740.85308222408923</v>
      </c>
      <c r="T42" s="130"/>
      <c r="U42" s="219">
        <v>877.16777726152293</v>
      </c>
      <c r="V42" s="130"/>
      <c r="W42" s="220">
        <f t="shared" si="3"/>
        <v>1833.5921180818475</v>
      </c>
      <c r="X42" s="211"/>
      <c r="Y42" s="211"/>
    </row>
    <row r="43" spans="1:25">
      <c r="A43" s="143">
        <v>26</v>
      </c>
      <c r="C43" s="211" t="s">
        <v>647</v>
      </c>
      <c r="D43" s="211"/>
      <c r="E43" s="219">
        <v>14.566461358042149</v>
      </c>
      <c r="F43" s="130"/>
      <c r="G43" s="219">
        <v>9.9870469053464248</v>
      </c>
      <c r="H43" s="130"/>
      <c r="I43" s="219">
        <v>62.268746754492533</v>
      </c>
      <c r="J43" s="130"/>
      <c r="K43" s="219">
        <v>90.463353034744088</v>
      </c>
      <c r="L43" s="130"/>
      <c r="M43" s="219">
        <f t="shared" si="2"/>
        <v>177.28560805262521</v>
      </c>
      <c r="N43" s="130"/>
      <c r="O43" s="219">
        <v>14.162659427158182</v>
      </c>
      <c r="P43" s="130"/>
      <c r="Q43" s="219">
        <v>9.3615937686857631</v>
      </c>
      <c r="R43" s="130"/>
      <c r="S43" s="219">
        <v>76.491171742802919</v>
      </c>
      <c r="T43" s="130"/>
      <c r="U43" s="219">
        <v>90.565312755855061</v>
      </c>
      <c r="V43" s="130"/>
      <c r="W43" s="220">
        <f t="shared" si="3"/>
        <v>190.58073769450195</v>
      </c>
      <c r="X43" s="211"/>
      <c r="Y43" s="211"/>
    </row>
    <row r="44" spans="1:25">
      <c r="A44" s="143">
        <v>27</v>
      </c>
      <c r="C44" s="211" t="s">
        <v>129</v>
      </c>
      <c r="D44" s="211"/>
      <c r="E44" s="219">
        <v>65.613483750987882</v>
      </c>
      <c r="F44" s="130"/>
      <c r="G44" s="219">
        <v>2.8522366222343125</v>
      </c>
      <c r="H44" s="130"/>
      <c r="I44" s="219">
        <v>53.547075007156863</v>
      </c>
      <c r="J44" s="130"/>
      <c r="K44" s="219">
        <v>75.954499308342562</v>
      </c>
      <c r="L44" s="130"/>
      <c r="M44" s="219">
        <f t="shared" si="2"/>
        <v>197.96729468872161</v>
      </c>
      <c r="N44" s="130"/>
      <c r="O44" s="219">
        <v>63.794589595473241</v>
      </c>
      <c r="P44" s="130"/>
      <c r="Q44" s="219">
        <v>2.6736112128633147</v>
      </c>
      <c r="R44" s="130"/>
      <c r="S44" s="219">
        <v>65.777436100425092</v>
      </c>
      <c r="T44" s="130"/>
      <c r="U44" s="219">
        <v>76.040106344858529</v>
      </c>
      <c r="V44" s="130"/>
      <c r="W44" s="220">
        <f t="shared" si="3"/>
        <v>208.28574325362015</v>
      </c>
      <c r="X44" s="211"/>
      <c r="Y44" s="211"/>
    </row>
    <row r="45" spans="1:25">
      <c r="A45" s="143">
        <v>28</v>
      </c>
      <c r="C45" s="211" t="s">
        <v>1448</v>
      </c>
      <c r="D45" s="211"/>
      <c r="E45" s="219">
        <v>0</v>
      </c>
      <c r="F45" s="130"/>
      <c r="G45" s="219">
        <v>31.389357744205046</v>
      </c>
      <c r="H45" s="130"/>
      <c r="I45" s="219">
        <v>154.05655875252384</v>
      </c>
      <c r="J45" s="130"/>
      <c r="K45" s="219">
        <v>244.41388709747616</v>
      </c>
      <c r="L45" s="130"/>
      <c r="M45" s="219">
        <f t="shared" si="2"/>
        <v>429.85980359420506</v>
      </c>
      <c r="N45" s="130"/>
      <c r="O45" s="219">
        <v>0</v>
      </c>
      <c r="P45" s="130"/>
      <c r="Q45" s="219">
        <v>29.423554194372251</v>
      </c>
      <c r="R45" s="130"/>
      <c r="S45" s="219">
        <v>187.99442747031662</v>
      </c>
      <c r="T45" s="130"/>
      <c r="U45" s="219">
        <v>243.07409816296237</v>
      </c>
      <c r="V45" s="130"/>
      <c r="W45" s="220">
        <f t="shared" si="3"/>
        <v>460.49207982765125</v>
      </c>
      <c r="X45" s="211"/>
      <c r="Y45" s="211"/>
    </row>
    <row r="46" spans="1:25">
      <c r="A46" s="143">
        <v>29</v>
      </c>
      <c r="C46" s="211" t="s">
        <v>1449</v>
      </c>
      <c r="D46" s="211"/>
      <c r="E46" s="219">
        <v>0</v>
      </c>
      <c r="F46" s="130"/>
      <c r="G46" s="219">
        <v>109.9260462507728</v>
      </c>
      <c r="H46" s="130"/>
      <c r="I46" s="219">
        <v>2565.4189413444342</v>
      </c>
      <c r="J46" s="130"/>
      <c r="K46" s="219">
        <v>1387.0988552155645</v>
      </c>
      <c r="L46" s="130"/>
      <c r="M46" s="219">
        <f t="shared" si="2"/>
        <v>4062.4438428107715</v>
      </c>
      <c r="N46" s="130"/>
      <c r="O46" s="219">
        <v>0</v>
      </c>
      <c r="P46" s="130"/>
      <c r="Q46" s="219">
        <v>103.04176993967982</v>
      </c>
      <c r="R46" s="130"/>
      <c r="S46" s="219">
        <v>3130.5675591150489</v>
      </c>
      <c r="T46" s="130"/>
      <c r="U46" s="219">
        <v>1379.4952786783879</v>
      </c>
      <c r="V46" s="130"/>
      <c r="W46" s="220">
        <f t="shared" si="3"/>
        <v>4613.1046077331166</v>
      </c>
      <c r="X46" s="211"/>
      <c r="Y46" s="211"/>
    </row>
    <row r="47" spans="1:25">
      <c r="A47" s="143">
        <v>30</v>
      </c>
      <c r="C47" s="211" t="s">
        <v>134</v>
      </c>
      <c r="D47" s="211"/>
      <c r="E47" s="219">
        <v>0</v>
      </c>
      <c r="F47" s="130"/>
      <c r="G47" s="219">
        <v>10.217205964270001</v>
      </c>
      <c r="H47" s="130"/>
      <c r="I47" s="219">
        <v>163.59611982924099</v>
      </c>
      <c r="J47" s="130"/>
      <c r="K47" s="219">
        <v>205.02580077075902</v>
      </c>
      <c r="L47" s="130"/>
      <c r="M47" s="219">
        <f t="shared" si="2"/>
        <v>378.83912656427003</v>
      </c>
      <c r="N47" s="130"/>
      <c r="O47" s="219">
        <v>0</v>
      </c>
      <c r="P47" s="130"/>
      <c r="Q47" s="219">
        <v>9.5773387864319055</v>
      </c>
      <c r="R47" s="130"/>
      <c r="S47" s="219">
        <v>199.63550486070835</v>
      </c>
      <c r="T47" s="130"/>
      <c r="U47" s="219">
        <v>203.90192314488201</v>
      </c>
      <c r="V47" s="130"/>
      <c r="W47" s="220">
        <f t="shared" si="3"/>
        <v>413.11476679202224</v>
      </c>
      <c r="X47" s="211"/>
      <c r="Y47" s="211"/>
    </row>
    <row r="48" spans="1:25">
      <c r="A48" s="143">
        <v>31</v>
      </c>
      <c r="C48" s="211" t="s">
        <v>490</v>
      </c>
      <c r="D48" s="211"/>
      <c r="E48" s="233">
        <f>SUM(E36:E47)</f>
        <v>11562.505793368895</v>
      </c>
      <c r="F48" s="130"/>
      <c r="G48" s="233">
        <f>SUM(G36:G47)</f>
        <v>2229.843439011795</v>
      </c>
      <c r="H48" s="130"/>
      <c r="I48" s="233">
        <f>SUM(I36:I47)</f>
        <v>7022.3591483010023</v>
      </c>
      <c r="J48" s="130"/>
      <c r="K48" s="233">
        <f>SUM(K36:K47)</f>
        <v>6633.8388202922551</v>
      </c>
      <c r="L48" s="130"/>
      <c r="M48" s="233">
        <f>SUM(M36:M47)</f>
        <v>27448.54720097395</v>
      </c>
      <c r="N48" s="130"/>
      <c r="O48" s="233">
        <f>SUM(O36:O47)</f>
        <v>11241.977557275253</v>
      </c>
      <c r="P48" s="130"/>
      <c r="Q48" s="233">
        <f>SUM(Q36:Q47)</f>
        <v>2090.1962954256855</v>
      </c>
      <c r="R48" s="130"/>
      <c r="S48" s="233">
        <f>SUM(S36:S47)</f>
        <v>8602.9144598812236</v>
      </c>
      <c r="T48" s="130"/>
      <c r="U48" s="233">
        <f>SUM(U36:U47)</f>
        <v>6629.1785335139166</v>
      </c>
      <c r="V48" s="130"/>
      <c r="W48" s="233">
        <f>SUM(W36:W47)</f>
        <v>28564.266846096081</v>
      </c>
      <c r="X48" s="211"/>
      <c r="Y48" s="211"/>
    </row>
    <row r="49" spans="1:32">
      <c r="A49" s="213"/>
      <c r="B49" s="213"/>
      <c r="C49" s="211"/>
      <c r="D49" s="211"/>
      <c r="E49" s="130"/>
      <c r="F49" s="130"/>
      <c r="G49" s="130"/>
      <c r="H49" s="130"/>
      <c r="I49" s="130"/>
      <c r="J49" s="130"/>
      <c r="K49" s="130"/>
      <c r="L49" s="130"/>
      <c r="M49" s="130"/>
      <c r="N49" s="130"/>
      <c r="O49" s="130"/>
      <c r="P49" s="130"/>
      <c r="Q49" s="130"/>
      <c r="R49" s="130"/>
      <c r="S49" s="130"/>
      <c r="T49" s="130"/>
      <c r="U49" s="130"/>
      <c r="V49" s="130"/>
      <c r="W49" s="130"/>
      <c r="X49" s="211"/>
      <c r="Y49" s="211"/>
    </row>
    <row r="50" spans="1:32">
      <c r="C50" s="217" t="s">
        <v>652</v>
      </c>
      <c r="D50" s="211"/>
      <c r="E50" s="219"/>
      <c r="F50" s="130"/>
      <c r="G50" s="219"/>
      <c r="H50" s="130"/>
      <c r="I50" s="219"/>
      <c r="J50" s="130"/>
      <c r="K50" s="219"/>
      <c r="L50" s="130"/>
      <c r="M50" s="130"/>
      <c r="N50" s="130"/>
      <c r="O50" s="130"/>
      <c r="P50" s="130"/>
      <c r="Q50" s="130"/>
      <c r="R50" s="130"/>
      <c r="S50" s="130"/>
      <c r="T50" s="130"/>
      <c r="U50" s="130"/>
      <c r="V50" s="130"/>
      <c r="W50" s="130"/>
      <c r="X50" s="211"/>
      <c r="Y50" s="211"/>
    </row>
    <row r="51" spans="1:32">
      <c r="A51" s="143">
        <v>32</v>
      </c>
      <c r="C51" s="211" t="s">
        <v>97</v>
      </c>
      <c r="D51" s="211"/>
      <c r="E51" s="219">
        <v>0</v>
      </c>
      <c r="F51" s="130"/>
      <c r="G51" s="219">
        <v>0</v>
      </c>
      <c r="H51" s="130"/>
      <c r="I51" s="219">
        <v>0</v>
      </c>
      <c r="J51" s="130"/>
      <c r="K51" s="219">
        <v>0</v>
      </c>
      <c r="L51" s="130"/>
      <c r="M51" s="219">
        <f t="shared" ref="M51:M59" si="4">I51+K51+G51+E51</f>
        <v>0</v>
      </c>
      <c r="N51" s="130"/>
      <c r="O51" s="219">
        <v>0</v>
      </c>
      <c r="P51" s="130"/>
      <c r="Q51" s="219">
        <v>0</v>
      </c>
      <c r="R51" s="130"/>
      <c r="S51" s="219">
        <v>0</v>
      </c>
      <c r="T51" s="130"/>
      <c r="U51" s="219">
        <v>0</v>
      </c>
      <c r="V51" s="130"/>
      <c r="W51" s="220">
        <f t="shared" ref="W51:W59" si="5">S51 + U51 + Q51 + O51</f>
        <v>0</v>
      </c>
      <c r="X51" s="211"/>
      <c r="Y51" s="211"/>
    </row>
    <row r="52" spans="1:32">
      <c r="A52" s="143">
        <v>33</v>
      </c>
      <c r="C52" s="211" t="s">
        <v>98</v>
      </c>
      <c r="D52" s="211"/>
      <c r="E52" s="219">
        <v>0</v>
      </c>
      <c r="F52" s="130"/>
      <c r="G52" s="219">
        <v>0</v>
      </c>
      <c r="H52" s="130"/>
      <c r="I52" s="219">
        <v>0</v>
      </c>
      <c r="J52" s="130"/>
      <c r="K52" s="219">
        <v>0</v>
      </c>
      <c r="L52" s="130"/>
      <c r="M52" s="219">
        <f t="shared" si="4"/>
        <v>0</v>
      </c>
      <c r="N52" s="130"/>
      <c r="O52" s="219">
        <v>0</v>
      </c>
      <c r="P52" s="130"/>
      <c r="Q52" s="219">
        <v>0</v>
      </c>
      <c r="R52" s="130"/>
      <c r="S52" s="219">
        <v>0</v>
      </c>
      <c r="T52" s="130"/>
      <c r="U52" s="219">
        <v>0</v>
      </c>
      <c r="V52" s="130"/>
      <c r="W52" s="220">
        <f t="shared" si="5"/>
        <v>0</v>
      </c>
      <c r="X52" s="211"/>
      <c r="Y52" s="211"/>
    </row>
    <row r="53" spans="1:32">
      <c r="A53" s="143">
        <v>34</v>
      </c>
      <c r="C53" s="211" t="s">
        <v>99</v>
      </c>
      <c r="D53" s="211"/>
      <c r="E53" s="219">
        <v>0</v>
      </c>
      <c r="F53" s="130"/>
      <c r="G53" s="219">
        <v>0</v>
      </c>
      <c r="H53" s="130"/>
      <c r="I53" s="219">
        <v>0</v>
      </c>
      <c r="J53" s="130"/>
      <c r="K53" s="219">
        <v>0</v>
      </c>
      <c r="L53" s="130"/>
      <c r="M53" s="219">
        <f t="shared" si="4"/>
        <v>0</v>
      </c>
      <c r="N53" s="130"/>
      <c r="O53" s="219">
        <v>0</v>
      </c>
      <c r="P53" s="130"/>
      <c r="Q53" s="219">
        <v>0</v>
      </c>
      <c r="R53" s="130"/>
      <c r="S53" s="219">
        <v>0</v>
      </c>
      <c r="T53" s="130"/>
      <c r="U53" s="219">
        <v>0</v>
      </c>
      <c r="V53" s="130"/>
      <c r="W53" s="220">
        <f t="shared" si="5"/>
        <v>0</v>
      </c>
      <c r="X53" s="211"/>
      <c r="Y53" s="211"/>
    </row>
    <row r="54" spans="1:32">
      <c r="A54" s="143">
        <v>35</v>
      </c>
      <c r="C54" s="211" t="s">
        <v>653</v>
      </c>
      <c r="D54" s="211"/>
      <c r="E54" s="219">
        <v>0</v>
      </c>
      <c r="F54" s="130"/>
      <c r="G54" s="219">
        <v>0</v>
      </c>
      <c r="H54" s="130"/>
      <c r="I54" s="219">
        <v>2356.8045680071191</v>
      </c>
      <c r="J54" s="130"/>
      <c r="K54" s="219">
        <v>1673.0697185397185</v>
      </c>
      <c r="L54" s="130"/>
      <c r="M54" s="219">
        <f t="shared" si="4"/>
        <v>4029.8742865468375</v>
      </c>
      <c r="N54" s="130"/>
      <c r="O54" s="219">
        <v>0</v>
      </c>
      <c r="P54" s="130"/>
      <c r="Q54" s="219">
        <v>0</v>
      </c>
      <c r="R54" s="130"/>
      <c r="S54" s="219">
        <v>2875.996510694918</v>
      </c>
      <c r="T54" s="130"/>
      <c r="U54" s="219">
        <v>1663.8985526858091</v>
      </c>
      <c r="V54" s="130"/>
      <c r="W54" s="220">
        <f t="shared" si="5"/>
        <v>4539.8950633807272</v>
      </c>
      <c r="X54" s="211"/>
      <c r="Y54" s="211"/>
    </row>
    <row r="55" spans="1:32">
      <c r="A55" s="143">
        <v>36</v>
      </c>
      <c r="C55" s="211" t="s">
        <v>654</v>
      </c>
      <c r="D55" s="211"/>
      <c r="E55" s="219">
        <v>0</v>
      </c>
      <c r="F55" s="130"/>
      <c r="G55" s="219">
        <v>0</v>
      </c>
      <c r="H55" s="130"/>
      <c r="I55" s="219">
        <v>410.98500000000001</v>
      </c>
      <c r="J55" s="130"/>
      <c r="K55" s="219">
        <v>1977.3150000000001</v>
      </c>
      <c r="L55" s="130"/>
      <c r="M55" s="219">
        <f t="shared" si="4"/>
        <v>2388.3000000000002</v>
      </c>
      <c r="N55" s="130"/>
      <c r="O55" s="219">
        <v>0</v>
      </c>
      <c r="P55" s="130"/>
      <c r="Q55" s="219">
        <v>0</v>
      </c>
      <c r="R55" s="130"/>
      <c r="S55" s="219">
        <v>511.42336737272689</v>
      </c>
      <c r="T55" s="130"/>
      <c r="U55" s="219">
        <v>1969.0537638875649</v>
      </c>
      <c r="V55" s="130"/>
      <c r="W55" s="220">
        <f t="shared" si="5"/>
        <v>2480.4771312602916</v>
      </c>
      <c r="X55" s="211"/>
      <c r="Y55" s="211"/>
    </row>
    <row r="56" spans="1:32">
      <c r="A56" s="143">
        <v>37</v>
      </c>
      <c r="C56" s="211" t="s">
        <v>136</v>
      </c>
      <c r="D56" s="211"/>
      <c r="E56" s="219">
        <v>0</v>
      </c>
      <c r="F56" s="130"/>
      <c r="G56" s="219">
        <v>0</v>
      </c>
      <c r="H56" s="130"/>
      <c r="I56" s="219">
        <v>3367.7501347010402</v>
      </c>
      <c r="J56" s="130"/>
      <c r="K56" s="219">
        <v>12354.326469932752</v>
      </c>
      <c r="L56" s="130"/>
      <c r="M56" s="219">
        <f t="shared" si="4"/>
        <v>15722.076604633792</v>
      </c>
      <c r="N56" s="130"/>
      <c r="O56" s="219">
        <v>0</v>
      </c>
      <c r="P56" s="130"/>
      <c r="Q56" s="219">
        <v>0</v>
      </c>
      <c r="R56" s="130"/>
      <c r="S56" s="219">
        <v>4109.6481939028881</v>
      </c>
      <c r="T56" s="130"/>
      <c r="U56" s="219">
        <v>12286.604500062909</v>
      </c>
      <c r="V56" s="130"/>
      <c r="W56" s="220">
        <f t="shared" si="5"/>
        <v>16396.252693965798</v>
      </c>
      <c r="X56" s="211"/>
      <c r="Y56" s="211"/>
    </row>
    <row r="57" spans="1:32">
      <c r="A57" s="143">
        <v>38</v>
      </c>
      <c r="C57" s="211" t="s">
        <v>137</v>
      </c>
      <c r="D57" s="211"/>
      <c r="E57" s="219">
        <v>0</v>
      </c>
      <c r="F57" s="130"/>
      <c r="G57" s="219">
        <v>0</v>
      </c>
      <c r="H57" s="130"/>
      <c r="I57" s="219">
        <v>43.120009500000002</v>
      </c>
      <c r="J57" s="130"/>
      <c r="K57" s="219">
        <v>0</v>
      </c>
      <c r="L57" s="130"/>
      <c r="M57" s="219">
        <f t="shared" si="4"/>
        <v>43.120009500000002</v>
      </c>
      <c r="N57" s="130"/>
      <c r="O57" s="219">
        <v>0</v>
      </c>
      <c r="P57" s="130"/>
      <c r="Q57" s="219">
        <v>0</v>
      </c>
      <c r="R57" s="130"/>
      <c r="S57" s="219">
        <v>53.702699847298454</v>
      </c>
      <c r="T57" s="130"/>
      <c r="U57" s="219">
        <v>0</v>
      </c>
      <c r="V57" s="130"/>
      <c r="W57" s="220">
        <f t="shared" si="5"/>
        <v>53.702699847298454</v>
      </c>
      <c r="X57" s="211"/>
      <c r="Y57" s="211"/>
    </row>
    <row r="58" spans="1:32">
      <c r="A58" s="143">
        <v>39</v>
      </c>
      <c r="C58" s="211" t="s">
        <v>138</v>
      </c>
      <c r="D58" s="211"/>
      <c r="E58" s="219">
        <v>0</v>
      </c>
      <c r="F58" s="130"/>
      <c r="G58" s="219">
        <v>0</v>
      </c>
      <c r="H58" s="130"/>
      <c r="I58" s="219">
        <v>99.780409569172775</v>
      </c>
      <c r="J58" s="130"/>
      <c r="K58" s="219">
        <v>96.428791883564728</v>
      </c>
      <c r="L58" s="130"/>
      <c r="M58" s="219">
        <f t="shared" si="4"/>
        <v>196.20920145273749</v>
      </c>
      <c r="N58" s="130"/>
      <c r="O58" s="219">
        <v>0</v>
      </c>
      <c r="P58" s="130"/>
      <c r="Q58" s="219">
        <v>0</v>
      </c>
      <c r="R58" s="130"/>
      <c r="S58" s="219">
        <v>121.85619856187017</v>
      </c>
      <c r="T58" s="220"/>
      <c r="U58" s="219">
        <v>96.021835502270036</v>
      </c>
      <c r="V58" s="130"/>
      <c r="W58" s="220">
        <f t="shared" si="5"/>
        <v>217.87803406414019</v>
      </c>
      <c r="X58" s="211"/>
      <c r="Y58" s="211"/>
    </row>
    <row r="59" spans="1:32">
      <c r="A59" s="143">
        <v>40</v>
      </c>
      <c r="C59" s="211" t="s">
        <v>140</v>
      </c>
      <c r="D59" s="211"/>
      <c r="E59" s="219">
        <v>0</v>
      </c>
      <c r="F59" s="130"/>
      <c r="G59" s="219">
        <v>0</v>
      </c>
      <c r="H59" s="130"/>
      <c r="I59" s="219">
        <v>11.973151205783873</v>
      </c>
      <c r="J59" s="130"/>
      <c r="K59" s="219">
        <v>29.198154308992827</v>
      </c>
      <c r="L59" s="130"/>
      <c r="M59" s="219">
        <f t="shared" si="4"/>
        <v>41.171305514776698</v>
      </c>
      <c r="N59" s="130"/>
      <c r="O59" s="219">
        <v>0</v>
      </c>
      <c r="P59" s="130"/>
      <c r="Q59" s="219">
        <v>0</v>
      </c>
      <c r="R59" s="130"/>
      <c r="S59" s="219">
        <v>14.61077492690648</v>
      </c>
      <c r="T59" s="130"/>
      <c r="U59" s="219">
        <v>29.038100539070125</v>
      </c>
      <c r="V59" s="130"/>
      <c r="W59" s="220">
        <f t="shared" si="5"/>
        <v>43.648875465976602</v>
      </c>
      <c r="X59" s="211"/>
      <c r="Y59" s="211"/>
    </row>
    <row r="60" spans="1:32">
      <c r="A60" s="143">
        <v>41</v>
      </c>
      <c r="C60" s="211" t="s">
        <v>655</v>
      </c>
      <c r="D60" s="211"/>
      <c r="E60" s="233">
        <f>SUM(E51:E59)</f>
        <v>0</v>
      </c>
      <c r="F60" s="130"/>
      <c r="G60" s="233">
        <f>SUM(G51:G59)</f>
        <v>0</v>
      </c>
      <c r="H60" s="130"/>
      <c r="I60" s="233">
        <f>SUM(I51:I59)</f>
        <v>6290.4132729831172</v>
      </c>
      <c r="J60" s="130"/>
      <c r="K60" s="233">
        <f>SUM(K51:K59)</f>
        <v>16130.338134665029</v>
      </c>
      <c r="L60" s="130"/>
      <c r="M60" s="233">
        <f>SUM(M51:M59)</f>
        <v>22420.751407648142</v>
      </c>
      <c r="N60" s="130"/>
      <c r="O60" s="233">
        <f>SUM(O51:O59)</f>
        <v>0</v>
      </c>
      <c r="P60" s="130"/>
      <c r="Q60" s="233">
        <f>SUM(Q51:Q59)</f>
        <v>0</v>
      </c>
      <c r="R60" s="130"/>
      <c r="S60" s="233">
        <f>SUM(S51:S59)</f>
        <v>7687.2377453066074</v>
      </c>
      <c r="T60" s="130"/>
      <c r="U60" s="233">
        <f>SUM(U51:U59)</f>
        <v>16044.616752677623</v>
      </c>
      <c r="V60" s="130"/>
      <c r="W60" s="233">
        <f>SUM(W51:W59)</f>
        <v>23731.85449798423</v>
      </c>
      <c r="X60" s="211"/>
      <c r="Y60" s="211"/>
      <c r="Z60" s="211"/>
      <c r="AB60" s="415"/>
    </row>
    <row r="61" spans="1:32">
      <c r="C61" s="211"/>
      <c r="D61" s="211"/>
      <c r="E61" s="130"/>
      <c r="F61" s="130"/>
      <c r="G61" s="130"/>
      <c r="H61" s="130"/>
      <c r="I61" s="130"/>
      <c r="J61" s="130"/>
      <c r="K61" s="130"/>
      <c r="L61" s="130"/>
      <c r="M61" s="130"/>
      <c r="N61" s="130"/>
      <c r="O61" s="130"/>
      <c r="P61" s="130"/>
      <c r="Q61" s="130"/>
      <c r="R61" s="130"/>
      <c r="S61" s="130"/>
      <c r="T61" s="130"/>
      <c r="U61" s="130"/>
      <c r="V61" s="130"/>
      <c r="W61" s="130"/>
      <c r="X61" s="211"/>
      <c r="Y61" s="211"/>
    </row>
    <row r="62" spans="1:32" ht="15.75" thickBot="1">
      <c r="A62" s="143">
        <v>42</v>
      </c>
      <c r="C62" s="211" t="s">
        <v>100</v>
      </c>
      <c r="D62" s="211"/>
      <c r="E62" s="224">
        <f>E60 + E48 + E33 + E25</f>
        <v>46924.505676892557</v>
      </c>
      <c r="F62" s="130"/>
      <c r="G62" s="224">
        <f>G60 + G48 + G33 + G25</f>
        <v>4279.0945088308636</v>
      </c>
      <c r="H62" s="130"/>
      <c r="I62" s="224">
        <f>I60 + I48 + I33 + I25</f>
        <v>44447.217232064504</v>
      </c>
      <c r="J62" s="130"/>
      <c r="K62" s="224">
        <f>K60 + K48 + K33 + K25</f>
        <v>36592.899986317163</v>
      </c>
      <c r="L62" s="130"/>
      <c r="M62" s="224">
        <f>M60 + M48 + M33 + M25</f>
        <v>132243.71740410509</v>
      </c>
      <c r="N62" s="130"/>
      <c r="O62" s="224">
        <f>O60 + O48 + O33 + O25</f>
        <v>46390.692841946395</v>
      </c>
      <c r="P62" s="130"/>
      <c r="Q62" s="224">
        <f>Q60 + Q48 + Q33 + Q25</f>
        <v>3884.1941707516062</v>
      </c>
      <c r="R62" s="130"/>
      <c r="S62" s="224">
        <f>S60 + S48 + S33 + S25</f>
        <v>50562.236123441275</v>
      </c>
      <c r="T62" s="130"/>
      <c r="U62" s="224">
        <f>U60 + U48 + U33 + U25</f>
        <v>35305.778577559584</v>
      </c>
      <c r="V62" s="130"/>
      <c r="W62" s="224">
        <f>W60 + W48 + W33 + W25</f>
        <v>136142.90171369884</v>
      </c>
      <c r="X62" s="211"/>
      <c r="Y62" s="211"/>
      <c r="AC62" s="223"/>
      <c r="AD62" s="222"/>
      <c r="AE62" s="223"/>
      <c r="AF62" s="222"/>
    </row>
    <row r="63" spans="1:32" ht="15.75" thickTop="1">
      <c r="C63" s="211"/>
      <c r="D63" s="211"/>
      <c r="E63" s="211"/>
      <c r="F63" s="211"/>
      <c r="G63" s="211"/>
      <c r="H63" s="211"/>
      <c r="I63" s="211"/>
      <c r="J63" s="211"/>
      <c r="K63" s="211"/>
      <c r="L63" s="211"/>
      <c r="M63" s="211"/>
      <c r="N63" s="211"/>
      <c r="O63" s="211"/>
      <c r="P63" s="211"/>
      <c r="Q63" s="211"/>
      <c r="R63" s="211"/>
      <c r="S63" s="211"/>
      <c r="T63" s="211"/>
      <c r="U63" s="211"/>
      <c r="V63" s="211"/>
      <c r="W63" s="220"/>
      <c r="X63" s="211"/>
      <c r="Y63" s="211"/>
      <c r="AC63" s="223"/>
    </row>
    <row r="64" spans="1:32">
      <c r="A64" s="213" t="s">
        <v>39</v>
      </c>
      <c r="E64" s="244"/>
      <c r="F64" s="245"/>
      <c r="G64" s="245"/>
      <c r="H64" s="245"/>
      <c r="I64" s="245"/>
      <c r="J64" s="245"/>
      <c r="K64" s="245"/>
      <c r="O64" s="245"/>
      <c r="P64" s="245"/>
      <c r="Q64" s="245"/>
      <c r="R64" s="245"/>
      <c r="S64" s="245"/>
      <c r="T64" s="245"/>
      <c r="U64" s="245"/>
    </row>
    <row r="65" spans="1:21" ht="16.5" customHeight="1">
      <c r="A65" s="218" t="s">
        <v>40</v>
      </c>
      <c r="C65" s="211" t="s">
        <v>1450</v>
      </c>
      <c r="E65" s="223" t="s">
        <v>38</v>
      </c>
      <c r="G65" s="223"/>
      <c r="I65" s="223"/>
      <c r="K65" s="223"/>
      <c r="M65" s="223"/>
      <c r="Q65" s="223"/>
      <c r="U65" s="223"/>
    </row>
    <row r="66" spans="1:21" ht="16.5" customHeight="1">
      <c r="A66" s="218" t="s">
        <v>42</v>
      </c>
      <c r="C66" s="211" t="s">
        <v>1451</v>
      </c>
    </row>
  </sheetData>
  <mergeCells count="4">
    <mergeCell ref="A6:W6"/>
    <mergeCell ref="A7:W7"/>
    <mergeCell ref="E10:M10"/>
    <mergeCell ref="O10:W10"/>
  </mergeCells>
  <phoneticPr fontId="43" type="noConversion"/>
  <printOptions horizontalCentered="1"/>
  <pageMargins left="0.7" right="0.7" top="0.75" bottom="0.75" header="0.3" footer="0.3"/>
  <pageSetup scale="52" orientation="landscape" horizontalDpi="1200" verticalDpi="1200" r:id="rId1"/>
  <headerFooter>
    <oddHeader>&amp;R&amp;10Filed: 2024-02-16
EB-2022-0200
Rate Order
Working Papers
Schedule 23
Page &amp;P of 5</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9A641-0EE4-428B-B67A-109F6D5F3BA7}">
  <sheetPr>
    <pageSetUpPr fitToPage="1"/>
  </sheetPr>
  <dimension ref="A1:O64"/>
  <sheetViews>
    <sheetView view="pageBreakPreview" zoomScale="70" zoomScaleNormal="100" zoomScaleSheetLayoutView="70" workbookViewId="0">
      <selection activeCell="K10" sqref="K10"/>
    </sheetView>
  </sheetViews>
  <sheetFormatPr defaultColWidth="8.625" defaultRowHeight="12.75"/>
  <cols>
    <col min="1" max="1" width="5.625" style="142" customWidth="1"/>
    <col min="2" max="2" width="1.5" style="158" customWidth="1"/>
    <col min="3" max="3" width="21.125" style="158" customWidth="1"/>
    <col min="4" max="4" width="3.125" style="158" customWidth="1"/>
    <col min="5" max="5" width="15" style="158" customWidth="1"/>
    <col min="6" max="6" width="2.125" style="158" customWidth="1"/>
    <col min="7" max="7" width="15" style="158" customWidth="1"/>
    <col min="8" max="8" width="2.125" style="158" customWidth="1"/>
    <col min="9" max="9" width="15" style="158" customWidth="1"/>
    <col min="10" max="10" width="2.125" style="158" customWidth="1"/>
    <col min="11" max="11" width="15" style="158" customWidth="1"/>
    <col min="12" max="12" width="2.125" style="158" customWidth="1"/>
    <col min="13" max="13" width="17.125" style="158" customWidth="1"/>
    <col min="14" max="16384" width="8.625" style="158"/>
  </cols>
  <sheetData>
    <row r="1" spans="1:14" ht="39" customHeight="1"/>
    <row r="2" spans="1:14" ht="42" customHeight="1">
      <c r="A2" s="1302" t="s">
        <v>1452</v>
      </c>
      <c r="B2" s="1302"/>
      <c r="C2" s="1302"/>
      <c r="D2" s="1302"/>
      <c r="E2" s="1302"/>
      <c r="F2" s="1302"/>
      <c r="G2" s="1302"/>
      <c r="H2" s="1302"/>
      <c r="I2" s="1302"/>
      <c r="J2" s="1302"/>
      <c r="K2" s="1302"/>
      <c r="L2" s="1302"/>
      <c r="M2" s="1302"/>
    </row>
    <row r="3" spans="1:14">
      <c r="A3" s="204"/>
    </row>
    <row r="4" spans="1:14">
      <c r="E4" s="1348" t="s">
        <v>1453</v>
      </c>
      <c r="F4" s="1348"/>
      <c r="G4" s="1348"/>
      <c r="I4" s="142" t="s">
        <v>1454</v>
      </c>
      <c r="J4" s="200"/>
      <c r="K4" s="1348" t="s">
        <v>460</v>
      </c>
      <c r="L4" s="1348"/>
      <c r="M4" s="1348"/>
    </row>
    <row r="5" spans="1:14">
      <c r="A5" s="142" t="s">
        <v>1</v>
      </c>
      <c r="E5" s="200" t="s">
        <v>503</v>
      </c>
      <c r="F5" s="200"/>
      <c r="G5" s="200" t="s">
        <v>1455</v>
      </c>
      <c r="I5" s="200" t="s">
        <v>1088</v>
      </c>
      <c r="J5" s="200"/>
      <c r="K5" s="200" t="s">
        <v>110</v>
      </c>
      <c r="M5" s="200" t="s">
        <v>1456</v>
      </c>
    </row>
    <row r="6" spans="1:14" ht="14.25">
      <c r="A6" s="205" t="s">
        <v>2</v>
      </c>
      <c r="C6" s="160" t="s">
        <v>75</v>
      </c>
      <c r="E6" s="161" t="s">
        <v>20</v>
      </c>
      <c r="G6" s="161" t="s">
        <v>1457</v>
      </c>
      <c r="I6" s="161" t="s">
        <v>1457</v>
      </c>
      <c r="K6" s="161" t="s">
        <v>1457</v>
      </c>
      <c r="M6" s="161" t="s">
        <v>20</v>
      </c>
    </row>
    <row r="7" spans="1:14" ht="25.5">
      <c r="E7" s="162" t="s">
        <v>8</v>
      </c>
      <c r="F7" s="163"/>
      <c r="G7" s="164" t="s">
        <v>1458</v>
      </c>
      <c r="H7" s="163"/>
      <c r="I7" s="162" t="s">
        <v>1459</v>
      </c>
      <c r="J7" s="163"/>
      <c r="K7" s="165" t="s">
        <v>1460</v>
      </c>
      <c r="L7" s="163"/>
      <c r="M7" s="165" t="s">
        <v>1461</v>
      </c>
    </row>
    <row r="8" spans="1:14">
      <c r="C8" s="159" t="s">
        <v>11</v>
      </c>
      <c r="E8" s="200"/>
    </row>
    <row r="9" spans="1:14">
      <c r="A9" s="143">
        <v>1</v>
      </c>
      <c r="C9" s="158" t="s">
        <v>86</v>
      </c>
      <c r="E9" s="168">
        <v>15787.788096522025</v>
      </c>
      <c r="G9" s="169">
        <v>925925.13006156124</v>
      </c>
      <c r="I9" s="169">
        <v>106554.10962046956</v>
      </c>
      <c r="K9" s="169">
        <v>1032479.2396820309</v>
      </c>
      <c r="M9" s="168">
        <v>15733.138523330314</v>
      </c>
      <c r="N9" s="171"/>
    </row>
    <row r="10" spans="1:14">
      <c r="A10" s="143">
        <v>2</v>
      </c>
      <c r="C10" s="158" t="s">
        <v>87</v>
      </c>
      <c r="E10" s="168">
        <v>14219.390273088122</v>
      </c>
      <c r="G10" s="169">
        <v>833941.44306418987</v>
      </c>
      <c r="I10" s="169">
        <v>95968.761464986179</v>
      </c>
      <c r="K10" s="169">
        <v>929910.204529176</v>
      </c>
      <c r="M10" s="168">
        <v>14170.169723336643</v>
      </c>
      <c r="N10" s="171"/>
    </row>
    <row r="11" spans="1:14">
      <c r="A11" s="143">
        <v>3</v>
      </c>
      <c r="C11" s="158" t="s">
        <v>88</v>
      </c>
      <c r="E11" s="168">
        <v>0</v>
      </c>
      <c r="G11" s="169">
        <v>0</v>
      </c>
      <c r="I11" s="169">
        <v>0</v>
      </c>
      <c r="K11" s="169">
        <v>0</v>
      </c>
      <c r="M11" s="168">
        <v>0</v>
      </c>
      <c r="N11" s="171"/>
    </row>
    <row r="12" spans="1:14">
      <c r="A12" s="143">
        <v>4</v>
      </c>
      <c r="C12" s="158" t="s">
        <v>89</v>
      </c>
      <c r="E12" s="168">
        <v>730.61878451440805</v>
      </c>
      <c r="G12" s="169">
        <v>42849.466241946357</v>
      </c>
      <c r="I12" s="169">
        <v>4931.053899378885</v>
      </c>
      <c r="K12" s="169">
        <v>47780.520141325243</v>
      </c>
      <c r="M12" s="168">
        <v>728.08974089566607</v>
      </c>
      <c r="N12" s="171"/>
    </row>
    <row r="13" spans="1:14">
      <c r="A13" s="143">
        <v>5</v>
      </c>
      <c r="C13" s="158" t="s">
        <v>90</v>
      </c>
      <c r="E13" s="168">
        <v>88.058747902106859</v>
      </c>
      <c r="G13" s="169">
        <v>5164.4858105410276</v>
      </c>
      <c r="I13" s="169">
        <v>594.32147300415227</v>
      </c>
      <c r="K13" s="169">
        <v>5758.8072835451803</v>
      </c>
      <c r="M13" s="168">
        <v>87.753931739182406</v>
      </c>
      <c r="N13" s="171"/>
    </row>
    <row r="14" spans="1:14">
      <c r="A14" s="143">
        <v>6</v>
      </c>
      <c r="C14" s="158" t="s">
        <v>91</v>
      </c>
      <c r="E14" s="168">
        <v>0</v>
      </c>
      <c r="G14" s="169">
        <v>0</v>
      </c>
      <c r="I14" s="169">
        <v>0</v>
      </c>
      <c r="K14" s="169">
        <v>0</v>
      </c>
      <c r="M14" s="168">
        <v>0</v>
      </c>
      <c r="N14" s="171"/>
    </row>
    <row r="15" spans="1:14">
      <c r="A15" s="143">
        <v>7</v>
      </c>
      <c r="C15" s="158" t="s">
        <v>92</v>
      </c>
      <c r="E15" s="168">
        <v>0</v>
      </c>
      <c r="G15" s="169">
        <v>0</v>
      </c>
      <c r="I15" s="169">
        <v>0</v>
      </c>
      <c r="K15" s="169">
        <v>0</v>
      </c>
      <c r="M15" s="168">
        <v>0</v>
      </c>
      <c r="N15" s="171"/>
    </row>
    <row r="16" spans="1:14">
      <c r="A16" s="143">
        <v>8</v>
      </c>
      <c r="C16" s="158" t="s">
        <v>93</v>
      </c>
      <c r="E16" s="168">
        <v>23.910450696564268</v>
      </c>
      <c r="G16" s="169">
        <v>1402.3045556282832</v>
      </c>
      <c r="I16" s="169">
        <v>161.37515711639182</v>
      </c>
      <c r="K16" s="169">
        <v>1563.679712744675</v>
      </c>
      <c r="M16" s="168">
        <v>23.82768445233804</v>
      </c>
      <c r="N16" s="171"/>
    </row>
    <row r="17" spans="1:14">
      <c r="A17" s="143">
        <v>9</v>
      </c>
      <c r="C17" s="158" t="s">
        <v>94</v>
      </c>
      <c r="E17" s="168">
        <v>215.84879949943192</v>
      </c>
      <c r="G17" s="169">
        <v>12659.140503296438</v>
      </c>
      <c r="I17" s="169">
        <v>1456.7953726447547</v>
      </c>
      <c r="K17" s="169">
        <v>14115.935875941192</v>
      </c>
      <c r="M17" s="168">
        <v>215.10163690170319</v>
      </c>
      <c r="N17" s="171"/>
    </row>
    <row r="18" spans="1:14">
      <c r="A18" s="143">
        <v>10</v>
      </c>
      <c r="C18" s="158" t="s">
        <v>95</v>
      </c>
      <c r="E18" s="168">
        <v>550.32869750354416</v>
      </c>
      <c r="G18" s="169">
        <v>32275.779716402012</v>
      </c>
      <c r="I18" s="169">
        <v>3714.2495201085803</v>
      </c>
      <c r="K18" s="169">
        <v>35990.029236510592</v>
      </c>
      <c r="M18" s="168">
        <v>548.42372967335484</v>
      </c>
      <c r="N18" s="171"/>
    </row>
    <row r="19" spans="1:14">
      <c r="A19" s="143">
        <v>11</v>
      </c>
      <c r="C19" s="158" t="s">
        <v>96</v>
      </c>
      <c r="G19" s="169">
        <v>0</v>
      </c>
      <c r="I19" s="169">
        <v>0</v>
      </c>
      <c r="K19" s="169">
        <v>0</v>
      </c>
      <c r="M19" s="168">
        <v>0</v>
      </c>
      <c r="N19" s="171"/>
    </row>
    <row r="20" spans="1:14">
      <c r="A20" s="143">
        <v>12</v>
      </c>
      <c r="C20" s="158" t="s">
        <v>467</v>
      </c>
      <c r="E20" s="170">
        <f>SUM(E9:E19)</f>
        <v>31615.943849726202</v>
      </c>
      <c r="G20" s="170">
        <f>SUM(G9:G19)</f>
        <v>1854217.7499535654</v>
      </c>
      <c r="I20" s="170">
        <f>SUM(I9:I19)</f>
        <v>213380.66650770852</v>
      </c>
      <c r="K20" s="170">
        <f>SUM(K9:K19)</f>
        <v>2067598.4164612738</v>
      </c>
      <c r="M20" s="170">
        <f>SUM(M9:M19)</f>
        <v>31506.504970329202</v>
      </c>
      <c r="N20" s="169"/>
    </row>
    <row r="21" spans="1:14">
      <c r="A21" s="213"/>
    </row>
    <row r="22" spans="1:14">
      <c r="A22" s="143"/>
      <c r="C22" s="159" t="s">
        <v>172</v>
      </c>
    </row>
    <row r="23" spans="1:14">
      <c r="A23" s="143">
        <v>13</v>
      </c>
      <c r="C23" s="158" t="s">
        <v>120</v>
      </c>
      <c r="E23" s="168">
        <v>2800.9558375251568</v>
      </c>
      <c r="G23" s="169">
        <v>160271.94846018023</v>
      </c>
      <c r="I23" s="169">
        <v>18443.861399654277</v>
      </c>
      <c r="K23" s="169">
        <v>178715.8098598345</v>
      </c>
      <c r="M23" s="168">
        <v>2723.3095686261609</v>
      </c>
      <c r="N23" s="171"/>
    </row>
    <row r="24" spans="1:14">
      <c r="A24" s="143">
        <v>14</v>
      </c>
      <c r="C24" s="158" t="s">
        <v>121</v>
      </c>
      <c r="E24" s="168">
        <v>734.43604650190275</v>
      </c>
      <c r="G24" s="169">
        <v>42024.759767814183</v>
      </c>
      <c r="I24" s="169">
        <v>4836.1478846306427</v>
      </c>
      <c r="K24" s="169">
        <v>46860.907652444825</v>
      </c>
      <c r="M24" s="168">
        <v>714.07648995630962</v>
      </c>
      <c r="N24" s="171"/>
    </row>
    <row r="25" spans="1:14">
      <c r="A25" s="143">
        <v>15</v>
      </c>
      <c r="C25" s="158" t="s">
        <v>122</v>
      </c>
      <c r="E25" s="168">
        <v>196.90344974972743</v>
      </c>
      <c r="G25" s="169">
        <v>11266.903650220998</v>
      </c>
      <c r="I25" s="169">
        <v>1296.5787920121554</v>
      </c>
      <c r="K25" s="169">
        <v>12563.482442233153</v>
      </c>
      <c r="M25" s="168">
        <v>191.44502087998987</v>
      </c>
      <c r="N25" s="171"/>
    </row>
    <row r="26" spans="1:14">
      <c r="A26" s="143">
        <v>16</v>
      </c>
      <c r="C26" s="158" t="s">
        <v>123</v>
      </c>
      <c r="E26" s="168">
        <v>0</v>
      </c>
      <c r="G26" s="169">
        <v>0</v>
      </c>
      <c r="I26" s="169">
        <v>0</v>
      </c>
      <c r="K26" s="169">
        <v>0</v>
      </c>
      <c r="M26" s="168">
        <v>0</v>
      </c>
      <c r="N26" s="171"/>
    </row>
    <row r="27" spans="1:14">
      <c r="A27" s="143">
        <v>17</v>
      </c>
      <c r="C27" s="158" t="s">
        <v>88</v>
      </c>
      <c r="E27" s="168">
        <v>13.760700020675317</v>
      </c>
      <c r="G27" s="169">
        <v>787.39342296747918</v>
      </c>
      <c r="I27" s="169">
        <v>90.61208339786107</v>
      </c>
      <c r="K27" s="169">
        <v>878.00550636534024</v>
      </c>
      <c r="M27" s="168">
        <v>13.37923487947986</v>
      </c>
      <c r="N27" s="171"/>
    </row>
    <row r="28" spans="1:14">
      <c r="A28" s="143">
        <v>18</v>
      </c>
      <c r="C28" s="158" t="s">
        <v>475</v>
      </c>
      <c r="E28" s="170">
        <f>SUM(E23:E27)</f>
        <v>3746.0560337974621</v>
      </c>
      <c r="G28" s="170">
        <f>SUM(G23:G27)</f>
        <v>214351.00530118291</v>
      </c>
      <c r="I28" s="170">
        <f>SUM(I23:I27)</f>
        <v>24667.200159694934</v>
      </c>
      <c r="K28" s="170">
        <f>SUM(K23:K27)</f>
        <v>239018.2054608778</v>
      </c>
      <c r="M28" s="170">
        <f>SUM(M23:M27)</f>
        <v>3642.2103143419404</v>
      </c>
      <c r="N28" s="169"/>
    </row>
    <row r="29" spans="1:14">
      <c r="A29" s="213"/>
    </row>
    <row r="30" spans="1:14">
      <c r="A30" s="143"/>
      <c r="C30" s="159" t="s">
        <v>177</v>
      </c>
      <c r="I30" s="169"/>
      <c r="K30" s="158" t="s">
        <v>38</v>
      </c>
    </row>
    <row r="31" spans="1:14">
      <c r="A31" s="143">
        <v>19</v>
      </c>
      <c r="C31" s="158" t="s">
        <v>124</v>
      </c>
      <c r="E31" s="168">
        <v>7786.7630788190054</v>
      </c>
      <c r="G31" s="169">
        <v>445562.07353230176</v>
      </c>
      <c r="I31" s="169">
        <v>51274.631700219739</v>
      </c>
      <c r="K31" s="169">
        <v>496836.70523252152</v>
      </c>
      <c r="M31" s="168">
        <v>7570.9035169613735</v>
      </c>
      <c r="N31" s="171"/>
    </row>
    <row r="32" spans="1:14">
      <c r="A32" s="143">
        <v>20</v>
      </c>
      <c r="C32" s="158" t="s">
        <v>125</v>
      </c>
      <c r="E32" s="168">
        <v>2654.934493458682</v>
      </c>
      <c r="G32" s="169">
        <v>151916.54170339729</v>
      </c>
      <c r="I32" s="169">
        <v>17482.333411504016</v>
      </c>
      <c r="K32" s="169">
        <v>169398.87511490131</v>
      </c>
      <c r="M32" s="168">
        <v>2581.3361329181394</v>
      </c>
      <c r="N32" s="171"/>
    </row>
    <row r="33" spans="1:14">
      <c r="A33" s="143">
        <v>21</v>
      </c>
      <c r="C33" s="158" t="s">
        <v>644</v>
      </c>
      <c r="E33" s="168">
        <v>388.30110748325848</v>
      </c>
      <c r="G33" s="169">
        <v>22218.763413483754</v>
      </c>
      <c r="I33" s="169">
        <v>2556.9027943266001</v>
      </c>
      <c r="K33" s="169">
        <v>24775.666207810355</v>
      </c>
      <c r="M33" s="168">
        <v>377.53687771515797</v>
      </c>
      <c r="N33" s="171"/>
    </row>
    <row r="34" spans="1:14">
      <c r="A34" s="143">
        <v>22</v>
      </c>
      <c r="C34" s="158" t="s">
        <v>645</v>
      </c>
      <c r="E34" s="168">
        <v>19.643156988174308</v>
      </c>
      <c r="G34" s="169">
        <v>1123.9902472670192</v>
      </c>
      <c r="I34" s="169">
        <v>129.34715359941242</v>
      </c>
      <c r="K34" s="169">
        <v>1253.3374008664316</v>
      </c>
      <c r="M34" s="168">
        <v>19.098622215760113</v>
      </c>
      <c r="N34" s="171"/>
    </row>
    <row r="35" spans="1:14">
      <c r="A35" s="143">
        <v>23</v>
      </c>
      <c r="C35" s="158" t="s">
        <v>1447</v>
      </c>
      <c r="E35" s="168">
        <v>41.057865435177092</v>
      </c>
      <c r="G35" s="169">
        <v>2349.3494630482965</v>
      </c>
      <c r="I35" s="169">
        <v>270.3596998234575</v>
      </c>
      <c r="K35" s="169">
        <v>2619.709162871754</v>
      </c>
      <c r="M35" s="168">
        <v>39.919686097506641</v>
      </c>
      <c r="N35" s="171"/>
    </row>
    <row r="36" spans="1:14">
      <c r="A36" s="143">
        <v>24</v>
      </c>
      <c r="C36" s="158" t="s">
        <v>676</v>
      </c>
      <c r="E36" s="168">
        <v>463.16522971377901</v>
      </c>
      <c r="G36" s="169">
        <v>26502.522042912289</v>
      </c>
      <c r="I36" s="169">
        <v>3049.871471564481</v>
      </c>
      <c r="K36" s="169">
        <v>29552.393514476771</v>
      </c>
      <c r="M36" s="168">
        <v>450.32566563025625</v>
      </c>
      <c r="N36" s="171"/>
    </row>
    <row r="37" spans="1:14">
      <c r="A37" s="143">
        <v>25</v>
      </c>
      <c r="C37" s="158" t="s">
        <v>646</v>
      </c>
      <c r="E37" s="168">
        <v>128.4609163617869</v>
      </c>
      <c r="G37" s="169">
        <v>7350.5912126323974</v>
      </c>
      <c r="I37" s="169">
        <v>845.895285069127</v>
      </c>
      <c r="K37" s="169">
        <v>8196.4864977015241</v>
      </c>
      <c r="M37" s="168">
        <v>124.8998067144274</v>
      </c>
      <c r="N37" s="171"/>
    </row>
    <row r="38" spans="1:14">
      <c r="A38" s="143">
        <v>26</v>
      </c>
      <c r="C38" s="158" t="s">
        <v>647</v>
      </c>
      <c r="E38" s="168">
        <v>14.566461358042149</v>
      </c>
      <c r="G38" s="169">
        <v>833.49944784781701</v>
      </c>
      <c r="I38" s="169">
        <v>95.917897301990649</v>
      </c>
      <c r="K38" s="169">
        <v>929.41734514980772</v>
      </c>
      <c r="M38" s="168">
        <v>14.162659427158182</v>
      </c>
      <c r="N38" s="171"/>
    </row>
    <row r="39" spans="1:14">
      <c r="A39" s="143">
        <v>27</v>
      </c>
      <c r="C39" s="158" t="s">
        <v>129</v>
      </c>
      <c r="E39" s="168">
        <v>65.613483750987882</v>
      </c>
      <c r="G39" s="169">
        <v>3754.4329493330515</v>
      </c>
      <c r="I39" s="169">
        <v>432.05465221506523</v>
      </c>
      <c r="K39" s="169">
        <v>4186.4876015481168</v>
      </c>
      <c r="M39" s="168">
        <v>63.794589595473241</v>
      </c>
      <c r="N39" s="171"/>
    </row>
    <row r="40" spans="1:14">
      <c r="A40" s="143">
        <v>28</v>
      </c>
      <c r="C40" s="211" t="s">
        <v>1448</v>
      </c>
      <c r="E40" s="168">
        <v>0</v>
      </c>
      <c r="G40" s="169">
        <v>0</v>
      </c>
      <c r="I40" s="169">
        <v>0</v>
      </c>
      <c r="K40" s="169">
        <v>0</v>
      </c>
      <c r="M40" s="168">
        <v>0</v>
      </c>
      <c r="N40" s="171"/>
    </row>
    <row r="41" spans="1:14">
      <c r="A41" s="143">
        <v>29</v>
      </c>
      <c r="C41" s="211" t="s">
        <v>1449</v>
      </c>
      <c r="E41" s="168">
        <v>0</v>
      </c>
      <c r="G41" s="169">
        <v>0</v>
      </c>
      <c r="I41" s="169">
        <v>0</v>
      </c>
      <c r="K41" s="169">
        <v>0</v>
      </c>
      <c r="M41" s="168">
        <v>0</v>
      </c>
      <c r="N41" s="171"/>
    </row>
    <row r="42" spans="1:14">
      <c r="A42" s="143">
        <v>30</v>
      </c>
      <c r="C42" s="211" t="s">
        <v>134</v>
      </c>
      <c r="E42" s="168">
        <v>0</v>
      </c>
      <c r="G42" s="169">
        <v>0</v>
      </c>
      <c r="I42" s="169">
        <v>0</v>
      </c>
      <c r="K42" s="169">
        <v>0</v>
      </c>
      <c r="M42" s="168">
        <v>0</v>
      </c>
      <c r="N42" s="171"/>
    </row>
    <row r="43" spans="1:14">
      <c r="A43" s="143">
        <v>31</v>
      </c>
      <c r="C43" s="158" t="s">
        <v>490</v>
      </c>
      <c r="E43" s="170">
        <f>SUM(E31:E42)</f>
        <v>11562.505793368895</v>
      </c>
      <c r="G43" s="170">
        <f>SUM(G31:G42)</f>
        <v>661611.76401222381</v>
      </c>
      <c r="I43" s="170">
        <f>SUM(I31:I42)</f>
        <v>76137.314065623883</v>
      </c>
      <c r="K43" s="170">
        <f>SUM(K31:K42)</f>
        <v>737749.07807784749</v>
      </c>
      <c r="M43" s="170">
        <f>SUM(M31:M42)</f>
        <v>11241.977557275253</v>
      </c>
      <c r="N43" s="169"/>
    </row>
    <row r="44" spans="1:14">
      <c r="A44" s="213"/>
    </row>
    <row r="45" spans="1:14">
      <c r="A45" s="143"/>
      <c r="C45" s="159" t="s">
        <v>652</v>
      </c>
      <c r="E45" s="168"/>
    </row>
    <row r="46" spans="1:14">
      <c r="A46" s="143">
        <v>32</v>
      </c>
      <c r="C46" s="158" t="s">
        <v>97</v>
      </c>
      <c r="E46" s="168">
        <v>0</v>
      </c>
      <c r="G46" s="169">
        <v>0</v>
      </c>
      <c r="I46" s="169">
        <v>0</v>
      </c>
      <c r="K46" s="169">
        <v>0</v>
      </c>
      <c r="M46" s="168">
        <v>0</v>
      </c>
      <c r="N46" s="171"/>
    </row>
    <row r="47" spans="1:14">
      <c r="A47" s="143">
        <v>33</v>
      </c>
      <c r="C47" s="158" t="s">
        <v>98</v>
      </c>
      <c r="E47" s="168">
        <v>0</v>
      </c>
      <c r="G47" s="169">
        <v>0</v>
      </c>
      <c r="I47" s="169">
        <v>0</v>
      </c>
      <c r="K47" s="169">
        <v>0</v>
      </c>
      <c r="M47" s="168">
        <v>0</v>
      </c>
      <c r="N47" s="171"/>
    </row>
    <row r="48" spans="1:14">
      <c r="A48" s="143">
        <v>34</v>
      </c>
      <c r="C48" s="158" t="s">
        <v>99</v>
      </c>
      <c r="E48" s="168">
        <v>0</v>
      </c>
      <c r="G48" s="169">
        <v>0</v>
      </c>
      <c r="I48" s="169">
        <v>0</v>
      </c>
      <c r="K48" s="169">
        <v>0</v>
      </c>
      <c r="M48" s="168">
        <v>0</v>
      </c>
      <c r="N48" s="171"/>
    </row>
    <row r="49" spans="1:15">
      <c r="A49" s="143">
        <v>35</v>
      </c>
      <c r="C49" s="158" t="s">
        <v>653</v>
      </c>
      <c r="E49" s="168">
        <v>0</v>
      </c>
      <c r="G49" s="169">
        <v>0</v>
      </c>
      <c r="I49" s="169">
        <v>0</v>
      </c>
      <c r="K49" s="169">
        <v>0</v>
      </c>
      <c r="M49" s="168">
        <v>0</v>
      </c>
      <c r="N49" s="171"/>
    </row>
    <row r="50" spans="1:15">
      <c r="A50" s="143">
        <v>36</v>
      </c>
      <c r="C50" s="158" t="s">
        <v>654</v>
      </c>
      <c r="E50" s="168">
        <v>0</v>
      </c>
      <c r="G50" s="169">
        <v>0</v>
      </c>
      <c r="I50" s="169">
        <v>0</v>
      </c>
      <c r="K50" s="169">
        <v>0</v>
      </c>
      <c r="M50" s="168">
        <v>0</v>
      </c>
      <c r="N50" s="171"/>
    </row>
    <row r="51" spans="1:15">
      <c r="A51" s="143">
        <v>37</v>
      </c>
      <c r="C51" s="158" t="s">
        <v>136</v>
      </c>
      <c r="E51" s="168">
        <v>0</v>
      </c>
      <c r="G51" s="169">
        <v>0</v>
      </c>
      <c r="I51" s="169">
        <v>0</v>
      </c>
      <c r="K51" s="169">
        <v>0</v>
      </c>
      <c r="M51" s="168">
        <v>0</v>
      </c>
      <c r="N51" s="171"/>
    </row>
    <row r="52" spans="1:15">
      <c r="A52" s="143">
        <v>38</v>
      </c>
      <c r="C52" s="158" t="s">
        <v>137</v>
      </c>
      <c r="E52" s="168">
        <v>0</v>
      </c>
      <c r="G52" s="169">
        <v>0</v>
      </c>
      <c r="I52" s="169">
        <v>0</v>
      </c>
      <c r="K52" s="169">
        <v>0</v>
      </c>
      <c r="M52" s="168">
        <v>0</v>
      </c>
      <c r="N52" s="171"/>
    </row>
    <row r="53" spans="1:15">
      <c r="A53" s="143">
        <v>39</v>
      </c>
      <c r="C53" s="158" t="s">
        <v>138</v>
      </c>
      <c r="E53" s="168">
        <v>0</v>
      </c>
      <c r="G53" s="169">
        <v>0</v>
      </c>
      <c r="I53" s="169">
        <v>0</v>
      </c>
      <c r="K53" s="169">
        <v>0</v>
      </c>
      <c r="M53" s="168">
        <v>0</v>
      </c>
      <c r="N53" s="171"/>
    </row>
    <row r="54" spans="1:15">
      <c r="A54" s="143">
        <v>40</v>
      </c>
      <c r="C54" s="158" t="s">
        <v>140</v>
      </c>
      <c r="E54" s="168">
        <v>0</v>
      </c>
      <c r="G54" s="169">
        <v>0</v>
      </c>
      <c r="I54" s="169">
        <v>0</v>
      </c>
      <c r="K54" s="169">
        <v>0</v>
      </c>
      <c r="M54" s="168">
        <v>0</v>
      </c>
      <c r="N54" s="171"/>
      <c r="O54" s="158" t="s">
        <v>38</v>
      </c>
    </row>
    <row r="55" spans="1:15">
      <c r="A55" s="143">
        <v>41</v>
      </c>
      <c r="C55" s="158" t="s">
        <v>655</v>
      </c>
      <c r="E55" s="170">
        <f>SUM(E46:E54)</f>
        <v>0</v>
      </c>
      <c r="G55" s="170">
        <f>SUM(G46:G54)</f>
        <v>0</v>
      </c>
      <c r="I55" s="170">
        <f>SUM(I46:I54)</f>
        <v>0</v>
      </c>
      <c r="K55" s="170">
        <f>SUM(K46:K54)</f>
        <v>0</v>
      </c>
      <c r="M55" s="170">
        <f>SUM(M46:M54)</f>
        <v>0</v>
      </c>
      <c r="N55" s="169"/>
    </row>
    <row r="56" spans="1:15">
      <c r="A56" s="143"/>
      <c r="G56" s="169"/>
    </row>
    <row r="57" spans="1:15" ht="13.5" thickBot="1">
      <c r="A57" s="143">
        <v>42</v>
      </c>
      <c r="C57" s="158" t="s">
        <v>100</v>
      </c>
      <c r="E57" s="227">
        <f>E55 + E43 + E28 + E20</f>
        <v>46924.505676892557</v>
      </c>
      <c r="G57" s="227">
        <f>G55 + G43 + G28 + G20</f>
        <v>2730180.5192669723</v>
      </c>
      <c r="I57" s="227">
        <f>I55 + I43 + I28 + I20</f>
        <v>314185.18073302734</v>
      </c>
      <c r="J57" s="226"/>
      <c r="K57" s="227">
        <f>K55 + K43 + K28 + K20</f>
        <v>3044365.6999999993</v>
      </c>
      <c r="L57" s="226"/>
      <c r="M57" s="227">
        <f>M55 + M43 + M28 + M20</f>
        <v>46390.692841946395</v>
      </c>
      <c r="N57" s="169"/>
    </row>
    <row r="58" spans="1:15" ht="13.5" thickTop="1">
      <c r="I58" s="230"/>
    </row>
    <row r="59" spans="1:15">
      <c r="A59" s="204" t="s">
        <v>39</v>
      </c>
    </row>
    <row r="60" spans="1:15" ht="54.75" customHeight="1">
      <c r="A60" s="206" t="s">
        <v>40</v>
      </c>
      <c r="C60" s="1347" t="s">
        <v>1462</v>
      </c>
      <c r="D60" s="1347"/>
      <c r="E60" s="1347"/>
      <c r="F60" s="1347"/>
      <c r="G60" s="1347"/>
      <c r="H60" s="1347"/>
      <c r="I60" s="1347"/>
      <c r="J60" s="1347"/>
      <c r="K60" s="1347"/>
      <c r="L60" s="1347"/>
      <c r="M60" s="1347"/>
    </row>
    <row r="61" spans="1:15" ht="25.5" customHeight="1">
      <c r="A61" s="206" t="s">
        <v>42</v>
      </c>
      <c r="C61" s="1347" t="s">
        <v>1463</v>
      </c>
      <c r="D61" s="1347"/>
      <c r="E61" s="1347"/>
      <c r="F61" s="1347"/>
      <c r="G61" s="1347"/>
      <c r="H61" s="1347"/>
      <c r="I61" s="1347"/>
      <c r="J61" s="1347"/>
      <c r="K61" s="1347"/>
      <c r="L61" s="1347"/>
      <c r="M61" s="1347"/>
    </row>
    <row r="62" spans="1:15" ht="16.5" customHeight="1">
      <c r="A62" s="206" t="s">
        <v>44</v>
      </c>
      <c r="C62" s="1347" t="s">
        <v>1464</v>
      </c>
      <c r="D62" s="1347"/>
      <c r="E62" s="1347"/>
      <c r="F62" s="1347"/>
      <c r="G62" s="1347"/>
      <c r="H62" s="1347"/>
      <c r="I62" s="1347"/>
      <c r="J62" s="1347"/>
      <c r="K62" s="1347"/>
      <c r="L62" s="1347"/>
      <c r="M62" s="1347"/>
    </row>
    <row r="63" spans="1:15" ht="27.75" customHeight="1">
      <c r="A63" s="206" t="s">
        <v>46</v>
      </c>
      <c r="C63" s="1347" t="s">
        <v>1465</v>
      </c>
      <c r="D63" s="1347"/>
      <c r="E63" s="1347"/>
      <c r="F63" s="1347"/>
      <c r="G63" s="1347"/>
      <c r="H63" s="1347"/>
      <c r="I63" s="1347"/>
      <c r="J63" s="1347"/>
      <c r="K63" s="1347"/>
      <c r="L63" s="1347"/>
      <c r="M63" s="1347"/>
    </row>
    <row r="64" spans="1:15">
      <c r="A64" s="146"/>
      <c r="E64" s="169"/>
    </row>
  </sheetData>
  <mergeCells count="7">
    <mergeCell ref="A2:M2"/>
    <mergeCell ref="C60:M60"/>
    <mergeCell ref="C61:M61"/>
    <mergeCell ref="C63:M63"/>
    <mergeCell ref="E4:G4"/>
    <mergeCell ref="K4:M4"/>
    <mergeCell ref="C62:M62"/>
  </mergeCells>
  <pageMargins left="0.7" right="0.7" top="0.75" bottom="0.75" header="0.3" footer="0.3"/>
  <pageSetup scale="66" firstPageNumber="2" orientation="portrait" useFirstPageNumber="1" horizontalDpi="1200" verticalDpi="1200" r:id="rId1"/>
  <headerFooter>
    <oddHeader>&amp;R&amp;10Filed: 2024-02-16
EB-2022-0200
Rate Order
Working Papers
Schedule 23
Page &amp;P of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FC4C1-4F3C-40C0-B4FB-28EDEEC1C060}">
  <sheetPr>
    <pageSetUpPr fitToPage="1"/>
  </sheetPr>
  <dimension ref="A1:R63"/>
  <sheetViews>
    <sheetView view="pageBreakPreview" topLeftCell="A26" zoomScale="85" zoomScaleNormal="85" zoomScaleSheetLayoutView="85" workbookViewId="0">
      <selection activeCell="K36" sqref="K36"/>
    </sheetView>
  </sheetViews>
  <sheetFormatPr defaultColWidth="8.625" defaultRowHeight="12.75"/>
  <cols>
    <col min="1" max="1" width="5.625" style="142" customWidth="1"/>
    <col min="2" max="2" width="2.625" style="158" customWidth="1"/>
    <col min="3" max="3" width="25.125" style="158" bestFit="1" customWidth="1"/>
    <col min="4" max="4" width="1.625" style="158" customWidth="1"/>
    <col min="5" max="5" width="14.625" style="158" customWidth="1"/>
    <col min="6" max="6" width="1.125" style="158" customWidth="1"/>
    <col min="7" max="7" width="14.625" style="158" customWidth="1"/>
    <col min="8" max="8" width="1.5" style="158" customWidth="1"/>
    <col min="9" max="9" width="14.625" style="158" customWidth="1"/>
    <col min="10" max="10" width="1.625" style="158" customWidth="1"/>
    <col min="11" max="11" width="14.625" style="158" customWidth="1"/>
    <col min="12" max="12" width="1.625" style="158" customWidth="1"/>
    <col min="13" max="13" width="14.625" style="158" customWidth="1"/>
    <col min="14" max="14" width="5.125" style="158" customWidth="1"/>
    <col min="15" max="16384" width="8.625" style="158"/>
  </cols>
  <sheetData>
    <row r="1" spans="1:15" ht="59.25" customHeight="1"/>
    <row r="2" spans="1:15">
      <c r="A2" s="1302" t="s">
        <v>1466</v>
      </c>
      <c r="B2" s="1302"/>
      <c r="C2" s="1302"/>
      <c r="D2" s="1302"/>
      <c r="E2" s="1302"/>
      <c r="F2" s="1302"/>
      <c r="G2" s="1302"/>
      <c r="H2" s="1302"/>
      <c r="I2" s="1302"/>
      <c r="J2" s="1302"/>
      <c r="K2" s="1302"/>
      <c r="L2" s="1302"/>
      <c r="M2" s="1302"/>
    </row>
    <row r="3" spans="1:15">
      <c r="A3" s="204"/>
    </row>
    <row r="4" spans="1:15">
      <c r="E4" s="1348" t="s">
        <v>1453</v>
      </c>
      <c r="F4" s="1348"/>
      <c r="G4" s="1348"/>
      <c r="I4" s="142" t="s">
        <v>1454</v>
      </c>
      <c r="J4" s="200"/>
      <c r="K4" s="1348" t="s">
        <v>1467</v>
      </c>
      <c r="L4" s="1348"/>
      <c r="M4" s="1348"/>
    </row>
    <row r="5" spans="1:15">
      <c r="A5" s="142" t="s">
        <v>1</v>
      </c>
      <c r="E5" s="200" t="s">
        <v>503</v>
      </c>
      <c r="F5" s="200"/>
      <c r="G5" s="200" t="s">
        <v>1455</v>
      </c>
      <c r="I5" s="200" t="s">
        <v>1088</v>
      </c>
      <c r="J5" s="200"/>
      <c r="K5" s="200" t="s">
        <v>1455</v>
      </c>
      <c r="M5" s="200" t="s">
        <v>503</v>
      </c>
    </row>
    <row r="6" spans="1:15" ht="14.25">
      <c r="A6" s="205" t="s">
        <v>2</v>
      </c>
      <c r="C6" s="160" t="s">
        <v>75</v>
      </c>
      <c r="E6" s="161" t="s">
        <v>20</v>
      </c>
      <c r="G6" s="161" t="s">
        <v>1457</v>
      </c>
      <c r="I6" s="161" t="s">
        <v>1457</v>
      </c>
      <c r="K6" s="161" t="s">
        <v>1457</v>
      </c>
      <c r="M6" s="161" t="s">
        <v>20</v>
      </c>
    </row>
    <row r="7" spans="1:15" ht="25.5">
      <c r="E7" s="162" t="s">
        <v>8</v>
      </c>
      <c r="F7" s="163"/>
      <c r="G7" s="164" t="s">
        <v>1468</v>
      </c>
      <c r="H7" s="163"/>
      <c r="I7" s="162" t="s">
        <v>1469</v>
      </c>
      <c r="J7" s="163"/>
      <c r="K7" s="165" t="s">
        <v>1460</v>
      </c>
      <c r="L7" s="163"/>
      <c r="M7" s="165" t="s">
        <v>1470</v>
      </c>
    </row>
    <row r="8" spans="1:15">
      <c r="C8" s="159" t="s">
        <v>11</v>
      </c>
    </row>
    <row r="9" spans="1:15">
      <c r="A9" s="143">
        <v>1</v>
      </c>
      <c r="C9" s="158" t="s">
        <v>86</v>
      </c>
      <c r="E9" s="168">
        <v>530.0902523540974</v>
      </c>
      <c r="G9" s="169">
        <v>2294.3557738847103</v>
      </c>
      <c r="I9" s="169">
        <f t="shared" ref="I9:I19" si="0">$I$57 * G9/$G$57</f>
        <v>-157.88449204219427</v>
      </c>
      <c r="K9" s="169">
        <f t="shared" ref="K9:K19" si="1">G9 + I9</f>
        <v>2136.471281842516</v>
      </c>
      <c r="M9" s="168">
        <v>443.30283568334914</v>
      </c>
      <c r="N9" s="171"/>
    </row>
    <row r="10" spans="1:15">
      <c r="A10" s="143">
        <v>2</v>
      </c>
      <c r="C10" s="158" t="s">
        <v>87</v>
      </c>
      <c r="E10" s="168">
        <v>507.62961049273036</v>
      </c>
      <c r="G10" s="169">
        <v>2197.140812638148</v>
      </c>
      <c r="I10" s="169">
        <f t="shared" si="0"/>
        <v>-151.19471230096119</v>
      </c>
      <c r="K10" s="169">
        <f t="shared" si="1"/>
        <v>2045.9461003371869</v>
      </c>
      <c r="M10" s="168">
        <v>424.5194941972639</v>
      </c>
      <c r="N10" s="171" t="s">
        <v>38</v>
      </c>
    </row>
    <row r="11" spans="1:15">
      <c r="A11" s="143">
        <v>3</v>
      </c>
      <c r="C11" s="158" t="s">
        <v>88</v>
      </c>
      <c r="E11" s="168">
        <v>2.9012610510117431</v>
      </c>
      <c r="G11" s="169">
        <v>12.557342856946356</v>
      </c>
      <c r="I11" s="169">
        <f t="shared" si="0"/>
        <v>-0.86412478872523657</v>
      </c>
      <c r="K11" s="169">
        <f t="shared" si="1"/>
        <v>11.693218068221119</v>
      </c>
      <c r="M11" s="168">
        <v>2.4262608966294046</v>
      </c>
      <c r="N11" s="171"/>
    </row>
    <row r="12" spans="1:15">
      <c r="A12" s="143">
        <v>4</v>
      </c>
      <c r="C12" s="158" t="s">
        <v>89</v>
      </c>
      <c r="E12" s="168">
        <v>112.99521739962435</v>
      </c>
      <c r="G12" s="169">
        <v>489.06998065115869</v>
      </c>
      <c r="I12" s="169">
        <f t="shared" si="0"/>
        <v>-33.655009544336714</v>
      </c>
      <c r="K12" s="169">
        <f t="shared" si="1"/>
        <v>455.41497110682195</v>
      </c>
      <c r="M12" s="168">
        <v>94.495418599867804</v>
      </c>
      <c r="N12" s="171"/>
    </row>
    <row r="13" spans="1:15">
      <c r="A13" s="143">
        <v>5</v>
      </c>
      <c r="C13" s="158" t="s">
        <v>90</v>
      </c>
      <c r="E13" s="168">
        <v>40.391816945015499</v>
      </c>
      <c r="G13" s="169">
        <v>174.82532080892784</v>
      </c>
      <c r="I13" s="169">
        <f t="shared" si="0"/>
        <v>-12.030482493696384</v>
      </c>
      <c r="K13" s="169">
        <f t="shared" si="1"/>
        <v>162.79483831523146</v>
      </c>
      <c r="M13" s="168">
        <v>33.778789386542314</v>
      </c>
      <c r="N13" s="171"/>
    </row>
    <row r="14" spans="1:15">
      <c r="A14" s="143">
        <v>6</v>
      </c>
      <c r="C14" s="158" t="s">
        <v>91</v>
      </c>
      <c r="E14" s="168">
        <v>0</v>
      </c>
      <c r="G14" s="169">
        <v>0</v>
      </c>
      <c r="I14" s="169">
        <f t="shared" si="0"/>
        <v>0</v>
      </c>
      <c r="K14" s="169">
        <f t="shared" si="1"/>
        <v>0</v>
      </c>
      <c r="M14" s="168">
        <v>0</v>
      </c>
      <c r="N14" s="171"/>
    </row>
    <row r="15" spans="1:15">
      <c r="A15" s="143">
        <v>7</v>
      </c>
      <c r="C15" s="158" t="s">
        <v>92</v>
      </c>
      <c r="E15" s="168">
        <v>5.5685738769876725</v>
      </c>
      <c r="G15" s="169">
        <v>24.102102557501365</v>
      </c>
      <c r="I15" s="169">
        <f t="shared" si="0"/>
        <v>-1.6585693739192473</v>
      </c>
      <c r="K15" s="169">
        <f t="shared" si="1"/>
        <v>22.443533183582119</v>
      </c>
      <c r="M15" s="168">
        <v>4.6568760308610049</v>
      </c>
      <c r="N15" s="171"/>
      <c r="O15" s="158" t="s">
        <v>38</v>
      </c>
    </row>
    <row r="16" spans="1:15">
      <c r="A16" s="143">
        <v>8</v>
      </c>
      <c r="C16" s="158" t="s">
        <v>93</v>
      </c>
      <c r="E16" s="168">
        <v>1.662079898703499</v>
      </c>
      <c r="G16" s="169">
        <v>7.193874241816383</v>
      </c>
      <c r="I16" s="169">
        <f t="shared" si="0"/>
        <v>-0.49504143751930529</v>
      </c>
      <c r="K16" s="169">
        <f t="shared" si="1"/>
        <v>6.6988328042970782</v>
      </c>
      <c r="M16" s="168">
        <v>1.3899609150620136</v>
      </c>
      <c r="N16" s="171"/>
    </row>
    <row r="17" spans="1:14">
      <c r="A17" s="143">
        <v>9</v>
      </c>
      <c r="C17" s="158" t="s">
        <v>94</v>
      </c>
      <c r="E17" s="168">
        <v>34.191490404322586</v>
      </c>
      <c r="G17" s="169">
        <v>147.98884355730189</v>
      </c>
      <c r="I17" s="169">
        <f t="shared" si="0"/>
        <v>-10.183749032694895</v>
      </c>
      <c r="K17" s="169">
        <f t="shared" si="1"/>
        <v>137.805094524607</v>
      </c>
      <c r="M17" s="168">
        <v>28.593592478194282</v>
      </c>
      <c r="N17" s="171"/>
    </row>
    <row r="18" spans="1:14">
      <c r="A18" s="143">
        <v>10</v>
      </c>
      <c r="C18" s="158" t="s">
        <v>95</v>
      </c>
      <c r="E18" s="168">
        <v>19.975437885703734</v>
      </c>
      <c r="G18" s="169">
        <v>86.458411648598016</v>
      </c>
      <c r="I18" s="169">
        <f t="shared" si="0"/>
        <v>-5.9495752843951717</v>
      </c>
      <c r="K18" s="169">
        <f t="shared" si="1"/>
        <v>80.50883636420285</v>
      </c>
      <c r="M18" s="168">
        <v>16.705019983717541</v>
      </c>
      <c r="N18" s="171"/>
    </row>
    <row r="19" spans="1:14">
      <c r="A19" s="143">
        <v>11</v>
      </c>
      <c r="C19" s="158" t="s">
        <v>96</v>
      </c>
      <c r="E19" s="168">
        <v>0</v>
      </c>
      <c r="G19" s="169">
        <v>0</v>
      </c>
      <c r="I19" s="169">
        <f t="shared" si="0"/>
        <v>0</v>
      </c>
      <c r="K19" s="169">
        <f t="shared" si="1"/>
        <v>0</v>
      </c>
      <c r="M19" s="168">
        <v>0</v>
      </c>
      <c r="N19" s="171"/>
    </row>
    <row r="20" spans="1:14">
      <c r="A20" s="143">
        <v>12</v>
      </c>
      <c r="C20" s="158" t="s">
        <v>467</v>
      </c>
      <c r="E20" s="170">
        <f>SUM(E9:E19)</f>
        <v>1255.405740308197</v>
      </c>
      <c r="G20" s="170">
        <f>SUM(G9:G19)</f>
        <v>5433.6924628451079</v>
      </c>
      <c r="I20" s="170">
        <f>SUM(I9:I19)</f>
        <v>-373.91575629844243</v>
      </c>
      <c r="K20" s="170">
        <f>SUM(K9:K19)</f>
        <v>5059.7767065466669</v>
      </c>
      <c r="M20" s="170">
        <f>SUM(M9:M19)</f>
        <v>1049.8682481714875</v>
      </c>
      <c r="N20" s="169"/>
    </row>
    <row r="21" spans="1:14">
      <c r="A21" s="213"/>
    </row>
    <row r="22" spans="1:14">
      <c r="A22" s="143"/>
      <c r="C22" s="159" t="s">
        <v>172</v>
      </c>
    </row>
    <row r="23" spans="1:14">
      <c r="A23" s="143">
        <v>13</v>
      </c>
      <c r="C23" s="158" t="s">
        <v>120</v>
      </c>
      <c r="E23" s="168">
        <v>633.99502918357121</v>
      </c>
      <c r="G23" s="169">
        <v>3075.8050676448156</v>
      </c>
      <c r="I23" s="169">
        <f>$I$57 * G23/$G$57</f>
        <v>-211.65938005493948</v>
      </c>
      <c r="K23" s="169">
        <f>G23 + I23</f>
        <v>2864.1456875898762</v>
      </c>
      <c r="M23" s="168">
        <v>594.2901811550862</v>
      </c>
      <c r="N23" s="171"/>
    </row>
    <row r="24" spans="1:14">
      <c r="A24" s="143">
        <v>14</v>
      </c>
      <c r="C24" s="158" t="s">
        <v>121</v>
      </c>
      <c r="E24" s="168">
        <v>54.6662150220398</v>
      </c>
      <c r="G24" s="169">
        <v>265.21126105716831</v>
      </c>
      <c r="I24" s="169">
        <f>$I$57 * G24/$G$57</f>
        <v>-18.250327918840398</v>
      </c>
      <c r="K24" s="169">
        <f>G24 + I24</f>
        <v>246.9609331383279</v>
      </c>
      <c r="M24" s="168">
        <v>51.24266489967107</v>
      </c>
      <c r="N24" s="171"/>
    </row>
    <row r="25" spans="1:14">
      <c r="A25" s="143">
        <v>15</v>
      </c>
      <c r="C25" s="158" t="s">
        <v>122</v>
      </c>
      <c r="E25" s="168">
        <v>67.252376714950017</v>
      </c>
      <c r="G25" s="169">
        <v>326.27259140719093</v>
      </c>
      <c r="I25" s="169">
        <f>$I$57 * G25/$G$57</f>
        <v>-22.452220770623715</v>
      </c>
      <c r="K25" s="169">
        <f>G25 + I25</f>
        <v>303.82037063656719</v>
      </c>
      <c r="M25" s="168">
        <v>63.040600164493235</v>
      </c>
      <c r="N25" s="171"/>
    </row>
    <row r="26" spans="1:14">
      <c r="A26" s="143">
        <v>16</v>
      </c>
      <c r="C26" s="158" t="s">
        <v>123</v>
      </c>
      <c r="E26" s="168">
        <v>14.737676449939997</v>
      </c>
      <c r="G26" s="169">
        <v>71.499330157855042</v>
      </c>
      <c r="I26" s="169">
        <f>$I$57 * G26/$G$57</f>
        <v>-4.9201765270329565</v>
      </c>
      <c r="K26" s="169">
        <f>G26 + I26</f>
        <v>66.579153630822091</v>
      </c>
      <c r="M26" s="168">
        <v>13.814708324320168</v>
      </c>
      <c r="N26" s="171"/>
    </row>
    <row r="27" spans="1:14">
      <c r="A27" s="143">
        <v>17</v>
      </c>
      <c r="C27" s="158" t="s">
        <v>88</v>
      </c>
      <c r="E27" s="168">
        <v>23.194032140369998</v>
      </c>
      <c r="G27" s="169">
        <v>112.52504879783592</v>
      </c>
      <c r="I27" s="169">
        <f>$I$57 * G27/$G$57</f>
        <v>-7.7433327357896378</v>
      </c>
      <c r="K27" s="169">
        <f>G27 + I27</f>
        <v>104.78171606204629</v>
      </c>
      <c r="M27" s="168">
        <v>21.741472610862168</v>
      </c>
      <c r="N27" s="171"/>
    </row>
    <row r="28" spans="1:14">
      <c r="A28" s="143">
        <v>18</v>
      </c>
      <c r="C28" s="158" t="s">
        <v>475</v>
      </c>
      <c r="E28" s="170">
        <f>SUM(E23:E27)</f>
        <v>793.84532951087101</v>
      </c>
      <c r="G28" s="170">
        <f>SUM(G23:G27)</f>
        <v>3851.313299064866</v>
      </c>
      <c r="I28" s="170">
        <f>SUM(I23:I27)</f>
        <v>-265.02543800722617</v>
      </c>
      <c r="K28" s="170">
        <f>SUM(K23:K27)</f>
        <v>3586.2878610576395</v>
      </c>
      <c r="M28" s="170">
        <f>SUM(M23:M27)</f>
        <v>744.1296271544328</v>
      </c>
      <c r="N28" s="169"/>
    </row>
    <row r="29" spans="1:14">
      <c r="A29" s="213"/>
    </row>
    <row r="30" spans="1:14">
      <c r="A30" s="143"/>
      <c r="C30" s="159" t="s">
        <v>177</v>
      </c>
    </row>
    <row r="31" spans="1:14">
      <c r="A31" s="143">
        <v>19</v>
      </c>
      <c r="C31" s="158" t="s">
        <v>124</v>
      </c>
      <c r="E31" s="168">
        <v>1662.2711717529742</v>
      </c>
      <c r="G31" s="169">
        <v>8064.4513892510067</v>
      </c>
      <c r="I31" s="169">
        <f t="shared" ref="I31:I42" si="2">$I$57 * G31/$G$57</f>
        <v>-554.94959660726238</v>
      </c>
      <c r="K31" s="169">
        <f t="shared" ref="K31:K42" si="3">G31 + I31</f>
        <v>7509.501792643744</v>
      </c>
      <c r="M31" s="168">
        <v>1558.1690554610284</v>
      </c>
      <c r="N31" s="171"/>
    </row>
    <row r="32" spans="1:14">
      <c r="A32" s="143">
        <v>20</v>
      </c>
      <c r="C32" s="158" t="s">
        <v>125</v>
      </c>
      <c r="E32" s="168">
        <v>179.18666996406699</v>
      </c>
      <c r="G32" s="169">
        <v>869.31796332790259</v>
      </c>
      <c r="I32" s="169">
        <f t="shared" si="2"/>
        <v>-59.82150921205718</v>
      </c>
      <c r="K32" s="169">
        <f t="shared" si="3"/>
        <v>809.49645411584538</v>
      </c>
      <c r="M32" s="168">
        <v>167.96484775385909</v>
      </c>
      <c r="N32" s="171"/>
    </row>
    <row r="33" spans="1:14">
      <c r="A33" s="143">
        <v>21</v>
      </c>
      <c r="C33" s="158" t="s">
        <v>644</v>
      </c>
      <c r="E33" s="168">
        <v>118.15817852974007</v>
      </c>
      <c r="G33" s="169">
        <v>573.24033718918156</v>
      </c>
      <c r="I33" s="169">
        <f t="shared" si="2"/>
        <v>-39.447133912440009</v>
      </c>
      <c r="K33" s="169">
        <f t="shared" si="3"/>
        <v>533.79320327674156</v>
      </c>
      <c r="M33" s="168">
        <v>110.75835312750092</v>
      </c>
      <c r="N33" s="171"/>
    </row>
    <row r="34" spans="1:14">
      <c r="A34" s="143">
        <v>22</v>
      </c>
      <c r="C34" s="158" t="s">
        <v>645</v>
      </c>
      <c r="E34" s="168">
        <v>2.9490087921875002E-2</v>
      </c>
      <c r="G34" s="169">
        <v>0.14307014676787116</v>
      </c>
      <c r="I34" s="169">
        <f t="shared" si="2"/>
        <v>-9.8452723444025815E-3</v>
      </c>
      <c r="K34" s="169">
        <f t="shared" si="3"/>
        <v>0.13322487442346859</v>
      </c>
      <c r="M34" s="168">
        <v>2.7643228868748766E-2</v>
      </c>
      <c r="N34" s="171"/>
    </row>
    <row r="35" spans="1:14">
      <c r="A35" s="143">
        <v>23</v>
      </c>
      <c r="C35" s="158" t="s">
        <v>1447</v>
      </c>
      <c r="E35" s="168">
        <v>1.7443777838000429</v>
      </c>
      <c r="G35" s="169">
        <v>8.4627887922220282</v>
      </c>
      <c r="I35" s="169">
        <f t="shared" si="2"/>
        <v>-0.58236090711339261</v>
      </c>
      <c r="K35" s="169">
        <f t="shared" si="3"/>
        <v>7.8804278851086353</v>
      </c>
      <c r="M35" s="168">
        <v>1.6351336231648461</v>
      </c>
      <c r="N35" s="171"/>
    </row>
    <row r="36" spans="1:14">
      <c r="A36" s="143">
        <v>24</v>
      </c>
      <c r="C36" s="158" t="s">
        <v>676</v>
      </c>
      <c r="E36" s="168">
        <v>7.352396845245841</v>
      </c>
      <c r="G36" s="169">
        <v>35.669900290961024</v>
      </c>
      <c r="I36" s="169">
        <f t="shared" si="2"/>
        <v>-2.4545993052763095</v>
      </c>
      <c r="K36" s="169">
        <f t="shared" si="3"/>
        <v>33.215300985684713</v>
      </c>
      <c r="M36" s="168">
        <v>6.8919424474226778</v>
      </c>
      <c r="N36" s="171"/>
    </row>
    <row r="37" spans="1:14">
      <c r="A37" s="143">
        <v>25</v>
      </c>
      <c r="C37" s="158" t="s">
        <v>646</v>
      </c>
      <c r="E37" s="168">
        <v>96.729260561217899</v>
      </c>
      <c r="G37" s="169">
        <v>469.27867905662043</v>
      </c>
      <c r="I37" s="169">
        <f t="shared" si="2"/>
        <v>-32.293084931478241</v>
      </c>
      <c r="K37" s="169">
        <f t="shared" si="3"/>
        <v>436.9855941251422</v>
      </c>
      <c r="M37" s="168">
        <v>90.671451881808125</v>
      </c>
      <c r="N37" s="171"/>
    </row>
    <row r="38" spans="1:14">
      <c r="A38" s="143">
        <v>26</v>
      </c>
      <c r="C38" s="158" t="s">
        <v>647</v>
      </c>
      <c r="E38" s="168">
        <v>9.9870469053464248</v>
      </c>
      <c r="G38" s="169">
        <v>48.45181439644481</v>
      </c>
      <c r="I38" s="169">
        <f t="shared" si="2"/>
        <v>-3.3341778078092261</v>
      </c>
      <c r="K38" s="169">
        <f t="shared" si="3"/>
        <v>45.117636588635584</v>
      </c>
      <c r="M38" s="168">
        <v>9.3615937686857631</v>
      </c>
      <c r="N38" s="171"/>
    </row>
    <row r="39" spans="1:14">
      <c r="A39" s="143">
        <v>27</v>
      </c>
      <c r="C39" s="158" t="s">
        <v>129</v>
      </c>
      <c r="E39" s="168">
        <v>2.8522366222343125</v>
      </c>
      <c r="G39" s="169">
        <v>13.837527824291911</v>
      </c>
      <c r="I39" s="169">
        <f t="shared" si="2"/>
        <v>-0.952219824198825</v>
      </c>
      <c r="K39" s="169">
        <f t="shared" si="3"/>
        <v>12.885308000093087</v>
      </c>
      <c r="M39" s="168">
        <v>2.6736112128633147</v>
      </c>
      <c r="N39" s="171" t="s">
        <v>38</v>
      </c>
    </row>
    <row r="40" spans="1:14">
      <c r="A40" s="143">
        <v>28</v>
      </c>
      <c r="C40" s="158" t="s">
        <v>1448</v>
      </c>
      <c r="E40" s="168">
        <v>31.389357744205046</v>
      </c>
      <c r="G40" s="169">
        <v>152.28438895502271</v>
      </c>
      <c r="I40" s="169">
        <f t="shared" si="2"/>
        <v>-10.479343992675767</v>
      </c>
      <c r="K40" s="169">
        <f t="shared" si="3"/>
        <v>141.80504496234693</v>
      </c>
      <c r="M40" s="168">
        <v>29.423554194372251</v>
      </c>
      <c r="N40" s="171"/>
    </row>
    <row r="41" spans="1:14">
      <c r="A41" s="143">
        <v>29</v>
      </c>
      <c r="C41" s="158" t="s">
        <v>133</v>
      </c>
      <c r="E41" s="168">
        <v>109.9260462507728</v>
      </c>
      <c r="G41" s="169">
        <v>533.30243071414736</v>
      </c>
      <c r="I41" s="169">
        <f t="shared" si="2"/>
        <v>-36.698834738958695</v>
      </c>
      <c r="K41" s="169">
        <f t="shared" si="3"/>
        <v>496.60359597518868</v>
      </c>
      <c r="M41" s="168">
        <v>103.04176993967982</v>
      </c>
      <c r="N41" s="171"/>
    </row>
    <row r="42" spans="1:14">
      <c r="A42" s="143">
        <v>30</v>
      </c>
      <c r="C42" s="158" t="s">
        <v>134</v>
      </c>
      <c r="E42" s="168">
        <v>10.217205964270001</v>
      </c>
      <c r="G42" s="169">
        <v>49.568423150795972</v>
      </c>
      <c r="I42" s="169">
        <f t="shared" si="2"/>
        <v>-3.4110164602960222</v>
      </c>
      <c r="K42" s="169">
        <f t="shared" si="3"/>
        <v>46.157406690499947</v>
      </c>
      <c r="M42" s="168">
        <v>9.5773387864319055</v>
      </c>
      <c r="N42" s="171"/>
    </row>
    <row r="43" spans="1:14">
      <c r="A43" s="143">
        <v>31</v>
      </c>
      <c r="C43" s="158" t="s">
        <v>490</v>
      </c>
      <c r="E43" s="170">
        <f>SUM(E31:E42)</f>
        <v>2229.843439011795</v>
      </c>
      <c r="G43" s="170">
        <f>SUM(G31:G42)</f>
        <v>10818.008713095363</v>
      </c>
      <c r="I43" s="170">
        <f>SUM(I31:I42)</f>
        <v>-744.43372297191047</v>
      </c>
      <c r="K43" s="170">
        <f>SUM(K31:K42)</f>
        <v>10073.574990123454</v>
      </c>
      <c r="M43" s="170">
        <f>SUM(M31:M42)</f>
        <v>2090.1962954256855</v>
      </c>
      <c r="N43" s="169"/>
    </row>
    <row r="44" spans="1:14">
      <c r="A44" s="213"/>
    </row>
    <row r="45" spans="1:14">
      <c r="A45" s="143"/>
      <c r="C45" s="159" t="s">
        <v>652</v>
      </c>
      <c r="E45" s="168"/>
    </row>
    <row r="46" spans="1:14">
      <c r="A46" s="143">
        <v>32</v>
      </c>
      <c r="C46" s="158" t="s">
        <v>97</v>
      </c>
      <c r="E46" s="168">
        <v>0</v>
      </c>
      <c r="G46" s="169">
        <v>0</v>
      </c>
      <c r="I46" s="169">
        <f t="shared" ref="I46:I54" si="4">$I$57 * G46/$G$57</f>
        <v>0</v>
      </c>
      <c r="K46" s="169">
        <f t="shared" ref="K46:K54" si="5">G46 + I46</f>
        <v>0</v>
      </c>
      <c r="M46" s="168">
        <v>0</v>
      </c>
      <c r="N46" s="171"/>
    </row>
    <row r="47" spans="1:14">
      <c r="A47" s="143">
        <v>33</v>
      </c>
      <c r="C47" s="158" t="s">
        <v>98</v>
      </c>
      <c r="E47" s="168">
        <v>0</v>
      </c>
      <c r="G47" s="169">
        <v>0</v>
      </c>
      <c r="I47" s="169">
        <f t="shared" si="4"/>
        <v>0</v>
      </c>
      <c r="K47" s="169">
        <f t="shared" si="5"/>
        <v>0</v>
      </c>
      <c r="M47" s="168">
        <v>0</v>
      </c>
      <c r="N47" s="171"/>
    </row>
    <row r="48" spans="1:14">
      <c r="A48" s="143">
        <v>34</v>
      </c>
      <c r="C48" s="158" t="s">
        <v>99</v>
      </c>
      <c r="E48" s="168">
        <v>0</v>
      </c>
      <c r="G48" s="169">
        <v>0</v>
      </c>
      <c r="I48" s="169">
        <f t="shared" si="4"/>
        <v>0</v>
      </c>
      <c r="K48" s="169">
        <f t="shared" si="5"/>
        <v>0</v>
      </c>
      <c r="M48" s="168">
        <v>0</v>
      </c>
      <c r="N48" s="171"/>
    </row>
    <row r="49" spans="1:18">
      <c r="A49" s="143">
        <v>35</v>
      </c>
      <c r="C49" s="158" t="s">
        <v>653</v>
      </c>
      <c r="E49" s="168">
        <v>0</v>
      </c>
      <c r="G49" s="169">
        <v>0</v>
      </c>
      <c r="I49" s="169">
        <f t="shared" si="4"/>
        <v>0</v>
      </c>
      <c r="K49" s="169">
        <f t="shared" si="5"/>
        <v>0</v>
      </c>
      <c r="M49" s="168">
        <v>0</v>
      </c>
      <c r="N49" s="171"/>
    </row>
    <row r="50" spans="1:18">
      <c r="A50" s="143">
        <v>36</v>
      </c>
      <c r="C50" s="158" t="s">
        <v>654</v>
      </c>
      <c r="E50" s="168">
        <v>0</v>
      </c>
      <c r="G50" s="169">
        <v>0</v>
      </c>
      <c r="I50" s="169">
        <f t="shared" si="4"/>
        <v>0</v>
      </c>
      <c r="K50" s="169">
        <f t="shared" si="5"/>
        <v>0</v>
      </c>
      <c r="M50" s="168">
        <v>0</v>
      </c>
      <c r="N50" s="171"/>
    </row>
    <row r="51" spans="1:18">
      <c r="A51" s="143">
        <v>37</v>
      </c>
      <c r="C51" s="158" t="s">
        <v>136</v>
      </c>
      <c r="E51" s="168">
        <v>0</v>
      </c>
      <c r="G51" s="169">
        <v>0</v>
      </c>
      <c r="I51" s="169">
        <f t="shared" si="4"/>
        <v>0</v>
      </c>
      <c r="K51" s="169">
        <f t="shared" si="5"/>
        <v>0</v>
      </c>
      <c r="M51" s="168">
        <v>0</v>
      </c>
      <c r="N51" s="171"/>
    </row>
    <row r="52" spans="1:18">
      <c r="A52" s="143">
        <v>38</v>
      </c>
      <c r="C52" s="158" t="s">
        <v>137</v>
      </c>
      <c r="E52" s="168">
        <v>0</v>
      </c>
      <c r="G52" s="169">
        <v>0</v>
      </c>
      <c r="I52" s="169">
        <f t="shared" si="4"/>
        <v>0</v>
      </c>
      <c r="K52" s="169">
        <f t="shared" si="5"/>
        <v>0</v>
      </c>
      <c r="M52" s="168">
        <v>0</v>
      </c>
      <c r="N52" s="171"/>
    </row>
    <row r="53" spans="1:18">
      <c r="A53" s="143">
        <v>39</v>
      </c>
      <c r="C53" s="158" t="s">
        <v>138</v>
      </c>
      <c r="E53" s="168">
        <v>0</v>
      </c>
      <c r="G53" s="169">
        <v>0</v>
      </c>
      <c r="I53" s="169">
        <f t="shared" si="4"/>
        <v>0</v>
      </c>
      <c r="K53" s="169">
        <f t="shared" si="5"/>
        <v>0</v>
      </c>
      <c r="M53" s="168">
        <v>0</v>
      </c>
      <c r="N53" s="171"/>
    </row>
    <row r="54" spans="1:18">
      <c r="A54" s="143">
        <v>40</v>
      </c>
      <c r="C54" s="158" t="s">
        <v>140</v>
      </c>
      <c r="E54" s="168">
        <v>0</v>
      </c>
      <c r="G54" s="169">
        <v>0</v>
      </c>
      <c r="I54" s="169">
        <f t="shared" si="4"/>
        <v>0</v>
      </c>
      <c r="K54" s="169">
        <f t="shared" si="5"/>
        <v>0</v>
      </c>
      <c r="M54" s="168">
        <v>0</v>
      </c>
      <c r="N54" s="171"/>
    </row>
    <row r="55" spans="1:18">
      <c r="A55" s="143">
        <v>41</v>
      </c>
      <c r="C55" s="158" t="s">
        <v>655</v>
      </c>
      <c r="E55" s="170">
        <f>SUM(E46:E54)</f>
        <v>0</v>
      </c>
      <c r="G55" s="170">
        <f>SUM(G46:G54)</f>
        <v>0</v>
      </c>
      <c r="I55" s="170">
        <f>SUM(I46:I54)</f>
        <v>0</v>
      </c>
      <c r="K55" s="170">
        <f>SUM(K46:K54)</f>
        <v>0</v>
      </c>
      <c r="M55" s="170">
        <f>SUM(M46:M54)</f>
        <v>0</v>
      </c>
      <c r="N55" s="169"/>
    </row>
    <row r="56" spans="1:18">
      <c r="A56" s="143"/>
      <c r="G56" s="169"/>
    </row>
    <row r="57" spans="1:18" ht="13.5" thickBot="1">
      <c r="A57" s="143">
        <v>42</v>
      </c>
      <c r="C57" s="158" t="s">
        <v>100</v>
      </c>
      <c r="E57" s="227">
        <f>E55 + E43 + E28 + E20</f>
        <v>4279.0945088308636</v>
      </c>
      <c r="G57" s="227">
        <f>G55 + G43 + G28 + G20</f>
        <v>20103.014475005337</v>
      </c>
      <c r="I57" s="227">
        <f>K57-G57</f>
        <v>-1383.3749172775788</v>
      </c>
      <c r="J57" s="226"/>
      <c r="K57" s="227">
        <v>18719.639557727758</v>
      </c>
      <c r="L57" s="226"/>
      <c r="M57" s="227">
        <v>3884.1941707516053</v>
      </c>
      <c r="N57" s="169"/>
      <c r="Q57" s="169"/>
      <c r="R57" s="169"/>
    </row>
    <row r="58" spans="1:18" ht="13.5" thickTop="1">
      <c r="I58" s="229"/>
      <c r="J58" s="226"/>
      <c r="K58" s="226"/>
      <c r="L58" s="226"/>
      <c r="M58" s="226"/>
    </row>
    <row r="59" spans="1:18">
      <c r="A59" s="204" t="s">
        <v>39</v>
      </c>
    </row>
    <row r="60" spans="1:18" ht="41.25" customHeight="1">
      <c r="A60" s="206" t="s">
        <v>40</v>
      </c>
      <c r="C60" s="1347" t="s">
        <v>1471</v>
      </c>
      <c r="D60" s="1347"/>
      <c r="E60" s="1347"/>
      <c r="F60" s="1347"/>
      <c r="G60" s="1347"/>
      <c r="H60" s="1347"/>
      <c r="I60" s="1347"/>
      <c r="J60" s="1347"/>
      <c r="K60" s="1347"/>
      <c r="L60" s="1347"/>
      <c r="M60" s="1347"/>
    </row>
    <row r="61" spans="1:18" ht="33.75" customHeight="1">
      <c r="A61" s="441" t="s">
        <v>42</v>
      </c>
      <c r="C61" s="1347" t="s">
        <v>1472</v>
      </c>
      <c r="D61" s="1347"/>
      <c r="E61" s="1347"/>
      <c r="F61" s="1347"/>
      <c r="G61" s="1347"/>
      <c r="H61" s="1347"/>
      <c r="I61" s="1347"/>
      <c r="J61" s="1347"/>
      <c r="K61" s="1347"/>
      <c r="L61" s="1347"/>
      <c r="M61" s="1347"/>
    </row>
    <row r="62" spans="1:18" ht="34.5" customHeight="1">
      <c r="A62" s="441" t="s">
        <v>44</v>
      </c>
      <c r="C62" s="1347" t="s">
        <v>1473</v>
      </c>
      <c r="D62" s="1347"/>
      <c r="E62" s="1347"/>
      <c r="F62" s="1347"/>
      <c r="G62" s="1347"/>
      <c r="H62" s="1347"/>
      <c r="I62" s="1347"/>
      <c r="J62" s="1347"/>
      <c r="K62" s="1347"/>
      <c r="L62" s="1347"/>
      <c r="M62" s="1347"/>
    </row>
    <row r="63" spans="1:18">
      <c r="A63" s="146"/>
    </row>
  </sheetData>
  <mergeCells count="6">
    <mergeCell ref="C61:M61"/>
    <mergeCell ref="C62:M62"/>
    <mergeCell ref="E4:G4"/>
    <mergeCell ref="K4:M4"/>
    <mergeCell ref="A2:M2"/>
    <mergeCell ref="C60:M60"/>
  </mergeCells>
  <pageMargins left="0.7" right="0.7" top="0.75" bottom="0.75" header="0.3" footer="0.3"/>
  <pageSetup scale="70" firstPageNumber="3" orientation="portrait" useFirstPageNumber="1" horizontalDpi="1200" verticalDpi="1200" r:id="rId1"/>
  <headerFooter>
    <oddHeader>&amp;R&amp;10Filed: 2024-02-16
EB-2022-0200
Rate Order
Working Papers
Schedule 23
Page &amp;P of 5</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F0DF7-8F72-4D28-9459-DD64B1859968}">
  <sheetPr>
    <pageSetUpPr fitToPage="1"/>
  </sheetPr>
  <dimension ref="A1:Q63"/>
  <sheetViews>
    <sheetView view="pageBreakPreview" zoomScaleNormal="85" zoomScaleSheetLayoutView="100" workbookViewId="0">
      <selection activeCell="C55" sqref="C55"/>
    </sheetView>
  </sheetViews>
  <sheetFormatPr defaultColWidth="8.625" defaultRowHeight="12.75"/>
  <cols>
    <col min="1" max="1" width="5.625" style="142" customWidth="1"/>
    <col min="2" max="2" width="1.625" style="158" customWidth="1"/>
    <col min="3" max="3" width="25.125" style="158" bestFit="1" customWidth="1"/>
    <col min="4" max="4" width="1.5" style="158" customWidth="1"/>
    <col min="5" max="5" width="15.625" style="158" customWidth="1"/>
    <col min="6" max="6" width="1.125" style="158" customWidth="1"/>
    <col min="7" max="7" width="16.125" style="158" customWidth="1"/>
    <col min="8" max="8" width="1.5" style="158" customWidth="1"/>
    <col min="9" max="9" width="13.625" style="158" customWidth="1"/>
    <col min="10" max="10" width="1.625" style="158" customWidth="1"/>
    <col min="11" max="11" width="13.625" style="158" customWidth="1"/>
    <col min="12" max="12" width="1.625" style="158" customWidth="1"/>
    <col min="13" max="13" width="16.125" style="158" customWidth="1"/>
    <col min="14" max="14" width="1.625" style="158" customWidth="1"/>
    <col min="15" max="15" width="13.625" style="158" customWidth="1"/>
    <col min="16" max="16" width="8.625" style="158"/>
    <col min="17" max="17" width="18.625" style="158" customWidth="1"/>
    <col min="18" max="16384" width="8.625" style="203"/>
  </cols>
  <sheetData>
    <row r="1" spans="1:13" ht="64.5" customHeight="1"/>
    <row r="2" spans="1:13">
      <c r="A2" s="1302" t="s">
        <v>1474</v>
      </c>
      <c r="B2" s="1302"/>
      <c r="C2" s="1302"/>
      <c r="D2" s="1302"/>
      <c r="E2" s="1302"/>
      <c r="F2" s="1302"/>
      <c r="G2" s="1302"/>
      <c r="H2" s="1302"/>
      <c r="I2" s="1302"/>
      <c r="J2" s="1302"/>
      <c r="K2" s="1302"/>
      <c r="L2" s="1302"/>
      <c r="M2" s="1302"/>
    </row>
    <row r="3" spans="1:13">
      <c r="A3" s="204"/>
    </row>
    <row r="4" spans="1:13">
      <c r="E4" s="1348" t="s">
        <v>1453</v>
      </c>
      <c r="F4" s="1348"/>
      <c r="G4" s="1348"/>
      <c r="I4" s="142" t="s">
        <v>1454</v>
      </c>
      <c r="J4" s="200"/>
      <c r="K4" s="1348" t="s">
        <v>1467</v>
      </c>
      <c r="L4" s="1348"/>
      <c r="M4" s="1348"/>
    </row>
    <row r="5" spans="1:13">
      <c r="A5" s="142" t="s">
        <v>1</v>
      </c>
      <c r="E5" s="200" t="s">
        <v>503</v>
      </c>
      <c r="F5" s="200"/>
      <c r="G5" s="200" t="s">
        <v>1455</v>
      </c>
      <c r="I5" s="200" t="s">
        <v>1088</v>
      </c>
      <c r="J5" s="200"/>
      <c r="K5" s="200" t="s">
        <v>1455</v>
      </c>
      <c r="M5" s="200" t="s">
        <v>503</v>
      </c>
    </row>
    <row r="6" spans="1:13" ht="14.25">
      <c r="A6" s="205" t="s">
        <v>2</v>
      </c>
      <c r="C6" s="160" t="s">
        <v>75</v>
      </c>
      <c r="E6" s="161" t="s">
        <v>20</v>
      </c>
      <c r="G6" s="161" t="s">
        <v>1457</v>
      </c>
      <c r="I6" s="161" t="s">
        <v>1457</v>
      </c>
      <c r="K6" s="161" t="s">
        <v>1457</v>
      </c>
      <c r="M6" s="161" t="s">
        <v>20</v>
      </c>
    </row>
    <row r="7" spans="1:13" ht="26.25" customHeight="1">
      <c r="E7" s="162" t="s">
        <v>8</v>
      </c>
      <c r="F7" s="163"/>
      <c r="G7" s="164" t="s">
        <v>1468</v>
      </c>
      <c r="H7" s="163"/>
      <c r="I7" s="162" t="s">
        <v>1475</v>
      </c>
      <c r="J7" s="163"/>
      <c r="K7" s="165" t="s">
        <v>1460</v>
      </c>
      <c r="L7" s="163"/>
      <c r="M7" s="165" t="s">
        <v>1470</v>
      </c>
    </row>
    <row r="8" spans="1:13">
      <c r="C8" s="159" t="s">
        <v>11</v>
      </c>
      <c r="E8" s="166"/>
      <c r="F8" s="200"/>
      <c r="G8" s="167"/>
      <c r="H8" s="200"/>
      <c r="I8" s="166"/>
      <c r="J8" s="200"/>
      <c r="K8" s="166"/>
      <c r="L8" s="200"/>
      <c r="M8" s="166"/>
    </row>
    <row r="9" spans="1:13">
      <c r="A9" s="143">
        <v>1</v>
      </c>
      <c r="C9" s="158" t="s">
        <v>86</v>
      </c>
      <c r="E9" s="168">
        <v>13027.395706562267</v>
      </c>
      <c r="G9" s="169">
        <v>56385.64456768395</v>
      </c>
      <c r="I9" s="208">
        <f t="shared" ref="I9:I19" si="0">$I$57 * G9/$G$57</f>
        <v>12421.399684029762</v>
      </c>
      <c r="K9" s="169">
        <f>G9 + I9</f>
        <v>68807.044251713713</v>
      </c>
      <c r="M9" s="168">
        <v>14276.980032920834</v>
      </c>
    </row>
    <row r="10" spans="1:13">
      <c r="A10" s="143">
        <v>2</v>
      </c>
      <c r="C10" s="158" t="s">
        <v>87</v>
      </c>
      <c r="E10" s="168">
        <v>12313.689619333925</v>
      </c>
      <c r="G10" s="169">
        <v>53296.556106205935</v>
      </c>
      <c r="I10" s="208">
        <f t="shared" si="0"/>
        <v>11740.893098824665</v>
      </c>
      <c r="K10" s="169">
        <f t="shared" ref="K10:K19" si="1">G10 + I10</f>
        <v>65037.4492050306</v>
      </c>
      <c r="M10" s="168">
        <v>13494.815447899415</v>
      </c>
    </row>
    <row r="11" spans="1:13">
      <c r="A11" s="143">
        <v>3</v>
      </c>
      <c r="C11" s="158" t="s">
        <v>88</v>
      </c>
      <c r="E11" s="168">
        <v>58.27058444301003</v>
      </c>
      <c r="G11" s="169">
        <v>252.20884796642167</v>
      </c>
      <c r="I11" s="208">
        <f t="shared" si="0"/>
        <v>55.560008730220325</v>
      </c>
      <c r="K11" s="169">
        <f t="shared" si="1"/>
        <v>307.76885669664199</v>
      </c>
      <c r="M11" s="168">
        <v>63.859883382556333</v>
      </c>
    </row>
    <row r="12" spans="1:13">
      <c r="A12" s="143">
        <v>4</v>
      </c>
      <c r="C12" s="158" t="s">
        <v>89</v>
      </c>
      <c r="E12" s="168">
        <v>2382.67535616847</v>
      </c>
      <c r="G12" s="169">
        <v>10312.781524354856</v>
      </c>
      <c r="I12" s="208">
        <f t="shared" si="0"/>
        <v>2271.8403265625925</v>
      </c>
      <c r="K12" s="169">
        <f t="shared" si="1"/>
        <v>12584.621850917449</v>
      </c>
      <c r="M12" s="168">
        <v>2611.2209417124141</v>
      </c>
    </row>
    <row r="13" spans="1:13">
      <c r="A13" s="143">
        <v>5</v>
      </c>
      <c r="C13" s="158" t="s">
        <v>90</v>
      </c>
      <c r="E13" s="168">
        <v>822.74413908553538</v>
      </c>
      <c r="G13" s="169">
        <v>3561.0308953195986</v>
      </c>
      <c r="I13" s="208">
        <f t="shared" si="0"/>
        <v>784.47250850962394</v>
      </c>
      <c r="K13" s="169">
        <f t="shared" si="1"/>
        <v>4345.5034038292224</v>
      </c>
      <c r="M13" s="168">
        <v>901.6615377707368</v>
      </c>
    </row>
    <row r="14" spans="1:13">
      <c r="A14" s="143">
        <v>6</v>
      </c>
      <c r="C14" s="158" t="s">
        <v>91</v>
      </c>
      <c r="E14" s="168">
        <v>588.24265500000001</v>
      </c>
      <c r="G14" s="169">
        <v>2835</v>
      </c>
      <c r="I14" s="208">
        <f t="shared" si="0"/>
        <v>624.53250954599889</v>
      </c>
      <c r="K14" s="169">
        <f t="shared" si="1"/>
        <v>3459.5325095459989</v>
      </c>
      <c r="M14" s="168">
        <v>717.82877900322796</v>
      </c>
    </row>
    <row r="15" spans="1:13">
      <c r="A15" s="143">
        <v>7</v>
      </c>
      <c r="C15" s="158" t="s">
        <v>92</v>
      </c>
      <c r="E15" s="168">
        <v>111.84241907945309</v>
      </c>
      <c r="G15" s="169">
        <v>484.08039732970815</v>
      </c>
      <c r="I15" s="208">
        <f t="shared" si="0"/>
        <v>106.63983963539572</v>
      </c>
      <c r="K15" s="169">
        <f t="shared" si="1"/>
        <v>590.72023696510382</v>
      </c>
      <c r="M15" s="168">
        <v>122.57031412860027</v>
      </c>
    </row>
    <row r="16" spans="1:13">
      <c r="A16" s="143">
        <v>8</v>
      </c>
      <c r="C16" s="158" t="s">
        <v>93</v>
      </c>
      <c r="E16" s="168">
        <v>36.932415941470509</v>
      </c>
      <c r="G16" s="169">
        <v>159.85221645279628</v>
      </c>
      <c r="I16" s="208">
        <f t="shared" si="0"/>
        <v>35.214428888097032</v>
      </c>
      <c r="K16" s="169">
        <f t="shared" si="1"/>
        <v>195.06664534089333</v>
      </c>
      <c r="M16" s="168">
        <v>40.474963441717975</v>
      </c>
    </row>
    <row r="17" spans="1:13">
      <c r="A17" s="143">
        <v>9</v>
      </c>
      <c r="C17" s="158" t="s">
        <v>94</v>
      </c>
      <c r="E17" s="168">
        <v>719.46119587671512</v>
      </c>
      <c r="G17" s="169">
        <v>3113.9979305695315</v>
      </c>
      <c r="I17" s="208">
        <f t="shared" si="0"/>
        <v>685.99398317447492</v>
      </c>
      <c r="K17" s="169">
        <f t="shared" si="1"/>
        <v>3799.9919137440065</v>
      </c>
      <c r="M17" s="168">
        <v>788.47172215848514</v>
      </c>
    </row>
    <row r="18" spans="1:13">
      <c r="A18" s="143">
        <v>10</v>
      </c>
      <c r="C18" s="158" t="s">
        <v>95</v>
      </c>
      <c r="E18" s="168">
        <v>484.16838165175238</v>
      </c>
      <c r="G18" s="169">
        <v>2095.5950746912986</v>
      </c>
      <c r="I18" s="208">
        <f t="shared" si="0"/>
        <v>461.64629664521749</v>
      </c>
      <c r="K18" s="169">
        <f t="shared" si="1"/>
        <v>2557.2413713365158</v>
      </c>
      <c r="M18" s="168">
        <v>530.60968386272771</v>
      </c>
    </row>
    <row r="19" spans="1:13">
      <c r="A19" s="143">
        <v>11</v>
      </c>
      <c r="C19" s="158" t="s">
        <v>96</v>
      </c>
      <c r="E19" s="168">
        <v>0</v>
      </c>
      <c r="G19" s="169">
        <v>0</v>
      </c>
      <c r="I19" s="208">
        <f t="shared" si="0"/>
        <v>0</v>
      </c>
      <c r="K19" s="169">
        <f t="shared" si="1"/>
        <v>0</v>
      </c>
      <c r="M19" s="168">
        <v>0</v>
      </c>
    </row>
    <row r="20" spans="1:13">
      <c r="A20" s="143">
        <v>12</v>
      </c>
      <c r="C20" s="158" t="s">
        <v>467</v>
      </c>
      <c r="E20" s="170">
        <f>SUM(E9:E19)</f>
        <v>30545.422473142604</v>
      </c>
      <c r="G20" s="170">
        <f>SUM(G9:G19)</f>
        <v>132496.74756057409</v>
      </c>
      <c r="I20" s="209">
        <f>SUM(I9:I19)</f>
        <v>29188.192684546044</v>
      </c>
      <c r="K20" s="170">
        <f>SUM(K9:K19)</f>
        <v>161684.94024512015</v>
      </c>
      <c r="M20" s="170">
        <f>SUM(M9:M19)</f>
        <v>33548.49330628071</v>
      </c>
    </row>
    <row r="21" spans="1:13">
      <c r="A21" s="213"/>
      <c r="I21" s="208"/>
    </row>
    <row r="22" spans="1:13">
      <c r="A22" s="143"/>
      <c r="C22" s="159" t="s">
        <v>172</v>
      </c>
      <c r="I22" s="141"/>
    </row>
    <row r="23" spans="1:13">
      <c r="A23" s="143">
        <v>13</v>
      </c>
      <c r="C23" s="158" t="s">
        <v>120</v>
      </c>
      <c r="E23" s="168">
        <v>419.94052423709411</v>
      </c>
      <c r="G23" s="169">
        <v>2037.327002738818</v>
      </c>
      <c r="I23" s="208">
        <f>$I$57 * G23/$G$57</f>
        <v>448.81021015389848</v>
      </c>
      <c r="K23" s="169">
        <f>G23 + I23</f>
        <v>2486.1372128927164</v>
      </c>
      <c r="M23" s="168">
        <v>515.8560687147484</v>
      </c>
    </row>
    <row r="24" spans="1:13">
      <c r="A24" s="143">
        <v>14</v>
      </c>
      <c r="C24" s="158" t="s">
        <v>121</v>
      </c>
      <c r="E24" s="168">
        <v>128.39221721433157</v>
      </c>
      <c r="G24" s="169">
        <v>622.89042370338552</v>
      </c>
      <c r="I24" s="208">
        <f>$I$57 * G24/$G$57</f>
        <v>137.21880757941656</v>
      </c>
      <c r="K24" s="169">
        <f t="shared" ref="K24:K27" si="2">G24 + I24</f>
        <v>760.10923128280206</v>
      </c>
      <c r="M24" s="168">
        <v>157.71734472656243</v>
      </c>
    </row>
    <row r="25" spans="1:13">
      <c r="A25" s="143">
        <v>15</v>
      </c>
      <c r="C25" s="158" t="s">
        <v>122</v>
      </c>
      <c r="E25" s="168">
        <v>40.689596186354336</v>
      </c>
      <c r="G25" s="169">
        <v>197.40417572607197</v>
      </c>
      <c r="I25" s="208">
        <f>$I$57 * G25/$G$57</f>
        <v>43.486887217306204</v>
      </c>
      <c r="K25" s="169">
        <f t="shared" si="2"/>
        <v>240.89106294337819</v>
      </c>
      <c r="M25" s="168">
        <v>49.983209323310369</v>
      </c>
    </row>
    <row r="26" spans="1:13">
      <c r="A26" s="143">
        <v>16</v>
      </c>
      <c r="C26" s="158" t="s">
        <v>123</v>
      </c>
      <c r="E26" s="168">
        <v>0</v>
      </c>
      <c r="G26" s="169">
        <v>0</v>
      </c>
      <c r="I26" s="208">
        <f>$I$57 * G26/$G$57</f>
        <v>0</v>
      </c>
      <c r="K26" s="169">
        <f t="shared" si="2"/>
        <v>0</v>
      </c>
      <c r="M26" s="168">
        <v>0</v>
      </c>
    </row>
    <row r="27" spans="1:13">
      <c r="A27" s="143">
        <v>17</v>
      </c>
      <c r="C27" s="158" t="s">
        <v>88</v>
      </c>
      <c r="E27" s="168">
        <v>0</v>
      </c>
      <c r="G27" s="169">
        <v>0</v>
      </c>
      <c r="I27" s="208">
        <f>$I$57 * G27/$G$57</f>
        <v>0</v>
      </c>
      <c r="K27" s="169">
        <f t="shared" si="2"/>
        <v>0</v>
      </c>
      <c r="M27" s="168">
        <v>0</v>
      </c>
    </row>
    <row r="28" spans="1:13">
      <c r="A28" s="143">
        <v>18</v>
      </c>
      <c r="C28" s="158" t="s">
        <v>475</v>
      </c>
      <c r="E28" s="170">
        <f>SUM(E23:E27)</f>
        <v>589.02233763778008</v>
      </c>
      <c r="G28" s="170">
        <f>SUM(G23:G27)</f>
        <v>2857.6216021682758</v>
      </c>
      <c r="I28" s="209">
        <f>SUM(I23:I27)</f>
        <v>629.51590495062123</v>
      </c>
      <c r="K28" s="170">
        <f>SUM(K23:K27)</f>
        <v>3487.1375071188963</v>
      </c>
      <c r="M28" s="170">
        <f>SUM(M23:M27)</f>
        <v>723.55662276462112</v>
      </c>
    </row>
    <row r="29" spans="1:13">
      <c r="A29" s="213"/>
      <c r="I29" s="141"/>
    </row>
    <row r="30" spans="1:13">
      <c r="A30" s="143"/>
      <c r="C30" s="159" t="s">
        <v>177</v>
      </c>
      <c r="I30" s="141"/>
    </row>
    <row r="31" spans="1:13">
      <c r="A31" s="143">
        <v>19</v>
      </c>
      <c r="C31" s="158" t="s">
        <v>124</v>
      </c>
      <c r="E31" s="168">
        <v>2033.0541288685467</v>
      </c>
      <c r="G31" s="169">
        <v>9863.2921466636217</v>
      </c>
      <c r="I31" s="208">
        <f t="shared" ref="I31:I42" si="3">$I$57 * G31/$G$57</f>
        <v>2172.8206690445058</v>
      </c>
      <c r="K31" s="169">
        <f t="shared" ref="K31:K42" si="4">G31 + I31</f>
        <v>12036.112815708128</v>
      </c>
      <c r="M31" s="168">
        <v>2497.4091564697264</v>
      </c>
    </row>
    <row r="32" spans="1:13">
      <c r="A32" s="143">
        <v>20</v>
      </c>
      <c r="C32" s="158" t="s">
        <v>125</v>
      </c>
      <c r="E32" s="168">
        <v>775.9686179721092</v>
      </c>
      <c r="G32" s="169">
        <v>3764.5850481911079</v>
      </c>
      <c r="I32" s="208">
        <f t="shared" si="3"/>
        <v>829.31419666530428</v>
      </c>
      <c r="K32" s="169">
        <f t="shared" si="4"/>
        <v>4593.8992448564122</v>
      </c>
      <c r="M32" s="168">
        <v>953.2019360129915</v>
      </c>
    </row>
    <row r="33" spans="1:13">
      <c r="A33" s="143">
        <v>21</v>
      </c>
      <c r="C33" s="158" t="s">
        <v>644</v>
      </c>
      <c r="E33" s="168">
        <v>563.17446288753706</v>
      </c>
      <c r="G33" s="169">
        <v>2732.221527270171</v>
      </c>
      <c r="I33" s="208">
        <f t="shared" si="3"/>
        <v>601.89106421927397</v>
      </c>
      <c r="K33" s="169">
        <f t="shared" si="4"/>
        <v>3334.1125914894451</v>
      </c>
      <c r="M33" s="168">
        <v>691.80502394591952</v>
      </c>
    </row>
    <row r="34" spans="1:13">
      <c r="A34" s="143">
        <v>22</v>
      </c>
      <c r="C34" s="158" t="s">
        <v>645</v>
      </c>
      <c r="E34" s="168">
        <v>0.17679428565583963</v>
      </c>
      <c r="G34" s="169">
        <v>0.85771139318101097</v>
      </c>
      <c r="I34" s="208">
        <f t="shared" si="3"/>
        <v>0.1889483770192352</v>
      </c>
      <c r="K34" s="169">
        <f t="shared" si="4"/>
        <v>1.0466597702002463</v>
      </c>
      <c r="M34" s="168">
        <v>0.21717457569815968</v>
      </c>
    </row>
    <row r="35" spans="1:13">
      <c r="A35" s="143">
        <v>23</v>
      </c>
      <c r="C35" s="158" t="s">
        <v>1447</v>
      </c>
      <c r="E35" s="168">
        <v>3.917595260881924</v>
      </c>
      <c r="G35" s="169">
        <v>19.006078599573634</v>
      </c>
      <c r="I35" s="208">
        <f t="shared" si="3"/>
        <v>4.1869185059683334</v>
      </c>
      <c r="K35" s="169">
        <f t="shared" si="4"/>
        <v>23.192997105541966</v>
      </c>
      <c r="M35" s="168">
        <v>4.8123845484202192</v>
      </c>
    </row>
    <row r="36" spans="1:13">
      <c r="A36" s="143">
        <v>24</v>
      </c>
      <c r="C36" s="158" t="s">
        <v>676</v>
      </c>
      <c r="E36" s="168">
        <v>44.077920403529298</v>
      </c>
      <c r="G36" s="169">
        <v>213.8425140698775</v>
      </c>
      <c r="I36" s="208">
        <f t="shared" si="3"/>
        <v>47.108148839395469</v>
      </c>
      <c r="K36" s="169">
        <f t="shared" si="4"/>
        <v>260.95066290927298</v>
      </c>
      <c r="M36" s="168">
        <v>54.145435899033778</v>
      </c>
    </row>
    <row r="37" spans="1:13">
      <c r="A37" s="143">
        <v>25</v>
      </c>
      <c r="C37" s="158" t="s">
        <v>646</v>
      </c>
      <c r="E37" s="168">
        <v>603.10218693489446</v>
      </c>
      <c r="G37" s="169">
        <v>2925.9295065307251</v>
      </c>
      <c r="I37" s="208">
        <f t="shared" si="3"/>
        <v>644.56370281069485</v>
      </c>
      <c r="K37" s="169">
        <f t="shared" si="4"/>
        <v>3570.49320934142</v>
      </c>
      <c r="M37" s="168">
        <v>740.85234748587925</v>
      </c>
    </row>
    <row r="38" spans="1:13">
      <c r="A38" s="143">
        <v>26</v>
      </c>
      <c r="C38" s="158" t="s">
        <v>647</v>
      </c>
      <c r="E38" s="168">
        <v>62.268746754492533</v>
      </c>
      <c r="G38" s="169">
        <v>302.09468214600764</v>
      </c>
      <c r="I38" s="208">
        <f t="shared" si="3"/>
        <v>66.549541432503361</v>
      </c>
      <c r="K38" s="169">
        <f t="shared" si="4"/>
        <v>368.644223578511</v>
      </c>
      <c r="M38" s="168">
        <v>76.491095882975983</v>
      </c>
    </row>
    <row r="39" spans="1:13">
      <c r="A39" s="143">
        <v>27</v>
      </c>
      <c r="C39" s="158" t="s">
        <v>129</v>
      </c>
      <c r="E39" s="168">
        <v>53.547075007156863</v>
      </c>
      <c r="G39" s="169">
        <v>259.78179178575493</v>
      </c>
      <c r="I39" s="208">
        <f t="shared" si="3"/>
        <v>57.228280196936041</v>
      </c>
      <c r="K39" s="169">
        <f t="shared" si="4"/>
        <v>317.01007198269099</v>
      </c>
      <c r="M39" s="168">
        <v>65.777370865904487</v>
      </c>
    </row>
    <row r="40" spans="1:13">
      <c r="A40" s="143">
        <v>28</v>
      </c>
      <c r="C40" s="158" t="s">
        <v>1448</v>
      </c>
      <c r="E40" s="168">
        <v>154.05655875252384</v>
      </c>
      <c r="G40" s="169">
        <v>742.46629405581803</v>
      </c>
      <c r="I40" s="208">
        <f t="shared" si="3"/>
        <v>163.56061300881748</v>
      </c>
      <c r="K40" s="169">
        <f t="shared" si="4"/>
        <v>906.02690706463545</v>
      </c>
      <c r="M40" s="168">
        <v>187.99424102756242</v>
      </c>
    </row>
    <row r="41" spans="1:13">
      <c r="A41" s="143">
        <v>29</v>
      </c>
      <c r="C41" s="158" t="s">
        <v>133</v>
      </c>
      <c r="E41" s="168">
        <v>2565.4189413444342</v>
      </c>
      <c r="G41" s="169">
        <v>12363.881872373691</v>
      </c>
      <c r="I41" s="208">
        <f t="shared" si="3"/>
        <v>2723.684717278245</v>
      </c>
      <c r="K41" s="169">
        <f t="shared" si="4"/>
        <v>15087.566589651937</v>
      </c>
      <c r="M41" s="168">
        <v>3130.5644543866492</v>
      </c>
    </row>
    <row r="42" spans="1:13">
      <c r="A42" s="143">
        <v>30</v>
      </c>
      <c r="C42" s="158" t="s">
        <v>134</v>
      </c>
      <c r="E42" s="168">
        <v>163.59611982924099</v>
      </c>
      <c r="G42" s="169">
        <v>788.44163335264807</v>
      </c>
      <c r="I42" s="208">
        <f t="shared" si="3"/>
        <v>173.6886885038009</v>
      </c>
      <c r="K42" s="169">
        <f t="shared" si="4"/>
        <v>962.13032185644897</v>
      </c>
      <c r="M42" s="168">
        <v>199.63530687296014</v>
      </c>
    </row>
    <row r="43" spans="1:13">
      <c r="A43" s="143">
        <v>31</v>
      </c>
      <c r="C43" s="158" t="s">
        <v>490</v>
      </c>
      <c r="E43" s="170">
        <f>SUM(E31:E42)</f>
        <v>7022.3591483010023</v>
      </c>
      <c r="G43" s="170">
        <f>SUM(G31:G42)</f>
        <v>33976.400806432175</v>
      </c>
      <c r="I43" s="209">
        <f>SUM(I31:I42)</f>
        <v>7484.785488882465</v>
      </c>
      <c r="K43" s="170">
        <f>SUM(K31:K42)</f>
        <v>41461.186295314641</v>
      </c>
      <c r="M43" s="170">
        <f>SUM(M31:M42)</f>
        <v>8602.9059279737212</v>
      </c>
    </row>
    <row r="44" spans="1:13">
      <c r="A44" s="213"/>
      <c r="I44" s="141"/>
    </row>
    <row r="45" spans="1:13">
      <c r="A45" s="143"/>
      <c r="C45" s="159" t="s">
        <v>652</v>
      </c>
      <c r="E45" s="168"/>
      <c r="I45" s="141"/>
    </row>
    <row r="46" spans="1:13">
      <c r="A46" s="143">
        <v>32</v>
      </c>
      <c r="C46" s="158" t="s">
        <v>97</v>
      </c>
      <c r="E46" s="168">
        <v>0</v>
      </c>
      <c r="G46" s="169">
        <v>0</v>
      </c>
      <c r="I46" s="208">
        <f t="shared" ref="I46:I54" si="5">$I$57 * G46/$G$57</f>
        <v>0</v>
      </c>
      <c r="K46" s="169">
        <f t="shared" ref="K46:K54" si="6">G46 + I46</f>
        <v>0</v>
      </c>
      <c r="M46" s="168">
        <v>0</v>
      </c>
    </row>
    <row r="47" spans="1:13">
      <c r="A47" s="143">
        <v>33</v>
      </c>
      <c r="C47" s="158" t="s">
        <v>98</v>
      </c>
      <c r="E47" s="168">
        <v>0</v>
      </c>
      <c r="G47" s="169">
        <v>0</v>
      </c>
      <c r="I47" s="208">
        <f>$I$57 * G47/$G$57</f>
        <v>0</v>
      </c>
      <c r="K47" s="169">
        <f t="shared" si="6"/>
        <v>0</v>
      </c>
      <c r="M47" s="168">
        <v>0</v>
      </c>
    </row>
    <row r="48" spans="1:13">
      <c r="A48" s="143">
        <v>34</v>
      </c>
      <c r="C48" s="158" t="s">
        <v>99</v>
      </c>
      <c r="E48" s="168">
        <v>0</v>
      </c>
      <c r="G48" s="169">
        <v>0</v>
      </c>
      <c r="I48" s="208">
        <f t="shared" si="5"/>
        <v>0</v>
      </c>
      <c r="K48" s="169">
        <f t="shared" si="6"/>
        <v>0</v>
      </c>
      <c r="M48" s="168">
        <v>0</v>
      </c>
    </row>
    <row r="49" spans="1:15">
      <c r="A49" s="143">
        <v>35</v>
      </c>
      <c r="C49" s="158" t="s">
        <v>653</v>
      </c>
      <c r="E49" s="168">
        <v>2356.8045680071191</v>
      </c>
      <c r="G49" s="169">
        <v>11358.47748120235</v>
      </c>
      <c r="I49" s="208">
        <f t="shared" si="5"/>
        <v>2502.2005100377492</v>
      </c>
      <c r="K49" s="169">
        <f t="shared" si="6"/>
        <v>13860.6779912401</v>
      </c>
      <c r="M49" s="168">
        <v>2875.9936584363822</v>
      </c>
    </row>
    <row r="50" spans="1:15">
      <c r="A50" s="143">
        <v>36</v>
      </c>
      <c r="C50" s="158" t="s">
        <v>654</v>
      </c>
      <c r="E50" s="168">
        <v>410.98500000000001</v>
      </c>
      <c r="G50" s="169">
        <v>2019.8184455586095</v>
      </c>
      <c r="I50" s="208">
        <f t="shared" si="5"/>
        <v>444.95318611358624</v>
      </c>
      <c r="K50" s="169">
        <f t="shared" si="6"/>
        <v>2464.7716316721958</v>
      </c>
      <c r="M50" s="168">
        <v>511.42286017055892</v>
      </c>
    </row>
    <row r="51" spans="1:15">
      <c r="A51" s="143">
        <v>37</v>
      </c>
      <c r="C51" s="158" t="s">
        <v>136</v>
      </c>
      <c r="E51" s="168">
        <v>3367.7501347010402</v>
      </c>
      <c r="G51" s="169">
        <v>16230.668671719241</v>
      </c>
      <c r="I51" s="208">
        <f t="shared" si="5"/>
        <v>3575.5133111669984</v>
      </c>
      <c r="K51" s="169">
        <f t="shared" si="6"/>
        <v>19806.181982886239</v>
      </c>
      <c r="M51" s="168">
        <v>4109.6441181750142</v>
      </c>
    </row>
    <row r="52" spans="1:15">
      <c r="A52" s="143">
        <v>38</v>
      </c>
      <c r="C52" s="158" t="s">
        <v>137</v>
      </c>
      <c r="E52" s="168">
        <v>43.120009500000002</v>
      </c>
      <c r="G52" s="169">
        <v>212.0937576339133</v>
      </c>
      <c r="I52" s="208">
        <f t="shared" si="5"/>
        <v>46.72290889387962</v>
      </c>
      <c r="K52" s="169">
        <f t="shared" si="6"/>
        <v>258.8166665277929</v>
      </c>
      <c r="M52" s="168">
        <v>53.702646587851333</v>
      </c>
    </row>
    <row r="53" spans="1:15">
      <c r="A53" s="143">
        <v>39</v>
      </c>
      <c r="C53" s="158" t="s">
        <v>138</v>
      </c>
      <c r="E53" s="168">
        <v>99.780409569172775</v>
      </c>
      <c r="G53" s="169">
        <v>481.25958503874836</v>
      </c>
      <c r="I53" s="208">
        <f t="shared" si="5"/>
        <v>106.01843258811837</v>
      </c>
      <c r="K53" s="169">
        <f t="shared" si="6"/>
        <v>587.2780176268667</v>
      </c>
      <c r="M53" s="168">
        <v>121.85607771145145</v>
      </c>
    </row>
    <row r="54" spans="1:15">
      <c r="A54" s="143">
        <v>40</v>
      </c>
      <c r="C54" s="158" t="s">
        <v>140</v>
      </c>
      <c r="E54" s="168">
        <v>11.973151205783873</v>
      </c>
      <c r="G54" s="169">
        <v>57.703880158771007</v>
      </c>
      <c r="I54" s="208">
        <f t="shared" si="5"/>
        <v>12.711798619435212</v>
      </c>
      <c r="K54" s="169">
        <f t="shared" si="6"/>
        <v>70.415678778206214</v>
      </c>
      <c r="M54" s="168">
        <v>14.610760436726341</v>
      </c>
    </row>
    <row r="55" spans="1:15">
      <c r="A55" s="143">
        <v>41</v>
      </c>
      <c r="C55" s="158" t="s">
        <v>655</v>
      </c>
      <c r="E55" s="170">
        <f>SUM(E46:E54)</f>
        <v>6290.4132729831172</v>
      </c>
      <c r="G55" s="170">
        <f>SUM(G46:G54)</f>
        <v>30360.021821311628</v>
      </c>
      <c r="I55" s="209">
        <f>SUM(I46:I54)</f>
        <v>6688.1201474197669</v>
      </c>
      <c r="K55" s="170">
        <f>SUM(K46:K54)</f>
        <v>37048.141968731397</v>
      </c>
      <c r="M55" s="170">
        <f>SUM(M46:M54)</f>
        <v>7687.230121517985</v>
      </c>
    </row>
    <row r="56" spans="1:15">
      <c r="A56" s="143"/>
      <c r="E56" s="169"/>
      <c r="F56" s="169"/>
      <c r="G56" s="169"/>
      <c r="I56" s="141"/>
    </row>
    <row r="57" spans="1:15" ht="13.5" thickBot="1">
      <c r="A57" s="143">
        <v>42</v>
      </c>
      <c r="C57" s="158" t="s">
        <v>100</v>
      </c>
      <c r="E57" s="227">
        <f>E55 + E43 + E28 + E20</f>
        <v>44447.217232064504</v>
      </c>
      <c r="G57" s="227">
        <f>G55 + G43 + G28 + G20</f>
        <v>199690.79179048617</v>
      </c>
      <c r="I57" s="227">
        <f>K57-G57</f>
        <v>43990.614225798898</v>
      </c>
      <c r="J57" s="226"/>
      <c r="K57" s="227">
        <v>243681.40601628507</v>
      </c>
      <c r="L57" s="226"/>
      <c r="M57" s="227">
        <v>50562.236123441275</v>
      </c>
    </row>
    <row r="58" spans="1:15" ht="13.5" thickTop="1">
      <c r="E58" s="169"/>
      <c r="F58" s="169"/>
      <c r="G58" s="169"/>
      <c r="K58" s="169"/>
      <c r="O58" s="169"/>
    </row>
    <row r="59" spans="1:15">
      <c r="A59" s="204" t="s">
        <v>39</v>
      </c>
    </row>
    <row r="60" spans="1:15" ht="58.5" customHeight="1">
      <c r="A60" s="206" t="s">
        <v>40</v>
      </c>
      <c r="C60" s="1347" t="s">
        <v>1476</v>
      </c>
      <c r="D60" s="1347"/>
      <c r="E60" s="1347"/>
      <c r="F60" s="1347"/>
      <c r="G60" s="1347"/>
      <c r="H60" s="1347"/>
      <c r="I60" s="1347"/>
      <c r="J60" s="1347"/>
      <c r="K60" s="1347"/>
      <c r="L60" s="1347"/>
      <c r="M60" s="1347"/>
    </row>
    <row r="61" spans="1:15" ht="28.5" customHeight="1">
      <c r="A61" s="206" t="s">
        <v>42</v>
      </c>
      <c r="C61" s="1347" t="s">
        <v>1477</v>
      </c>
      <c r="D61" s="1347"/>
      <c r="E61" s="1347"/>
      <c r="F61" s="1347"/>
      <c r="G61" s="1347"/>
      <c r="H61" s="1347"/>
      <c r="I61" s="1347"/>
      <c r="J61" s="1347"/>
      <c r="K61" s="1347"/>
      <c r="L61" s="1347"/>
      <c r="M61" s="1347"/>
    </row>
    <row r="62" spans="1:15" ht="30" customHeight="1">
      <c r="A62" s="206" t="s">
        <v>44</v>
      </c>
      <c r="C62" s="1347" t="s">
        <v>1478</v>
      </c>
      <c r="D62" s="1347"/>
      <c r="E62" s="1347"/>
      <c r="F62" s="1347"/>
      <c r="G62" s="1347"/>
      <c r="H62" s="1347"/>
      <c r="I62" s="1347"/>
      <c r="J62" s="1347"/>
      <c r="K62" s="1347"/>
      <c r="L62" s="1347"/>
      <c r="M62" s="1347"/>
    </row>
    <row r="63" spans="1:15">
      <c r="A63" s="146"/>
    </row>
  </sheetData>
  <mergeCells count="6">
    <mergeCell ref="A2:M2"/>
    <mergeCell ref="C60:M60"/>
    <mergeCell ref="C61:M61"/>
    <mergeCell ref="C62:M62"/>
    <mergeCell ref="E4:G4"/>
    <mergeCell ref="K4:M4"/>
  </mergeCells>
  <pageMargins left="0.7" right="0.7" top="0.75" bottom="0.75" header="0.3" footer="0.3"/>
  <pageSetup scale="72" firstPageNumber="4" orientation="portrait" useFirstPageNumber="1" horizontalDpi="1200" verticalDpi="1200" r:id="rId1"/>
  <headerFooter>
    <oddHeader>&amp;R&amp;10Filed: 2024-02-16
EB-2022-0200
Rate Order
Working Papers
Schedule 23
Page &amp;P of 5</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52322-6988-4273-873D-9D38493C86E9}">
  <sheetPr>
    <pageSetUpPr fitToPage="1"/>
  </sheetPr>
  <dimension ref="A1:O65"/>
  <sheetViews>
    <sheetView view="pageBreakPreview" zoomScaleNormal="85" zoomScaleSheetLayoutView="100" workbookViewId="0">
      <selection activeCell="N61" sqref="N61"/>
    </sheetView>
  </sheetViews>
  <sheetFormatPr defaultColWidth="8.625" defaultRowHeight="12.75"/>
  <cols>
    <col min="1" max="1" width="5.625" style="142" customWidth="1"/>
    <col min="2" max="2" width="3.125" style="203" customWidth="1"/>
    <col min="3" max="3" width="22.125" style="203" customWidth="1"/>
    <col min="4" max="4" width="1.625" style="203" customWidth="1"/>
    <col min="5" max="5" width="12.5" style="203" customWidth="1"/>
    <col min="6" max="6" width="1.125" style="203" customWidth="1"/>
    <col min="7" max="7" width="14.625" style="203" customWidth="1"/>
    <col min="8" max="8" width="1.5" style="203" customWidth="1"/>
    <col min="9" max="9" width="13.5" style="203" customWidth="1"/>
    <col min="10" max="10" width="1.625" style="203" customWidth="1"/>
    <col min="11" max="11" width="15.125" style="203" customWidth="1"/>
    <col min="12" max="12" width="1.625" style="203" customWidth="1"/>
    <col min="13" max="13" width="14" style="203" customWidth="1"/>
    <col min="14" max="16384" width="8.625" style="203"/>
  </cols>
  <sheetData>
    <row r="1" spans="1:14" ht="77.25" customHeight="1"/>
    <row r="2" spans="1:14">
      <c r="A2" s="1302" t="s">
        <v>1479</v>
      </c>
      <c r="B2" s="1302"/>
      <c r="C2" s="1302"/>
      <c r="D2" s="1302"/>
      <c r="E2" s="1302"/>
      <c r="F2" s="1302"/>
      <c r="G2" s="1302"/>
      <c r="H2" s="1302"/>
      <c r="I2" s="1302"/>
      <c r="J2" s="1302"/>
      <c r="K2" s="1302"/>
      <c r="L2" s="1302"/>
      <c r="M2" s="1302"/>
    </row>
    <row r="3" spans="1:14">
      <c r="A3" s="204"/>
    </row>
    <row r="4" spans="1:14">
      <c r="C4" s="158"/>
      <c r="D4" s="158"/>
      <c r="E4" s="1348" t="s">
        <v>1453</v>
      </c>
      <c r="F4" s="1348"/>
      <c r="G4" s="1348"/>
      <c r="H4" s="158"/>
      <c r="I4" s="142" t="s">
        <v>1454</v>
      </c>
      <c r="J4" s="200"/>
      <c r="K4" s="1348" t="s">
        <v>1467</v>
      </c>
      <c r="L4" s="1348"/>
      <c r="M4" s="1348"/>
    </row>
    <row r="5" spans="1:14">
      <c r="A5" s="142" t="s">
        <v>1</v>
      </c>
      <c r="D5" s="158"/>
      <c r="E5" s="200" t="s">
        <v>503</v>
      </c>
      <c r="F5" s="200"/>
      <c r="G5" s="200" t="s">
        <v>1455</v>
      </c>
      <c r="H5" s="158"/>
      <c r="I5" s="200" t="s">
        <v>1088</v>
      </c>
      <c r="J5" s="200"/>
      <c r="K5" s="200" t="s">
        <v>1455</v>
      </c>
      <c r="L5" s="158"/>
      <c r="M5" s="200" t="s">
        <v>503</v>
      </c>
    </row>
    <row r="6" spans="1:14" ht="14.25">
      <c r="A6" s="205" t="s">
        <v>2</v>
      </c>
      <c r="C6" s="160" t="s">
        <v>75</v>
      </c>
      <c r="D6" s="158"/>
      <c r="E6" s="161" t="s">
        <v>20</v>
      </c>
      <c r="F6" s="158"/>
      <c r="G6" s="161" t="s">
        <v>1457</v>
      </c>
      <c r="H6" s="158"/>
      <c r="I6" s="161" t="s">
        <v>1457</v>
      </c>
      <c r="J6" s="158"/>
      <c r="K6" s="161" t="s">
        <v>1457</v>
      </c>
      <c r="L6" s="158"/>
      <c r="M6" s="161" t="s">
        <v>20</v>
      </c>
    </row>
    <row r="7" spans="1:14" ht="25.5">
      <c r="C7" s="158"/>
      <c r="D7" s="158"/>
      <c r="E7" s="162" t="s">
        <v>8</v>
      </c>
      <c r="F7" s="163"/>
      <c r="G7" s="164" t="s">
        <v>1468</v>
      </c>
      <c r="H7" s="163"/>
      <c r="I7" s="162" t="s">
        <v>1480</v>
      </c>
      <c r="J7" s="163"/>
      <c r="K7" s="165" t="s">
        <v>1460</v>
      </c>
      <c r="L7" s="163"/>
      <c r="M7" s="165" t="s">
        <v>1470</v>
      </c>
      <c r="N7" s="203" t="s">
        <v>38</v>
      </c>
    </row>
    <row r="8" spans="1:14">
      <c r="C8" s="159" t="s">
        <v>11</v>
      </c>
      <c r="D8" s="158"/>
      <c r="E8" s="162"/>
      <c r="F8" s="163"/>
      <c r="G8" s="165"/>
      <c r="H8" s="163"/>
      <c r="I8" s="162"/>
      <c r="J8" s="163"/>
      <c r="K8" s="165"/>
      <c r="L8" s="163"/>
      <c r="M8" s="165"/>
    </row>
    <row r="9" spans="1:14">
      <c r="A9" s="143">
        <v>1</v>
      </c>
      <c r="C9" s="158" t="s">
        <v>86</v>
      </c>
      <c r="D9" s="158"/>
      <c r="E9" s="168">
        <v>5985.1968992662751</v>
      </c>
      <c r="F9" s="158"/>
      <c r="G9" s="169">
        <v>25905.34536842498</v>
      </c>
      <c r="H9" s="158"/>
      <c r="I9" s="169">
        <f t="shared" ref="I9:I19" si="0">$I$57 * G9/$G$57</f>
        <v>-142.00377679657478</v>
      </c>
      <c r="J9" s="158"/>
      <c r="K9" s="169">
        <f>G9 + I9</f>
        <v>25763.341591628407</v>
      </c>
      <c r="L9" s="158"/>
      <c r="M9" s="168">
        <v>5345.7130368717526</v>
      </c>
    </row>
    <row r="10" spans="1:14">
      <c r="A10" s="143">
        <v>2</v>
      </c>
      <c r="C10" s="158" t="s">
        <v>87</v>
      </c>
      <c r="D10" s="158"/>
      <c r="E10" s="168">
        <v>4882.6596804294222</v>
      </c>
      <c r="F10" s="158"/>
      <c r="G10" s="169">
        <v>21133.303960896214</v>
      </c>
      <c r="H10" s="158"/>
      <c r="I10" s="169">
        <f t="shared" si="0"/>
        <v>-115.84516384387175</v>
      </c>
      <c r="J10" s="158"/>
      <c r="K10" s="169">
        <f t="shared" ref="K10:K19" si="1">G10 + I10</f>
        <v>21017.458797052343</v>
      </c>
      <c r="L10" s="158"/>
      <c r="M10" s="168">
        <v>4360.9755781767817</v>
      </c>
    </row>
    <row r="11" spans="1:14">
      <c r="A11" s="143">
        <v>3</v>
      </c>
      <c r="C11" s="158" t="s">
        <v>88</v>
      </c>
      <c r="D11" s="158"/>
      <c r="E11" s="168">
        <v>0</v>
      </c>
      <c r="F11" s="158"/>
      <c r="G11" s="169">
        <v>0</v>
      </c>
      <c r="H11" s="158"/>
      <c r="I11" s="169">
        <f t="shared" si="0"/>
        <v>0</v>
      </c>
      <c r="J11" s="158"/>
      <c r="K11" s="169">
        <f t="shared" si="1"/>
        <v>0</v>
      </c>
      <c r="L11" s="158"/>
      <c r="M11" s="168">
        <v>0</v>
      </c>
    </row>
    <row r="12" spans="1:14">
      <c r="A12" s="143">
        <v>4</v>
      </c>
      <c r="C12" s="158" t="s">
        <v>89</v>
      </c>
      <c r="D12" s="158"/>
      <c r="E12" s="168">
        <v>143.22101713704333</v>
      </c>
      <c r="F12" s="158"/>
      <c r="G12" s="169">
        <v>619.89437864726744</v>
      </c>
      <c r="H12" s="158"/>
      <c r="I12" s="169">
        <f t="shared" si="0"/>
        <v>-3.3980378076785303</v>
      </c>
      <c r="J12" s="158"/>
      <c r="K12" s="169">
        <f t="shared" si="1"/>
        <v>616.49634083958892</v>
      </c>
      <c r="L12" s="158"/>
      <c r="M12" s="168">
        <v>127.91867524982882</v>
      </c>
    </row>
    <row r="13" spans="1:14">
      <c r="A13" s="143">
        <v>5</v>
      </c>
      <c r="C13" s="158" t="s">
        <v>90</v>
      </c>
      <c r="D13" s="158"/>
      <c r="E13" s="168">
        <v>20.314503846852869</v>
      </c>
      <c r="F13" s="158"/>
      <c r="G13" s="169">
        <v>87.925969186650292</v>
      </c>
      <c r="H13" s="158"/>
      <c r="I13" s="169">
        <f t="shared" si="0"/>
        <v>-0.48197850773385481</v>
      </c>
      <c r="J13" s="158"/>
      <c r="K13" s="169">
        <f t="shared" si="1"/>
        <v>87.443990678916435</v>
      </c>
      <c r="L13" s="158"/>
      <c r="M13" s="168">
        <v>18.144015957940407</v>
      </c>
    </row>
    <row r="14" spans="1:14">
      <c r="A14" s="143">
        <v>6</v>
      </c>
      <c r="C14" s="158" t="s">
        <v>91</v>
      </c>
      <c r="D14" s="158"/>
      <c r="E14" s="168">
        <v>0</v>
      </c>
      <c r="F14" s="158"/>
      <c r="G14" s="169">
        <v>0</v>
      </c>
      <c r="H14" s="158"/>
      <c r="I14" s="169">
        <f t="shared" si="0"/>
        <v>0</v>
      </c>
      <c r="J14" s="158"/>
      <c r="K14" s="169">
        <f t="shared" si="1"/>
        <v>0</v>
      </c>
      <c r="L14" s="158"/>
      <c r="M14" s="168">
        <v>0</v>
      </c>
    </row>
    <row r="15" spans="1:14">
      <c r="A15" s="143">
        <v>7</v>
      </c>
      <c r="C15" s="158" t="s">
        <v>92</v>
      </c>
      <c r="D15" s="158"/>
      <c r="E15" s="168">
        <v>0</v>
      </c>
      <c r="F15" s="158"/>
      <c r="G15" s="169">
        <v>0</v>
      </c>
      <c r="H15" s="158"/>
      <c r="I15" s="169">
        <f t="shared" si="0"/>
        <v>0</v>
      </c>
      <c r="J15" s="158"/>
      <c r="K15" s="169">
        <f t="shared" si="1"/>
        <v>0</v>
      </c>
      <c r="L15" s="158"/>
      <c r="M15" s="168">
        <v>0</v>
      </c>
    </row>
    <row r="16" spans="1:14">
      <c r="A16" s="143">
        <v>8</v>
      </c>
      <c r="C16" s="158" t="s">
        <v>93</v>
      </c>
      <c r="D16" s="158"/>
      <c r="E16" s="168">
        <v>4.4912034239250485</v>
      </c>
      <c r="F16" s="158"/>
      <c r="G16" s="169">
        <v>19.438988854467599</v>
      </c>
      <c r="H16" s="158"/>
      <c r="I16" s="169">
        <f t="shared" si="0"/>
        <v>-0.1065575384223782</v>
      </c>
      <c r="J16" s="158"/>
      <c r="K16" s="169">
        <f t="shared" si="1"/>
        <v>19.33243131604522</v>
      </c>
      <c r="L16" s="158"/>
      <c r="M16" s="168">
        <v>4.0113441710601707</v>
      </c>
    </row>
    <row r="17" spans="1:13">
      <c r="A17" s="143">
        <v>9</v>
      </c>
      <c r="C17" s="158" t="s">
        <v>94</v>
      </c>
      <c r="D17" s="158"/>
      <c r="E17" s="168">
        <v>41.417029465537894</v>
      </c>
      <c r="F17" s="158"/>
      <c r="G17" s="169">
        <v>179.26268266471274</v>
      </c>
      <c r="H17" s="158"/>
      <c r="I17" s="169">
        <f t="shared" si="0"/>
        <v>-0.98265348772776395</v>
      </c>
      <c r="J17" s="158"/>
      <c r="K17" s="169">
        <f t="shared" si="1"/>
        <v>178.28002917698498</v>
      </c>
      <c r="L17" s="158"/>
      <c r="M17" s="168">
        <v>36.991858094020145</v>
      </c>
    </row>
    <row r="18" spans="1:13">
      <c r="A18" s="143">
        <v>10</v>
      </c>
      <c r="C18" s="158" t="s">
        <v>95</v>
      </c>
      <c r="D18" s="158"/>
      <c r="E18" s="168">
        <v>150.91966472771608</v>
      </c>
      <c r="F18" s="158"/>
      <c r="G18" s="169">
        <v>653.21594317768745</v>
      </c>
      <c r="H18" s="158"/>
      <c r="I18" s="169">
        <f t="shared" si="0"/>
        <v>-3.5806946279137013</v>
      </c>
      <c r="J18" s="158"/>
      <c r="K18" s="169">
        <f t="shared" si="1"/>
        <v>649.63524854977379</v>
      </c>
      <c r="L18" s="158"/>
      <c r="M18" s="168">
        <v>134.79476662733822</v>
      </c>
    </row>
    <row r="19" spans="1:13">
      <c r="A19" s="143">
        <v>11</v>
      </c>
      <c r="C19" s="158" t="s">
        <v>96</v>
      </c>
      <c r="D19" s="158"/>
      <c r="E19" s="168">
        <v>0</v>
      </c>
      <c r="F19" s="158"/>
      <c r="G19" s="169">
        <v>0</v>
      </c>
      <c r="H19" s="158"/>
      <c r="I19" s="169">
        <f t="shared" si="0"/>
        <v>0</v>
      </c>
      <c r="J19" s="158"/>
      <c r="K19" s="169">
        <f t="shared" si="1"/>
        <v>0</v>
      </c>
      <c r="L19" s="158"/>
      <c r="M19" s="168">
        <v>0</v>
      </c>
    </row>
    <row r="20" spans="1:13">
      <c r="A20" s="143">
        <v>12</v>
      </c>
      <c r="C20" s="158" t="s">
        <v>467</v>
      </c>
      <c r="D20" s="158"/>
      <c r="E20" s="170">
        <f>SUM(E9:E19)</f>
        <v>11228.219998296772</v>
      </c>
      <c r="F20" s="158"/>
      <c r="G20" s="170">
        <f>SUM(G9:G19)</f>
        <v>48598.387291851985</v>
      </c>
      <c r="H20" s="158"/>
      <c r="I20" s="170">
        <f>SUM(I9:I19)</f>
        <v>-266.39886260992273</v>
      </c>
      <c r="J20" s="158"/>
      <c r="K20" s="170">
        <f>SUM(K9:K19)</f>
        <v>48331.988429242068</v>
      </c>
      <c r="L20" s="158"/>
      <c r="M20" s="170">
        <f>SUM(M9:M19)</f>
        <v>10028.549275148718</v>
      </c>
    </row>
    <row r="21" spans="1:13">
      <c r="A21" s="213"/>
      <c r="C21" s="158"/>
      <c r="D21" s="158"/>
      <c r="E21" s="158"/>
      <c r="F21" s="158"/>
      <c r="G21" s="158"/>
      <c r="H21" s="158"/>
      <c r="I21" s="158"/>
      <c r="J21" s="158"/>
      <c r="K21" s="158"/>
      <c r="L21" s="158"/>
      <c r="M21" s="158"/>
    </row>
    <row r="22" spans="1:13">
      <c r="A22" s="143"/>
      <c r="C22" s="159" t="s">
        <v>172</v>
      </c>
      <c r="D22" s="158"/>
      <c r="E22" s="158"/>
      <c r="F22" s="158"/>
      <c r="G22" s="158"/>
      <c r="H22" s="158"/>
      <c r="I22" s="158"/>
      <c r="J22" s="158"/>
      <c r="K22" s="158"/>
      <c r="L22" s="158"/>
      <c r="M22" s="158"/>
    </row>
    <row r="23" spans="1:13">
      <c r="A23" s="143">
        <v>13</v>
      </c>
      <c r="C23" s="158" t="s">
        <v>120</v>
      </c>
      <c r="D23" s="158"/>
      <c r="E23" s="168">
        <v>1855.1570796763663</v>
      </c>
      <c r="F23" s="158"/>
      <c r="G23" s="169">
        <v>9000.2307341333126</v>
      </c>
      <c r="H23" s="158"/>
      <c r="I23" s="169">
        <f>$I$57 * G23/$G$57</f>
        <v>-49.336024596889771</v>
      </c>
      <c r="J23" s="158"/>
      <c r="K23" s="169">
        <f>G23 + I23</f>
        <v>8950.8947095364219</v>
      </c>
      <c r="L23" s="158"/>
      <c r="M23" s="168">
        <v>1857.2479959658408</v>
      </c>
    </row>
    <row r="24" spans="1:13">
      <c r="A24" s="143">
        <v>14</v>
      </c>
      <c r="C24" s="158" t="s">
        <v>121</v>
      </c>
      <c r="D24" s="158"/>
      <c r="E24" s="168">
        <v>578.56725669838522</v>
      </c>
      <c r="F24" s="158"/>
      <c r="G24" s="169">
        <v>2806.8991367611907</v>
      </c>
      <c r="H24" s="158"/>
      <c r="I24" s="169">
        <f>$I$57 * G24/$G$57</f>
        <v>-15.386410520238066</v>
      </c>
      <c r="J24" s="158"/>
      <c r="K24" s="169">
        <f t="shared" ref="K24:K27" si="2">G24 + I24</f>
        <v>2791.5127262409528</v>
      </c>
      <c r="L24" s="158"/>
      <c r="M24" s="168">
        <v>579.21935010591403</v>
      </c>
    </row>
    <row r="25" spans="1:13">
      <c r="A25" s="143">
        <v>15</v>
      </c>
      <c r="C25" s="158" t="s">
        <v>122</v>
      </c>
      <c r="D25" s="158"/>
      <c r="E25" s="168">
        <v>166.77869668835763</v>
      </c>
      <c r="F25" s="158"/>
      <c r="G25" s="169">
        <v>809.12110795227795</v>
      </c>
      <c r="H25" s="158"/>
      <c r="I25" s="169">
        <f>$I$57 * G25/$G$57</f>
        <v>-4.4353106118051446</v>
      </c>
      <c r="J25" s="158"/>
      <c r="K25" s="169">
        <f t="shared" si="2"/>
        <v>804.68579734047285</v>
      </c>
      <c r="L25" s="158"/>
      <c r="M25" s="168">
        <v>166.96667014756673</v>
      </c>
    </row>
    <row r="26" spans="1:13">
      <c r="A26" s="143">
        <v>16</v>
      </c>
      <c r="C26" s="158" t="s">
        <v>123</v>
      </c>
      <c r="D26" s="158"/>
      <c r="E26" s="168">
        <v>0</v>
      </c>
      <c r="F26" s="158"/>
      <c r="G26" s="169">
        <v>0</v>
      </c>
      <c r="H26" s="158"/>
      <c r="I26" s="169">
        <f>$I$57 * G26/$G$57</f>
        <v>0</v>
      </c>
      <c r="J26" s="158"/>
      <c r="K26" s="169">
        <f t="shared" si="2"/>
        <v>0</v>
      </c>
      <c r="L26" s="158"/>
      <c r="M26" s="168">
        <v>0</v>
      </c>
    </row>
    <row r="27" spans="1:13">
      <c r="A27" s="143">
        <v>17</v>
      </c>
      <c r="C27" s="158" t="s">
        <v>88</v>
      </c>
      <c r="D27" s="158"/>
      <c r="E27" s="168">
        <v>0</v>
      </c>
      <c r="F27" s="158"/>
      <c r="G27" s="169">
        <v>0</v>
      </c>
      <c r="H27" s="158"/>
      <c r="I27" s="169">
        <f>$I$57 * G27/$G$57</f>
        <v>0</v>
      </c>
      <c r="J27" s="158"/>
      <c r="K27" s="169">
        <f t="shared" si="2"/>
        <v>0</v>
      </c>
      <c r="L27" s="158"/>
      <c r="M27" s="168">
        <v>0</v>
      </c>
    </row>
    <row r="28" spans="1:13">
      <c r="A28" s="143">
        <v>18</v>
      </c>
      <c r="C28" s="158" t="s">
        <v>475</v>
      </c>
      <c r="D28" s="158"/>
      <c r="E28" s="170">
        <f>SUM(E23:E27)</f>
        <v>2600.5030330631093</v>
      </c>
      <c r="F28" s="158"/>
      <c r="G28" s="170">
        <f>SUM(G23:G27)</f>
        <v>12616.250978846781</v>
      </c>
      <c r="H28" s="158"/>
      <c r="I28" s="170">
        <f>SUM(I23:I27)</f>
        <v>-69.157745728932994</v>
      </c>
      <c r="J28" s="158"/>
      <c r="K28" s="170">
        <f>SUM(K23:K27)</f>
        <v>12547.093233117848</v>
      </c>
      <c r="L28" s="158"/>
      <c r="M28" s="170">
        <f>SUM(M23:M27)</f>
        <v>2603.4340162193216</v>
      </c>
    </row>
    <row r="29" spans="1:13">
      <c r="A29" s="213"/>
      <c r="C29" s="158"/>
      <c r="D29" s="158"/>
      <c r="E29" s="158"/>
      <c r="F29" s="158"/>
      <c r="G29" s="158"/>
      <c r="H29" s="158"/>
      <c r="I29" s="158"/>
      <c r="J29" s="158"/>
      <c r="K29" s="158"/>
      <c r="L29" s="158"/>
      <c r="M29" s="158"/>
    </row>
    <row r="30" spans="1:13">
      <c r="A30" s="143"/>
      <c r="C30" s="159" t="s">
        <v>177</v>
      </c>
      <c r="D30" s="158"/>
      <c r="E30" s="158"/>
      <c r="F30" s="158"/>
      <c r="G30" s="158"/>
      <c r="H30" s="158"/>
      <c r="I30" s="158"/>
      <c r="J30" s="158"/>
      <c r="K30" s="158"/>
      <c r="L30" s="158"/>
      <c r="M30" s="158"/>
    </row>
    <row r="31" spans="1:13">
      <c r="A31" s="143">
        <v>19</v>
      </c>
      <c r="C31" s="158" t="s">
        <v>124</v>
      </c>
      <c r="D31" s="158"/>
      <c r="E31" s="168">
        <v>2183.0645940097743</v>
      </c>
      <c r="F31" s="158"/>
      <c r="G31" s="169">
        <v>10591.062756277575</v>
      </c>
      <c r="H31" s="158"/>
      <c r="I31" s="169">
        <f t="shared" ref="I31:I42" si="3">$I$57 * G31/$G$57</f>
        <v>-58.056393006598888</v>
      </c>
      <c r="J31" s="158"/>
      <c r="K31" s="169">
        <f t="shared" ref="K31:K42" si="4">G31 + I31</f>
        <v>10533.006363270977</v>
      </c>
      <c r="L31" s="158"/>
      <c r="M31" s="168">
        <v>2185.5250893341849</v>
      </c>
    </row>
    <row r="32" spans="1:13">
      <c r="A32" s="143">
        <v>20</v>
      </c>
      <c r="C32" s="158" t="s">
        <v>125</v>
      </c>
      <c r="D32" s="158"/>
      <c r="E32" s="168">
        <v>884.99160096949186</v>
      </c>
      <c r="F32" s="158"/>
      <c r="G32" s="169">
        <v>4293.5062986067942</v>
      </c>
      <c r="H32" s="158"/>
      <c r="I32" s="169">
        <f t="shared" si="3"/>
        <v>-23.535455769108548</v>
      </c>
      <c r="J32" s="158"/>
      <c r="K32" s="169">
        <f t="shared" si="4"/>
        <v>4269.9708428376853</v>
      </c>
      <c r="L32" s="158"/>
      <c r="M32" s="168">
        <v>885.98906009291989</v>
      </c>
    </row>
    <row r="33" spans="1:13">
      <c r="A33" s="143">
        <v>21</v>
      </c>
      <c r="C33" s="158" t="s">
        <v>644</v>
      </c>
      <c r="D33" s="158"/>
      <c r="E33" s="168">
        <v>649.88411438477726</v>
      </c>
      <c r="F33" s="158"/>
      <c r="G33" s="169">
        <v>3152.8904177382451</v>
      </c>
      <c r="H33" s="158"/>
      <c r="I33" s="169">
        <f t="shared" si="3"/>
        <v>-17.28301015782915</v>
      </c>
      <c r="J33" s="158"/>
      <c r="K33" s="169">
        <f t="shared" si="4"/>
        <v>3135.6074075804158</v>
      </c>
      <c r="L33" s="158"/>
      <c r="M33" s="168">
        <v>650.61658782108327</v>
      </c>
    </row>
    <row r="34" spans="1:13">
      <c r="A34" s="143">
        <v>22</v>
      </c>
      <c r="C34" s="158" t="s">
        <v>645</v>
      </c>
      <c r="D34" s="158"/>
      <c r="E34" s="168">
        <v>0.13488452849963448</v>
      </c>
      <c r="F34" s="158"/>
      <c r="G34" s="169">
        <v>0.65438764849673692</v>
      </c>
      <c r="H34" s="158"/>
      <c r="I34" s="169">
        <f t="shared" si="3"/>
        <v>-3.5871174946321841E-3</v>
      </c>
      <c r="J34" s="158"/>
      <c r="K34" s="169">
        <f t="shared" si="4"/>
        <v>0.65080053100210478</v>
      </c>
      <c r="L34" s="158"/>
      <c r="M34" s="168">
        <v>0.1350365545792197</v>
      </c>
    </row>
    <row r="35" spans="1:13">
      <c r="A35" s="143">
        <v>23</v>
      </c>
      <c r="C35" s="158" t="s">
        <v>1447</v>
      </c>
      <c r="D35" s="158"/>
      <c r="E35" s="168">
        <v>2.997899813752662</v>
      </c>
      <c r="F35" s="158"/>
      <c r="G35" s="169">
        <v>14.544207785518754</v>
      </c>
      <c r="H35" s="158"/>
      <c r="I35" s="169">
        <f t="shared" si="3"/>
        <v>-7.9726110834838118E-2</v>
      </c>
      <c r="J35" s="158"/>
      <c r="K35" s="169">
        <f t="shared" si="4"/>
        <v>14.464481674683917</v>
      </c>
      <c r="L35" s="158"/>
      <c r="M35" s="168">
        <v>3.00127869612519</v>
      </c>
    </row>
    <row r="36" spans="1:13">
      <c r="A36" s="143">
        <v>24</v>
      </c>
      <c r="C36" s="158" t="s">
        <v>676</v>
      </c>
      <c r="D36" s="158"/>
      <c r="E36" s="168">
        <v>33.629081894922024</v>
      </c>
      <c r="F36" s="158"/>
      <c r="G36" s="169">
        <v>163.15033360095001</v>
      </c>
      <c r="H36" s="158"/>
      <c r="I36" s="169">
        <f t="shared" si="3"/>
        <v>-0.89433139097209458</v>
      </c>
      <c r="J36" s="158"/>
      <c r="K36" s="169">
        <f t="shared" si="4"/>
        <v>162.25600220997791</v>
      </c>
      <c r="L36" s="158"/>
      <c r="M36" s="168">
        <v>33.666984666554946</v>
      </c>
    </row>
    <row r="37" spans="1:13">
      <c r="A37" s="143">
        <v>25</v>
      </c>
      <c r="C37" s="158" t="s">
        <v>646</v>
      </c>
      <c r="D37" s="158"/>
      <c r="E37" s="168">
        <v>876.18024926415137</v>
      </c>
      <c r="F37" s="158"/>
      <c r="G37" s="169">
        <v>4250.7583290162638</v>
      </c>
      <c r="H37" s="158"/>
      <c r="I37" s="169">
        <f t="shared" si="3"/>
        <v>-23.301126790053928</v>
      </c>
      <c r="J37" s="158"/>
      <c r="K37" s="169">
        <f t="shared" si="4"/>
        <v>4227.45720222621</v>
      </c>
      <c r="L37" s="158"/>
      <c r="M37" s="168">
        <v>877.16777726152293</v>
      </c>
    </row>
    <row r="38" spans="1:13">
      <c r="A38" s="143">
        <v>26</v>
      </c>
      <c r="C38" s="158" t="s">
        <v>647</v>
      </c>
      <c r="D38" s="158"/>
      <c r="E38" s="168">
        <v>90.463353034744088</v>
      </c>
      <c r="F38" s="158"/>
      <c r="G38" s="169">
        <v>438.87984430843568</v>
      </c>
      <c r="H38" s="158"/>
      <c r="I38" s="169">
        <f t="shared" si="3"/>
        <v>-2.4057812997796657</v>
      </c>
      <c r="J38" s="158"/>
      <c r="K38" s="169">
        <f t="shared" si="4"/>
        <v>436.474063008656</v>
      </c>
      <c r="L38" s="158"/>
      <c r="M38" s="168">
        <v>90.565312755855061</v>
      </c>
    </row>
    <row r="39" spans="1:13">
      <c r="A39" s="143">
        <v>27</v>
      </c>
      <c r="C39" s="158" t="s">
        <v>129</v>
      </c>
      <c r="D39" s="158"/>
      <c r="E39" s="168">
        <v>75.954499308342562</v>
      </c>
      <c r="F39" s="158"/>
      <c r="G39" s="169">
        <v>368.49063971979569</v>
      </c>
      <c r="H39" s="158"/>
      <c r="I39" s="169">
        <f t="shared" si="3"/>
        <v>-2.0199330219382579</v>
      </c>
      <c r="J39" s="158"/>
      <c r="K39" s="169">
        <f t="shared" si="4"/>
        <v>366.47070669785745</v>
      </c>
      <c r="L39" s="158"/>
      <c r="M39" s="168">
        <v>76.040106344858529</v>
      </c>
    </row>
    <row r="40" spans="1:13">
      <c r="A40" s="143">
        <v>28</v>
      </c>
      <c r="C40" s="158" t="s">
        <v>1448</v>
      </c>
      <c r="D40" s="158"/>
      <c r="E40" s="168">
        <v>244.41388709747616</v>
      </c>
      <c r="F40" s="158"/>
      <c r="G40" s="169">
        <v>1177.9379887392643</v>
      </c>
      <c r="H40" s="158"/>
      <c r="I40" s="169">
        <f t="shared" si="3"/>
        <v>-6.4570319698195426</v>
      </c>
      <c r="J40" s="158"/>
      <c r="K40" s="169">
        <f t="shared" si="4"/>
        <v>1171.4809567694447</v>
      </c>
      <c r="L40" s="158"/>
      <c r="M40" s="168">
        <v>243.07409816296237</v>
      </c>
    </row>
    <row r="41" spans="1:13">
      <c r="A41" s="143">
        <v>29</v>
      </c>
      <c r="C41" s="158" t="s">
        <v>133</v>
      </c>
      <c r="D41" s="158"/>
      <c r="E41" s="168">
        <v>1387.0988552155645</v>
      </c>
      <c r="F41" s="158"/>
      <c r="G41" s="169">
        <v>6685.0392794723903</v>
      </c>
      <c r="H41" s="158"/>
      <c r="I41" s="169">
        <f t="shared" si="3"/>
        <v>-36.644978563983877</v>
      </c>
      <c r="J41" s="158"/>
      <c r="K41" s="169">
        <f t="shared" si="4"/>
        <v>6648.394300908406</v>
      </c>
      <c r="L41" s="158"/>
      <c r="M41" s="168">
        <v>1379.4952786783879</v>
      </c>
    </row>
    <row r="42" spans="1:13">
      <c r="A42" s="143">
        <v>30</v>
      </c>
      <c r="C42" s="158" t="s">
        <v>134</v>
      </c>
      <c r="D42" s="158"/>
      <c r="E42" s="168">
        <v>205.02580077075902</v>
      </c>
      <c r="F42" s="158"/>
      <c r="G42" s="169">
        <v>988.10948210666879</v>
      </c>
      <c r="H42" s="158"/>
      <c r="I42" s="169">
        <f t="shared" si="3"/>
        <v>-5.416460439036622</v>
      </c>
      <c r="J42" s="158"/>
      <c r="K42" s="169">
        <f t="shared" si="4"/>
        <v>982.69302166763214</v>
      </c>
      <c r="L42" s="158"/>
      <c r="M42" s="168">
        <v>203.90192314488201</v>
      </c>
    </row>
    <row r="43" spans="1:13">
      <c r="A43" s="143">
        <v>31</v>
      </c>
      <c r="C43" s="158" t="s">
        <v>490</v>
      </c>
      <c r="D43" s="158"/>
      <c r="E43" s="170">
        <f>SUM(E31:E42)</f>
        <v>6633.8388202922551</v>
      </c>
      <c r="F43" s="158"/>
      <c r="G43" s="170">
        <f>SUM(G31:G42)</f>
        <v>32125.023965020398</v>
      </c>
      <c r="H43" s="158"/>
      <c r="I43" s="170">
        <f>SUM(I31:I42)</f>
        <v>-176.09781563745005</v>
      </c>
      <c r="J43" s="158"/>
      <c r="K43" s="170">
        <f>SUM(K31:K42)</f>
        <v>31948.926149382958</v>
      </c>
      <c r="L43" s="158"/>
      <c r="M43" s="170">
        <f>SUM(M31:M42)</f>
        <v>6629.1785335139166</v>
      </c>
    </row>
    <row r="44" spans="1:13">
      <c r="A44" s="213"/>
      <c r="C44" s="158"/>
      <c r="D44" s="158"/>
      <c r="E44" s="158"/>
      <c r="F44" s="158"/>
      <c r="G44" s="158"/>
      <c r="H44" s="158"/>
      <c r="I44" s="158"/>
      <c r="J44" s="158"/>
      <c r="K44" s="158"/>
      <c r="L44" s="158"/>
      <c r="M44" s="158"/>
    </row>
    <row r="45" spans="1:13">
      <c r="A45" s="143"/>
      <c r="C45" s="159" t="s">
        <v>652</v>
      </c>
      <c r="D45" s="158"/>
      <c r="E45" s="168"/>
      <c r="F45" s="158"/>
      <c r="G45" s="158"/>
      <c r="H45" s="158"/>
      <c r="I45" s="158"/>
      <c r="J45" s="158"/>
      <c r="K45" s="158"/>
      <c r="L45" s="158"/>
      <c r="M45" s="158"/>
    </row>
    <row r="46" spans="1:13">
      <c r="A46" s="143">
        <v>32</v>
      </c>
      <c r="C46" s="158" t="s">
        <v>97</v>
      </c>
      <c r="D46" s="158"/>
      <c r="E46" s="168">
        <v>0</v>
      </c>
      <c r="F46" s="158"/>
      <c r="G46" s="169">
        <v>0</v>
      </c>
      <c r="H46" s="158"/>
      <c r="I46" s="169">
        <f>$I$57 * G46/$G$57</f>
        <v>0</v>
      </c>
      <c r="J46" s="158"/>
      <c r="K46" s="169">
        <f t="shared" ref="K46:K54" si="5">G46 + I46</f>
        <v>0</v>
      </c>
      <c r="L46" s="158"/>
      <c r="M46" s="168">
        <v>0</v>
      </c>
    </row>
    <row r="47" spans="1:13">
      <c r="A47" s="143">
        <v>33</v>
      </c>
      <c r="C47" s="158" t="s">
        <v>98</v>
      </c>
      <c r="D47" s="158"/>
      <c r="E47" s="168">
        <v>0</v>
      </c>
      <c r="F47" s="158"/>
      <c r="G47" s="169">
        <v>0</v>
      </c>
      <c r="H47" s="158"/>
      <c r="I47" s="169">
        <f t="shared" ref="I47:I54" si="6">$I$57 * G47/$G$57</f>
        <v>0</v>
      </c>
      <c r="J47" s="158"/>
      <c r="K47" s="169">
        <f t="shared" si="5"/>
        <v>0</v>
      </c>
      <c r="L47" s="158"/>
      <c r="M47" s="168">
        <v>0</v>
      </c>
    </row>
    <row r="48" spans="1:13">
      <c r="A48" s="143">
        <v>34</v>
      </c>
      <c r="C48" s="158" t="s">
        <v>99</v>
      </c>
      <c r="D48" s="158"/>
      <c r="E48" s="168">
        <v>0</v>
      </c>
      <c r="F48" s="158"/>
      <c r="G48" s="169">
        <v>0</v>
      </c>
      <c r="H48" s="158"/>
      <c r="I48" s="169">
        <f t="shared" si="6"/>
        <v>0</v>
      </c>
      <c r="J48" s="158"/>
      <c r="K48" s="169">
        <f t="shared" si="5"/>
        <v>0</v>
      </c>
      <c r="L48" s="158"/>
      <c r="M48" s="168">
        <v>0</v>
      </c>
    </row>
    <row r="49" spans="1:15">
      <c r="A49" s="143">
        <v>35</v>
      </c>
      <c r="C49" s="158" t="s">
        <v>653</v>
      </c>
      <c r="D49" s="158"/>
      <c r="E49" s="168">
        <v>1673.0697185397185</v>
      </c>
      <c r="F49" s="158"/>
      <c r="G49" s="169">
        <v>8063.2586089155702</v>
      </c>
      <c r="H49" s="158"/>
      <c r="I49" s="169">
        <f t="shared" si="6"/>
        <v>-44.199880737707474</v>
      </c>
      <c r="J49" s="158"/>
      <c r="K49" s="169">
        <f t="shared" si="5"/>
        <v>8019.0587281778626</v>
      </c>
      <c r="L49" s="158"/>
      <c r="M49" s="168">
        <v>1663.8985526858091</v>
      </c>
    </row>
    <row r="50" spans="1:15">
      <c r="A50" s="143">
        <v>36</v>
      </c>
      <c r="C50" s="158" t="s">
        <v>654</v>
      </c>
      <c r="D50" s="158"/>
      <c r="E50" s="168">
        <v>1977.3150000000001</v>
      </c>
      <c r="F50" s="158"/>
      <c r="G50" s="169">
        <v>9542.0419036099956</v>
      </c>
      <c r="H50" s="158"/>
      <c r="I50" s="169">
        <f t="shared" si="6"/>
        <v>-52.306038363625198</v>
      </c>
      <c r="J50" s="158"/>
      <c r="K50" s="169">
        <f t="shared" si="5"/>
        <v>9489.7358652463699</v>
      </c>
      <c r="L50" s="158"/>
      <c r="M50" s="168">
        <v>1969.0537638875649</v>
      </c>
    </row>
    <row r="51" spans="1:15">
      <c r="A51" s="143">
        <v>37</v>
      </c>
      <c r="C51" s="158" t="s">
        <v>136</v>
      </c>
      <c r="D51" s="158"/>
      <c r="E51" s="168">
        <v>12354.326469932752</v>
      </c>
      <c r="F51" s="158"/>
      <c r="G51" s="169">
        <v>59540.931356396373</v>
      </c>
      <c r="H51" s="158"/>
      <c r="I51" s="169">
        <f t="shared" si="6"/>
        <v>-326.38194960718062</v>
      </c>
      <c r="J51" s="158"/>
      <c r="K51" s="169">
        <f t="shared" si="5"/>
        <v>59214.549406789192</v>
      </c>
      <c r="L51" s="158"/>
      <c r="M51" s="168">
        <v>12286.604500062909</v>
      </c>
    </row>
    <row r="52" spans="1:15">
      <c r="A52" s="143">
        <v>38</v>
      </c>
      <c r="C52" s="158" t="s">
        <v>137</v>
      </c>
      <c r="D52" s="158"/>
      <c r="E52" s="168">
        <v>0</v>
      </c>
      <c r="F52" s="158"/>
      <c r="G52" s="169">
        <v>0</v>
      </c>
      <c r="H52" s="158"/>
      <c r="I52" s="169">
        <f t="shared" si="6"/>
        <v>0</v>
      </c>
      <c r="J52" s="158"/>
      <c r="K52" s="169">
        <f t="shared" si="5"/>
        <v>0</v>
      </c>
      <c r="L52" s="158"/>
      <c r="M52" s="168">
        <v>0</v>
      </c>
    </row>
    <row r="53" spans="1:15">
      <c r="A53" s="143">
        <v>39</v>
      </c>
      <c r="C53" s="158" t="s">
        <v>138</v>
      </c>
      <c r="D53" s="158"/>
      <c r="E53" s="168">
        <v>96.428791883564728</v>
      </c>
      <c r="F53" s="158"/>
      <c r="G53" s="169">
        <v>465.32217394371014</v>
      </c>
      <c r="H53" s="158"/>
      <c r="I53" s="169">
        <f t="shared" si="6"/>
        <v>-2.5507286310005681</v>
      </c>
      <c r="J53" s="158"/>
      <c r="K53" s="169">
        <f t="shared" si="5"/>
        <v>462.77144531270955</v>
      </c>
      <c r="L53" s="158"/>
      <c r="M53" s="168">
        <v>96.021835502270036</v>
      </c>
    </row>
    <row r="54" spans="1:15">
      <c r="A54" s="143">
        <v>40</v>
      </c>
      <c r="C54" s="158" t="s">
        <v>140</v>
      </c>
      <c r="D54" s="158"/>
      <c r="E54" s="168">
        <v>29.198154308992827</v>
      </c>
      <c r="F54" s="158"/>
      <c r="G54" s="169">
        <v>140.71874380819031</v>
      </c>
      <c r="H54" s="158"/>
      <c r="I54" s="169">
        <f t="shared" si="6"/>
        <v>-0.77136949161035517</v>
      </c>
      <c r="J54" s="158"/>
      <c r="K54" s="169">
        <f t="shared" si="5"/>
        <v>139.94737431657995</v>
      </c>
      <c r="L54" s="158"/>
      <c r="M54" s="168">
        <v>29.038100539070125</v>
      </c>
    </row>
    <row r="55" spans="1:15">
      <c r="A55" s="143">
        <v>41</v>
      </c>
      <c r="C55" s="158" t="s">
        <v>655</v>
      </c>
      <c r="D55" s="158"/>
      <c r="E55" s="170">
        <f>SUM(E46:E54)</f>
        <v>16130.338134665029</v>
      </c>
      <c r="F55" s="158"/>
      <c r="G55" s="170">
        <f>SUM(G46:G54)</f>
        <v>77752.272786673842</v>
      </c>
      <c r="H55" s="158"/>
      <c r="I55" s="170">
        <f>SUM(I46:I54)</f>
        <v>-426.20996683112423</v>
      </c>
      <c r="J55" s="158"/>
      <c r="K55" s="170">
        <f>SUM(K46:K54)</f>
        <v>77326.062819842715</v>
      </c>
      <c r="L55" s="158"/>
      <c r="M55" s="170">
        <f>SUM(M46:M54)</f>
        <v>16044.616752677623</v>
      </c>
    </row>
    <row r="56" spans="1:15">
      <c r="A56" s="143"/>
      <c r="C56" s="158"/>
      <c r="D56" s="158"/>
      <c r="E56" s="158"/>
      <c r="F56" s="158"/>
      <c r="G56" s="169"/>
      <c r="H56" s="158"/>
      <c r="I56" s="158"/>
      <c r="J56" s="158"/>
      <c r="K56" s="158"/>
      <c r="L56" s="158"/>
      <c r="M56" s="158"/>
    </row>
    <row r="57" spans="1:15" ht="13.5" thickBot="1">
      <c r="A57" s="143">
        <v>42</v>
      </c>
      <c r="C57" s="158" t="s">
        <v>100</v>
      </c>
      <c r="E57" s="227">
        <f>E55 + E43 + E28 + E20</f>
        <v>36592.899986317163</v>
      </c>
      <c r="F57" s="158"/>
      <c r="G57" s="227">
        <f>G55 + G43 + G28 + G20</f>
        <v>171091.93502239301</v>
      </c>
      <c r="H57" s="158"/>
      <c r="I57" s="227">
        <f>K57-G57</f>
        <v>-937.86439080743003</v>
      </c>
      <c r="J57" s="226"/>
      <c r="K57" s="227">
        <v>170154.07063158558</v>
      </c>
      <c r="L57" s="226"/>
      <c r="M57" s="227">
        <v>35305.778577559584</v>
      </c>
    </row>
    <row r="58" spans="1:15" ht="13.5" thickTop="1">
      <c r="C58" s="158"/>
      <c r="I58" s="225"/>
    </row>
    <row r="59" spans="1:15">
      <c r="A59" s="204" t="s">
        <v>39</v>
      </c>
      <c r="I59" s="225"/>
    </row>
    <row r="60" spans="1:15" ht="55.5" customHeight="1">
      <c r="A60" s="206" t="s">
        <v>40</v>
      </c>
      <c r="B60" s="158"/>
      <c r="C60" s="1347" t="s">
        <v>1481</v>
      </c>
      <c r="D60" s="1347"/>
      <c r="E60" s="1347"/>
      <c r="F60" s="1347"/>
      <c r="G60" s="1347"/>
      <c r="H60" s="1347"/>
      <c r="I60" s="1347"/>
      <c r="J60" s="1347"/>
      <c r="K60" s="1347"/>
      <c r="L60" s="1347"/>
      <c r="M60" s="1347"/>
      <c r="O60" s="203" t="s">
        <v>38</v>
      </c>
    </row>
    <row r="61" spans="1:15" ht="27.75" customHeight="1">
      <c r="A61" s="206" t="s">
        <v>42</v>
      </c>
      <c r="B61" s="158"/>
      <c r="C61" s="1347" t="s">
        <v>1482</v>
      </c>
      <c r="D61" s="1347"/>
      <c r="E61" s="1347"/>
      <c r="F61" s="1347"/>
      <c r="G61" s="1347"/>
      <c r="H61" s="1347"/>
      <c r="I61" s="1347"/>
      <c r="J61" s="1347"/>
      <c r="K61" s="1347"/>
      <c r="L61" s="1347"/>
      <c r="M61" s="1347"/>
    </row>
    <row r="62" spans="1:15" ht="27" customHeight="1">
      <c r="A62" s="206" t="s">
        <v>44</v>
      </c>
      <c r="B62" s="158"/>
      <c r="C62" s="1347" t="s">
        <v>1483</v>
      </c>
      <c r="D62" s="1347"/>
      <c r="E62" s="1347"/>
      <c r="F62" s="1347"/>
      <c r="G62" s="1347"/>
      <c r="H62" s="1347"/>
      <c r="I62" s="1347"/>
      <c r="J62" s="1347"/>
      <c r="K62" s="1347"/>
      <c r="L62" s="1347"/>
      <c r="M62" s="1347"/>
    </row>
    <row r="63" spans="1:15">
      <c r="A63" s="146"/>
      <c r="B63" s="158"/>
      <c r="E63" s="228"/>
      <c r="F63" s="228"/>
      <c r="G63" s="228"/>
      <c r="H63" s="228"/>
      <c r="I63" s="228"/>
      <c r="J63" s="228"/>
      <c r="K63" s="228"/>
      <c r="L63" s="228"/>
      <c r="M63" s="228"/>
    </row>
    <row r="64" spans="1:15">
      <c r="B64" s="158"/>
    </row>
    <row r="65" spans="2:3">
      <c r="B65" s="158"/>
      <c r="C65" s="169"/>
    </row>
  </sheetData>
  <mergeCells count="6">
    <mergeCell ref="A2:M2"/>
    <mergeCell ref="C60:M60"/>
    <mergeCell ref="C61:M61"/>
    <mergeCell ref="C62:M62"/>
    <mergeCell ref="E4:G4"/>
    <mergeCell ref="K4:M4"/>
  </mergeCells>
  <pageMargins left="0.7" right="0.7" top="0.75" bottom="0.75" header="0.3" footer="0.3"/>
  <pageSetup scale="71" firstPageNumber="5" orientation="portrait" useFirstPageNumber="1" horizontalDpi="1200" verticalDpi="1200" r:id="rId1"/>
  <headerFooter>
    <oddHeader>&amp;R&amp;10Filed: 2024-02-16
EB-2022-0200
Rate Order
Working Papers
Schedule 23
Page &amp;P of 5</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1D8B-FD6F-4181-A1CC-95B476CB5575}">
  <dimension ref="A4:Q219"/>
  <sheetViews>
    <sheetView view="pageLayout" topLeftCell="A260" zoomScaleNormal="40" zoomScaleSheetLayoutView="85" workbookViewId="0">
      <selection activeCell="C296" sqref="C296"/>
    </sheetView>
  </sheetViews>
  <sheetFormatPr defaultColWidth="8.625" defaultRowHeight="15"/>
  <cols>
    <col min="1" max="1" width="4.125" style="70" customWidth="1"/>
    <col min="2" max="2" width="1.125" style="70" customWidth="1"/>
    <col min="3" max="3" width="32.125" style="70" customWidth="1"/>
    <col min="4" max="4" width="1.125" style="70" customWidth="1"/>
    <col min="5" max="5" width="14.125" style="70" customWidth="1"/>
    <col min="6" max="6" width="1.125" style="70" customWidth="1"/>
    <col min="7" max="7" width="14.125" style="70" customWidth="1"/>
    <col min="8" max="8" width="1.125" style="70" customWidth="1"/>
    <col min="9" max="9" width="14.125" style="70" customWidth="1"/>
    <col min="10" max="10" width="1.125" style="70" customWidth="1"/>
    <col min="11" max="11" width="14.125" style="70" customWidth="1"/>
    <col min="12" max="12" width="1.125" style="70" customWidth="1"/>
    <col min="13" max="13" width="14.125" style="70" customWidth="1"/>
    <col min="14" max="14" width="1.125" style="70" customWidth="1"/>
    <col min="15" max="15" width="14.125" style="70" customWidth="1"/>
    <col min="16" max="16" width="1.125" style="70" customWidth="1"/>
    <col min="17" max="17" width="14.125" style="70" customWidth="1"/>
    <col min="18" max="16384" width="8.625" style="73"/>
  </cols>
  <sheetData>
    <row r="4" spans="1:17">
      <c r="A4" s="1286" t="s">
        <v>438</v>
      </c>
      <c r="B4" s="1286"/>
      <c r="C4" s="1286"/>
      <c r="D4" s="1286"/>
      <c r="E4" s="1286"/>
      <c r="F4" s="1286"/>
      <c r="G4" s="1286"/>
      <c r="H4" s="1286"/>
      <c r="I4" s="1286"/>
      <c r="J4" s="1286"/>
      <c r="K4" s="1286"/>
      <c r="L4" s="1286"/>
      <c r="M4" s="1286"/>
      <c r="N4" s="1286"/>
      <c r="O4" s="1286"/>
      <c r="P4" s="1286"/>
      <c r="Q4" s="1286"/>
    </row>
    <row r="5" spans="1:17">
      <c r="A5" s="1286" t="s">
        <v>177</v>
      </c>
      <c r="B5" s="1286"/>
      <c r="C5" s="1286"/>
      <c r="D5" s="1286"/>
      <c r="E5" s="1286"/>
      <c r="F5" s="1286"/>
      <c r="G5" s="1286"/>
      <c r="H5" s="1286"/>
      <c r="I5" s="1286"/>
      <c r="J5" s="1286"/>
      <c r="K5" s="1286"/>
      <c r="L5" s="1286"/>
      <c r="M5" s="1286"/>
      <c r="N5" s="1286"/>
      <c r="O5" s="1286"/>
      <c r="P5" s="1286"/>
      <c r="Q5" s="1286"/>
    </row>
    <row r="6" spans="1:17">
      <c r="A6" s="91"/>
      <c r="B6" s="91"/>
      <c r="C6" s="91"/>
      <c r="D6" s="91"/>
      <c r="E6" s="91"/>
      <c r="F6" s="91"/>
      <c r="G6" s="91"/>
      <c r="H6" s="91"/>
      <c r="I6" s="91"/>
      <c r="J6" s="91"/>
      <c r="K6" s="91"/>
      <c r="L6" s="91"/>
      <c r="M6" s="91"/>
      <c r="N6" s="91"/>
      <c r="O6" s="91"/>
      <c r="P6" s="91"/>
      <c r="Q6" s="91"/>
    </row>
    <row r="7" spans="1:17">
      <c r="A7" s="76"/>
      <c r="B7" s="71"/>
      <c r="C7" s="71"/>
      <c r="D7" s="71"/>
      <c r="E7" s="1349"/>
      <c r="F7" s="1349"/>
      <c r="G7" s="1349"/>
      <c r="H7" s="71"/>
      <c r="I7" s="1349"/>
      <c r="J7" s="1349"/>
      <c r="K7" s="1349"/>
      <c r="L7" s="71"/>
      <c r="M7" s="71"/>
      <c r="N7" s="71"/>
      <c r="O7" s="71"/>
      <c r="P7" s="71"/>
      <c r="Q7" s="71"/>
    </row>
    <row r="8" spans="1:17">
      <c r="A8" s="76"/>
      <c r="B8" s="71"/>
      <c r="C8" s="71"/>
      <c r="D8" s="71"/>
      <c r="E8" s="1287" t="s">
        <v>1484</v>
      </c>
      <c r="F8" s="1287"/>
      <c r="G8" s="1287"/>
      <c r="H8" s="71"/>
      <c r="I8" s="1287" t="s">
        <v>362</v>
      </c>
      <c r="J8" s="1287"/>
      <c r="K8" s="1287"/>
      <c r="L8" s="1287"/>
      <c r="M8" s="1287"/>
      <c r="N8" s="71"/>
      <c r="O8" s="1287" t="s">
        <v>363</v>
      </c>
      <c r="P8" s="1287"/>
      <c r="Q8" s="1287"/>
    </row>
    <row r="9" spans="1:17">
      <c r="A9" s="76"/>
      <c r="B9" s="71"/>
      <c r="C9" s="71"/>
      <c r="D9" s="71"/>
      <c r="E9" s="76"/>
      <c r="F9" s="76"/>
      <c r="G9" s="76"/>
      <c r="H9" s="71"/>
      <c r="I9" s="76"/>
      <c r="J9" s="76"/>
      <c r="K9" s="76"/>
      <c r="L9" s="76"/>
      <c r="M9" s="76" t="s">
        <v>364</v>
      </c>
      <c r="N9" s="71"/>
      <c r="O9" s="76" t="s">
        <v>365</v>
      </c>
      <c r="P9" s="76"/>
      <c r="Q9" s="76" t="s">
        <v>366</v>
      </c>
    </row>
    <row r="10" spans="1:17">
      <c r="A10" s="76" t="s">
        <v>1</v>
      </c>
      <c r="B10" s="71"/>
      <c r="C10" s="71"/>
      <c r="D10" s="71"/>
      <c r="E10" s="76" t="s">
        <v>364</v>
      </c>
      <c r="F10" s="76"/>
      <c r="G10" s="76" t="s">
        <v>109</v>
      </c>
      <c r="H10" s="71"/>
      <c r="I10" s="76" t="s">
        <v>364</v>
      </c>
      <c r="J10" s="76"/>
      <c r="K10" s="76" t="s">
        <v>109</v>
      </c>
      <c r="L10" s="76"/>
      <c r="M10" s="76" t="s">
        <v>367</v>
      </c>
      <c r="N10" s="71"/>
      <c r="O10" s="76" t="s">
        <v>368</v>
      </c>
      <c r="P10" s="71"/>
      <c r="Q10" s="76" t="s">
        <v>368</v>
      </c>
    </row>
    <row r="11" spans="1:17">
      <c r="A11" s="79" t="s">
        <v>2</v>
      </c>
      <c r="B11" s="71"/>
      <c r="C11" s="366" t="s">
        <v>3</v>
      </c>
      <c r="D11" s="71"/>
      <c r="E11" s="79" t="s">
        <v>369</v>
      </c>
      <c r="F11" s="76"/>
      <c r="G11" s="79" t="s">
        <v>77</v>
      </c>
      <c r="H11" s="71"/>
      <c r="I11" s="79" t="s">
        <v>369</v>
      </c>
      <c r="J11" s="76"/>
      <c r="K11" s="79" t="s">
        <v>77</v>
      </c>
      <c r="L11" s="76"/>
      <c r="M11" s="79" t="s">
        <v>369</v>
      </c>
      <c r="N11" s="71"/>
      <c r="O11" s="79" t="s">
        <v>76</v>
      </c>
      <c r="P11" s="76"/>
      <c r="Q11" s="79" t="s">
        <v>76</v>
      </c>
    </row>
    <row r="12" spans="1:17">
      <c r="D12" s="71"/>
      <c r="E12" s="76" t="s">
        <v>8</v>
      </c>
      <c r="F12" s="76"/>
      <c r="G12" s="76" t="s">
        <v>9</v>
      </c>
      <c r="H12" s="76"/>
      <c r="I12" s="76" t="s">
        <v>370</v>
      </c>
      <c r="J12" s="76"/>
      <c r="K12" s="76" t="s">
        <v>79</v>
      </c>
      <c r="L12" s="76"/>
      <c r="M12" s="76" t="s">
        <v>371</v>
      </c>
      <c r="N12" s="76"/>
      <c r="O12" s="76" t="s">
        <v>372</v>
      </c>
      <c r="P12" s="76"/>
      <c r="Q12" s="76" t="s">
        <v>82</v>
      </c>
    </row>
    <row r="13" spans="1:17">
      <c r="A13" s="76"/>
      <c r="B13" s="71"/>
      <c r="C13" s="71"/>
      <c r="D13" s="71"/>
      <c r="E13" s="76"/>
      <c r="F13" s="76"/>
      <c r="G13" s="76"/>
      <c r="H13" s="76"/>
      <c r="I13" s="76"/>
      <c r="J13" s="76"/>
      <c r="K13" s="76"/>
      <c r="L13" s="76"/>
      <c r="M13" s="76"/>
      <c r="N13" s="76"/>
      <c r="O13" s="76"/>
      <c r="P13" s="76"/>
      <c r="Q13" s="76"/>
    </row>
    <row r="14" spans="1:17">
      <c r="A14" s="76"/>
      <c r="B14" s="71"/>
      <c r="C14" s="81" t="s">
        <v>1485</v>
      </c>
      <c r="D14" s="71"/>
      <c r="E14" s="1288" t="s">
        <v>427</v>
      </c>
      <c r="F14" s="1288"/>
      <c r="G14" s="1288"/>
      <c r="H14" s="71"/>
      <c r="I14" s="369"/>
      <c r="J14" s="71"/>
      <c r="K14" s="71"/>
      <c r="L14" s="71"/>
      <c r="M14" s="87"/>
      <c r="N14" s="71"/>
      <c r="O14" s="71"/>
      <c r="P14" s="71"/>
      <c r="Q14" s="71"/>
    </row>
    <row r="15" spans="1:17">
      <c r="A15" s="76">
        <f>1</f>
        <v>1</v>
      </c>
      <c r="B15" s="71"/>
      <c r="C15" s="71" t="s">
        <v>375</v>
      </c>
      <c r="D15" s="71"/>
      <c r="E15" s="86">
        <v>442.22589420000003</v>
      </c>
      <c r="F15" s="369"/>
      <c r="G15" s="82">
        <v>20.101177009090911</v>
      </c>
      <c r="H15" s="82"/>
      <c r="I15" s="86">
        <v>464.59892399999995</v>
      </c>
      <c r="J15" s="76"/>
      <c r="K15" s="82">
        <v>21.118132909090907</v>
      </c>
      <c r="L15" s="82"/>
      <c r="M15" s="87">
        <f>I15-E15</f>
        <v>22.373029799999927</v>
      </c>
      <c r="N15" s="82"/>
      <c r="O15" s="332">
        <f>M15/E15</f>
        <v>5.0591858354367539E-2</v>
      </c>
      <c r="P15" s="334"/>
      <c r="Q15" s="332">
        <f>O15</f>
        <v>5.0591858354367539E-2</v>
      </c>
    </row>
    <row r="16" spans="1:17">
      <c r="A16" s="76">
        <f>A15+1</f>
        <v>2</v>
      </c>
      <c r="B16" s="71"/>
      <c r="C16" s="71" t="s">
        <v>376</v>
      </c>
      <c r="D16" s="71"/>
      <c r="E16" s="86">
        <v>335.5</v>
      </c>
      <c r="F16" s="369"/>
      <c r="G16" s="82">
        <v>15.25</v>
      </c>
      <c r="H16" s="82"/>
      <c r="I16" s="86">
        <v>335.5</v>
      </c>
      <c r="J16" s="369"/>
      <c r="K16" s="82">
        <v>15.25</v>
      </c>
      <c r="L16" s="82"/>
      <c r="M16" s="87">
        <f>I16-E16</f>
        <v>0</v>
      </c>
      <c r="N16" s="82"/>
      <c r="O16" s="333">
        <f>IFERROR(M16/E16,"100.0%")</f>
        <v>0</v>
      </c>
      <c r="P16" s="334"/>
      <c r="Q16" s="333">
        <f>O16</f>
        <v>0</v>
      </c>
    </row>
    <row r="17" spans="1:17">
      <c r="A17" s="76">
        <f>A16+1</f>
        <v>3</v>
      </c>
      <c r="B17" s="71"/>
      <c r="C17" s="71" t="s">
        <v>378</v>
      </c>
      <c r="D17" s="71"/>
      <c r="E17" s="86">
        <v>270.68360000000007</v>
      </c>
      <c r="F17" s="369"/>
      <c r="G17" s="82">
        <v>12.303800000000004</v>
      </c>
      <c r="H17" s="71"/>
      <c r="I17" s="86">
        <v>270.63960000000009</v>
      </c>
      <c r="J17" s="76"/>
      <c r="K17" s="82">
        <v>12.301800000000004</v>
      </c>
      <c r="L17" s="82"/>
      <c r="M17" s="87">
        <f>I17-E17</f>
        <v>-4.399999999998272E-2</v>
      </c>
      <c r="N17" s="71"/>
      <c r="O17" s="332">
        <f>M17/E17</f>
        <v>-1.6255140688236269E-4</v>
      </c>
      <c r="P17" s="334"/>
      <c r="Q17" s="332">
        <f>O17</f>
        <v>-1.6255140688236269E-4</v>
      </c>
    </row>
    <row r="18" spans="1:17">
      <c r="A18" s="76">
        <f>A17+1</f>
        <v>4</v>
      </c>
      <c r="B18" s="71"/>
      <c r="C18" s="71" t="s">
        <v>379</v>
      </c>
      <c r="D18" s="71"/>
      <c r="E18" s="370">
        <f>SUM(E15:E17)</f>
        <v>1048.4094942000002</v>
      </c>
      <c r="F18" s="76"/>
      <c r="G18" s="375">
        <v>47.654977009090913</v>
      </c>
      <c r="H18" s="76"/>
      <c r="I18" s="370">
        <v>1070.7385239999999</v>
      </c>
      <c r="J18" s="369"/>
      <c r="K18" s="375">
        <v>48.669932909090903</v>
      </c>
      <c r="L18" s="82"/>
      <c r="M18" s="383">
        <f>SUM(M15:M17)</f>
        <v>22.329029799999944</v>
      </c>
      <c r="N18" s="71"/>
      <c r="O18" s="373">
        <f>M18/E18</f>
        <v>2.1298004189706756E-2</v>
      </c>
      <c r="P18" s="374"/>
      <c r="Q18" s="373">
        <f>(M18-M16)/(E18-E16)</f>
        <v>3.132098812214127E-2</v>
      </c>
    </row>
    <row r="19" spans="1:17">
      <c r="A19" s="76"/>
      <c r="B19" s="71"/>
      <c r="C19" s="71"/>
      <c r="D19" s="71"/>
      <c r="E19" s="86"/>
      <c r="F19" s="76"/>
      <c r="G19" s="82"/>
      <c r="H19" s="76"/>
      <c r="I19" s="86"/>
      <c r="J19" s="76"/>
      <c r="K19" s="82"/>
      <c r="L19" s="82"/>
      <c r="M19" s="87"/>
      <c r="N19" s="71"/>
      <c r="O19" s="374"/>
      <c r="P19" s="374"/>
      <c r="Q19" s="374"/>
    </row>
    <row r="20" spans="1:17">
      <c r="A20" s="76">
        <f>A18+1</f>
        <v>5</v>
      </c>
      <c r="B20" s="71"/>
      <c r="C20" s="71" t="s">
        <v>410</v>
      </c>
      <c r="D20" s="71"/>
      <c r="E20" s="370">
        <f>SUM(E15:E16)+I17</f>
        <v>1048.3654942000003</v>
      </c>
      <c r="F20" s="76"/>
      <c r="G20" s="375">
        <v>47.652977009090925</v>
      </c>
      <c r="H20" s="76"/>
      <c r="I20" s="370">
        <f>SUM(I15:I17)</f>
        <v>1070.7385239999999</v>
      </c>
      <c r="J20" s="369"/>
      <c r="K20" s="375">
        <v>48.669932909090903</v>
      </c>
      <c r="L20" s="82"/>
      <c r="M20" s="383">
        <f>M15+M16</f>
        <v>22.373029799999927</v>
      </c>
      <c r="N20" s="71"/>
      <c r="O20" s="373">
        <f>M20/E20</f>
        <v>2.1340868164563747E-2</v>
      </c>
      <c r="P20" s="374"/>
      <c r="Q20" s="373">
        <f>(M20-M16)/(E20-E16)</f>
        <v>3.138464406263293E-2</v>
      </c>
    </row>
    <row r="21" spans="1:17">
      <c r="A21" s="76">
        <f>A20+1</f>
        <v>6</v>
      </c>
      <c r="B21" s="71"/>
      <c r="C21" s="71" t="s">
        <v>411</v>
      </c>
      <c r="D21" s="71"/>
      <c r="E21" s="86"/>
      <c r="F21" s="76"/>
      <c r="G21" s="82"/>
      <c r="H21" s="76"/>
      <c r="I21" s="86"/>
      <c r="J21" s="76"/>
      <c r="K21" s="82"/>
      <c r="L21" s="82"/>
      <c r="M21" s="87"/>
      <c r="N21" s="71"/>
      <c r="O21" s="334">
        <v>2.8767243018202188E-2</v>
      </c>
      <c r="P21" s="374"/>
      <c r="Q21" s="334">
        <v>5.0591858354367539E-2</v>
      </c>
    </row>
    <row r="22" spans="1:17">
      <c r="A22" s="76"/>
      <c r="B22" s="71"/>
      <c r="C22" s="71"/>
      <c r="D22" s="71"/>
      <c r="E22" s="71"/>
      <c r="F22" s="71"/>
      <c r="G22" s="71"/>
      <c r="H22" s="71"/>
      <c r="I22" s="71"/>
      <c r="J22" s="71"/>
      <c r="K22" s="71"/>
      <c r="L22" s="71"/>
      <c r="M22" s="87"/>
      <c r="N22" s="71"/>
      <c r="O22" s="374"/>
      <c r="P22" s="374"/>
      <c r="Q22" s="374"/>
    </row>
    <row r="23" spans="1:17">
      <c r="A23" s="76"/>
      <c r="B23" s="71"/>
      <c r="C23" s="81" t="s">
        <v>1486</v>
      </c>
      <c r="D23" s="71"/>
      <c r="E23" s="1288" t="s">
        <v>429</v>
      </c>
      <c r="F23" s="1288"/>
      <c r="G23" s="1288"/>
      <c r="H23" s="71"/>
      <c r="I23" s="369"/>
      <c r="J23" s="71"/>
      <c r="K23" s="71"/>
      <c r="L23" s="71"/>
      <c r="M23" s="87"/>
      <c r="N23" s="71"/>
      <c r="O23" s="374"/>
      <c r="P23" s="374"/>
      <c r="Q23" s="374"/>
    </row>
    <row r="24" spans="1:17">
      <c r="A24" s="76">
        <f>A21+1</f>
        <v>7</v>
      </c>
      <c r="B24" s="71"/>
      <c r="C24" s="71" t="s">
        <v>375</v>
      </c>
      <c r="D24" s="71"/>
      <c r="E24" s="86">
        <v>2805.1838000000002</v>
      </c>
      <c r="F24" s="369"/>
      <c r="G24" s="82">
        <v>7.0129595</v>
      </c>
      <c r="H24" s="82"/>
      <c r="I24" s="86">
        <v>2659.1143999999999</v>
      </c>
      <c r="J24" s="76"/>
      <c r="K24" s="82">
        <v>6.647786</v>
      </c>
      <c r="L24" s="82"/>
      <c r="M24" s="87">
        <f>I24-E24</f>
        <v>-146.06940000000031</v>
      </c>
      <c r="N24" s="82"/>
      <c r="O24" s="332">
        <f>M24/E24</f>
        <v>-5.2071240394301541E-2</v>
      </c>
      <c r="P24" s="334"/>
      <c r="Q24" s="332">
        <f>O24</f>
        <v>-5.2071240394301541E-2</v>
      </c>
    </row>
    <row r="25" spans="1:17">
      <c r="A25" s="76">
        <f>A24+1</f>
        <v>8</v>
      </c>
      <c r="B25" s="71"/>
      <c r="C25" s="71" t="s">
        <v>376</v>
      </c>
      <c r="D25" s="71"/>
      <c r="E25" s="86">
        <v>6100</v>
      </c>
      <c r="F25" s="369"/>
      <c r="G25" s="82">
        <v>15.25</v>
      </c>
      <c r="H25" s="82"/>
      <c r="I25" s="86">
        <v>6100</v>
      </c>
      <c r="J25" s="369"/>
      <c r="K25" s="82">
        <v>15.25</v>
      </c>
      <c r="L25" s="82"/>
      <c r="M25" s="87">
        <f>I25-E25</f>
        <v>0</v>
      </c>
      <c r="N25" s="82"/>
      <c r="O25" s="333">
        <f>IFERROR(M25/E25,"100.0%")</f>
        <v>0</v>
      </c>
      <c r="P25" s="334"/>
      <c r="Q25" s="333">
        <f>O25</f>
        <v>0</v>
      </c>
    </row>
    <row r="26" spans="1:17">
      <c r="A26" s="76">
        <f>A25+1</f>
        <v>9</v>
      </c>
      <c r="B26" s="71"/>
      <c r="C26" s="71" t="s">
        <v>378</v>
      </c>
      <c r="D26" s="71"/>
      <c r="E26" s="86">
        <v>4921.5200000000013</v>
      </c>
      <c r="F26" s="369"/>
      <c r="G26" s="82">
        <v>12.303800000000004</v>
      </c>
      <c r="H26" s="71"/>
      <c r="I26" s="86">
        <v>4920.7200000000012</v>
      </c>
      <c r="J26" s="76"/>
      <c r="K26" s="82">
        <v>12.301800000000004</v>
      </c>
      <c r="L26" s="82"/>
      <c r="M26" s="87">
        <f>I26-E26</f>
        <v>-0.8000000000001819</v>
      </c>
      <c r="N26" s="71"/>
      <c r="O26" s="332">
        <f>M26/E26</f>
        <v>-1.625514068824635E-4</v>
      </c>
      <c r="P26" s="334"/>
      <c r="Q26" s="332">
        <f>O26</f>
        <v>-1.625514068824635E-4</v>
      </c>
    </row>
    <row r="27" spans="1:17">
      <c r="A27" s="76">
        <f>A26+1</f>
        <v>10</v>
      </c>
      <c r="B27" s="71"/>
      <c r="C27" s="71" t="s">
        <v>379</v>
      </c>
      <c r="D27" s="71"/>
      <c r="E27" s="370">
        <f>SUM(E24:E26)</f>
        <v>13826.703800000003</v>
      </c>
      <c r="F27" s="76"/>
      <c r="G27" s="375">
        <v>34.566759500000003</v>
      </c>
      <c r="H27" s="76"/>
      <c r="I27" s="370">
        <v>13679.834400000002</v>
      </c>
      <c r="J27" s="369"/>
      <c r="K27" s="375">
        <v>34.199586000000004</v>
      </c>
      <c r="L27" s="82"/>
      <c r="M27" s="383">
        <f>SUM(M24:M26)</f>
        <v>-146.8694000000005</v>
      </c>
      <c r="N27" s="71"/>
      <c r="O27" s="373">
        <f>M27/E27</f>
        <v>-1.0622155657952293E-2</v>
      </c>
      <c r="P27" s="374"/>
      <c r="Q27" s="373">
        <f>(M27-M25)/(E27-E25)</f>
        <v>-1.900802771810671E-2</v>
      </c>
    </row>
    <row r="28" spans="1:17">
      <c r="A28" s="76"/>
      <c r="B28" s="71"/>
      <c r="C28" s="71"/>
      <c r="D28" s="71"/>
      <c r="E28" s="86"/>
      <c r="F28" s="76"/>
      <c r="G28" s="82"/>
      <c r="H28" s="76"/>
      <c r="I28" s="86"/>
      <c r="J28" s="76"/>
      <c r="K28" s="82"/>
      <c r="L28" s="82"/>
      <c r="M28" s="87"/>
      <c r="N28" s="71"/>
      <c r="O28" s="374"/>
      <c r="P28" s="374"/>
      <c r="Q28" s="374"/>
    </row>
    <row r="29" spans="1:17">
      <c r="A29" s="76">
        <f>A27+1</f>
        <v>11</v>
      </c>
      <c r="B29" s="71"/>
      <c r="C29" s="71" t="s">
        <v>410</v>
      </c>
      <c r="D29" s="71"/>
      <c r="E29" s="370">
        <f>SUM(E24:E25)+I26</f>
        <v>13825.903800000002</v>
      </c>
      <c r="F29" s="76"/>
      <c r="G29" s="375">
        <v>34.564759500000001</v>
      </c>
      <c r="H29" s="76"/>
      <c r="I29" s="370">
        <f>SUM(I24:I26)</f>
        <v>13679.834400000002</v>
      </c>
      <c r="J29" s="369"/>
      <c r="K29" s="375">
        <v>34.199586000000004</v>
      </c>
      <c r="L29" s="82"/>
      <c r="M29" s="383">
        <f>M24+M25</f>
        <v>-146.06940000000031</v>
      </c>
      <c r="N29" s="71"/>
      <c r="O29" s="373">
        <f>M29/E29</f>
        <v>-1.0564907879657045E-2</v>
      </c>
      <c r="P29" s="374"/>
      <c r="Q29" s="373">
        <f>(M29-M25)/(E29-E25)</f>
        <v>-1.8906448200921203E-2</v>
      </c>
    </row>
    <row r="30" spans="1:17">
      <c r="A30" s="76">
        <f>A29+1</f>
        <v>12</v>
      </c>
      <c r="B30" s="71"/>
      <c r="C30" s="71" t="s">
        <v>411</v>
      </c>
      <c r="D30" s="71"/>
      <c r="E30" s="86"/>
      <c r="F30" s="76"/>
      <c r="G30" s="82"/>
      <c r="H30" s="76"/>
      <c r="I30" s="86"/>
      <c r="J30" s="76"/>
      <c r="K30" s="82"/>
      <c r="L30" s="82"/>
      <c r="M30" s="87"/>
      <c r="N30" s="71"/>
      <c r="O30" s="334">
        <v>-1.640273836908342E-2</v>
      </c>
      <c r="P30" s="374"/>
      <c r="Q30" s="334">
        <v>-5.2071240394301541E-2</v>
      </c>
    </row>
    <row r="31" spans="1:17">
      <c r="A31" s="76"/>
      <c r="B31" s="71"/>
      <c r="C31" s="71"/>
      <c r="D31" s="71"/>
      <c r="E31" s="71"/>
      <c r="F31" s="71"/>
      <c r="G31" s="71"/>
      <c r="H31" s="71"/>
      <c r="I31" s="71"/>
      <c r="J31" s="71"/>
      <c r="K31" s="71"/>
      <c r="L31" s="71"/>
      <c r="M31" s="87"/>
      <c r="N31" s="71"/>
      <c r="O31" s="374"/>
      <c r="P31" s="374"/>
      <c r="Q31" s="374"/>
    </row>
    <row r="32" spans="1:17">
      <c r="A32" s="76"/>
      <c r="B32" s="71"/>
      <c r="C32" s="81" t="s">
        <v>1487</v>
      </c>
      <c r="D32" s="71"/>
      <c r="E32" s="1288" t="s">
        <v>431</v>
      </c>
      <c r="F32" s="1288"/>
      <c r="G32" s="1288"/>
      <c r="H32" s="71"/>
      <c r="I32" s="71"/>
      <c r="J32" s="71"/>
      <c r="K32" s="71"/>
      <c r="L32" s="71"/>
      <c r="M32" s="87"/>
      <c r="N32" s="71"/>
      <c r="O32" s="374"/>
      <c r="P32" s="374"/>
      <c r="Q32" s="374"/>
    </row>
    <row r="33" spans="1:17">
      <c r="A33" s="76">
        <f>A30+1</f>
        <v>13</v>
      </c>
      <c r="B33" s="71"/>
      <c r="C33" s="71" t="s">
        <v>375</v>
      </c>
      <c r="D33" s="71"/>
      <c r="E33" s="86">
        <v>5046.1249399999997</v>
      </c>
      <c r="F33" s="369"/>
      <c r="G33" s="82">
        <v>8.4102082333333321</v>
      </c>
      <c r="H33" s="82"/>
      <c r="I33" s="86">
        <v>4931.32456</v>
      </c>
      <c r="J33" s="76"/>
      <c r="K33" s="82">
        <v>8.218874266666667</v>
      </c>
      <c r="L33" s="82"/>
      <c r="M33" s="87">
        <f>I33-E33</f>
        <v>-114.80037999999968</v>
      </c>
      <c r="N33" s="82"/>
      <c r="O33" s="332">
        <f>M33/E33</f>
        <v>-2.2750205626101618E-2</v>
      </c>
      <c r="P33" s="334"/>
      <c r="Q33" s="332">
        <f>O33</f>
        <v>-2.2750205626101618E-2</v>
      </c>
    </row>
    <row r="34" spans="1:17">
      <c r="A34" s="76">
        <f>A33+1</f>
        <v>14</v>
      </c>
      <c r="B34" s="71"/>
      <c r="C34" s="71" t="s">
        <v>376</v>
      </c>
      <c r="D34" s="71"/>
      <c r="E34" s="86">
        <v>9150</v>
      </c>
      <c r="F34" s="369"/>
      <c r="G34" s="82">
        <v>15.25</v>
      </c>
      <c r="H34" s="82"/>
      <c r="I34" s="86">
        <v>9150</v>
      </c>
      <c r="J34" s="369"/>
      <c r="K34" s="82">
        <v>15.25</v>
      </c>
      <c r="L34" s="82"/>
      <c r="M34" s="87">
        <f>I34-E34</f>
        <v>0</v>
      </c>
      <c r="N34" s="82"/>
      <c r="O34" s="333">
        <f>IFERROR(M34/E34,"100.0%")</f>
        <v>0</v>
      </c>
      <c r="P34" s="334"/>
      <c r="Q34" s="333">
        <f>O34</f>
        <v>0</v>
      </c>
    </row>
    <row r="35" spans="1:17">
      <c r="A35" s="76">
        <f>A34+1</f>
        <v>15</v>
      </c>
      <c r="B35" s="71"/>
      <c r="C35" s="71" t="s">
        <v>378</v>
      </c>
      <c r="D35" s="71"/>
      <c r="E35" s="86">
        <v>7382.2800000000016</v>
      </c>
      <c r="F35" s="369"/>
      <c r="G35" s="82">
        <v>12.303800000000003</v>
      </c>
      <c r="H35" s="71"/>
      <c r="I35" s="86">
        <v>7381.0800000000027</v>
      </c>
      <c r="J35" s="76"/>
      <c r="K35" s="82">
        <v>12.301800000000004</v>
      </c>
      <c r="L35" s="82"/>
      <c r="M35" s="87">
        <f>I35-E35</f>
        <v>-1.1999999999989086</v>
      </c>
      <c r="N35" s="71"/>
      <c r="O35" s="332">
        <f>M35/E35</f>
        <v>-1.6255140688227869E-4</v>
      </c>
      <c r="P35" s="334"/>
      <c r="Q35" s="332">
        <f>O35</f>
        <v>-1.6255140688227869E-4</v>
      </c>
    </row>
    <row r="36" spans="1:17">
      <c r="A36" s="76">
        <f>A35+1</f>
        <v>16</v>
      </c>
      <c r="B36" s="71"/>
      <c r="C36" s="71" t="s">
        <v>379</v>
      </c>
      <c r="D36" s="71"/>
      <c r="E36" s="370">
        <f>SUM(E33:E35)</f>
        <v>21578.40494</v>
      </c>
      <c r="F36" s="76"/>
      <c r="G36" s="375">
        <v>35.964008233333331</v>
      </c>
      <c r="H36" s="76"/>
      <c r="I36" s="370">
        <v>21462.404560000003</v>
      </c>
      <c r="J36" s="369"/>
      <c r="K36" s="375">
        <v>35.770674266666667</v>
      </c>
      <c r="L36" s="82"/>
      <c r="M36" s="383">
        <f>SUM(M33:M35)</f>
        <v>-116.00037999999859</v>
      </c>
      <c r="N36" s="71"/>
      <c r="O36" s="373">
        <f>M36/E36</f>
        <v>-5.3757624960021066E-3</v>
      </c>
      <c r="P36" s="374"/>
      <c r="Q36" s="373">
        <f>(M36-M34)/(E36-E34)</f>
        <v>-9.3334889360306428E-3</v>
      </c>
    </row>
    <row r="37" spans="1:17">
      <c r="A37" s="76"/>
      <c r="B37" s="71"/>
      <c r="C37" s="71"/>
      <c r="D37" s="71"/>
      <c r="E37" s="86"/>
      <c r="F37" s="76"/>
      <c r="G37" s="82"/>
      <c r="H37" s="76"/>
      <c r="I37" s="86"/>
      <c r="J37" s="76"/>
      <c r="K37" s="82"/>
      <c r="L37" s="82"/>
      <c r="M37" s="87"/>
      <c r="N37" s="71"/>
      <c r="O37" s="374"/>
      <c r="P37" s="374"/>
      <c r="Q37" s="374"/>
    </row>
    <row r="38" spans="1:17">
      <c r="A38" s="76">
        <f>A36+1</f>
        <v>17</v>
      </c>
      <c r="B38" s="71"/>
      <c r="C38" s="71" t="s">
        <v>410</v>
      </c>
      <c r="D38" s="71"/>
      <c r="E38" s="370">
        <f>SUM(E33:E34)+I35</f>
        <v>21577.204940000003</v>
      </c>
      <c r="F38" s="76"/>
      <c r="G38" s="375">
        <v>35.962008233333336</v>
      </c>
      <c r="H38" s="76"/>
      <c r="I38" s="370">
        <f>SUM(I33:I35)</f>
        <v>21462.404560000003</v>
      </c>
      <c r="J38" s="369"/>
      <c r="K38" s="375">
        <v>35.770674266666667</v>
      </c>
      <c r="L38" s="82"/>
      <c r="M38" s="383">
        <f>M33+M34</f>
        <v>-114.80037999999968</v>
      </c>
      <c r="N38" s="71"/>
      <c r="O38" s="373">
        <f>M38/E38</f>
        <v>-5.3204472182206402E-3</v>
      </c>
      <c r="P38" s="374"/>
      <c r="Q38" s="373">
        <f>(M38-M34)/(E38-E34)</f>
        <v>-9.2378278586592328E-3</v>
      </c>
    </row>
    <row r="39" spans="1:17">
      <c r="A39" s="76">
        <f>A38+1</f>
        <v>18</v>
      </c>
      <c r="B39" s="71"/>
      <c r="C39" s="71" t="s">
        <v>411</v>
      </c>
      <c r="D39" s="71"/>
      <c r="E39" s="86"/>
      <c r="F39" s="76"/>
      <c r="G39" s="82"/>
      <c r="H39" s="76"/>
      <c r="I39" s="86"/>
      <c r="J39" s="76"/>
      <c r="K39" s="82"/>
      <c r="L39" s="82"/>
      <c r="M39" s="87"/>
      <c r="N39" s="71"/>
      <c r="O39" s="334">
        <v>-8.0867406059896285E-3</v>
      </c>
      <c r="P39" s="374"/>
      <c r="Q39" s="334">
        <v>-2.2750205626101697E-2</v>
      </c>
    </row>
    <row r="40" spans="1:17">
      <c r="A40" s="76"/>
      <c r="B40" s="71"/>
      <c r="C40" s="71"/>
      <c r="D40" s="71"/>
      <c r="E40" s="71"/>
      <c r="F40" s="71"/>
      <c r="G40" s="71"/>
      <c r="H40" s="71"/>
      <c r="I40" s="71"/>
      <c r="J40" s="71"/>
      <c r="K40" s="71"/>
      <c r="L40" s="71"/>
      <c r="M40" s="87"/>
      <c r="N40" s="71"/>
      <c r="O40" s="374"/>
      <c r="P40" s="374"/>
      <c r="Q40" s="374"/>
    </row>
    <row r="41" spans="1:17">
      <c r="A41" s="76"/>
      <c r="B41" s="71"/>
      <c r="C41" s="81" t="s">
        <v>1488</v>
      </c>
      <c r="D41" s="71"/>
      <c r="E41" s="1288" t="s">
        <v>1489</v>
      </c>
      <c r="F41" s="1288"/>
      <c r="G41" s="1288"/>
      <c r="H41" s="71"/>
      <c r="I41" s="71"/>
      <c r="J41" s="71"/>
      <c r="K41" s="71"/>
      <c r="L41" s="71"/>
      <c r="M41" s="87"/>
      <c r="N41" s="71"/>
      <c r="O41" s="374"/>
      <c r="P41" s="374"/>
      <c r="Q41" s="374"/>
    </row>
    <row r="42" spans="1:17">
      <c r="A42" s="76">
        <v>19</v>
      </c>
      <c r="B42" s="71"/>
      <c r="C42" s="71" t="s">
        <v>375</v>
      </c>
      <c r="D42" s="71"/>
      <c r="E42" s="86">
        <v>5912.3506770000004</v>
      </c>
      <c r="F42" s="369"/>
      <c r="G42" s="82">
        <v>8.0991105164383566</v>
      </c>
      <c r="H42" s="82"/>
      <c r="I42" s="86">
        <v>5768.437148</v>
      </c>
      <c r="J42" s="76"/>
      <c r="K42" s="82">
        <v>7.9019686958904112</v>
      </c>
      <c r="L42" s="82"/>
      <c r="M42" s="87">
        <f>I42-E42</f>
        <v>-143.91352900000038</v>
      </c>
      <c r="N42" s="82"/>
      <c r="O42" s="332">
        <f>M42/E42</f>
        <v>-2.4341169335548255E-2</v>
      </c>
      <c r="P42" s="334"/>
      <c r="Q42" s="332">
        <f>O42</f>
        <v>-2.4341169335548255E-2</v>
      </c>
    </row>
    <row r="43" spans="1:17">
      <c r="A43" s="76">
        <f>A42+1</f>
        <v>20</v>
      </c>
      <c r="B43" s="71"/>
      <c r="C43" s="71" t="s">
        <v>376</v>
      </c>
      <c r="D43" s="71"/>
      <c r="E43" s="86">
        <v>11132.5</v>
      </c>
      <c r="F43" s="369"/>
      <c r="G43" s="82">
        <v>15.25</v>
      </c>
      <c r="H43" s="82"/>
      <c r="I43" s="86">
        <v>11132.5</v>
      </c>
      <c r="J43" s="369"/>
      <c r="K43" s="82">
        <v>15.25</v>
      </c>
      <c r="L43" s="82"/>
      <c r="M43" s="87">
        <f>I43-E43</f>
        <v>0</v>
      </c>
      <c r="N43" s="82"/>
      <c r="O43" s="333">
        <f>IFERROR(M43/E43,"100.0%")</f>
        <v>0</v>
      </c>
      <c r="P43" s="334"/>
      <c r="Q43" s="333">
        <f>O43</f>
        <v>0</v>
      </c>
    </row>
    <row r="44" spans="1:17">
      <c r="A44" s="76">
        <f>A43+1</f>
        <v>21</v>
      </c>
      <c r="B44" s="71"/>
      <c r="C44" s="71" t="s">
        <v>378</v>
      </c>
      <c r="D44" s="71"/>
      <c r="E44" s="86">
        <v>8981.7740000000013</v>
      </c>
      <c r="F44" s="369"/>
      <c r="G44" s="82">
        <v>12.303800000000003</v>
      </c>
      <c r="H44" s="71"/>
      <c r="I44" s="86">
        <v>8980.3140000000021</v>
      </c>
      <c r="J44" s="76"/>
      <c r="K44" s="82">
        <v>12.301800000000004</v>
      </c>
      <c r="L44" s="82"/>
      <c r="M44" s="87">
        <f>I44-E44</f>
        <v>-1.4599999999991269</v>
      </c>
      <c r="N44" s="71"/>
      <c r="O44" s="332">
        <f>M44/E44</f>
        <v>-1.6255140688232933E-4</v>
      </c>
      <c r="P44" s="334"/>
      <c r="Q44" s="332">
        <f>O44</f>
        <v>-1.6255140688232933E-4</v>
      </c>
    </row>
    <row r="45" spans="1:17">
      <c r="A45" s="76">
        <f>A44+1</f>
        <v>22</v>
      </c>
      <c r="B45" s="71"/>
      <c r="C45" s="71" t="s">
        <v>379</v>
      </c>
      <c r="D45" s="71"/>
      <c r="E45" s="370">
        <f>SUM(E42:E44)</f>
        <v>26026.624677000003</v>
      </c>
      <c r="F45" s="76"/>
      <c r="G45" s="375">
        <v>35.652910516438361</v>
      </c>
      <c r="H45" s="76"/>
      <c r="I45" s="370">
        <v>25881.251148000003</v>
      </c>
      <c r="J45" s="369"/>
      <c r="K45" s="375">
        <v>35.453768695890417</v>
      </c>
      <c r="L45" s="82"/>
      <c r="M45" s="383">
        <f>SUM(M42:M44)</f>
        <v>-145.37352899999951</v>
      </c>
      <c r="N45" s="71"/>
      <c r="O45" s="373">
        <f>M45/E45</f>
        <v>-5.5855698080000205E-3</v>
      </c>
      <c r="P45" s="374"/>
      <c r="Q45" s="373">
        <f>(M45-M43)/(E45-E43)</f>
        <v>-9.7604614002251566E-3</v>
      </c>
    </row>
    <row r="46" spans="1:17">
      <c r="A46" s="76"/>
      <c r="B46" s="71"/>
      <c r="C46" s="71"/>
      <c r="D46" s="71"/>
      <c r="E46" s="86"/>
      <c r="F46" s="76"/>
      <c r="G46" s="82"/>
      <c r="H46" s="76"/>
      <c r="I46" s="86"/>
      <c r="J46" s="76"/>
      <c r="K46" s="82"/>
      <c r="L46" s="82"/>
      <c r="M46" s="87"/>
      <c r="N46" s="71"/>
      <c r="O46" s="374"/>
      <c r="P46" s="374"/>
      <c r="Q46" s="374"/>
    </row>
    <row r="47" spans="1:17">
      <c r="A47" s="76">
        <f>A45+1</f>
        <v>23</v>
      </c>
      <c r="B47" s="71"/>
      <c r="C47" s="71" t="s">
        <v>410</v>
      </c>
      <c r="D47" s="71"/>
      <c r="E47" s="370">
        <f>SUM(E42:E43)+I44</f>
        <v>26025.164677000004</v>
      </c>
      <c r="F47" s="76"/>
      <c r="G47" s="375">
        <v>35.650910516438358</v>
      </c>
      <c r="H47" s="76"/>
      <c r="I47" s="370">
        <f>SUM(I42:I44)</f>
        <v>25881.251148000003</v>
      </c>
      <c r="J47" s="369"/>
      <c r="K47" s="375">
        <v>35.453768695890417</v>
      </c>
      <c r="L47" s="82"/>
      <c r="M47" s="383">
        <f>M42+M43</f>
        <v>-143.91352900000038</v>
      </c>
      <c r="N47" s="71"/>
      <c r="O47" s="373">
        <f>M47/E47</f>
        <v>-5.5297836069865634E-3</v>
      </c>
      <c r="P47" s="374"/>
      <c r="Q47" s="373">
        <f>(M47-M43)/(E47-E43)</f>
        <v>-9.6633834254160143E-3</v>
      </c>
    </row>
    <row r="48" spans="1:17">
      <c r="A48" s="76">
        <f>A47+1</f>
        <v>24</v>
      </c>
      <c r="B48" s="71"/>
      <c r="C48" s="71" t="s">
        <v>411</v>
      </c>
      <c r="D48" s="71"/>
      <c r="E48" s="86"/>
      <c r="F48" s="76"/>
      <c r="G48" s="82"/>
      <c r="H48" s="76"/>
      <c r="I48" s="86"/>
      <c r="J48" s="76"/>
      <c r="K48" s="82"/>
      <c r="L48" s="82"/>
      <c r="M48" s="87"/>
      <c r="N48" s="71"/>
      <c r="O48" s="334">
        <v>-8.4432261524117532E-3</v>
      </c>
      <c r="P48" s="374"/>
      <c r="Q48" s="334">
        <v>-2.434116933554812E-2</v>
      </c>
    </row>
    <row r="49" spans="1:17">
      <c r="A49" s="76"/>
      <c r="B49" s="71"/>
      <c r="C49" s="71"/>
      <c r="D49" s="71"/>
      <c r="E49" s="71"/>
      <c r="F49" s="71"/>
      <c r="G49" s="71"/>
      <c r="H49" s="71"/>
      <c r="I49" s="71"/>
      <c r="J49" s="71"/>
      <c r="K49" s="71"/>
      <c r="L49" s="71"/>
      <c r="M49" s="87"/>
      <c r="N49" s="71"/>
      <c r="O49" s="374"/>
      <c r="P49" s="374"/>
      <c r="Q49" s="374"/>
    </row>
    <row r="50" spans="1:17">
      <c r="A50" s="76"/>
      <c r="B50" s="71"/>
      <c r="C50" s="81" t="s">
        <v>1490</v>
      </c>
      <c r="D50" s="71"/>
      <c r="E50" s="1288" t="s">
        <v>435</v>
      </c>
      <c r="F50" s="1288"/>
      <c r="G50" s="1288"/>
      <c r="H50" s="71"/>
      <c r="I50" s="71"/>
      <c r="J50" s="71"/>
      <c r="K50" s="71"/>
      <c r="L50" s="71"/>
      <c r="M50" s="87"/>
      <c r="N50" s="71"/>
      <c r="O50" s="374"/>
      <c r="P50" s="374"/>
      <c r="Q50" s="374"/>
    </row>
    <row r="51" spans="1:17">
      <c r="A51" s="76">
        <v>25</v>
      </c>
      <c r="B51" s="71"/>
      <c r="C51" s="71" t="s">
        <v>375</v>
      </c>
      <c r="D51" s="71"/>
      <c r="E51" s="86">
        <v>17235.1005</v>
      </c>
      <c r="F51" s="369"/>
      <c r="G51" s="82">
        <v>6.8940402000000001</v>
      </c>
      <c r="H51" s="82"/>
      <c r="I51" s="86">
        <v>16717.144</v>
      </c>
      <c r="J51" s="76"/>
      <c r="K51" s="82">
        <v>6.6868575999999997</v>
      </c>
      <c r="L51" s="82"/>
      <c r="M51" s="87">
        <f>I51-E51</f>
        <v>-517.95650000000023</v>
      </c>
      <c r="N51" s="82"/>
      <c r="O51" s="332">
        <f>M51/E51</f>
        <v>-3.0052421220288228E-2</v>
      </c>
      <c r="P51" s="334"/>
      <c r="Q51" s="332">
        <f>O51</f>
        <v>-3.0052421220288228E-2</v>
      </c>
    </row>
    <row r="52" spans="1:17">
      <c r="A52" s="76">
        <f>A51+1</f>
        <v>26</v>
      </c>
      <c r="B52" s="71"/>
      <c r="C52" s="71" t="s">
        <v>376</v>
      </c>
      <c r="D52" s="71"/>
      <c r="E52" s="86">
        <v>38125</v>
      </c>
      <c r="F52" s="369"/>
      <c r="G52" s="82">
        <v>15.25</v>
      </c>
      <c r="H52" s="82"/>
      <c r="I52" s="86">
        <v>38125</v>
      </c>
      <c r="J52" s="369"/>
      <c r="K52" s="82">
        <v>15.25</v>
      </c>
      <c r="L52" s="82"/>
      <c r="M52" s="87">
        <f>I52-E52</f>
        <v>0</v>
      </c>
      <c r="N52" s="82"/>
      <c r="O52" s="333">
        <f>IFERROR(M52/E52,"100.0%")</f>
        <v>0</v>
      </c>
      <c r="P52" s="334"/>
      <c r="Q52" s="333">
        <f>O52</f>
        <v>0</v>
      </c>
    </row>
    <row r="53" spans="1:17">
      <c r="A53" s="76">
        <f>A52+1</f>
        <v>27</v>
      </c>
      <c r="B53" s="71"/>
      <c r="C53" s="71" t="s">
        <v>378</v>
      </c>
      <c r="D53" s="71"/>
      <c r="E53" s="86">
        <v>30759.500000000004</v>
      </c>
      <c r="F53" s="369"/>
      <c r="G53" s="82">
        <v>12.303800000000001</v>
      </c>
      <c r="H53" s="71"/>
      <c r="I53" s="86">
        <v>30754.500000000011</v>
      </c>
      <c r="J53" s="76"/>
      <c r="K53" s="82">
        <v>12.301800000000004</v>
      </c>
      <c r="L53" s="82"/>
      <c r="M53" s="87">
        <f>I53-E53</f>
        <v>-4.999999999992724</v>
      </c>
      <c r="N53" s="71"/>
      <c r="O53" s="332">
        <f>M53/E53</f>
        <v>-1.6255140688219001E-4</v>
      </c>
      <c r="P53" s="334"/>
      <c r="Q53" s="332">
        <f>O53</f>
        <v>-1.6255140688219001E-4</v>
      </c>
    </row>
    <row r="54" spans="1:17">
      <c r="A54" s="76">
        <f>A53+1</f>
        <v>28</v>
      </c>
      <c r="B54" s="71"/>
      <c r="C54" s="71" t="s">
        <v>379</v>
      </c>
      <c r="D54" s="71"/>
      <c r="E54" s="370">
        <f>SUM(E51:E53)</f>
        <v>86119.6005</v>
      </c>
      <c r="F54" s="76"/>
      <c r="G54" s="375">
        <v>34.447840200000002</v>
      </c>
      <c r="H54" s="76"/>
      <c r="I54" s="370">
        <v>85596.644000000015</v>
      </c>
      <c r="J54" s="369"/>
      <c r="K54" s="375">
        <v>34.238657600000003</v>
      </c>
      <c r="L54" s="82"/>
      <c r="M54" s="383">
        <f>SUM(M51:M53)</f>
        <v>-522.95649999999296</v>
      </c>
      <c r="N54" s="71"/>
      <c r="O54" s="373">
        <f>M54/E54</f>
        <v>-6.0724445650440859E-3</v>
      </c>
      <c r="P54" s="374"/>
      <c r="Q54" s="373">
        <f>(M54-M52)/(E54-E52)</f>
        <v>-1.0896152787020134E-2</v>
      </c>
    </row>
    <row r="55" spans="1:17">
      <c r="A55" s="76"/>
      <c r="B55" s="71"/>
      <c r="C55" s="71"/>
      <c r="D55" s="71"/>
      <c r="E55" s="86"/>
      <c r="F55" s="76"/>
      <c r="G55" s="82"/>
      <c r="H55" s="76"/>
      <c r="I55" s="86"/>
      <c r="J55" s="76"/>
      <c r="K55" s="82"/>
      <c r="L55" s="82"/>
      <c r="M55" s="87"/>
      <c r="N55" s="71"/>
      <c r="O55" s="374"/>
      <c r="P55" s="374"/>
      <c r="Q55" s="374"/>
    </row>
    <row r="56" spans="1:17">
      <c r="A56" s="76">
        <f>A54+1</f>
        <v>29</v>
      </c>
      <c r="B56" s="71"/>
      <c r="C56" s="71" t="s">
        <v>410</v>
      </c>
      <c r="D56" s="71"/>
      <c r="E56" s="370">
        <f>SUM(E51:E52)+I53</f>
        <v>86114.600500000015</v>
      </c>
      <c r="F56" s="76"/>
      <c r="G56" s="375">
        <v>34.445840200000006</v>
      </c>
      <c r="H56" s="76"/>
      <c r="I56" s="370">
        <f>SUM(I51:I53)</f>
        <v>85596.644000000015</v>
      </c>
      <c r="J56" s="369"/>
      <c r="K56" s="375">
        <v>34.238657600000003</v>
      </c>
      <c r="L56" s="82"/>
      <c r="M56" s="383">
        <f>M51+M52</f>
        <v>-517.95650000000023</v>
      </c>
      <c r="N56" s="71"/>
      <c r="O56" s="373">
        <f>M56/E56</f>
        <v>-6.0147349809745697E-3</v>
      </c>
      <c r="P56" s="374"/>
      <c r="Q56" s="373">
        <f>(M56-M52)/(E56-E52)</f>
        <v>-1.0793098808980502E-2</v>
      </c>
    </row>
    <row r="57" spans="1:17">
      <c r="A57" s="76">
        <f>A56+1</f>
        <v>30</v>
      </c>
      <c r="B57" s="71"/>
      <c r="C57" s="71" t="s">
        <v>411</v>
      </c>
      <c r="D57" s="71"/>
      <c r="E57" s="86"/>
      <c r="F57" s="76"/>
      <c r="G57" s="82"/>
      <c r="H57" s="76"/>
      <c r="I57" s="86"/>
      <c r="J57" s="76"/>
      <c r="K57" s="82"/>
      <c r="L57" s="82"/>
      <c r="M57" s="87"/>
      <c r="N57" s="71"/>
      <c r="O57" s="334">
        <v>-9.3561336652558981E-3</v>
      </c>
      <c r="P57" s="374"/>
      <c r="Q57" s="334">
        <v>-3.0052421220288207E-2</v>
      </c>
    </row>
    <row r="58" spans="1:17">
      <c r="A58" s="76"/>
      <c r="B58" s="71"/>
      <c r="C58" s="71"/>
      <c r="D58" s="71"/>
      <c r="E58" s="71"/>
      <c r="F58" s="71"/>
      <c r="G58" s="71"/>
      <c r="H58" s="71"/>
      <c r="I58" s="71"/>
      <c r="J58" s="71"/>
      <c r="K58" s="71"/>
      <c r="L58" s="71"/>
      <c r="M58" s="87"/>
      <c r="N58" s="71"/>
      <c r="O58" s="374"/>
      <c r="P58" s="374"/>
      <c r="Q58" s="374"/>
    </row>
    <row r="59" spans="1:17">
      <c r="A59" s="76"/>
      <c r="B59" s="71"/>
      <c r="C59" s="81" t="s">
        <v>1491</v>
      </c>
      <c r="D59" s="71"/>
      <c r="E59" s="71" t="s">
        <v>1492</v>
      </c>
      <c r="F59" s="71"/>
      <c r="G59" s="71"/>
      <c r="H59" s="71"/>
      <c r="I59" s="71"/>
      <c r="J59" s="71"/>
      <c r="K59" s="71"/>
      <c r="L59" s="71"/>
      <c r="M59" s="87"/>
      <c r="N59" s="71"/>
      <c r="O59" s="374"/>
      <c r="P59" s="374"/>
      <c r="Q59" s="374"/>
    </row>
    <row r="60" spans="1:17">
      <c r="A60" s="76">
        <v>31</v>
      </c>
      <c r="B60" s="71"/>
      <c r="C60" s="71" t="s">
        <v>375</v>
      </c>
      <c r="D60" s="71"/>
      <c r="E60" s="86">
        <v>56858.308600000004</v>
      </c>
      <c r="F60" s="369"/>
      <c r="G60" s="82">
        <v>6.4980924114285719</v>
      </c>
      <c r="H60" s="82"/>
      <c r="I60" s="86">
        <v>58770.110400000005</v>
      </c>
      <c r="J60" s="76"/>
      <c r="K60" s="82">
        <v>6.7165840457142867</v>
      </c>
      <c r="L60" s="82"/>
      <c r="M60" s="87">
        <f>I60-E60</f>
        <v>1911.8018000000011</v>
      </c>
      <c r="N60" s="82"/>
      <c r="O60" s="332">
        <f>M60/E60</f>
        <v>3.3623965381200258E-2</v>
      </c>
      <c r="P60" s="334"/>
      <c r="Q60" s="332">
        <f>O60</f>
        <v>3.3623965381200258E-2</v>
      </c>
    </row>
    <row r="61" spans="1:17">
      <c r="A61" s="76">
        <f>A60+1</f>
        <v>32</v>
      </c>
      <c r="B61" s="71"/>
      <c r="C61" s="71" t="s">
        <v>376</v>
      </c>
      <c r="D61" s="71"/>
      <c r="E61" s="86">
        <v>133437.5</v>
      </c>
      <c r="F61" s="369"/>
      <c r="G61" s="82">
        <v>15.25</v>
      </c>
      <c r="H61" s="82"/>
      <c r="I61" s="86">
        <v>133437.5</v>
      </c>
      <c r="J61" s="369"/>
      <c r="K61" s="82">
        <v>15.25</v>
      </c>
      <c r="L61" s="82"/>
      <c r="M61" s="87">
        <f>I61-E61</f>
        <v>0</v>
      </c>
      <c r="N61" s="82"/>
      <c r="O61" s="333">
        <f>IFERROR(M61/E61,"100.0%")</f>
        <v>0</v>
      </c>
      <c r="P61" s="334"/>
      <c r="Q61" s="333">
        <f>O61</f>
        <v>0</v>
      </c>
    </row>
    <row r="62" spans="1:17">
      <c r="A62" s="76">
        <f>A61+1</f>
        <v>33</v>
      </c>
      <c r="B62" s="71"/>
      <c r="C62" s="71" t="s">
        <v>378</v>
      </c>
      <c r="D62" s="71"/>
      <c r="E62" s="86">
        <v>107658.25000000001</v>
      </c>
      <c r="F62" s="369"/>
      <c r="G62" s="82">
        <v>12.303800000000003</v>
      </c>
      <c r="H62" s="71"/>
      <c r="I62" s="86">
        <v>107640.75000000004</v>
      </c>
      <c r="J62" s="76"/>
      <c r="K62" s="82">
        <v>12.301800000000004</v>
      </c>
      <c r="L62" s="82"/>
      <c r="M62" s="87">
        <f>I62-E62</f>
        <v>-17.499999999970896</v>
      </c>
      <c r="N62" s="71"/>
      <c r="O62" s="332">
        <f>M62/E62</f>
        <v>-1.6255140688215621E-4</v>
      </c>
      <c r="P62" s="334"/>
      <c r="Q62" s="332">
        <f>O62</f>
        <v>-1.6255140688215621E-4</v>
      </c>
    </row>
    <row r="63" spans="1:17">
      <c r="A63" s="76">
        <f>A62+1</f>
        <v>34</v>
      </c>
      <c r="B63" s="71"/>
      <c r="C63" s="71" t="s">
        <v>379</v>
      </c>
      <c r="D63" s="71"/>
      <c r="E63" s="370">
        <f>SUM(E60:E62)</f>
        <v>297954.05859999999</v>
      </c>
      <c r="F63" s="76"/>
      <c r="G63" s="375">
        <v>34.051892411428568</v>
      </c>
      <c r="H63" s="76"/>
      <c r="I63" s="370">
        <v>299848.36040000006</v>
      </c>
      <c r="J63" s="369"/>
      <c r="K63" s="375">
        <v>34.268384045714292</v>
      </c>
      <c r="L63" s="82"/>
      <c r="M63" s="383">
        <f>SUM(M60:M62)</f>
        <v>1894.3018000000302</v>
      </c>
      <c r="N63" s="71"/>
      <c r="O63" s="373">
        <f>M63/E63</f>
        <v>6.3576975890202898E-3</v>
      </c>
      <c r="P63" s="374"/>
      <c r="Q63" s="373">
        <f>(M63-M61)/(E63-E61)</f>
        <v>1.1514353425090612E-2</v>
      </c>
    </row>
    <row r="64" spans="1:17">
      <c r="A64" s="76"/>
      <c r="B64" s="71"/>
      <c r="C64" s="71"/>
      <c r="D64" s="71"/>
      <c r="E64" s="86"/>
      <c r="F64" s="76"/>
      <c r="G64" s="82"/>
      <c r="H64" s="76"/>
      <c r="I64" s="86"/>
      <c r="J64" s="76"/>
      <c r="K64" s="82"/>
      <c r="L64" s="82"/>
      <c r="M64" s="87"/>
      <c r="N64" s="71"/>
      <c r="O64" s="374"/>
      <c r="P64" s="374"/>
      <c r="Q64" s="374"/>
    </row>
    <row r="65" spans="1:17">
      <c r="A65" s="76">
        <f>A63+1</f>
        <v>35</v>
      </c>
      <c r="B65" s="71"/>
      <c r="C65" s="71" t="s">
        <v>410</v>
      </c>
      <c r="D65" s="71"/>
      <c r="E65" s="370">
        <f>SUM(E60:E61)+I62</f>
        <v>297936.55860000005</v>
      </c>
      <c r="F65" s="76"/>
      <c r="G65" s="375">
        <v>34.04989241142858</v>
      </c>
      <c r="H65" s="76"/>
      <c r="I65" s="370">
        <f>SUM(I60:I62)</f>
        <v>299848.36040000006</v>
      </c>
      <c r="J65" s="369"/>
      <c r="K65" s="375">
        <v>34.268384045714292</v>
      </c>
      <c r="L65" s="82"/>
      <c r="M65" s="383">
        <f>M60+M61</f>
        <v>1911.8018000000011</v>
      </c>
      <c r="N65" s="71"/>
      <c r="O65" s="373">
        <f>M65/E65</f>
        <v>6.4168083600869008E-3</v>
      </c>
      <c r="P65" s="374"/>
      <c r="Q65" s="373">
        <f>(M65-M61)/(E65-E61)</f>
        <v>1.1621961950850948E-2</v>
      </c>
    </row>
    <row r="66" spans="1:17">
      <c r="A66" s="76">
        <f>A65+1</f>
        <v>36</v>
      </c>
      <c r="B66" s="71"/>
      <c r="C66" s="71" t="s">
        <v>411</v>
      </c>
      <c r="D66" s="71"/>
      <c r="E66" s="86"/>
      <c r="F66" s="76"/>
      <c r="G66" s="82"/>
      <c r="H66" s="76"/>
      <c r="I66" s="86"/>
      <c r="J66" s="76"/>
      <c r="K66" s="82"/>
      <c r="L66" s="82"/>
      <c r="M66" s="87"/>
      <c r="N66" s="71"/>
      <c r="O66" s="334">
        <v>1.0046473509138556E-2</v>
      </c>
      <c r="P66" s="374"/>
      <c r="Q66" s="334">
        <v>3.3623965381200258E-2</v>
      </c>
    </row>
    <row r="67" spans="1:17">
      <c r="A67" s="76"/>
      <c r="B67" s="71"/>
      <c r="C67" s="71"/>
      <c r="D67" s="71"/>
      <c r="E67" s="71"/>
      <c r="F67" s="71"/>
      <c r="G67" s="71"/>
      <c r="H67" s="71"/>
      <c r="I67" s="71"/>
      <c r="J67" s="71"/>
      <c r="K67" s="71"/>
      <c r="L67" s="71"/>
      <c r="M67" s="87"/>
      <c r="N67" s="71"/>
      <c r="O67" s="374"/>
      <c r="P67" s="374"/>
      <c r="Q67" s="374"/>
    </row>
    <row r="68" spans="1:17">
      <c r="A68" s="76"/>
      <c r="B68" s="71"/>
      <c r="C68" s="81" t="s">
        <v>1493</v>
      </c>
      <c r="D68" s="71"/>
      <c r="E68" s="71" t="s">
        <v>1494</v>
      </c>
      <c r="F68" s="71"/>
      <c r="G68" s="71"/>
      <c r="H68" s="71"/>
      <c r="I68" s="71"/>
      <c r="J68" s="71"/>
      <c r="K68" s="71"/>
      <c r="L68" s="71"/>
      <c r="M68" s="87"/>
      <c r="N68" s="71"/>
      <c r="O68" s="374"/>
      <c r="P68" s="374"/>
      <c r="Q68" s="374"/>
    </row>
    <row r="69" spans="1:17">
      <c r="A69" s="76">
        <f>A66+1</f>
        <v>37</v>
      </c>
      <c r="B69" s="71"/>
      <c r="C69" s="71" t="s">
        <v>375</v>
      </c>
      <c r="D69" s="71"/>
      <c r="E69" s="86">
        <v>452740.67520000006</v>
      </c>
      <c r="F69" s="369"/>
      <c r="G69" s="82">
        <v>3.7728389600000001</v>
      </c>
      <c r="H69" s="82"/>
      <c r="I69" s="86">
        <v>470381.17260000005</v>
      </c>
      <c r="J69" s="76"/>
      <c r="K69" s="82">
        <v>3.9198431050000004</v>
      </c>
      <c r="L69" s="82"/>
      <c r="M69" s="87">
        <f>I69-E69</f>
        <v>17640.497399999993</v>
      </c>
      <c r="N69" s="82"/>
      <c r="O69" s="332">
        <f>M69/E69</f>
        <v>3.8963800617665356E-2</v>
      </c>
      <c r="P69" s="334"/>
      <c r="Q69" s="332">
        <f>O69</f>
        <v>3.8963800617665356E-2</v>
      </c>
    </row>
    <row r="70" spans="1:17">
      <c r="A70" s="76">
        <f>A69+1</f>
        <v>38</v>
      </c>
      <c r="B70" s="71"/>
      <c r="C70" s="71" t="s">
        <v>376</v>
      </c>
      <c r="D70" s="71"/>
      <c r="E70" s="86">
        <v>1830000</v>
      </c>
      <c r="F70" s="369"/>
      <c r="G70" s="82">
        <v>15.25</v>
      </c>
      <c r="H70" s="82"/>
      <c r="I70" s="86">
        <v>1830000</v>
      </c>
      <c r="J70" s="369"/>
      <c r="K70" s="82">
        <v>15.25</v>
      </c>
      <c r="L70" s="82"/>
      <c r="M70" s="87">
        <f>I70-E70</f>
        <v>0</v>
      </c>
      <c r="N70" s="82"/>
      <c r="O70" s="333">
        <f>IFERROR(M70/E70,"100.0%")</f>
        <v>0</v>
      </c>
      <c r="P70" s="334"/>
      <c r="Q70" s="333">
        <f>O70</f>
        <v>0</v>
      </c>
    </row>
    <row r="71" spans="1:17">
      <c r="A71" s="76">
        <f>A70+1</f>
        <v>39</v>
      </c>
      <c r="B71" s="71"/>
      <c r="C71" s="71" t="s">
        <v>378</v>
      </c>
      <c r="D71" s="71"/>
      <c r="E71" s="86">
        <v>1476456.0000000002</v>
      </c>
      <c r="F71" s="369"/>
      <c r="G71" s="82">
        <v>12.303800000000003</v>
      </c>
      <c r="H71" s="71"/>
      <c r="I71" s="86">
        <v>1476216.0000000002</v>
      </c>
      <c r="J71" s="76"/>
      <c r="K71" s="82">
        <v>12.301800000000002</v>
      </c>
      <c r="L71" s="82"/>
      <c r="M71" s="87">
        <f>I71-E71</f>
        <v>-240</v>
      </c>
      <c r="N71" s="71"/>
      <c r="O71" s="332">
        <f>M71/E71</f>
        <v>-1.6255140688242655E-4</v>
      </c>
      <c r="P71" s="334"/>
      <c r="Q71" s="332">
        <f>O71</f>
        <v>-1.6255140688242655E-4</v>
      </c>
    </row>
    <row r="72" spans="1:17">
      <c r="A72" s="76">
        <f>A71+1</f>
        <v>40</v>
      </c>
      <c r="B72" s="71"/>
      <c r="C72" s="71" t="s">
        <v>379</v>
      </c>
      <c r="D72" s="71"/>
      <c r="E72" s="370">
        <f>SUM(E69:E71)</f>
        <v>3759196.6752000004</v>
      </c>
      <c r="F72" s="76"/>
      <c r="G72" s="375">
        <v>31.326638960000004</v>
      </c>
      <c r="H72" s="76"/>
      <c r="I72" s="370">
        <v>3776597.1726000002</v>
      </c>
      <c r="J72" s="369"/>
      <c r="K72" s="375">
        <v>31.471643105000002</v>
      </c>
      <c r="L72" s="82"/>
      <c r="M72" s="383">
        <f>SUM(M69:M71)</f>
        <v>17400.497399999993</v>
      </c>
      <c r="N72" s="71"/>
      <c r="O72" s="373">
        <f>M72/E72</f>
        <v>4.6287808017052567E-3</v>
      </c>
      <c r="P72" s="374"/>
      <c r="Q72" s="373">
        <f>(M72-M70)/(E72-E70)</f>
        <v>9.0195559756477799E-3</v>
      </c>
    </row>
    <row r="73" spans="1:17">
      <c r="A73" s="76"/>
      <c r="B73" s="71"/>
      <c r="C73" s="71"/>
      <c r="D73" s="71"/>
      <c r="E73" s="86"/>
      <c r="F73" s="76"/>
      <c r="G73" s="82"/>
      <c r="H73" s="76"/>
      <c r="I73" s="86"/>
      <c r="J73" s="76"/>
      <c r="K73" s="82"/>
      <c r="L73" s="82"/>
      <c r="M73" s="87"/>
      <c r="N73" s="71"/>
      <c r="O73" s="374"/>
      <c r="P73" s="374"/>
      <c r="Q73" s="374"/>
    </row>
    <row r="74" spans="1:17">
      <c r="A74" s="76">
        <f>A72+1</f>
        <v>41</v>
      </c>
      <c r="B74" s="71"/>
      <c r="C74" s="71" t="s">
        <v>410</v>
      </c>
      <c r="D74" s="71"/>
      <c r="E74" s="370">
        <f>SUM(E69:E70)+I71</f>
        <v>3758956.6752000004</v>
      </c>
      <c r="F74" s="76"/>
      <c r="G74" s="375">
        <v>31.324638960000001</v>
      </c>
      <c r="H74" s="76"/>
      <c r="I74" s="370">
        <f>SUM(I69:I71)</f>
        <v>3776597.1726000002</v>
      </c>
      <c r="J74" s="369"/>
      <c r="K74" s="375">
        <v>31.471643105000002</v>
      </c>
      <c r="L74" s="82"/>
      <c r="M74" s="383">
        <f>M69+M70</f>
        <v>17640.497399999993</v>
      </c>
      <c r="N74" s="71"/>
      <c r="O74" s="373">
        <f>M74/E74</f>
        <v>4.6929238414436915E-3</v>
      </c>
      <c r="P74" s="374"/>
      <c r="Q74" s="373">
        <f>(M74-M70)/(E74-E70)</f>
        <v>9.1450977758072097E-3</v>
      </c>
    </row>
    <row r="75" spans="1:17">
      <c r="A75" s="76">
        <f>A74+1</f>
        <v>42</v>
      </c>
      <c r="B75" s="71"/>
      <c r="C75" s="71" t="s">
        <v>411</v>
      </c>
      <c r="D75" s="71"/>
      <c r="E75" s="86"/>
      <c r="F75" s="76"/>
      <c r="G75" s="82"/>
      <c r="H75" s="76"/>
      <c r="I75" s="86"/>
      <c r="J75" s="76"/>
      <c r="K75" s="82"/>
      <c r="L75" s="82"/>
      <c r="M75" s="87"/>
      <c r="N75" s="71"/>
      <c r="O75" s="334">
        <v>7.7277710918496924E-3</v>
      </c>
      <c r="P75" s="374"/>
      <c r="Q75" s="334">
        <v>3.8963800617665391E-2</v>
      </c>
    </row>
    <row r="76" spans="1:17">
      <c r="A76" s="76"/>
      <c r="B76" s="71"/>
      <c r="C76" s="71"/>
      <c r="D76" s="71"/>
      <c r="E76" s="71"/>
      <c r="F76" s="71"/>
      <c r="G76" s="71"/>
      <c r="H76" s="71"/>
      <c r="I76" s="71"/>
      <c r="J76" s="71"/>
      <c r="K76" s="71"/>
      <c r="L76" s="71"/>
      <c r="M76" s="87"/>
      <c r="N76" s="71"/>
      <c r="O76" s="374"/>
      <c r="P76" s="374"/>
      <c r="Q76" s="374"/>
    </row>
    <row r="80" spans="1:17">
      <c r="A80" s="1286" t="s">
        <v>395</v>
      </c>
      <c r="B80" s="1286"/>
      <c r="C80" s="1286"/>
      <c r="D80" s="1286"/>
      <c r="E80" s="1286"/>
      <c r="F80" s="1286"/>
      <c r="G80" s="1286"/>
      <c r="H80" s="1286"/>
      <c r="I80" s="1286"/>
      <c r="J80" s="1286"/>
      <c r="K80" s="1286"/>
      <c r="L80" s="1286"/>
      <c r="M80" s="1286"/>
      <c r="N80" s="1286"/>
      <c r="O80" s="1286"/>
      <c r="P80" s="1286"/>
      <c r="Q80" s="1286"/>
    </row>
    <row r="81" spans="1:17">
      <c r="A81" s="1286" t="s">
        <v>177</v>
      </c>
      <c r="B81" s="1286"/>
      <c r="C81" s="1286"/>
      <c r="D81" s="1286"/>
      <c r="E81" s="1286"/>
      <c r="F81" s="1286"/>
      <c r="G81" s="1286"/>
      <c r="H81" s="1286"/>
      <c r="I81" s="1286"/>
      <c r="J81" s="1286"/>
      <c r="K81" s="1286"/>
      <c r="L81" s="1286"/>
      <c r="M81" s="1286"/>
      <c r="N81" s="1286"/>
      <c r="O81" s="1286"/>
      <c r="P81" s="1286"/>
      <c r="Q81" s="1286"/>
    </row>
    <row r="82" spans="1:17">
      <c r="A82" s="91"/>
      <c r="B82" s="91"/>
      <c r="C82" s="91"/>
      <c r="D82" s="91"/>
      <c r="E82" s="91"/>
      <c r="F82" s="91"/>
      <c r="G82" s="91"/>
      <c r="H82" s="91"/>
      <c r="I82" s="91"/>
      <c r="J82" s="91"/>
      <c r="K82" s="91"/>
      <c r="L82" s="91"/>
      <c r="M82" s="91"/>
      <c r="N82" s="91"/>
      <c r="O82" s="91"/>
      <c r="P82" s="91"/>
      <c r="Q82" s="91"/>
    </row>
    <row r="83" spans="1:17">
      <c r="A83" s="76"/>
      <c r="B83" s="71"/>
      <c r="C83" s="71"/>
      <c r="D83" s="71"/>
      <c r="E83" s="1349"/>
      <c r="F83" s="1349"/>
      <c r="G83" s="1349"/>
      <c r="H83" s="71"/>
      <c r="I83" s="1349"/>
      <c r="J83" s="1349"/>
      <c r="K83" s="1349"/>
      <c r="L83" s="71"/>
      <c r="M83" s="71"/>
      <c r="N83" s="71"/>
      <c r="O83" s="71"/>
      <c r="P83" s="71"/>
      <c r="Q83" s="71"/>
    </row>
    <row r="84" spans="1:17">
      <c r="A84" s="76"/>
      <c r="B84" s="71"/>
      <c r="C84" s="71"/>
      <c r="D84" s="71"/>
      <c r="E84" s="1287" t="s">
        <v>1484</v>
      </c>
      <c r="F84" s="1287"/>
      <c r="G84" s="1287"/>
      <c r="H84" s="71"/>
      <c r="I84" s="1287" t="s">
        <v>362</v>
      </c>
      <c r="J84" s="1287"/>
      <c r="K84" s="1287"/>
      <c r="L84" s="1287"/>
      <c r="M84" s="1287"/>
      <c r="N84" s="71"/>
      <c r="O84" s="1287" t="s">
        <v>363</v>
      </c>
      <c r="P84" s="1287"/>
      <c r="Q84" s="1287"/>
    </row>
    <row r="85" spans="1:17">
      <c r="A85" s="76"/>
      <c r="B85" s="71"/>
      <c r="C85" s="71"/>
      <c r="D85" s="71"/>
      <c r="E85" s="76"/>
      <c r="F85" s="76"/>
      <c r="G85" s="76"/>
      <c r="H85" s="71"/>
      <c r="I85" s="76"/>
      <c r="J85" s="76"/>
      <c r="K85" s="76"/>
      <c r="L85" s="76"/>
      <c r="M85" s="76" t="s">
        <v>364</v>
      </c>
      <c r="N85" s="71"/>
      <c r="O85" s="76" t="s">
        <v>365</v>
      </c>
      <c r="P85" s="76"/>
      <c r="Q85" s="76" t="s">
        <v>366</v>
      </c>
    </row>
    <row r="86" spans="1:17">
      <c r="A86" s="76" t="s">
        <v>1</v>
      </c>
      <c r="B86" s="71"/>
      <c r="C86" s="71"/>
      <c r="D86" s="71"/>
      <c r="E86" s="76" t="s">
        <v>364</v>
      </c>
      <c r="F86" s="76"/>
      <c r="G86" s="76" t="s">
        <v>109</v>
      </c>
      <c r="H86" s="71"/>
      <c r="I86" s="76" t="s">
        <v>364</v>
      </c>
      <c r="J86" s="76"/>
      <c r="K86" s="76" t="s">
        <v>109</v>
      </c>
      <c r="L86" s="76"/>
      <c r="M86" s="76" t="s">
        <v>367</v>
      </c>
      <c r="N86" s="71"/>
      <c r="O86" s="76" t="s">
        <v>368</v>
      </c>
      <c r="P86" s="71"/>
      <c r="Q86" s="76" t="s">
        <v>368</v>
      </c>
    </row>
    <row r="87" spans="1:17">
      <c r="A87" s="79" t="s">
        <v>2</v>
      </c>
      <c r="B87" s="71"/>
      <c r="C87" s="366" t="s">
        <v>3</v>
      </c>
      <c r="D87" s="71"/>
      <c r="E87" s="79" t="s">
        <v>369</v>
      </c>
      <c r="F87" s="76"/>
      <c r="G87" s="79" t="s">
        <v>77</v>
      </c>
      <c r="H87" s="71"/>
      <c r="I87" s="79" t="s">
        <v>369</v>
      </c>
      <c r="J87" s="76"/>
      <c r="K87" s="79" t="s">
        <v>77</v>
      </c>
      <c r="L87" s="76"/>
      <c r="M87" s="79" t="s">
        <v>369</v>
      </c>
      <c r="N87" s="71"/>
      <c r="O87" s="79" t="s">
        <v>76</v>
      </c>
      <c r="P87" s="76"/>
      <c r="Q87" s="79" t="s">
        <v>76</v>
      </c>
    </row>
    <row r="88" spans="1:17">
      <c r="D88" s="71"/>
      <c r="E88" s="76" t="s">
        <v>8</v>
      </c>
      <c r="F88" s="76"/>
      <c r="G88" s="76" t="s">
        <v>9</v>
      </c>
      <c r="H88" s="76"/>
      <c r="I88" s="76" t="s">
        <v>370</v>
      </c>
      <c r="J88" s="76"/>
      <c r="K88" s="76" t="s">
        <v>79</v>
      </c>
      <c r="L88" s="76"/>
      <c r="M88" s="76" t="s">
        <v>371</v>
      </c>
      <c r="N88" s="76"/>
      <c r="O88" s="76" t="s">
        <v>372</v>
      </c>
      <c r="P88" s="76"/>
      <c r="Q88" s="76" t="s">
        <v>82</v>
      </c>
    </row>
    <row r="89" spans="1:17">
      <c r="A89" s="76"/>
      <c r="B89" s="71"/>
      <c r="C89" s="71"/>
      <c r="D89" s="71"/>
      <c r="E89" s="76"/>
      <c r="F89" s="76"/>
      <c r="G89" s="76"/>
      <c r="H89" s="76"/>
      <c r="I89" s="76"/>
      <c r="J89" s="76"/>
      <c r="K89" s="76"/>
      <c r="L89" s="76"/>
      <c r="M89" s="382"/>
      <c r="N89" s="76"/>
      <c r="O89" s="378"/>
      <c r="P89" s="378"/>
      <c r="Q89" s="378"/>
    </row>
    <row r="90" spans="1:17">
      <c r="A90" s="76"/>
      <c r="B90" s="71"/>
      <c r="C90" s="81" t="s">
        <v>1495</v>
      </c>
      <c r="D90" s="71"/>
      <c r="E90" s="71" t="s">
        <v>1496</v>
      </c>
      <c r="F90" s="71"/>
      <c r="G90" s="71"/>
      <c r="H90" s="71"/>
      <c r="I90" s="71"/>
      <c r="J90" s="71"/>
      <c r="K90" s="71"/>
      <c r="L90" s="71"/>
      <c r="M90" s="87"/>
      <c r="N90" s="71"/>
      <c r="O90" s="374"/>
      <c r="P90" s="374"/>
      <c r="Q90" s="374"/>
    </row>
    <row r="91" spans="1:17">
      <c r="A91" s="76">
        <f>A75+1</f>
        <v>43</v>
      </c>
      <c r="B91" s="71"/>
      <c r="C91" s="71" t="s">
        <v>375</v>
      </c>
      <c r="D91" s="71"/>
      <c r="E91" s="86">
        <v>38050.784999999996</v>
      </c>
      <c r="F91" s="369"/>
      <c r="G91" s="82">
        <v>4.6122163636363629</v>
      </c>
      <c r="H91" s="82"/>
      <c r="I91" s="86">
        <v>38381.998799999994</v>
      </c>
      <c r="J91" s="76"/>
      <c r="K91" s="82">
        <v>4.6523634909090905</v>
      </c>
      <c r="L91" s="82"/>
      <c r="M91" s="87">
        <f>I91-E91</f>
        <v>331.21379999999772</v>
      </c>
      <c r="N91" s="82"/>
      <c r="O91" s="332">
        <f>M91/E91</f>
        <v>8.7045194994005443E-3</v>
      </c>
      <c r="P91" s="334"/>
      <c r="Q91" s="332">
        <f>O91</f>
        <v>8.7045194994005443E-3</v>
      </c>
    </row>
    <row r="92" spans="1:17">
      <c r="A92" s="76">
        <f>A91+1</f>
        <v>44</v>
      </c>
      <c r="B92" s="71"/>
      <c r="C92" s="71" t="s">
        <v>376</v>
      </c>
      <c r="D92" s="71"/>
      <c r="E92" s="86">
        <v>125812.5</v>
      </c>
      <c r="F92" s="369"/>
      <c r="G92" s="82">
        <v>15.25</v>
      </c>
      <c r="H92" s="82"/>
      <c r="I92" s="86">
        <v>125812.5</v>
      </c>
      <c r="J92" s="369"/>
      <c r="K92" s="82">
        <v>15.25</v>
      </c>
      <c r="L92" s="82"/>
      <c r="M92" s="87">
        <f>I92-E92</f>
        <v>0</v>
      </c>
      <c r="N92" s="82"/>
      <c r="O92" s="333">
        <f>IFERROR(M92/E92,"100.0%")</f>
        <v>0</v>
      </c>
      <c r="P92" s="334"/>
      <c r="Q92" s="333">
        <f>O92</f>
        <v>0</v>
      </c>
    </row>
    <row r="93" spans="1:17">
      <c r="A93" s="76">
        <f>A92+1</f>
        <v>45</v>
      </c>
      <c r="B93" s="71"/>
      <c r="C93" s="71" t="s">
        <v>378</v>
      </c>
      <c r="D93" s="71"/>
      <c r="E93" s="86">
        <v>101506.35000000002</v>
      </c>
      <c r="F93" s="369"/>
      <c r="G93" s="82">
        <v>12.303800000000003</v>
      </c>
      <c r="H93" s="71"/>
      <c r="I93" s="86">
        <v>101489.85000000003</v>
      </c>
      <c r="J93" s="76"/>
      <c r="K93" s="82">
        <v>12.301800000000004</v>
      </c>
      <c r="L93" s="82"/>
      <c r="M93" s="87">
        <f>I93-E93</f>
        <v>-16.499999999985448</v>
      </c>
      <c r="N93" s="71"/>
      <c r="O93" s="332">
        <f>M93/E93</f>
        <v>-1.6255140688228317E-4</v>
      </c>
      <c r="P93" s="334"/>
      <c r="Q93" s="332">
        <f>O93</f>
        <v>-1.6255140688228317E-4</v>
      </c>
    </row>
    <row r="94" spans="1:17">
      <c r="A94" s="76">
        <f>A93+1</f>
        <v>46</v>
      </c>
      <c r="B94" s="71"/>
      <c r="C94" s="71" t="s">
        <v>379</v>
      </c>
      <c r="D94" s="71"/>
      <c r="E94" s="370">
        <f>SUM(E91:E93)</f>
        <v>265369.63500000001</v>
      </c>
      <c r="F94" s="76"/>
      <c r="G94" s="375">
        <v>32.166016363636359</v>
      </c>
      <c r="H94" s="76"/>
      <c r="I94" s="370">
        <f>SUM(I91:I93)</f>
        <v>265684.34880000004</v>
      </c>
      <c r="J94" s="369"/>
      <c r="K94" s="375">
        <v>32.204163490909096</v>
      </c>
      <c r="L94" s="82"/>
      <c r="M94" s="383">
        <f>SUM(M91:M93)</f>
        <v>314.71380000001227</v>
      </c>
      <c r="N94" s="71"/>
      <c r="O94" s="373">
        <f>M94/E94</f>
        <v>1.1859450309754252E-3</v>
      </c>
      <c r="P94" s="374"/>
      <c r="Q94" s="373">
        <f>(M94-M92)/(E94-E92)</f>
        <v>2.2550892865492848E-3</v>
      </c>
    </row>
    <row r="95" spans="1:17">
      <c r="A95" s="76"/>
      <c r="B95" s="71"/>
      <c r="C95" s="71"/>
      <c r="D95" s="71"/>
      <c r="E95" s="86"/>
      <c r="F95" s="76"/>
      <c r="G95" s="82"/>
      <c r="H95" s="76"/>
      <c r="I95" s="86"/>
      <c r="J95" s="76"/>
      <c r="K95" s="82"/>
      <c r="L95" s="82"/>
      <c r="M95" s="87"/>
      <c r="N95" s="71"/>
      <c r="O95" s="374"/>
      <c r="P95" s="374"/>
      <c r="Q95" s="374"/>
    </row>
    <row r="96" spans="1:17">
      <c r="A96" s="76">
        <f>A94+1</f>
        <v>47</v>
      </c>
      <c r="B96" s="71"/>
      <c r="C96" s="71" t="s">
        <v>410</v>
      </c>
      <c r="D96" s="71"/>
      <c r="E96" s="370">
        <f>SUM(E91:E92)+I93</f>
        <v>265353.13500000001</v>
      </c>
      <c r="F96" s="76"/>
      <c r="G96" s="375">
        <v>32.164016363636364</v>
      </c>
      <c r="H96" s="76"/>
      <c r="I96" s="370">
        <f>SUM(I91:I93)</f>
        <v>265684.34880000004</v>
      </c>
      <c r="J96" s="369"/>
      <c r="K96" s="375">
        <v>32.204163490909096</v>
      </c>
      <c r="L96" s="82"/>
      <c r="M96" s="383">
        <f>M91+M92</f>
        <v>331.21379999999772</v>
      </c>
      <c r="N96" s="71"/>
      <c r="O96" s="373">
        <f>M96/E96</f>
        <v>1.2482000636623257E-3</v>
      </c>
      <c r="P96" s="374"/>
      <c r="Q96" s="373">
        <f>(M96-M92)/(E96-E92)</f>
        <v>2.3736010660980415E-3</v>
      </c>
    </row>
    <row r="97" spans="1:17">
      <c r="A97" s="76">
        <f>A96+1</f>
        <v>48</v>
      </c>
      <c r="B97" s="71"/>
      <c r="C97" s="71" t="s">
        <v>411</v>
      </c>
      <c r="D97" s="71"/>
      <c r="E97" s="86"/>
      <c r="F97" s="76"/>
      <c r="G97" s="82"/>
      <c r="H97" s="76"/>
      <c r="I97" s="86"/>
      <c r="J97" s="76"/>
      <c r="K97" s="82"/>
      <c r="L97" s="82"/>
      <c r="M97" s="87"/>
      <c r="N97" s="71"/>
      <c r="O97" s="334">
        <v>2.0212813382814799E-3</v>
      </c>
      <c r="P97" s="374"/>
      <c r="Q97" s="334">
        <v>8.7045194994005929E-3</v>
      </c>
    </row>
    <row r="98" spans="1:17">
      <c r="A98" s="76"/>
      <c r="B98" s="71"/>
      <c r="C98" s="71"/>
      <c r="D98" s="71"/>
      <c r="E98" s="71"/>
      <c r="F98" s="71"/>
      <c r="G98" s="71"/>
      <c r="H98" s="71"/>
      <c r="I98" s="71"/>
      <c r="J98" s="71"/>
      <c r="K98" s="71"/>
      <c r="L98" s="71"/>
      <c r="M98" s="87"/>
      <c r="N98" s="71"/>
      <c r="O98" s="374"/>
      <c r="P98" s="374"/>
      <c r="Q98" s="374"/>
    </row>
    <row r="99" spans="1:17">
      <c r="A99" s="76"/>
      <c r="B99" s="71"/>
      <c r="C99" s="81" t="s">
        <v>1497</v>
      </c>
      <c r="D99" s="71"/>
      <c r="E99" s="71" t="s">
        <v>1498</v>
      </c>
      <c r="F99" s="71"/>
      <c r="G99" s="71"/>
      <c r="H99" s="71"/>
      <c r="I99" s="71"/>
      <c r="J99" s="71"/>
      <c r="K99" s="71"/>
      <c r="L99" s="71"/>
      <c r="M99" s="87"/>
      <c r="N99" s="71"/>
      <c r="O99" s="374"/>
      <c r="P99" s="374"/>
      <c r="Q99" s="374"/>
    </row>
    <row r="100" spans="1:17">
      <c r="A100" s="76">
        <f>A97+1</f>
        <v>49</v>
      </c>
      <c r="B100" s="71"/>
      <c r="C100" s="71" t="s">
        <v>375</v>
      </c>
      <c r="D100" s="71"/>
      <c r="E100" s="86">
        <v>221320.56</v>
      </c>
      <c r="F100" s="369"/>
      <c r="G100" s="82">
        <v>3.4049316923076924</v>
      </c>
      <c r="H100" s="82"/>
      <c r="I100" s="86">
        <v>222247.6488</v>
      </c>
      <c r="J100" s="76"/>
      <c r="K100" s="82">
        <v>3.4191945969230768</v>
      </c>
      <c r="L100" s="82"/>
      <c r="M100" s="87">
        <f>I100-E100</f>
        <v>927.08879999999772</v>
      </c>
      <c r="N100" s="82"/>
      <c r="O100" s="332">
        <f>M100/E100</f>
        <v>4.1888959615862063E-3</v>
      </c>
      <c r="P100" s="334"/>
      <c r="Q100" s="332">
        <f>O100</f>
        <v>4.1888959615862063E-3</v>
      </c>
    </row>
    <row r="101" spans="1:17">
      <c r="A101" s="76">
        <f>A100+1</f>
        <v>50</v>
      </c>
      <c r="B101" s="71"/>
      <c r="C101" s="71" t="s">
        <v>376</v>
      </c>
      <c r="D101" s="71"/>
      <c r="E101" s="86">
        <v>991250</v>
      </c>
      <c r="F101" s="369"/>
      <c r="G101" s="82">
        <v>15.25</v>
      </c>
      <c r="H101" s="82"/>
      <c r="I101" s="86">
        <v>991250</v>
      </c>
      <c r="J101" s="369"/>
      <c r="K101" s="82">
        <v>15.25</v>
      </c>
      <c r="L101" s="82"/>
      <c r="M101" s="87">
        <f>I101-E101</f>
        <v>0</v>
      </c>
      <c r="N101" s="82"/>
      <c r="O101" s="333">
        <f>IFERROR(M101/E101,"100.0%")</f>
        <v>0</v>
      </c>
      <c r="P101" s="334"/>
      <c r="Q101" s="333">
        <f>O101</f>
        <v>0</v>
      </c>
    </row>
    <row r="102" spans="1:17">
      <c r="A102" s="76">
        <f>A101+1</f>
        <v>51</v>
      </c>
      <c r="B102" s="71"/>
      <c r="C102" s="71" t="s">
        <v>378</v>
      </c>
      <c r="D102" s="71"/>
      <c r="E102" s="86">
        <v>799747.00000000012</v>
      </c>
      <c r="F102" s="369"/>
      <c r="G102" s="82">
        <v>12.303800000000003</v>
      </c>
      <c r="H102" s="71"/>
      <c r="I102" s="86">
        <v>799617.00000000035</v>
      </c>
      <c r="J102" s="76"/>
      <c r="K102" s="82">
        <v>12.301800000000005</v>
      </c>
      <c r="L102" s="82"/>
      <c r="M102" s="87">
        <f>I102-E102</f>
        <v>-129.99999999976717</v>
      </c>
      <c r="N102" s="71"/>
      <c r="O102" s="332">
        <f>M102/E102</f>
        <v>-1.6255140688213542E-4</v>
      </c>
      <c r="P102" s="334"/>
      <c r="Q102" s="332">
        <f>O102</f>
        <v>-1.6255140688213542E-4</v>
      </c>
    </row>
    <row r="103" spans="1:17">
      <c r="A103" s="76">
        <f>A102+1</f>
        <v>52</v>
      </c>
      <c r="B103" s="71"/>
      <c r="C103" s="71" t="s">
        <v>379</v>
      </c>
      <c r="D103" s="71"/>
      <c r="E103" s="370">
        <f>SUM(E100:E102)</f>
        <v>2012317.56</v>
      </c>
      <c r="F103" s="76"/>
      <c r="G103" s="375">
        <v>30.958731692307694</v>
      </c>
      <c r="H103" s="76"/>
      <c r="I103" s="370">
        <f>SUM(I100:I102)</f>
        <v>2013114.6488000005</v>
      </c>
      <c r="J103" s="369"/>
      <c r="K103" s="375">
        <v>30.970994596923084</v>
      </c>
      <c r="L103" s="82"/>
      <c r="M103" s="383">
        <f>SUM(M100:M102)</f>
        <v>797.08880000023055</v>
      </c>
      <c r="N103" s="71"/>
      <c r="O103" s="373">
        <f>M103/E103</f>
        <v>3.9610487720448579E-4</v>
      </c>
      <c r="P103" s="374"/>
      <c r="Q103" s="373">
        <f>(M103-M101)/(E103-E101)</f>
        <v>7.8064256590448388E-4</v>
      </c>
    </row>
    <row r="104" spans="1:17">
      <c r="A104" s="76"/>
      <c r="B104" s="71"/>
      <c r="C104" s="71"/>
      <c r="D104" s="71"/>
      <c r="E104" s="86"/>
      <c r="F104" s="76"/>
      <c r="G104" s="82"/>
      <c r="H104" s="76"/>
      <c r="I104" s="86"/>
      <c r="J104" s="76"/>
      <c r="K104" s="82"/>
      <c r="L104" s="82"/>
      <c r="M104" s="87"/>
      <c r="N104" s="71"/>
      <c r="O104" s="374"/>
      <c r="P104" s="374"/>
      <c r="Q104" s="374"/>
    </row>
    <row r="105" spans="1:17">
      <c r="A105" s="76">
        <f>A103+1</f>
        <v>53</v>
      </c>
      <c r="B105" s="71"/>
      <c r="C105" s="71" t="s">
        <v>410</v>
      </c>
      <c r="D105" s="71"/>
      <c r="E105" s="370">
        <f>SUM(E100:E101)+I102</f>
        <v>2012187.5600000005</v>
      </c>
      <c r="F105" s="76"/>
      <c r="G105" s="375">
        <v>30.956731692307699</v>
      </c>
      <c r="H105" s="76"/>
      <c r="I105" s="370">
        <f>SUM(I100:I102)</f>
        <v>2013114.6488000005</v>
      </c>
      <c r="J105" s="369"/>
      <c r="K105" s="375">
        <v>30.970994596923084</v>
      </c>
      <c r="L105" s="82"/>
      <c r="M105" s="383">
        <f>M100+M101</f>
        <v>927.08879999999772</v>
      </c>
      <c r="N105" s="71"/>
      <c r="O105" s="373">
        <f>M105/E105</f>
        <v>4.6073677147670939E-4</v>
      </c>
      <c r="P105" s="374"/>
      <c r="Q105" s="373">
        <f>(M105-M101)/(E105-E101)</f>
        <v>9.0807590622877783E-4</v>
      </c>
    </row>
    <row r="106" spans="1:17">
      <c r="A106" s="76">
        <f>A105+1</f>
        <v>54</v>
      </c>
      <c r="B106" s="71"/>
      <c r="C106" s="71" t="s">
        <v>411</v>
      </c>
      <c r="D106" s="71"/>
      <c r="E106" s="86"/>
      <c r="F106" s="76"/>
      <c r="G106" s="82"/>
      <c r="H106" s="76"/>
      <c r="I106" s="86"/>
      <c r="J106" s="76"/>
      <c r="K106" s="82"/>
      <c r="L106" s="82"/>
      <c r="M106" s="87"/>
      <c r="N106" s="71"/>
      <c r="O106" s="334">
        <v>7.6456482664398473E-4</v>
      </c>
      <c r="P106" s="374"/>
      <c r="Q106" s="334">
        <v>4.1888959615862149E-3</v>
      </c>
    </row>
    <row r="107" spans="1:17">
      <c r="A107" s="76"/>
      <c r="B107" s="71"/>
      <c r="C107" s="71"/>
      <c r="D107" s="71"/>
      <c r="E107" s="71"/>
      <c r="F107" s="71"/>
      <c r="G107" s="71"/>
      <c r="H107" s="71"/>
      <c r="I107" s="71"/>
      <c r="J107" s="71"/>
      <c r="K107" s="71"/>
      <c r="L107" s="71"/>
      <c r="M107" s="87"/>
      <c r="N107" s="71"/>
      <c r="O107" s="374"/>
      <c r="P107" s="374"/>
      <c r="Q107" s="374"/>
    </row>
    <row r="108" spans="1:17">
      <c r="A108" s="76"/>
      <c r="B108" s="71"/>
      <c r="C108" s="81" t="s">
        <v>1499</v>
      </c>
      <c r="D108" s="71"/>
      <c r="E108" s="71" t="s">
        <v>1500</v>
      </c>
      <c r="F108" s="71"/>
      <c r="G108" s="71"/>
      <c r="H108" s="71"/>
      <c r="I108" s="71"/>
      <c r="J108" s="71"/>
      <c r="K108" s="71"/>
      <c r="L108" s="71"/>
      <c r="M108" s="87"/>
      <c r="N108" s="71"/>
      <c r="O108" s="374"/>
      <c r="P108" s="374"/>
      <c r="Q108" s="374"/>
    </row>
    <row r="109" spans="1:17">
      <c r="A109" s="76">
        <f>A106+1</f>
        <v>55</v>
      </c>
      <c r="B109" s="71"/>
      <c r="C109" s="71" t="s">
        <v>375</v>
      </c>
      <c r="D109" s="71"/>
      <c r="E109" s="86">
        <v>797772.24</v>
      </c>
      <c r="F109" s="369"/>
      <c r="G109" s="82">
        <v>2.2160340000000001</v>
      </c>
      <c r="H109" s="82"/>
      <c r="I109" s="86">
        <v>865384.55999999982</v>
      </c>
      <c r="J109" s="76"/>
      <c r="K109" s="82">
        <v>2.4038459999999993</v>
      </c>
      <c r="L109" s="82"/>
      <c r="M109" s="87">
        <f>I109-E109</f>
        <v>67612.319999999832</v>
      </c>
      <c r="N109" s="82"/>
      <c r="O109" s="332">
        <f>M109/E109</f>
        <v>8.4751407243751464E-2</v>
      </c>
      <c r="P109" s="334"/>
      <c r="Q109" s="332">
        <f>O109</f>
        <v>8.4751407243751464E-2</v>
      </c>
    </row>
    <row r="110" spans="1:17">
      <c r="A110" s="76">
        <f>A109+1</f>
        <v>56</v>
      </c>
      <c r="B110" s="71"/>
      <c r="C110" s="71" t="s">
        <v>376</v>
      </c>
      <c r="D110" s="71"/>
      <c r="E110" s="86">
        <v>5490000</v>
      </c>
      <c r="F110" s="369"/>
      <c r="G110" s="82">
        <v>15.25</v>
      </c>
      <c r="H110" s="82"/>
      <c r="I110" s="86">
        <v>5490000</v>
      </c>
      <c r="J110" s="369"/>
      <c r="K110" s="82">
        <v>15.25</v>
      </c>
      <c r="L110" s="82"/>
      <c r="M110" s="87">
        <f>I110-E110</f>
        <v>0</v>
      </c>
      <c r="N110" s="82"/>
      <c r="O110" s="333">
        <f>IFERROR(M110/E110,"100.0%")</f>
        <v>0</v>
      </c>
      <c r="P110" s="334"/>
      <c r="Q110" s="333">
        <f>O110</f>
        <v>0</v>
      </c>
    </row>
    <row r="111" spans="1:17">
      <c r="A111" s="76">
        <f>A110+1</f>
        <v>57</v>
      </c>
      <c r="B111" s="71"/>
      <c r="C111" s="71" t="s">
        <v>378</v>
      </c>
      <c r="D111" s="71"/>
      <c r="E111" s="86">
        <v>4429368.0000000009</v>
      </c>
      <c r="F111" s="369"/>
      <c r="G111" s="82">
        <v>12.303800000000003</v>
      </c>
      <c r="H111" s="71"/>
      <c r="I111" s="86">
        <v>4428648.0000000009</v>
      </c>
      <c r="J111" s="76"/>
      <c r="K111" s="82">
        <v>12.301800000000004</v>
      </c>
      <c r="L111" s="82"/>
      <c r="M111" s="87">
        <f>I111-E111</f>
        <v>-720</v>
      </c>
      <c r="N111" s="71"/>
      <c r="O111" s="332">
        <f>M111/E111</f>
        <v>-1.6255140688242652E-4</v>
      </c>
      <c r="P111" s="334"/>
      <c r="Q111" s="332">
        <f>O111</f>
        <v>-1.6255140688242652E-4</v>
      </c>
    </row>
    <row r="112" spans="1:17">
      <c r="A112" s="76">
        <f>A111+1</f>
        <v>58</v>
      </c>
      <c r="B112" s="71"/>
      <c r="C112" s="71" t="s">
        <v>379</v>
      </c>
      <c r="D112" s="71"/>
      <c r="E112" s="370">
        <f>SUM(E109:E111)</f>
        <v>10717140.240000002</v>
      </c>
      <c r="F112" s="76"/>
      <c r="G112" s="375">
        <v>29.769834000000007</v>
      </c>
      <c r="H112" s="76"/>
      <c r="I112" s="370">
        <f>SUM(I109:I111)</f>
        <v>10784032.560000001</v>
      </c>
      <c r="J112" s="369"/>
      <c r="K112" s="375">
        <v>29.955646000000002</v>
      </c>
      <c r="L112" s="82"/>
      <c r="M112" s="383">
        <f>SUM(M109:M111)</f>
        <v>66892.319999999832</v>
      </c>
      <c r="N112" s="71"/>
      <c r="O112" s="373">
        <f>M112/E112</f>
        <v>6.2416202925417554E-3</v>
      </c>
      <c r="P112" s="374"/>
      <c r="Q112" s="373">
        <f>(M112-M110)/(E112-E110)</f>
        <v>1.2797116000086465E-2</v>
      </c>
    </row>
    <row r="113" spans="1:17">
      <c r="A113" s="76"/>
      <c r="B113" s="71"/>
      <c r="C113" s="71"/>
      <c r="D113" s="71"/>
      <c r="E113" s="86"/>
      <c r="F113" s="76"/>
      <c r="G113" s="82"/>
      <c r="H113" s="76"/>
      <c r="I113" s="86"/>
      <c r="J113" s="76"/>
      <c r="K113" s="82"/>
      <c r="L113" s="82"/>
      <c r="M113" s="87"/>
      <c r="N113" s="71"/>
      <c r="O113" s="374"/>
      <c r="P113" s="374"/>
      <c r="Q113" s="374"/>
    </row>
    <row r="114" spans="1:17">
      <c r="A114" s="76">
        <f>A112+1</f>
        <v>59</v>
      </c>
      <c r="B114" s="71"/>
      <c r="C114" s="71" t="s">
        <v>410</v>
      </c>
      <c r="D114" s="71"/>
      <c r="E114" s="370">
        <f>SUM(E109:E110)+I111</f>
        <v>10716420.240000002</v>
      </c>
      <c r="F114" s="76"/>
      <c r="G114" s="375">
        <v>29.767834000000004</v>
      </c>
      <c r="H114" s="76"/>
      <c r="I114" s="370">
        <f>SUM(I109:I111)</f>
        <v>10784032.560000001</v>
      </c>
      <c r="J114" s="369"/>
      <c r="K114" s="375">
        <v>29.955646000000002</v>
      </c>
      <c r="L114" s="82"/>
      <c r="M114" s="383">
        <f>M109+M110</f>
        <v>67612.319999999832</v>
      </c>
      <c r="N114" s="71"/>
      <c r="O114" s="373">
        <f>M114/E114</f>
        <v>6.3092262608021631E-3</v>
      </c>
      <c r="P114" s="374"/>
      <c r="Q114" s="373">
        <f>(M114-M110)/(E114-E110)</f>
        <v>1.2936640548445413E-2</v>
      </c>
    </row>
    <row r="115" spans="1:17">
      <c r="A115" s="76">
        <f>A114+1</f>
        <v>60</v>
      </c>
      <c r="B115" s="71"/>
      <c r="C115" s="71" t="s">
        <v>411</v>
      </c>
      <c r="D115" s="71"/>
      <c r="E115" s="86"/>
      <c r="F115" s="76"/>
      <c r="G115" s="82"/>
      <c r="H115" s="76"/>
      <c r="I115" s="86"/>
      <c r="J115" s="76"/>
      <c r="K115" s="82"/>
      <c r="L115" s="82"/>
      <c r="M115" s="87"/>
      <c r="N115" s="71"/>
      <c r="O115" s="334">
        <v>1.0752984907735753E-2</v>
      </c>
      <c r="P115" s="374"/>
      <c r="Q115" s="334">
        <v>8.4751407243751464E-2</v>
      </c>
    </row>
    <row r="116" spans="1:17">
      <c r="A116" s="76"/>
      <c r="B116" s="71"/>
      <c r="C116" s="71"/>
      <c r="D116" s="71"/>
      <c r="E116" s="71"/>
      <c r="F116" s="71"/>
      <c r="G116" s="71"/>
      <c r="H116" s="71"/>
      <c r="I116" s="71"/>
      <c r="J116" s="71"/>
      <c r="K116" s="71"/>
      <c r="L116" s="71"/>
      <c r="M116" s="87"/>
      <c r="N116" s="71"/>
      <c r="O116" s="374"/>
      <c r="P116" s="374"/>
      <c r="Q116" s="374"/>
    </row>
    <row r="117" spans="1:17">
      <c r="A117" s="76"/>
      <c r="B117" s="71"/>
      <c r="C117" s="81" t="s">
        <v>1501</v>
      </c>
      <c r="D117" s="71"/>
      <c r="E117" s="71" t="s">
        <v>1502</v>
      </c>
      <c r="F117" s="71"/>
      <c r="G117" s="71"/>
      <c r="H117" s="71"/>
      <c r="I117" s="71"/>
      <c r="J117" s="71"/>
      <c r="K117" s="71"/>
      <c r="L117" s="71"/>
      <c r="M117" s="87"/>
      <c r="N117" s="71"/>
      <c r="O117" s="374"/>
      <c r="P117" s="374"/>
      <c r="Q117" s="374"/>
    </row>
    <row r="118" spans="1:17">
      <c r="A118" s="76">
        <f>A115+1</f>
        <v>61</v>
      </c>
      <c r="B118" s="71"/>
      <c r="C118" s="71" t="s">
        <v>375</v>
      </c>
      <c r="D118" s="71"/>
      <c r="E118" s="86">
        <v>3108220.32</v>
      </c>
      <c r="F118" s="369"/>
      <c r="G118" s="82">
        <v>5.9773467692307687</v>
      </c>
      <c r="H118" s="82"/>
      <c r="I118" s="86">
        <v>3387282.0799999996</v>
      </c>
      <c r="J118" s="76"/>
      <c r="K118" s="82">
        <v>6.5140039999999999</v>
      </c>
      <c r="L118" s="82"/>
      <c r="M118" s="87">
        <f>I118-E118</f>
        <v>279061.75999999978</v>
      </c>
      <c r="N118" s="82"/>
      <c r="O118" s="332">
        <f>M118/E118</f>
        <v>8.9781846609895341E-2</v>
      </c>
      <c r="P118" s="334"/>
      <c r="Q118" s="332">
        <f>O118</f>
        <v>8.9781846609895341E-2</v>
      </c>
    </row>
    <row r="119" spans="1:17">
      <c r="A119" s="76">
        <f>A118+1</f>
        <v>62</v>
      </c>
      <c r="B119" s="71"/>
      <c r="C119" s="71" t="s">
        <v>376</v>
      </c>
      <c r="D119" s="71"/>
      <c r="E119" s="86">
        <v>7930000</v>
      </c>
      <c r="F119" s="369"/>
      <c r="G119" s="82">
        <v>15.25</v>
      </c>
      <c r="H119" s="82"/>
      <c r="I119" s="86">
        <v>7930000</v>
      </c>
      <c r="J119" s="369"/>
      <c r="K119" s="82">
        <v>15.25</v>
      </c>
      <c r="L119" s="82"/>
      <c r="M119" s="87">
        <f>I119-E119</f>
        <v>0</v>
      </c>
      <c r="N119" s="82"/>
      <c r="O119" s="333">
        <f>IFERROR(M119/E119,"100.0%")</f>
        <v>0</v>
      </c>
      <c r="P119" s="334"/>
      <c r="Q119" s="333">
        <f>O119</f>
        <v>0</v>
      </c>
    </row>
    <row r="120" spans="1:17">
      <c r="A120" s="76">
        <f>A119+1</f>
        <v>63</v>
      </c>
      <c r="B120" s="71"/>
      <c r="C120" s="71" t="s">
        <v>378</v>
      </c>
      <c r="D120" s="71"/>
      <c r="E120" s="86">
        <v>6397976.0000000009</v>
      </c>
      <c r="F120" s="369"/>
      <c r="G120" s="82">
        <v>12.303800000000003</v>
      </c>
      <c r="H120" s="71"/>
      <c r="I120" s="86">
        <v>6396936.0000000028</v>
      </c>
      <c r="J120" s="76"/>
      <c r="K120" s="82">
        <v>12.301800000000005</v>
      </c>
      <c r="L120" s="82"/>
      <c r="M120" s="87">
        <f>I120-E120</f>
        <v>-1039.9999999981374</v>
      </c>
      <c r="N120" s="71"/>
      <c r="O120" s="332">
        <f>M120/E120</f>
        <v>-1.6255140688213542E-4</v>
      </c>
      <c r="P120" s="334"/>
      <c r="Q120" s="332">
        <f>O120</f>
        <v>-1.6255140688213542E-4</v>
      </c>
    </row>
    <row r="121" spans="1:17">
      <c r="A121" s="76">
        <f>A120+1</f>
        <v>64</v>
      </c>
      <c r="B121" s="71"/>
      <c r="C121" s="71" t="s">
        <v>379</v>
      </c>
      <c r="D121" s="71"/>
      <c r="E121" s="370">
        <f>SUM(E118:E120)</f>
        <v>17436196.32</v>
      </c>
      <c r="F121" s="76"/>
      <c r="G121" s="375">
        <v>33.531146769230766</v>
      </c>
      <c r="H121" s="76"/>
      <c r="I121" s="370">
        <f>SUM(I118:I120)</f>
        <v>17714218.080000002</v>
      </c>
      <c r="J121" s="369"/>
      <c r="K121" s="375">
        <v>34.065804000000007</v>
      </c>
      <c r="L121" s="82"/>
      <c r="M121" s="383">
        <f>SUM(M118:M120)</f>
        <v>278021.76000000164</v>
      </c>
      <c r="N121" s="71"/>
      <c r="O121" s="373">
        <f>M121/E121</f>
        <v>1.5945092318162293E-2</v>
      </c>
      <c r="P121" s="374"/>
      <c r="Q121" s="373">
        <f>(M121-M119)/(E121-E119)</f>
        <v>2.9246372643816979E-2</v>
      </c>
    </row>
    <row r="122" spans="1:17">
      <c r="A122" s="76"/>
      <c r="B122" s="71"/>
      <c r="C122" s="71"/>
      <c r="D122" s="71"/>
      <c r="E122" s="86"/>
      <c r="F122" s="76"/>
      <c r="G122" s="82"/>
      <c r="H122" s="76"/>
      <c r="I122" s="86"/>
      <c r="J122" s="76"/>
      <c r="K122" s="82"/>
      <c r="L122" s="82"/>
      <c r="M122" s="87"/>
      <c r="N122" s="71"/>
      <c r="O122" s="374"/>
      <c r="P122" s="374"/>
      <c r="Q122" s="374"/>
    </row>
    <row r="123" spans="1:17">
      <c r="A123" s="76">
        <f>A121+1</f>
        <v>65</v>
      </c>
      <c r="B123" s="71"/>
      <c r="C123" s="71" t="s">
        <v>410</v>
      </c>
      <c r="D123" s="71"/>
      <c r="E123" s="370">
        <f>SUM(E118:E119)+I120</f>
        <v>17435156.320000004</v>
      </c>
      <c r="F123" s="76"/>
      <c r="G123" s="375">
        <v>33.529146769230778</v>
      </c>
      <c r="H123" s="76"/>
      <c r="I123" s="370">
        <f>SUM(I118:I120)</f>
        <v>17714218.080000002</v>
      </c>
      <c r="J123" s="369"/>
      <c r="K123" s="375">
        <v>34.065804000000007</v>
      </c>
      <c r="L123" s="82"/>
      <c r="M123" s="383">
        <f>M118+M119</f>
        <v>279061.75999999978</v>
      </c>
      <c r="N123" s="71"/>
      <c r="O123" s="373">
        <f>M123/E123</f>
        <v>1.600569303068914E-2</v>
      </c>
      <c r="P123" s="374"/>
      <c r="Q123" s="373">
        <f>(M123-M119)/(E123-E119)</f>
        <v>2.9358986912484536E-2</v>
      </c>
    </row>
    <row r="124" spans="1:17">
      <c r="A124" s="76">
        <f>A123+1</f>
        <v>66</v>
      </c>
      <c r="B124" s="71"/>
      <c r="C124" s="71" t="s">
        <v>411</v>
      </c>
      <c r="D124" s="71"/>
      <c r="E124" s="86"/>
      <c r="F124" s="76"/>
      <c r="G124" s="82"/>
      <c r="H124" s="76"/>
      <c r="I124" s="86"/>
      <c r="J124" s="76"/>
      <c r="K124" s="82"/>
      <c r="L124" s="82"/>
      <c r="M124" s="87"/>
      <c r="N124" s="71"/>
      <c r="O124" s="334">
        <v>2.5281408769706436E-2</v>
      </c>
      <c r="P124" s="374"/>
      <c r="Q124" s="334">
        <v>8.9781846609895341E-2</v>
      </c>
    </row>
    <row r="125" spans="1:17">
      <c r="A125" s="76"/>
      <c r="B125" s="71"/>
      <c r="C125" s="71"/>
      <c r="D125" s="71"/>
      <c r="E125" s="71"/>
      <c r="F125" s="71"/>
      <c r="G125" s="71"/>
      <c r="H125" s="71"/>
      <c r="I125" s="71"/>
      <c r="J125" s="71"/>
      <c r="K125" s="71"/>
      <c r="L125" s="71"/>
      <c r="M125" s="87"/>
      <c r="N125" s="71"/>
      <c r="O125" s="374"/>
      <c r="P125" s="374"/>
      <c r="Q125" s="374"/>
    </row>
    <row r="126" spans="1:17">
      <c r="A126" s="76"/>
      <c r="B126" s="71"/>
      <c r="C126" s="81" t="s">
        <v>1503</v>
      </c>
      <c r="D126" s="71"/>
      <c r="E126" s="71" t="s">
        <v>1504</v>
      </c>
      <c r="F126" s="71"/>
      <c r="G126" s="71"/>
      <c r="H126" s="71"/>
      <c r="I126" s="71"/>
      <c r="J126" s="71"/>
      <c r="K126" s="71"/>
      <c r="L126" s="71"/>
      <c r="M126" s="87"/>
      <c r="N126" s="71"/>
      <c r="O126" s="374"/>
      <c r="P126" s="374"/>
      <c r="Q126" s="374"/>
    </row>
    <row r="127" spans="1:17">
      <c r="A127" s="76">
        <f>A124+1</f>
        <v>67</v>
      </c>
      <c r="B127" s="71"/>
      <c r="C127" s="71" t="s">
        <v>375</v>
      </c>
      <c r="D127" s="71"/>
      <c r="E127" s="86">
        <v>202208.19011200004</v>
      </c>
      <c r="F127" s="369"/>
      <c r="G127" s="82">
        <v>2.9094703613237414</v>
      </c>
      <c r="H127" s="82"/>
      <c r="I127" s="86">
        <v>208251.95965200002</v>
      </c>
      <c r="J127" s="76"/>
      <c r="K127" s="82">
        <v>2.9964310741294966</v>
      </c>
      <c r="L127" s="82"/>
      <c r="M127" s="87">
        <f>I127-E127</f>
        <v>6043.7695399999793</v>
      </c>
      <c r="N127" s="82"/>
      <c r="O127" s="334"/>
      <c r="P127" s="334"/>
      <c r="Q127" s="332">
        <f>M127/E127</f>
        <v>2.9888846424333392E-2</v>
      </c>
    </row>
    <row r="128" spans="1:17">
      <c r="A128" s="76">
        <f>A127+1</f>
        <v>68</v>
      </c>
      <c r="B128" s="71"/>
      <c r="C128" s="71" t="s">
        <v>378</v>
      </c>
      <c r="D128" s="71"/>
      <c r="E128" s="86">
        <v>855114.10000000009</v>
      </c>
      <c r="F128" s="369"/>
      <c r="G128" s="82">
        <v>12.303800000000001</v>
      </c>
      <c r="H128" s="71"/>
      <c r="I128" s="86">
        <v>854975.10000000033</v>
      </c>
      <c r="J128" s="76"/>
      <c r="K128" s="82">
        <v>12.301800000000004</v>
      </c>
      <c r="L128" s="384"/>
      <c r="M128" s="87">
        <f>I128-E128</f>
        <v>-138.99999999976717</v>
      </c>
      <c r="N128" s="71"/>
      <c r="O128" s="334"/>
      <c r="P128" s="334"/>
      <c r="Q128" s="332">
        <f>M128/E128</f>
        <v>-1.6255140688215428E-4</v>
      </c>
    </row>
    <row r="129" spans="1:17">
      <c r="A129" s="76">
        <f>A128+1</f>
        <v>69</v>
      </c>
      <c r="B129" s="71"/>
      <c r="C129" s="71" t="s">
        <v>379</v>
      </c>
      <c r="D129" s="71"/>
      <c r="E129" s="370">
        <f>SUM(E127:E128)</f>
        <v>1057322.2901120002</v>
      </c>
      <c r="F129" s="76"/>
      <c r="G129" s="375">
        <v>15.213270361323744</v>
      </c>
      <c r="H129" s="76"/>
      <c r="I129" s="370">
        <f>SUM(I127:I128)</f>
        <v>1063227.0596520004</v>
      </c>
      <c r="J129" s="369"/>
      <c r="K129" s="375">
        <v>15.298231074129504</v>
      </c>
      <c r="L129" s="82"/>
      <c r="M129" s="383">
        <f>SUM(M127:M128)</f>
        <v>5904.7695400002121</v>
      </c>
      <c r="N129" s="71"/>
      <c r="O129" s="374"/>
      <c r="P129" s="374"/>
      <c r="Q129" s="373">
        <f>M129/E129</f>
        <v>5.5846449046058899E-3</v>
      </c>
    </row>
    <row r="130" spans="1:17">
      <c r="A130" s="76"/>
      <c r="B130" s="71"/>
      <c r="C130" s="71"/>
      <c r="D130" s="71"/>
      <c r="E130" s="86"/>
      <c r="F130" s="76"/>
      <c r="G130" s="82"/>
      <c r="H130" s="76"/>
      <c r="I130" s="86"/>
      <c r="J130" s="76"/>
      <c r="K130" s="82"/>
      <c r="L130" s="82"/>
      <c r="M130" s="87"/>
      <c r="N130" s="71"/>
      <c r="O130" s="374"/>
      <c r="P130" s="374"/>
      <c r="Q130" s="374"/>
    </row>
    <row r="131" spans="1:17">
      <c r="A131" s="76">
        <f>A129+1</f>
        <v>70</v>
      </c>
      <c r="B131" s="71"/>
      <c r="C131" s="71" t="s">
        <v>410</v>
      </c>
      <c r="D131" s="71"/>
      <c r="E131" s="370">
        <f>SUM(E127)+I128</f>
        <v>1057183.2901120004</v>
      </c>
      <c r="F131" s="76"/>
      <c r="G131" s="375">
        <v>15.211270361323749</v>
      </c>
      <c r="H131" s="76"/>
      <c r="I131" s="370">
        <f>SUM(I127:I128)</f>
        <v>1063227.0596520004</v>
      </c>
      <c r="J131" s="369"/>
      <c r="K131" s="375">
        <v>15.298231074129504</v>
      </c>
      <c r="L131" s="82"/>
      <c r="M131" s="383">
        <f>M127</f>
        <v>6043.7695399999793</v>
      </c>
      <c r="N131" s="71"/>
      <c r="O131" s="374"/>
      <c r="P131" s="374"/>
      <c r="Q131" s="373">
        <f>(M131)/(E131)</f>
        <v>5.7168606395204078E-3</v>
      </c>
    </row>
    <row r="132" spans="1:17">
      <c r="A132" s="76">
        <f>A131+1</f>
        <v>71</v>
      </c>
      <c r="B132" s="71"/>
      <c r="C132" s="71" t="s">
        <v>411</v>
      </c>
      <c r="D132" s="71"/>
      <c r="E132" s="86"/>
      <c r="F132" s="76"/>
      <c r="G132" s="82"/>
      <c r="H132" s="76"/>
      <c r="I132" s="86"/>
      <c r="J132" s="76"/>
      <c r="K132" s="82"/>
      <c r="L132" s="82"/>
      <c r="M132" s="87"/>
      <c r="N132" s="71"/>
      <c r="O132" s="374"/>
      <c r="P132" s="374"/>
      <c r="Q132" s="332">
        <v>2.9888846424333374E-2</v>
      </c>
    </row>
    <row r="133" spans="1:17">
      <c r="A133" s="76"/>
      <c r="B133" s="71"/>
      <c r="C133" s="71"/>
      <c r="D133" s="71"/>
      <c r="E133" s="71"/>
      <c r="F133" s="71"/>
      <c r="G133" s="71"/>
      <c r="H133" s="71"/>
      <c r="I133" s="71"/>
      <c r="J133" s="71"/>
      <c r="K133" s="71"/>
      <c r="L133" s="71"/>
      <c r="M133" s="87"/>
      <c r="N133" s="71"/>
      <c r="O133" s="374"/>
      <c r="P133" s="374"/>
      <c r="Q133" s="374"/>
    </row>
    <row r="134" spans="1:17">
      <c r="A134" s="76"/>
      <c r="B134" s="71"/>
      <c r="C134" s="81" t="s">
        <v>1505</v>
      </c>
      <c r="D134" s="71"/>
      <c r="E134" s="71" t="s">
        <v>1506</v>
      </c>
      <c r="F134" s="71"/>
      <c r="G134" s="71"/>
      <c r="H134" s="71"/>
      <c r="I134" s="71"/>
      <c r="J134" s="71"/>
      <c r="K134" s="71"/>
      <c r="L134" s="71"/>
      <c r="M134" s="87"/>
      <c r="N134" s="71"/>
      <c r="O134" s="374"/>
      <c r="P134" s="374"/>
      <c r="Q134" s="374"/>
    </row>
    <row r="135" spans="1:17">
      <c r="A135" s="76">
        <f>A132+1</f>
        <v>72</v>
      </c>
      <c r="B135" s="71"/>
      <c r="C135" s="71" t="s">
        <v>375</v>
      </c>
      <c r="D135" s="71"/>
      <c r="E135" s="86">
        <v>600927.14280000003</v>
      </c>
      <c r="F135" s="369"/>
      <c r="G135" s="82">
        <v>2.9781303538507284</v>
      </c>
      <c r="H135" s="82"/>
      <c r="I135" s="86">
        <v>618850.85279999999</v>
      </c>
      <c r="J135" s="76"/>
      <c r="K135" s="82">
        <v>3.0669583348201011</v>
      </c>
      <c r="L135" s="82"/>
      <c r="M135" s="87">
        <f>I135-E135</f>
        <v>17923.709999999963</v>
      </c>
      <c r="N135" s="82"/>
      <c r="O135" s="334"/>
      <c r="P135" s="334"/>
      <c r="Q135" s="332">
        <f>M135/E135</f>
        <v>2.9826760556171637E-2</v>
      </c>
    </row>
    <row r="136" spans="1:17">
      <c r="A136" s="76">
        <f>A135+1</f>
        <v>73</v>
      </c>
      <c r="B136" s="71"/>
      <c r="C136" s="71" t="s">
        <v>378</v>
      </c>
      <c r="D136" s="71"/>
      <c r="E136" s="86">
        <v>2482660.7640000004</v>
      </c>
      <c r="F136" s="369"/>
      <c r="G136" s="82">
        <v>12.303800000000003</v>
      </c>
      <c r="H136" s="71"/>
      <c r="I136" s="86">
        <v>2482257.2040000008</v>
      </c>
      <c r="J136" s="76"/>
      <c r="K136" s="82">
        <v>12.301800000000004</v>
      </c>
      <c r="L136" s="384"/>
      <c r="M136" s="87">
        <f>I136-E136</f>
        <v>-403.55999999959022</v>
      </c>
      <c r="N136" s="71"/>
      <c r="O136" s="334"/>
      <c r="P136" s="334"/>
      <c r="Q136" s="332">
        <f>M136/E136</f>
        <v>-1.6255140688226148E-4</v>
      </c>
    </row>
    <row r="137" spans="1:17">
      <c r="A137" s="76">
        <f>A136+1</f>
        <v>74</v>
      </c>
      <c r="B137" s="71"/>
      <c r="C137" s="71" t="s">
        <v>379</v>
      </c>
      <c r="D137" s="71"/>
      <c r="E137" s="370">
        <f>SUM(E135:E136)</f>
        <v>3083587.9068000005</v>
      </c>
      <c r="F137" s="76"/>
      <c r="G137" s="375">
        <v>15.281930353850731</v>
      </c>
      <c r="H137" s="76"/>
      <c r="I137" s="370">
        <f>SUM(I135:I136)</f>
        <v>3101108.0568000008</v>
      </c>
      <c r="J137" s="369"/>
      <c r="K137" s="375">
        <v>15.368758334820104</v>
      </c>
      <c r="L137" s="82"/>
      <c r="M137" s="383">
        <f>SUM(M135:M136)</f>
        <v>17520.150000000373</v>
      </c>
      <c r="N137" s="71"/>
      <c r="O137" s="374"/>
      <c r="P137" s="374"/>
      <c r="Q137" s="373">
        <f>M137/E137</f>
        <v>5.6817417014006725E-3</v>
      </c>
    </row>
    <row r="138" spans="1:17">
      <c r="A138" s="76"/>
      <c r="B138" s="71"/>
      <c r="C138" s="71"/>
      <c r="D138" s="71"/>
      <c r="E138" s="86"/>
      <c r="F138" s="76"/>
      <c r="G138" s="82"/>
      <c r="H138" s="76"/>
      <c r="I138" s="86"/>
      <c r="J138" s="76"/>
      <c r="K138" s="82"/>
      <c r="L138" s="82"/>
      <c r="M138" s="87"/>
      <c r="N138" s="71"/>
      <c r="O138" s="374"/>
      <c r="P138" s="374"/>
      <c r="Q138" s="374"/>
    </row>
    <row r="139" spans="1:17">
      <c r="A139" s="76">
        <f>A137+1</f>
        <v>75</v>
      </c>
      <c r="B139" s="71"/>
      <c r="C139" s="71" t="s">
        <v>410</v>
      </c>
      <c r="D139" s="71"/>
      <c r="E139" s="370">
        <f>SUM(E135)+I136</f>
        <v>3083184.3468000009</v>
      </c>
      <c r="F139" s="76"/>
      <c r="G139" s="375">
        <v>15.279930353850732</v>
      </c>
      <c r="H139" s="76"/>
      <c r="I139" s="370">
        <f>SUM(I135:I136)</f>
        <v>3101108.0568000008</v>
      </c>
      <c r="J139" s="369"/>
      <c r="K139" s="375">
        <v>15.368758334820104</v>
      </c>
      <c r="L139" s="82"/>
      <c r="M139" s="383">
        <f>M135</f>
        <v>17923.709999999963</v>
      </c>
      <c r="N139" s="71"/>
      <c r="O139" s="374"/>
      <c r="P139" s="374"/>
      <c r="Q139" s="373">
        <f>(M139)/(E139)</f>
        <v>5.8133760372138504E-3</v>
      </c>
    </row>
    <row r="140" spans="1:17">
      <c r="A140" s="76">
        <f>A139+1</f>
        <v>76</v>
      </c>
      <c r="B140" s="71"/>
      <c r="C140" s="71" t="s">
        <v>411</v>
      </c>
      <c r="D140" s="71"/>
      <c r="E140" s="86"/>
      <c r="F140" s="76"/>
      <c r="G140" s="82"/>
      <c r="H140" s="76"/>
      <c r="I140" s="86"/>
      <c r="J140" s="76"/>
      <c r="K140" s="82"/>
      <c r="L140" s="82"/>
      <c r="M140" s="87"/>
      <c r="N140" s="71"/>
      <c r="O140" s="374"/>
      <c r="P140" s="374"/>
      <c r="Q140" s="332">
        <v>2.9826760556171568E-2</v>
      </c>
    </row>
    <row r="141" spans="1:17">
      <c r="A141" s="76"/>
      <c r="B141" s="71"/>
      <c r="C141" s="71"/>
      <c r="D141" s="71"/>
      <c r="E141" s="71"/>
      <c r="F141" s="71"/>
      <c r="G141" s="71"/>
      <c r="H141" s="71"/>
      <c r="I141" s="71"/>
      <c r="J141" s="71"/>
      <c r="K141" s="71"/>
      <c r="L141" s="71"/>
      <c r="M141" s="87"/>
      <c r="N141" s="71"/>
      <c r="O141" s="374"/>
      <c r="P141" s="374"/>
      <c r="Q141" s="374"/>
    </row>
    <row r="142" spans="1:17">
      <c r="A142" s="76"/>
      <c r="B142" s="71"/>
      <c r="C142" s="81" t="s">
        <v>1507</v>
      </c>
      <c r="D142" s="71"/>
      <c r="E142" s="71" t="s">
        <v>1508</v>
      </c>
      <c r="F142" s="71"/>
      <c r="G142" s="71"/>
      <c r="H142" s="71"/>
      <c r="I142" s="71"/>
      <c r="J142" s="71"/>
      <c r="K142" s="71"/>
      <c r="L142" s="71"/>
      <c r="M142" s="87"/>
      <c r="N142" s="71"/>
      <c r="O142" s="374"/>
      <c r="P142" s="374"/>
      <c r="Q142" s="374"/>
    </row>
    <row r="143" spans="1:17">
      <c r="A143" s="76">
        <f>A140+1</f>
        <v>77</v>
      </c>
      <c r="B143" s="71"/>
      <c r="C143" s="71" t="s">
        <v>375</v>
      </c>
      <c r="D143" s="71"/>
      <c r="E143" s="86">
        <v>177441.66800000003</v>
      </c>
      <c r="F143" s="369"/>
      <c r="G143" s="82">
        <v>2.35427448586971</v>
      </c>
      <c r="H143" s="82"/>
      <c r="I143" s="86">
        <v>172206.79779999997</v>
      </c>
      <c r="J143" s="369"/>
      <c r="K143" s="82">
        <v>2.284818864269603</v>
      </c>
      <c r="L143" s="71"/>
      <c r="M143" s="87">
        <f>I143-E143</f>
        <v>-5234.8702000000631</v>
      </c>
      <c r="N143" s="82"/>
      <c r="O143" s="332">
        <f>M143/E143</f>
        <v>-2.9501921724496311E-2</v>
      </c>
      <c r="P143" s="334"/>
      <c r="Q143" s="332">
        <f>O143</f>
        <v>-2.9501921724496311E-2</v>
      </c>
    </row>
    <row r="144" spans="1:17">
      <c r="A144" s="76">
        <f>A143+1</f>
        <v>78</v>
      </c>
      <c r="B144" s="71"/>
      <c r="C144" s="71" t="s">
        <v>376</v>
      </c>
      <c r="D144" s="71"/>
      <c r="E144" s="86">
        <v>1149392.5</v>
      </c>
      <c r="F144" s="369"/>
      <c r="G144" s="82">
        <v>15.25</v>
      </c>
      <c r="H144" s="82"/>
      <c r="I144" s="86">
        <v>1149392.5</v>
      </c>
      <c r="J144" s="369"/>
      <c r="K144" s="82">
        <v>15.25</v>
      </c>
      <c r="L144" s="82"/>
      <c r="M144" s="87">
        <f>I144-E144</f>
        <v>0</v>
      </c>
      <c r="N144" s="82"/>
      <c r="O144" s="333">
        <f>IFERROR(M144/E144,"100.0%")</f>
        <v>0</v>
      </c>
      <c r="P144" s="334"/>
      <c r="Q144" s="333">
        <f>O144</f>
        <v>0</v>
      </c>
    </row>
    <row r="145" spans="1:17">
      <c r="A145" s="76">
        <f>A144+1</f>
        <v>79</v>
      </c>
      <c r="B145" s="71"/>
      <c r="C145" s="71" t="s">
        <v>378</v>
      </c>
      <c r="D145" s="71"/>
      <c r="E145" s="86">
        <v>927337.40600000019</v>
      </c>
      <c r="F145" s="369"/>
      <c r="G145" s="82">
        <v>12.303800000000003</v>
      </c>
      <c r="H145" s="71"/>
      <c r="I145" s="86">
        <v>927186.6660000002</v>
      </c>
      <c r="J145" s="76"/>
      <c r="K145" s="82">
        <v>12.301800000000004</v>
      </c>
      <c r="L145" s="384"/>
      <c r="M145" s="87">
        <f>I145-E145</f>
        <v>-150.73999999999069</v>
      </c>
      <c r="N145" s="71"/>
      <c r="O145" s="332">
        <f>M145/E145</f>
        <v>-1.6255140688241649E-4</v>
      </c>
      <c r="P145" s="334"/>
      <c r="Q145" s="332">
        <f>O145</f>
        <v>-1.6255140688241649E-4</v>
      </c>
    </row>
    <row r="146" spans="1:17">
      <c r="A146" s="76">
        <f>A145+1</f>
        <v>80</v>
      </c>
      <c r="B146" s="71"/>
      <c r="C146" s="71" t="s">
        <v>379</v>
      </c>
      <c r="D146" s="71"/>
      <c r="E146" s="370">
        <f>SUM(E143:E145)</f>
        <v>2254171.574</v>
      </c>
      <c r="F146" s="76"/>
      <c r="G146" s="375">
        <v>29.908074485869712</v>
      </c>
      <c r="H146" s="76"/>
      <c r="I146" s="370">
        <f>SUM(I142:I145)</f>
        <v>2248785.9638</v>
      </c>
      <c r="J146" s="369"/>
      <c r="K146" s="375">
        <v>29.836618864269603</v>
      </c>
      <c r="L146" s="82"/>
      <c r="M146" s="383">
        <f>SUM(M143:M145)</f>
        <v>-5385.6102000000537</v>
      </c>
      <c r="N146" s="71"/>
      <c r="O146" s="373">
        <f>M146/E146</f>
        <v>-2.3891749244461255E-3</v>
      </c>
      <c r="P146" s="374"/>
      <c r="Q146" s="373">
        <f>(M146-M144)/(E146-E144)</f>
        <v>-4.8748300241610604E-3</v>
      </c>
    </row>
    <row r="147" spans="1:17">
      <c r="A147" s="76"/>
      <c r="B147" s="71"/>
      <c r="C147" s="71"/>
      <c r="D147" s="71"/>
      <c r="E147" s="86"/>
      <c r="F147" s="76"/>
      <c r="G147" s="82"/>
      <c r="H147" s="76"/>
      <c r="I147" s="86"/>
      <c r="J147" s="76"/>
      <c r="K147" s="82"/>
      <c r="L147" s="82"/>
      <c r="M147" s="87"/>
      <c r="N147" s="71"/>
      <c r="O147" s="374"/>
      <c r="P147" s="374"/>
      <c r="Q147" s="374"/>
    </row>
    <row r="148" spans="1:17">
      <c r="A148" s="76">
        <f>A146+1</f>
        <v>81</v>
      </c>
      <c r="B148" s="71"/>
      <c r="C148" s="71" t="s">
        <v>410</v>
      </c>
      <c r="D148" s="71"/>
      <c r="E148" s="370">
        <f>SUM(E143:E144)+I145</f>
        <v>2254020.8340000003</v>
      </c>
      <c r="F148" s="76"/>
      <c r="G148" s="375">
        <v>29.906074485869709</v>
      </c>
      <c r="H148" s="76"/>
      <c r="I148" s="370">
        <f>SUM(I143:I145)</f>
        <v>2248785.9638</v>
      </c>
      <c r="J148" s="369"/>
      <c r="K148" s="375">
        <v>29.836618864269603</v>
      </c>
      <c r="L148" s="82"/>
      <c r="M148" s="383">
        <f>M143+M144</f>
        <v>-5234.8702000000631</v>
      </c>
      <c r="N148" s="71"/>
      <c r="O148" s="373">
        <f>M148/E148</f>
        <v>-2.322458657451816E-3</v>
      </c>
      <c r="P148" s="374"/>
      <c r="Q148" s="373">
        <f>(M148-M144)/(E148-E144)</f>
        <v>-4.7390330655777491E-3</v>
      </c>
    </row>
    <row r="149" spans="1:17">
      <c r="A149" s="76">
        <f>A148+1</f>
        <v>82</v>
      </c>
      <c r="B149" s="71"/>
      <c r="C149" s="71" t="s">
        <v>411</v>
      </c>
      <c r="D149" s="71"/>
      <c r="E149" s="86"/>
      <c r="F149" s="76"/>
      <c r="G149" s="82"/>
      <c r="H149" s="76"/>
      <c r="I149" s="86"/>
      <c r="J149" s="76"/>
      <c r="K149" s="82"/>
      <c r="L149" s="82"/>
      <c r="M149" s="87"/>
      <c r="N149" s="71"/>
      <c r="O149" s="332">
        <v>-3.9453839268330003E-3</v>
      </c>
      <c r="P149" s="374"/>
      <c r="Q149" s="332">
        <v>-2.9501921724496168E-2</v>
      </c>
    </row>
    <row r="150" spans="1:17">
      <c r="A150" s="76"/>
      <c r="B150" s="71"/>
      <c r="C150" s="71"/>
      <c r="D150" s="71"/>
      <c r="E150" s="71"/>
      <c r="F150" s="71"/>
      <c r="G150" s="71"/>
      <c r="H150" s="71"/>
      <c r="I150" s="71"/>
      <c r="J150" s="71"/>
      <c r="K150" s="71"/>
      <c r="L150" s="71"/>
      <c r="M150" s="87"/>
      <c r="N150" s="71"/>
      <c r="O150" s="374"/>
      <c r="P150" s="374"/>
      <c r="Q150" s="374"/>
    </row>
    <row r="154" spans="1:17">
      <c r="A154" s="1286" t="s">
        <v>395</v>
      </c>
      <c r="B154" s="1286"/>
      <c r="C154" s="1286"/>
      <c r="D154" s="1286"/>
      <c r="E154" s="1286"/>
      <c r="F154" s="1286"/>
      <c r="G154" s="1286"/>
      <c r="H154" s="1286"/>
      <c r="I154" s="1286"/>
      <c r="J154" s="1286"/>
      <c r="K154" s="1286"/>
      <c r="L154" s="1286"/>
      <c r="M154" s="1286"/>
      <c r="N154" s="1286"/>
      <c r="O154" s="1286"/>
      <c r="P154" s="1286"/>
      <c r="Q154" s="1286"/>
    </row>
    <row r="155" spans="1:17">
      <c r="A155" s="1286" t="s">
        <v>177</v>
      </c>
      <c r="B155" s="1286"/>
      <c r="C155" s="1286"/>
      <c r="D155" s="1286"/>
      <c r="E155" s="1286"/>
      <c r="F155" s="1286"/>
      <c r="G155" s="1286"/>
      <c r="H155" s="1286"/>
      <c r="I155" s="1286"/>
      <c r="J155" s="1286"/>
      <c r="K155" s="1286"/>
      <c r="L155" s="1286"/>
      <c r="M155" s="1286"/>
      <c r="N155" s="1286"/>
      <c r="O155" s="1286"/>
      <c r="P155" s="1286"/>
      <c r="Q155" s="1286"/>
    </row>
    <row r="156" spans="1:17">
      <c r="A156" s="91"/>
      <c r="B156" s="91"/>
      <c r="C156" s="91"/>
      <c r="D156" s="91"/>
      <c r="E156" s="91"/>
      <c r="F156" s="91"/>
      <c r="G156" s="91"/>
      <c r="H156" s="91"/>
      <c r="I156" s="91"/>
      <c r="J156" s="91"/>
      <c r="K156" s="91"/>
      <c r="L156" s="91"/>
      <c r="M156" s="91"/>
      <c r="N156" s="91"/>
      <c r="O156" s="91"/>
      <c r="P156" s="91"/>
      <c r="Q156" s="91"/>
    </row>
    <row r="157" spans="1:17">
      <c r="A157" s="76"/>
      <c r="B157" s="71"/>
      <c r="C157" s="71"/>
      <c r="D157" s="71"/>
      <c r="E157" s="1349"/>
      <c r="F157" s="1349"/>
      <c r="G157" s="1349"/>
      <c r="H157" s="71"/>
      <c r="I157" s="1349"/>
      <c r="J157" s="1349"/>
      <c r="K157" s="1349"/>
      <c r="L157" s="71"/>
      <c r="M157" s="71"/>
      <c r="N157" s="71"/>
      <c r="O157" s="71"/>
      <c r="P157" s="71"/>
      <c r="Q157" s="71"/>
    </row>
    <row r="158" spans="1:17">
      <c r="A158" s="76"/>
      <c r="B158" s="71"/>
      <c r="C158" s="71"/>
      <c r="D158" s="71"/>
      <c r="E158" s="1287" t="s">
        <v>1484</v>
      </c>
      <c r="F158" s="1287"/>
      <c r="G158" s="1287"/>
      <c r="H158" s="71"/>
      <c r="I158" s="1287" t="s">
        <v>362</v>
      </c>
      <c r="J158" s="1287"/>
      <c r="K158" s="1287"/>
      <c r="L158" s="1287"/>
      <c r="M158" s="1287"/>
      <c r="N158" s="71"/>
      <c r="O158" s="1287" t="s">
        <v>363</v>
      </c>
      <c r="P158" s="1287"/>
      <c r="Q158" s="1287"/>
    </row>
    <row r="159" spans="1:17">
      <c r="A159" s="76"/>
      <c r="B159" s="71"/>
      <c r="C159" s="71"/>
      <c r="D159" s="71"/>
      <c r="E159" s="76"/>
      <c r="F159" s="76"/>
      <c r="G159" s="76"/>
      <c r="H159" s="71"/>
      <c r="I159" s="76"/>
      <c r="J159" s="76"/>
      <c r="K159" s="76"/>
      <c r="L159" s="76"/>
      <c r="M159" s="76" t="s">
        <v>364</v>
      </c>
      <c r="N159" s="71"/>
      <c r="O159" s="76" t="s">
        <v>365</v>
      </c>
      <c r="P159" s="76"/>
      <c r="Q159" s="76" t="s">
        <v>366</v>
      </c>
    </row>
    <row r="160" spans="1:17">
      <c r="A160" s="76" t="s">
        <v>1</v>
      </c>
      <c r="B160" s="71"/>
      <c r="C160" s="71"/>
      <c r="D160" s="71"/>
      <c r="E160" s="76" t="s">
        <v>364</v>
      </c>
      <c r="F160" s="76"/>
      <c r="G160" s="76" t="s">
        <v>109</v>
      </c>
      <c r="H160" s="71"/>
      <c r="I160" s="76" t="s">
        <v>364</v>
      </c>
      <c r="J160" s="76"/>
      <c r="K160" s="76" t="s">
        <v>109</v>
      </c>
      <c r="L160" s="76"/>
      <c r="M160" s="76" t="s">
        <v>367</v>
      </c>
      <c r="N160" s="71"/>
      <c r="O160" s="76" t="s">
        <v>368</v>
      </c>
      <c r="P160" s="71"/>
      <c r="Q160" s="76" t="s">
        <v>368</v>
      </c>
    </row>
    <row r="161" spans="1:17">
      <c r="A161" s="79" t="s">
        <v>2</v>
      </c>
      <c r="B161" s="71"/>
      <c r="C161" s="366" t="s">
        <v>3</v>
      </c>
      <c r="D161" s="71"/>
      <c r="E161" s="79" t="s">
        <v>369</v>
      </c>
      <c r="F161" s="76"/>
      <c r="G161" s="79" t="s">
        <v>77</v>
      </c>
      <c r="H161" s="71"/>
      <c r="I161" s="79" t="s">
        <v>369</v>
      </c>
      <c r="J161" s="76"/>
      <c r="K161" s="79" t="s">
        <v>77</v>
      </c>
      <c r="L161" s="76"/>
      <c r="M161" s="79" t="s">
        <v>369</v>
      </c>
      <c r="N161" s="71"/>
      <c r="O161" s="79" t="s">
        <v>76</v>
      </c>
      <c r="P161" s="76"/>
      <c r="Q161" s="79" t="s">
        <v>76</v>
      </c>
    </row>
    <row r="162" spans="1:17">
      <c r="D162" s="71"/>
      <c r="E162" s="76" t="s">
        <v>8</v>
      </c>
      <c r="F162" s="76"/>
      <c r="G162" s="76" t="s">
        <v>9</v>
      </c>
      <c r="H162" s="76"/>
      <c r="I162" s="76" t="s">
        <v>370</v>
      </c>
      <c r="J162" s="76"/>
      <c r="K162" s="76" t="s">
        <v>79</v>
      </c>
      <c r="L162" s="76"/>
      <c r="M162" s="76" t="s">
        <v>371</v>
      </c>
      <c r="N162" s="76"/>
      <c r="O162" s="76" t="s">
        <v>372</v>
      </c>
      <c r="P162" s="76"/>
      <c r="Q162" s="76" t="s">
        <v>82</v>
      </c>
    </row>
    <row r="163" spans="1:17">
      <c r="D163" s="71"/>
      <c r="E163" s="76"/>
      <c r="F163" s="76"/>
      <c r="G163" s="76"/>
      <c r="H163" s="76"/>
      <c r="I163" s="76"/>
      <c r="J163" s="76"/>
      <c r="K163" s="76"/>
      <c r="L163" s="76"/>
      <c r="M163" s="76"/>
      <c r="N163" s="76"/>
      <c r="O163" s="76"/>
      <c r="P163" s="76"/>
      <c r="Q163" s="76"/>
    </row>
    <row r="164" spans="1:17">
      <c r="A164" s="76"/>
      <c r="B164" s="71"/>
      <c r="C164" s="81" t="s">
        <v>1509</v>
      </c>
      <c r="D164" s="71"/>
      <c r="E164" s="71" t="s">
        <v>1510</v>
      </c>
      <c r="F164" s="71"/>
      <c r="G164" s="71"/>
      <c r="H164" s="71"/>
      <c r="I164" s="71"/>
      <c r="J164" s="71"/>
      <c r="K164" s="71"/>
      <c r="L164" s="71"/>
      <c r="M164" s="87"/>
      <c r="N164" s="71"/>
      <c r="O164" s="374"/>
      <c r="P164" s="374"/>
      <c r="Q164" s="374"/>
    </row>
    <row r="165" spans="1:17">
      <c r="A165" s="76">
        <f>A149+1</f>
        <v>83</v>
      </c>
      <c r="B165" s="71"/>
      <c r="C165" s="71" t="s">
        <v>375</v>
      </c>
      <c r="D165" s="71"/>
      <c r="E165" s="86">
        <v>275945.55038799997</v>
      </c>
      <c r="F165" s="369"/>
      <c r="G165" s="82">
        <v>2.3858467025156109</v>
      </c>
      <c r="H165" s="82"/>
      <c r="I165" s="86">
        <v>267188.57466799993</v>
      </c>
      <c r="J165" s="369"/>
      <c r="K165" s="82">
        <v>2.3101332089796776</v>
      </c>
      <c r="L165" s="71"/>
      <c r="M165" s="87">
        <f>I165-E165</f>
        <v>-8756.9757200000458</v>
      </c>
      <c r="N165" s="82"/>
      <c r="O165" s="332">
        <f>M165/E165</f>
        <v>-3.1734433505766213E-2</v>
      </c>
      <c r="P165" s="334"/>
      <c r="Q165" s="332">
        <f>O165</f>
        <v>-3.1734433505766213E-2</v>
      </c>
    </row>
    <row r="166" spans="1:17">
      <c r="A166" s="76">
        <f>A165+1</f>
        <v>84</v>
      </c>
      <c r="B166" s="71"/>
      <c r="C166" s="71" t="s">
        <v>376</v>
      </c>
      <c r="D166" s="71"/>
      <c r="E166" s="86">
        <v>1763805.5449999999</v>
      </c>
      <c r="F166" s="369"/>
      <c r="G166" s="82">
        <v>15.25</v>
      </c>
      <c r="H166" s="82"/>
      <c r="I166" s="86">
        <v>1763805.5449999999</v>
      </c>
      <c r="J166" s="369"/>
      <c r="K166" s="82">
        <v>15.25</v>
      </c>
      <c r="L166" s="82"/>
      <c r="M166" s="87">
        <f>I166-E166</f>
        <v>0</v>
      </c>
      <c r="N166" s="82"/>
      <c r="O166" s="333">
        <f>IFERROR(M166/E166,"100.0%")</f>
        <v>0</v>
      </c>
      <c r="P166" s="334"/>
      <c r="Q166" s="333">
        <f>O166</f>
        <v>0</v>
      </c>
    </row>
    <row r="167" spans="1:17">
      <c r="A167" s="76">
        <f>A166+1</f>
        <v>85</v>
      </c>
      <c r="B167" s="71"/>
      <c r="C167" s="71" t="s">
        <v>378</v>
      </c>
      <c r="D167" s="71"/>
      <c r="E167" s="86">
        <v>1423049.8796440002</v>
      </c>
      <c r="F167" s="369"/>
      <c r="G167" s="82">
        <v>12.303800000000003</v>
      </c>
      <c r="H167" s="71"/>
      <c r="I167" s="86">
        <v>1422818.5608840003</v>
      </c>
      <c r="J167" s="76"/>
      <c r="K167" s="82">
        <v>12.301800000000002</v>
      </c>
      <c r="L167" s="384"/>
      <c r="M167" s="87">
        <f>I167-E167</f>
        <v>-231.31875999993645</v>
      </c>
      <c r="N167" s="71"/>
      <c r="O167" s="332">
        <f>M167/E167</f>
        <v>-1.6255140688238188E-4</v>
      </c>
      <c r="P167" s="334"/>
      <c r="Q167" s="332">
        <f>O167</f>
        <v>-1.6255140688238188E-4</v>
      </c>
    </row>
    <row r="168" spans="1:17">
      <c r="A168" s="76">
        <f>A167+1</f>
        <v>86</v>
      </c>
      <c r="B168" s="71"/>
      <c r="C168" s="71" t="s">
        <v>379</v>
      </c>
      <c r="D168" s="71"/>
      <c r="E168" s="370">
        <f>SUM(E165:E167)</f>
        <v>3462800.9750319999</v>
      </c>
      <c r="F168" s="76"/>
      <c r="G168" s="375">
        <v>29.93964670251561</v>
      </c>
      <c r="H168" s="76"/>
      <c r="I168" s="370">
        <f>SUM(I164:I167)</f>
        <v>3453812.6805520002</v>
      </c>
      <c r="J168" s="369"/>
      <c r="K168" s="375">
        <v>29.861933208979679</v>
      </c>
      <c r="L168" s="82"/>
      <c r="M168" s="383">
        <f>SUM(M165:M167)</f>
        <v>-8988.2944799999823</v>
      </c>
      <c r="N168" s="71"/>
      <c r="O168" s="373">
        <f>M168/E168</f>
        <v>-2.5956716960659054E-3</v>
      </c>
      <c r="P168" s="374"/>
      <c r="Q168" s="373">
        <f>(M168-M166)/(E168-E166)</f>
        <v>-5.2903582441247007E-3</v>
      </c>
    </row>
    <row r="169" spans="1:17">
      <c r="A169" s="76"/>
      <c r="B169" s="71"/>
      <c r="C169" s="71"/>
      <c r="D169" s="71"/>
      <c r="E169" s="86"/>
      <c r="F169" s="76"/>
      <c r="G169" s="82"/>
      <c r="H169" s="76"/>
      <c r="I169" s="86"/>
      <c r="J169" s="76"/>
      <c r="K169" s="82"/>
      <c r="L169" s="82"/>
      <c r="M169" s="87"/>
      <c r="N169" s="71"/>
      <c r="O169" s="374"/>
      <c r="P169" s="374"/>
      <c r="Q169" s="374"/>
    </row>
    <row r="170" spans="1:17">
      <c r="A170" s="76">
        <f>A168+1</f>
        <v>87</v>
      </c>
      <c r="B170" s="71"/>
      <c r="C170" s="71" t="s">
        <v>410</v>
      </c>
      <c r="D170" s="71"/>
      <c r="E170" s="370">
        <f>SUM(E165:E166)+I167</f>
        <v>3462569.6562720002</v>
      </c>
      <c r="F170" s="76"/>
      <c r="G170" s="375">
        <v>29.937646702515615</v>
      </c>
      <c r="H170" s="76"/>
      <c r="I170" s="370">
        <f>SUM(I165:I167)</f>
        <v>3453812.6805520002</v>
      </c>
      <c r="J170" s="369"/>
      <c r="K170" s="375">
        <v>29.861933208979679</v>
      </c>
      <c r="L170" s="82"/>
      <c r="M170" s="383">
        <f>M165+M166</f>
        <v>-8756.9757200000458</v>
      </c>
      <c r="N170" s="71"/>
      <c r="O170" s="373">
        <f>M170/E170</f>
        <v>-2.5290395831136306E-3</v>
      </c>
      <c r="P170" s="374"/>
      <c r="Q170" s="373">
        <f>(M170-M166)/(E170-E166)</f>
        <v>-5.1549097734605422E-3</v>
      </c>
    </row>
    <row r="171" spans="1:17">
      <c r="A171" s="76">
        <f>A170+1</f>
        <v>88</v>
      </c>
      <c r="B171" s="71"/>
      <c r="C171" s="71" t="s">
        <v>411</v>
      </c>
      <c r="D171" s="71"/>
      <c r="E171" s="86"/>
      <c r="F171" s="76"/>
      <c r="G171" s="82"/>
      <c r="H171" s="76"/>
      <c r="I171" s="86"/>
      <c r="J171" s="76"/>
      <c r="K171" s="82"/>
      <c r="L171" s="82"/>
      <c r="M171" s="87"/>
      <c r="N171" s="71"/>
      <c r="O171" s="332">
        <v>-4.2931589740532886E-3</v>
      </c>
      <c r="P171" s="374"/>
      <c r="Q171" s="332">
        <v>-3.1734433505766109E-2</v>
      </c>
    </row>
    <row r="172" spans="1:17">
      <c r="A172" s="76"/>
      <c r="B172" s="71"/>
      <c r="C172" s="71"/>
      <c r="D172" s="71"/>
      <c r="E172" s="71"/>
      <c r="F172" s="71"/>
      <c r="G172" s="71"/>
      <c r="H172" s="71"/>
      <c r="I172" s="71"/>
      <c r="J172" s="71"/>
      <c r="K172" s="71"/>
      <c r="L172" s="71"/>
      <c r="M172" s="87"/>
      <c r="N172" s="71"/>
      <c r="O172" s="374"/>
      <c r="P172" s="374"/>
      <c r="Q172" s="374"/>
    </row>
    <row r="173" spans="1:17">
      <c r="A173" s="76"/>
      <c r="B173" s="71"/>
      <c r="C173" s="81" t="s">
        <v>1511</v>
      </c>
      <c r="D173" s="71"/>
      <c r="E173" s="71" t="s">
        <v>1512</v>
      </c>
      <c r="F173" s="71"/>
      <c r="G173" s="71"/>
      <c r="H173" s="71"/>
      <c r="I173" s="71"/>
      <c r="J173" s="71"/>
      <c r="K173" s="71"/>
      <c r="L173" s="71"/>
      <c r="M173" s="87"/>
      <c r="N173" s="71"/>
      <c r="O173" s="374"/>
      <c r="P173" s="374"/>
      <c r="Q173" s="374"/>
    </row>
    <row r="174" spans="1:17">
      <c r="A174" s="76">
        <f>A171+1</f>
        <v>89</v>
      </c>
      <c r="B174" s="71"/>
      <c r="C174" s="71" t="s">
        <v>375</v>
      </c>
      <c r="D174" s="71"/>
      <c r="E174" s="86">
        <v>621862.09967999987</v>
      </c>
      <c r="F174" s="369"/>
      <c r="G174" s="82">
        <v>2.4268660559910828</v>
      </c>
      <c r="H174" s="82"/>
      <c r="I174" s="86">
        <v>600943.59528000001</v>
      </c>
      <c r="J174" s="369"/>
      <c r="K174" s="82">
        <v>2.3452299371528658</v>
      </c>
      <c r="L174" s="71"/>
      <c r="M174" s="87">
        <f>I174-E174</f>
        <v>-20918.50439999986</v>
      </c>
      <c r="N174" s="82"/>
      <c r="O174" s="332">
        <f>M174/E174</f>
        <v>-3.3638493824859533E-2</v>
      </c>
      <c r="P174" s="334"/>
      <c r="Q174" s="332">
        <f>O174</f>
        <v>-3.3638493824859533E-2</v>
      </c>
    </row>
    <row r="175" spans="1:17">
      <c r="A175" s="76">
        <f>A174+1</f>
        <v>90</v>
      </c>
      <c r="B175" s="71"/>
      <c r="C175" s="71" t="s">
        <v>376</v>
      </c>
      <c r="D175" s="71"/>
      <c r="E175" s="86">
        <v>3907672.2</v>
      </c>
      <c r="F175" s="369"/>
      <c r="G175" s="82">
        <v>15.25</v>
      </c>
      <c r="H175" s="82"/>
      <c r="I175" s="86">
        <v>3907672.2</v>
      </c>
      <c r="J175" s="369"/>
      <c r="K175" s="82">
        <v>15.25</v>
      </c>
      <c r="L175" s="82"/>
      <c r="M175" s="87">
        <f>I175-E175</f>
        <v>0</v>
      </c>
      <c r="N175" s="82"/>
      <c r="O175" s="333">
        <f>IFERROR(M175/E175,"100.0%")</f>
        <v>0</v>
      </c>
      <c r="P175" s="334"/>
      <c r="Q175" s="333">
        <f>O175</f>
        <v>0</v>
      </c>
    </row>
    <row r="176" spans="1:17">
      <c r="A176" s="76">
        <f>A175+1</f>
        <v>91</v>
      </c>
      <c r="B176" s="71"/>
      <c r="C176" s="71" t="s">
        <v>378</v>
      </c>
      <c r="D176" s="71"/>
      <c r="E176" s="86">
        <v>3152735.5550400005</v>
      </c>
      <c r="F176" s="369"/>
      <c r="G176" s="82">
        <v>12.303800000000003</v>
      </c>
      <c r="H176" s="71"/>
      <c r="I176" s="86">
        <v>3152223.0734400009</v>
      </c>
      <c r="J176" s="76"/>
      <c r="K176" s="82">
        <v>12.301800000000004</v>
      </c>
      <c r="L176" s="384"/>
      <c r="M176" s="87">
        <f>I176-E176</f>
        <v>-512.48159999959171</v>
      </c>
      <c r="N176" s="71"/>
      <c r="O176" s="332">
        <f>M176/E176</f>
        <v>-1.6255140688229704E-4</v>
      </c>
      <c r="P176" s="334"/>
      <c r="Q176" s="332">
        <f>O176</f>
        <v>-1.6255140688229704E-4</v>
      </c>
    </row>
    <row r="177" spans="1:17">
      <c r="A177" s="76">
        <f>A176+1</f>
        <v>92</v>
      </c>
      <c r="B177" s="71"/>
      <c r="C177" s="71" t="s">
        <v>379</v>
      </c>
      <c r="D177" s="71"/>
      <c r="E177" s="370">
        <f>SUM(E174:E176)</f>
        <v>7682269.8547200002</v>
      </c>
      <c r="F177" s="76"/>
      <c r="G177" s="375">
        <v>29.980666055991083</v>
      </c>
      <c r="H177" s="76"/>
      <c r="I177" s="370">
        <f>SUM(I174:I176)</f>
        <v>7660838.8687200006</v>
      </c>
      <c r="J177" s="369"/>
      <c r="K177" s="375">
        <v>29.897029937152869</v>
      </c>
      <c r="L177" s="82"/>
      <c r="M177" s="383">
        <f>SUM(M174:M176)</f>
        <v>-21430.985999999451</v>
      </c>
      <c r="N177" s="71"/>
      <c r="O177" s="373">
        <f>M177/E177</f>
        <v>-2.7896684710746284E-3</v>
      </c>
      <c r="P177" s="374"/>
      <c r="Q177" s="373">
        <f>(M177-M175)/(E177-E175)</f>
        <v>-5.6776875207350287E-3</v>
      </c>
    </row>
    <row r="178" spans="1:17">
      <c r="A178" s="76"/>
      <c r="B178" s="71"/>
      <c r="C178" s="71"/>
      <c r="D178" s="71"/>
      <c r="E178" s="86"/>
      <c r="F178" s="76"/>
      <c r="G178" s="82"/>
      <c r="H178" s="76"/>
      <c r="I178" s="86"/>
      <c r="J178" s="76"/>
      <c r="K178" s="82"/>
      <c r="L178" s="82"/>
      <c r="M178" s="87"/>
      <c r="N178" s="71"/>
      <c r="O178" s="374"/>
      <c r="P178" s="374"/>
      <c r="Q178" s="374"/>
    </row>
    <row r="179" spans="1:17">
      <c r="A179" s="76">
        <f>A177+1</f>
        <v>93</v>
      </c>
      <c r="B179" s="71"/>
      <c r="C179" s="71" t="s">
        <v>410</v>
      </c>
      <c r="D179" s="71"/>
      <c r="E179" s="370">
        <f>SUM(E174:E175)+I176</f>
        <v>7681757.3731200006</v>
      </c>
      <c r="F179" s="76"/>
      <c r="G179" s="375">
        <v>29.978666055991088</v>
      </c>
      <c r="H179" s="76"/>
      <c r="I179" s="370">
        <f>SUM(I174:I176)</f>
        <v>7660838.8687200006</v>
      </c>
      <c r="J179" s="369"/>
      <c r="K179" s="375">
        <v>29.897029937152869</v>
      </c>
      <c r="L179" s="82"/>
      <c r="M179" s="383">
        <f>M174+M175</f>
        <v>-20918.50439999986</v>
      </c>
      <c r="N179" s="71"/>
      <c r="O179" s="373">
        <f>M179/E179</f>
        <v>-2.7231404721526188E-3</v>
      </c>
      <c r="P179" s="374"/>
      <c r="Q179" s="373">
        <f>(M179-M175)/(E179-E175)</f>
        <v>-5.5426688695281168E-3</v>
      </c>
    </row>
    <row r="180" spans="1:17">
      <c r="A180" s="76">
        <f>A179+1</f>
        <v>94</v>
      </c>
      <c r="B180" s="71"/>
      <c r="C180" s="71" t="s">
        <v>411</v>
      </c>
      <c r="D180" s="71"/>
      <c r="E180" s="86"/>
      <c r="F180" s="76"/>
      <c r="G180" s="82"/>
      <c r="H180" s="76"/>
      <c r="I180" s="86"/>
      <c r="J180" s="76"/>
      <c r="K180" s="82"/>
      <c r="L180" s="82"/>
      <c r="M180" s="87"/>
      <c r="N180" s="71"/>
      <c r="O180" s="332">
        <v>-4.6182461630719764E-3</v>
      </c>
      <c r="P180" s="374"/>
      <c r="Q180" s="332">
        <v>-3.3638493824859873E-2</v>
      </c>
    </row>
    <row r="181" spans="1:17">
      <c r="A181" s="76"/>
      <c r="B181" s="71"/>
      <c r="C181" s="71"/>
      <c r="D181" s="71"/>
      <c r="E181" s="71"/>
      <c r="F181" s="71"/>
      <c r="G181" s="71"/>
      <c r="H181" s="71"/>
      <c r="I181" s="71"/>
      <c r="J181" s="71"/>
      <c r="K181" s="71"/>
      <c r="L181" s="71"/>
      <c r="M181" s="87"/>
      <c r="N181" s="71"/>
      <c r="O181" s="374"/>
      <c r="P181" s="374"/>
      <c r="Q181" s="374"/>
    </row>
    <row r="182" spans="1:17">
      <c r="A182" s="76"/>
      <c r="B182" s="71"/>
      <c r="C182" s="81" t="s">
        <v>1513</v>
      </c>
      <c r="D182" s="71"/>
      <c r="E182" s="71" t="s">
        <v>1514</v>
      </c>
      <c r="F182" s="71"/>
      <c r="G182" s="71"/>
      <c r="H182" s="71"/>
      <c r="I182" s="71"/>
      <c r="J182" s="71"/>
      <c r="K182" s="71"/>
      <c r="L182" s="71"/>
      <c r="M182" s="87"/>
      <c r="N182" s="71"/>
      <c r="O182" s="374"/>
      <c r="P182" s="374"/>
      <c r="Q182" s="374"/>
    </row>
    <row r="183" spans="1:17">
      <c r="A183" s="76">
        <f>A180+1</f>
        <v>95</v>
      </c>
      <c r="B183" s="71"/>
      <c r="C183" s="71" t="s">
        <v>375</v>
      </c>
      <c r="D183" s="71"/>
      <c r="E183" s="86">
        <v>784514.2540800001</v>
      </c>
      <c r="F183" s="369"/>
      <c r="G183" s="82">
        <v>1.3239406204941273</v>
      </c>
      <c r="H183" s="82"/>
      <c r="I183" s="86">
        <v>787953.4718399999</v>
      </c>
      <c r="J183" s="369"/>
      <c r="K183" s="82">
        <v>1.3297446196840823</v>
      </c>
      <c r="L183" s="71"/>
      <c r="M183" s="87">
        <f>I183-E183</f>
        <v>3439.2177599997958</v>
      </c>
      <c r="N183" s="82"/>
      <c r="O183" s="332">
        <f>M183/E183</f>
        <v>4.3838817996149308E-3</v>
      </c>
      <c r="P183" s="334"/>
      <c r="Q183" s="332">
        <f>O183</f>
        <v>4.3838817996149308E-3</v>
      </c>
    </row>
    <row r="184" spans="1:17">
      <c r="A184" s="76">
        <f>A183+1</f>
        <v>96</v>
      </c>
      <c r="B184" s="71"/>
      <c r="C184" s="71" t="s">
        <v>376</v>
      </c>
      <c r="D184" s="71"/>
      <c r="E184" s="86">
        <v>9036540</v>
      </c>
      <c r="F184" s="369"/>
      <c r="G184" s="82">
        <v>15.25</v>
      </c>
      <c r="H184" s="82"/>
      <c r="I184" s="86">
        <v>9036540</v>
      </c>
      <c r="J184" s="369"/>
      <c r="K184" s="82">
        <v>15.25</v>
      </c>
      <c r="L184" s="82"/>
      <c r="M184" s="87">
        <f>I184-E184</f>
        <v>0</v>
      </c>
      <c r="N184" s="82"/>
      <c r="O184" s="333">
        <f>IFERROR(M184/E184,"100.0%")</f>
        <v>0</v>
      </c>
      <c r="P184" s="334"/>
      <c r="Q184" s="333">
        <f>O184</f>
        <v>0</v>
      </c>
    </row>
    <row r="185" spans="1:17">
      <c r="A185" s="76">
        <f>A184+1</f>
        <v>97</v>
      </c>
      <c r="B185" s="71"/>
      <c r="C185" s="71" t="s">
        <v>378</v>
      </c>
      <c r="D185" s="71"/>
      <c r="E185" s="86">
        <v>7290739.728000002</v>
      </c>
      <c r="F185" s="369"/>
      <c r="G185" s="82">
        <v>12.303800000000004</v>
      </c>
      <c r="H185" s="71"/>
      <c r="I185" s="86">
        <v>7289554.6080000019</v>
      </c>
      <c r="J185" s="76"/>
      <c r="K185" s="82">
        <v>12.301800000000004</v>
      </c>
      <c r="L185" s="384"/>
      <c r="M185" s="87">
        <f>I185-E185</f>
        <v>-1185.1200000001118</v>
      </c>
      <c r="N185" s="71"/>
      <c r="O185" s="332">
        <f>M185/E185</f>
        <v>-1.6255140688244187E-4</v>
      </c>
      <c r="P185" s="334"/>
      <c r="Q185" s="332">
        <f>O185</f>
        <v>-1.6255140688244187E-4</v>
      </c>
    </row>
    <row r="186" spans="1:17">
      <c r="A186" s="76">
        <f>A185+1</f>
        <v>98</v>
      </c>
      <c r="B186" s="71"/>
      <c r="C186" s="71" t="s">
        <v>379</v>
      </c>
      <c r="D186" s="71"/>
      <c r="E186" s="370">
        <f>SUM(E183:E185)</f>
        <v>17111793.982080001</v>
      </c>
      <c r="F186" s="76"/>
      <c r="G186" s="375">
        <v>28.87774062049413</v>
      </c>
      <c r="H186" s="76"/>
      <c r="I186" s="370">
        <f>SUM(I183:I185)</f>
        <v>17114048.079840001</v>
      </c>
      <c r="J186" s="369"/>
      <c r="K186" s="375">
        <v>28.881544619684085</v>
      </c>
      <c r="L186" s="82"/>
      <c r="M186" s="383">
        <f>SUM(M183:M185)</f>
        <v>2254.0977599996841</v>
      </c>
      <c r="N186" s="71"/>
      <c r="O186" s="373">
        <f>M186/E186</f>
        <v>1.3172772897805131E-4</v>
      </c>
      <c r="P186" s="374"/>
      <c r="Q186" s="373">
        <f>(M186-M184)/(E186-E184)</f>
        <v>2.7913645378855066E-4</v>
      </c>
    </row>
    <row r="187" spans="1:17">
      <c r="A187" s="76"/>
      <c r="B187" s="71"/>
      <c r="C187" s="71"/>
      <c r="D187" s="71"/>
      <c r="E187" s="86"/>
      <c r="F187" s="76"/>
      <c r="G187" s="82"/>
      <c r="H187" s="76"/>
      <c r="I187" s="86"/>
      <c r="J187" s="76"/>
      <c r="K187" s="82"/>
      <c r="L187" s="82"/>
      <c r="M187" s="87"/>
      <c r="N187" s="71"/>
      <c r="O187" s="374"/>
      <c r="P187" s="374"/>
      <c r="Q187" s="374"/>
    </row>
    <row r="188" spans="1:17">
      <c r="A188" s="76">
        <f>A186+1</f>
        <v>99</v>
      </c>
      <c r="B188" s="71"/>
      <c r="C188" s="71" t="s">
        <v>410</v>
      </c>
      <c r="D188" s="71"/>
      <c r="E188" s="370">
        <f>SUM(E183:E184)+I185</f>
        <v>17110608.86208</v>
      </c>
      <c r="F188" s="76"/>
      <c r="G188" s="375">
        <v>28.875740620494128</v>
      </c>
      <c r="H188" s="76"/>
      <c r="I188" s="370">
        <f>SUM(I183:I185)</f>
        <v>17114048.079840001</v>
      </c>
      <c r="J188" s="369"/>
      <c r="K188" s="375">
        <v>28.881544619684085</v>
      </c>
      <c r="L188" s="82"/>
      <c r="M188" s="383">
        <f>M183+M184</f>
        <v>3439.2177599997958</v>
      </c>
      <c r="N188" s="71"/>
      <c r="O188" s="373">
        <f>M188/E188</f>
        <v>2.0099914548462873E-4</v>
      </c>
      <c r="P188" s="374"/>
      <c r="Q188" s="373">
        <f>(M188-M184)/(E188-E184)</f>
        <v>4.2595843790138322E-4</v>
      </c>
    </row>
    <row r="189" spans="1:17">
      <c r="A189" s="76">
        <f>A188+1</f>
        <v>100</v>
      </c>
      <c r="B189" s="71"/>
      <c r="C189" s="71" t="s">
        <v>411</v>
      </c>
      <c r="D189" s="71"/>
      <c r="E189" s="86"/>
      <c r="F189" s="76"/>
      <c r="G189" s="82"/>
      <c r="H189" s="76"/>
      <c r="I189" s="86"/>
      <c r="J189" s="76"/>
      <c r="K189" s="82"/>
      <c r="L189" s="82"/>
      <c r="M189" s="87"/>
      <c r="N189" s="71"/>
      <c r="O189" s="332">
        <v>3.5018824568361096E-4</v>
      </c>
      <c r="P189" s="374"/>
      <c r="Q189" s="332">
        <v>4.3838817996149863E-3</v>
      </c>
    </row>
    <row r="190" spans="1:17">
      <c r="A190" s="76"/>
      <c r="B190" s="71"/>
      <c r="C190" s="71"/>
      <c r="D190" s="71"/>
      <c r="E190" s="71"/>
      <c r="F190" s="71"/>
      <c r="G190" s="71"/>
      <c r="H190" s="71"/>
      <c r="I190" s="71"/>
      <c r="J190" s="71"/>
      <c r="K190" s="71"/>
      <c r="L190" s="71"/>
      <c r="M190" s="87"/>
      <c r="N190" s="71"/>
      <c r="O190" s="374"/>
      <c r="P190" s="374"/>
      <c r="Q190" s="374"/>
    </row>
    <row r="191" spans="1:17">
      <c r="A191" s="76"/>
      <c r="B191" s="71"/>
      <c r="C191" s="81" t="s">
        <v>1515</v>
      </c>
      <c r="D191" s="71"/>
      <c r="E191" s="71" t="s">
        <v>1516</v>
      </c>
      <c r="F191" s="71"/>
      <c r="G191" s="71"/>
      <c r="H191" s="71"/>
      <c r="I191" s="71"/>
      <c r="J191" s="71"/>
      <c r="K191" s="71"/>
      <c r="L191" s="71"/>
      <c r="M191" s="87"/>
      <c r="N191" s="71"/>
      <c r="O191" s="374"/>
      <c r="P191" s="374"/>
      <c r="Q191" s="374"/>
    </row>
    <row r="192" spans="1:17">
      <c r="A192" s="76">
        <f>A189+1</f>
        <v>101</v>
      </c>
      <c r="B192" s="71"/>
      <c r="C192" s="71" t="s">
        <v>375</v>
      </c>
      <c r="D192" s="71"/>
      <c r="E192" s="86">
        <v>1924589.7636300002</v>
      </c>
      <c r="F192" s="369"/>
      <c r="G192" s="82">
        <v>0.97304778967677064</v>
      </c>
      <c r="H192" s="82"/>
      <c r="I192" s="86">
        <v>1932893.3939400001</v>
      </c>
      <c r="J192" s="369"/>
      <c r="K192" s="82">
        <v>0.97724599818443669</v>
      </c>
      <c r="L192" s="71"/>
      <c r="M192" s="87">
        <f>I192-E192</f>
        <v>8303.6303099999204</v>
      </c>
      <c r="N192" s="82"/>
      <c r="O192" s="332">
        <f>M192/E192</f>
        <v>4.314493647902558E-3</v>
      </c>
      <c r="P192" s="334"/>
      <c r="Q192" s="332">
        <f>O192</f>
        <v>4.314493647902558E-3</v>
      </c>
    </row>
    <row r="193" spans="1:17">
      <c r="A193" s="76">
        <f>A192+1</f>
        <v>102</v>
      </c>
      <c r="B193" s="71"/>
      <c r="C193" s="71" t="s">
        <v>376</v>
      </c>
      <c r="D193" s="71"/>
      <c r="E193" s="86">
        <v>30162952.125</v>
      </c>
      <c r="F193" s="369"/>
      <c r="G193" s="82">
        <v>15.25</v>
      </c>
      <c r="H193" s="82"/>
      <c r="I193" s="86">
        <v>30162952.125</v>
      </c>
      <c r="J193" s="369"/>
      <c r="K193" s="82">
        <v>15.25</v>
      </c>
      <c r="L193" s="82"/>
      <c r="M193" s="87">
        <f>I193-E193</f>
        <v>0</v>
      </c>
      <c r="N193" s="82"/>
      <c r="O193" s="333">
        <f>IFERROR(M193/E193,"100.0%")</f>
        <v>0</v>
      </c>
      <c r="P193" s="334"/>
      <c r="Q193" s="333">
        <f>O193</f>
        <v>0</v>
      </c>
    </row>
    <row r="194" spans="1:17">
      <c r="A194" s="76">
        <f>A193+1</f>
        <v>103</v>
      </c>
      <c r="B194" s="71"/>
      <c r="C194" s="71" t="s">
        <v>378</v>
      </c>
      <c r="D194" s="71"/>
      <c r="E194" s="86">
        <v>24335667.564300004</v>
      </c>
      <c r="F194" s="369"/>
      <c r="G194" s="82">
        <v>12.303800000000003</v>
      </c>
      <c r="H194" s="71"/>
      <c r="I194" s="86">
        <v>24331711.767300006</v>
      </c>
      <c r="J194" s="76"/>
      <c r="K194" s="82">
        <v>12.301800000000004</v>
      </c>
      <c r="L194" s="384"/>
      <c r="M194" s="87">
        <f>I194-E194</f>
        <v>-3955.7969999983907</v>
      </c>
      <c r="N194" s="71"/>
      <c r="O194" s="332">
        <f>M194/E194</f>
        <v>-1.6255140688236041E-4</v>
      </c>
      <c r="P194" s="334"/>
      <c r="Q194" s="332">
        <f>O194</f>
        <v>-1.6255140688236041E-4</v>
      </c>
    </row>
    <row r="195" spans="1:17">
      <c r="A195" s="76">
        <f>A194+1</f>
        <v>104</v>
      </c>
      <c r="B195" s="71"/>
      <c r="C195" s="71" t="s">
        <v>379</v>
      </c>
      <c r="D195" s="71"/>
      <c r="E195" s="370">
        <f>SUM(E192:E194)</f>
        <v>56423209.452930003</v>
      </c>
      <c r="F195" s="76"/>
      <c r="G195" s="375">
        <v>28.526847789676772</v>
      </c>
      <c r="H195" s="76"/>
      <c r="I195" s="370">
        <f>SUM(I192:I194)</f>
        <v>56427557.286240011</v>
      </c>
      <c r="J195" s="369"/>
      <c r="K195" s="375">
        <v>28.529045998184444</v>
      </c>
      <c r="L195" s="82"/>
      <c r="M195" s="383">
        <f>SUM(M192:M194)</f>
        <v>4347.8333100015298</v>
      </c>
      <c r="N195" s="71"/>
      <c r="O195" s="373">
        <f>M195/E195</f>
        <v>7.7057532745077671E-5</v>
      </c>
      <c r="P195" s="374"/>
      <c r="Q195" s="373">
        <f>(M195-M193)/(E195-E193)</f>
        <v>1.655670489328085E-4</v>
      </c>
    </row>
    <row r="196" spans="1:17">
      <c r="A196" s="76"/>
      <c r="B196" s="71"/>
      <c r="C196" s="71"/>
      <c r="D196" s="71"/>
      <c r="E196" s="86"/>
      <c r="F196" s="76"/>
      <c r="G196" s="82"/>
      <c r="H196" s="76"/>
      <c r="I196" s="86"/>
      <c r="J196" s="76"/>
      <c r="K196" s="82"/>
      <c r="L196" s="82"/>
      <c r="M196" s="87"/>
      <c r="N196" s="71"/>
      <c r="O196" s="374"/>
      <c r="P196" s="374"/>
      <c r="Q196" s="374"/>
    </row>
    <row r="197" spans="1:17">
      <c r="A197" s="76">
        <f>A195+1</f>
        <v>105</v>
      </c>
      <c r="B197" s="71"/>
      <c r="C197" s="71" t="s">
        <v>410</v>
      </c>
      <c r="D197" s="71"/>
      <c r="E197" s="370">
        <f>SUM(E192:E193)+I194</f>
        <v>56419253.655930005</v>
      </c>
      <c r="F197" s="76"/>
      <c r="G197" s="375">
        <v>28.524847789676773</v>
      </c>
      <c r="H197" s="76"/>
      <c r="I197" s="370">
        <f>SUM(I192:I194)</f>
        <v>56427557.286240011</v>
      </c>
      <c r="J197" s="369"/>
      <c r="K197" s="375">
        <v>28.529045998184444</v>
      </c>
      <c r="L197" s="82"/>
      <c r="M197" s="383">
        <f>M192+M193</f>
        <v>8303.6303099999204</v>
      </c>
      <c r="N197" s="71"/>
      <c r="O197" s="373">
        <f>M197/E197</f>
        <v>1.4717724485756572E-4</v>
      </c>
      <c r="P197" s="374"/>
      <c r="Q197" s="373">
        <f>(M197-M193)/(E197-E193)</f>
        <v>3.1625285458495434E-4</v>
      </c>
    </row>
    <row r="198" spans="1:17">
      <c r="A198" s="76">
        <f>A197+1</f>
        <v>106</v>
      </c>
      <c r="B198" s="71"/>
      <c r="C198" s="71" t="s">
        <v>411</v>
      </c>
      <c r="D198" s="71"/>
      <c r="E198" s="86"/>
      <c r="F198" s="76"/>
      <c r="G198" s="82"/>
      <c r="H198" s="76"/>
      <c r="I198" s="86"/>
      <c r="J198" s="76"/>
      <c r="K198" s="82"/>
      <c r="L198" s="82"/>
      <c r="M198" s="87"/>
      <c r="N198" s="71"/>
      <c r="O198" s="332">
        <v>2.5878050549400181E-4</v>
      </c>
      <c r="P198" s="374"/>
      <c r="Q198" s="332">
        <v>4.3144936479024062E-3</v>
      </c>
    </row>
    <row r="199" spans="1:17">
      <c r="A199" s="76"/>
      <c r="B199" s="71"/>
      <c r="C199" s="71"/>
      <c r="D199" s="71"/>
      <c r="E199" s="71"/>
      <c r="F199" s="71"/>
      <c r="G199" s="71"/>
      <c r="H199" s="71"/>
      <c r="I199" s="71"/>
      <c r="J199" s="71"/>
      <c r="K199" s="71"/>
      <c r="L199" s="71"/>
      <c r="M199" s="87"/>
      <c r="N199" s="71"/>
      <c r="O199" s="374"/>
      <c r="P199" s="374"/>
      <c r="Q199" s="374"/>
    </row>
    <row r="200" spans="1:17">
      <c r="A200" s="76"/>
      <c r="B200" s="71"/>
      <c r="C200" s="81" t="s">
        <v>1517</v>
      </c>
      <c r="D200" s="71"/>
      <c r="E200" s="71" t="s">
        <v>1518</v>
      </c>
      <c r="F200" s="71"/>
      <c r="G200" s="71"/>
      <c r="H200" s="71"/>
      <c r="I200" s="71"/>
      <c r="J200" s="71"/>
      <c r="K200" s="71"/>
      <c r="L200" s="71"/>
      <c r="M200" s="87"/>
      <c r="N200" s="71"/>
      <c r="O200" s="374"/>
      <c r="P200" s="374"/>
      <c r="Q200" s="374"/>
    </row>
    <row r="201" spans="1:17">
      <c r="A201" s="76">
        <f>A198+1</f>
        <v>107</v>
      </c>
      <c r="B201" s="71"/>
      <c r="C201" s="71" t="s">
        <v>375</v>
      </c>
      <c r="D201" s="71"/>
      <c r="E201" s="86">
        <v>3198974.11308</v>
      </c>
      <c r="F201" s="369"/>
      <c r="G201" s="82">
        <v>0.86437967977432451</v>
      </c>
      <c r="H201" s="82"/>
      <c r="I201" s="86">
        <v>3212351.8898399998</v>
      </c>
      <c r="J201" s="369"/>
      <c r="K201" s="82">
        <v>0.86799442562194484</v>
      </c>
      <c r="L201" s="71"/>
      <c r="M201" s="87">
        <f>I201-E201</f>
        <v>13377.776759999804</v>
      </c>
      <c r="N201" s="82"/>
      <c r="O201" s="332">
        <f>M201/E201</f>
        <v>4.181895910098367E-3</v>
      </c>
      <c r="P201" s="334"/>
      <c r="Q201" s="332">
        <f>O201</f>
        <v>4.181895910098367E-3</v>
      </c>
    </row>
    <row r="202" spans="1:17">
      <c r="A202" s="76">
        <f>A201+1</f>
        <v>108</v>
      </c>
      <c r="B202" s="71"/>
      <c r="C202" s="71" t="s">
        <v>376</v>
      </c>
      <c r="D202" s="71"/>
      <c r="E202" s="86">
        <v>56438572.5</v>
      </c>
      <c r="F202" s="369"/>
      <c r="G202" s="82">
        <v>15.25</v>
      </c>
      <c r="H202" s="82"/>
      <c r="I202" s="86">
        <v>56438572.5</v>
      </c>
      <c r="J202" s="369"/>
      <c r="K202" s="82">
        <v>15.25</v>
      </c>
      <c r="L202" s="82"/>
      <c r="M202" s="87">
        <f>I202-E202</f>
        <v>0</v>
      </c>
      <c r="N202" s="82"/>
      <c r="O202" s="333">
        <f>IFERROR(M202/E202,"100.0%")</f>
        <v>0</v>
      </c>
      <c r="P202" s="334"/>
      <c r="Q202" s="333">
        <f>O202</f>
        <v>0</v>
      </c>
    </row>
    <row r="203" spans="1:17">
      <c r="A203" s="76">
        <f>A202+1</f>
        <v>109</v>
      </c>
      <c r="B203" s="71"/>
      <c r="C203" s="71" t="s">
        <v>378</v>
      </c>
      <c r="D203" s="71"/>
      <c r="E203" s="86">
        <v>45535010.382000007</v>
      </c>
      <c r="F203" s="369"/>
      <c r="G203" s="82">
        <v>12.303800000000003</v>
      </c>
      <c r="H203" s="71"/>
      <c r="I203" s="86">
        <v>45527608.60200002</v>
      </c>
      <c r="J203" s="76"/>
      <c r="K203" s="82">
        <v>12.301800000000005</v>
      </c>
      <c r="L203" s="384"/>
      <c r="M203" s="87">
        <f>I203-E203</f>
        <v>-7401.7799999862909</v>
      </c>
      <c r="N203" s="71"/>
      <c r="O203" s="332">
        <f>M203/E203</f>
        <v>-1.6255140688212547E-4</v>
      </c>
      <c r="P203" s="334"/>
      <c r="Q203" s="332">
        <f>O203</f>
        <v>-1.6255140688212547E-4</v>
      </c>
    </row>
    <row r="204" spans="1:17">
      <c r="A204" s="76">
        <f>A203+1</f>
        <v>110</v>
      </c>
      <c r="B204" s="71"/>
      <c r="C204" s="71" t="s">
        <v>379</v>
      </c>
      <c r="D204" s="71"/>
      <c r="E204" s="370">
        <f>SUM(E201:E203)</f>
        <v>105172556.99508001</v>
      </c>
      <c r="F204" s="76"/>
      <c r="G204" s="375">
        <v>28.418179679774326</v>
      </c>
      <c r="H204" s="76"/>
      <c r="I204" s="370">
        <f>SUM(I201:I203)</f>
        <v>105178532.99184002</v>
      </c>
      <c r="J204" s="369"/>
      <c r="K204" s="375">
        <v>28.419794425621951</v>
      </c>
      <c r="L204" s="82"/>
      <c r="M204" s="383">
        <f>SUM(M201:M203)</f>
        <v>5975.9967600135133</v>
      </c>
      <c r="N204" s="71"/>
      <c r="O204" s="373">
        <f>M204/E204</f>
        <v>5.6820875433247014E-5</v>
      </c>
      <c r="P204" s="374"/>
      <c r="Q204" s="373">
        <f>(M204-M202)/(E204-E202)</f>
        <v>1.2262483402351035E-4</v>
      </c>
    </row>
    <row r="205" spans="1:17">
      <c r="A205" s="76"/>
      <c r="B205" s="71"/>
      <c r="C205" s="71"/>
      <c r="D205" s="71"/>
      <c r="E205" s="86"/>
      <c r="F205" s="76"/>
      <c r="G205" s="82"/>
      <c r="H205" s="76"/>
      <c r="I205" s="86"/>
      <c r="J205" s="76"/>
      <c r="K205" s="82"/>
      <c r="L205" s="82"/>
      <c r="M205" s="87"/>
      <c r="N205" s="71"/>
      <c r="O205" s="374"/>
      <c r="P205" s="374"/>
      <c r="Q205" s="374"/>
    </row>
    <row r="206" spans="1:17">
      <c r="A206" s="76">
        <f>A204+1</f>
        <v>111</v>
      </c>
      <c r="B206" s="71"/>
      <c r="C206" s="71" t="s">
        <v>410</v>
      </c>
      <c r="D206" s="71"/>
      <c r="E206" s="370">
        <f>SUM(E201:E202)+I203</f>
        <v>105165155.21508002</v>
      </c>
      <c r="F206" s="76"/>
      <c r="G206" s="375">
        <v>28.416179679774327</v>
      </c>
      <c r="H206" s="76"/>
      <c r="I206" s="370">
        <f>SUM(I201:I203)</f>
        <v>105178532.99184002</v>
      </c>
      <c r="J206" s="369"/>
      <c r="K206" s="375">
        <v>28.419794425621951</v>
      </c>
      <c r="L206" s="82"/>
      <c r="M206" s="383">
        <f>M201+M202</f>
        <v>13377.776759999804</v>
      </c>
      <c r="N206" s="71"/>
      <c r="O206" s="373">
        <f>M206/E206</f>
        <v>1.2720731246618761E-4</v>
      </c>
      <c r="P206" s="374"/>
      <c r="Q206" s="373">
        <f>(M206-M202)/(E206-E202)</f>
        <v>2.7454781383344615E-4</v>
      </c>
    </row>
    <row r="207" spans="1:17">
      <c r="A207" s="76">
        <f>A206+1</f>
        <v>112</v>
      </c>
      <c r="B207" s="71"/>
      <c r="C207" s="71" t="s">
        <v>411</v>
      </c>
      <c r="D207" s="71"/>
      <c r="E207" s="86"/>
      <c r="F207" s="76"/>
      <c r="G207" s="82"/>
      <c r="H207" s="76"/>
      <c r="I207" s="86"/>
      <c r="J207" s="76"/>
      <c r="K207" s="82"/>
      <c r="L207" s="82"/>
      <c r="M207" s="87"/>
      <c r="N207" s="71"/>
      <c r="O207" s="332">
        <v>2.2431802647404828E-4</v>
      </c>
      <c r="P207" s="374"/>
      <c r="Q207" s="332">
        <v>4.1818959100984807E-3</v>
      </c>
    </row>
    <row r="208" spans="1:17">
      <c r="A208" s="76"/>
      <c r="B208" s="71"/>
      <c r="C208" s="71"/>
      <c r="D208" s="71"/>
      <c r="E208" s="71"/>
      <c r="F208" s="71"/>
      <c r="G208" s="71"/>
      <c r="H208" s="71"/>
      <c r="I208" s="71"/>
      <c r="J208" s="71"/>
      <c r="K208" s="71"/>
      <c r="L208" s="71"/>
      <c r="M208" s="87"/>
      <c r="N208" s="71"/>
      <c r="O208" s="374"/>
      <c r="P208" s="374"/>
      <c r="Q208" s="374"/>
    </row>
    <row r="209" spans="1:17">
      <c r="A209" s="76"/>
      <c r="B209" s="71"/>
      <c r="C209" s="81" t="s">
        <v>1519</v>
      </c>
      <c r="D209" s="71"/>
      <c r="E209" s="71" t="s">
        <v>1520</v>
      </c>
      <c r="F209" s="71"/>
      <c r="G209" s="71"/>
      <c r="H209" s="71"/>
      <c r="I209" s="71"/>
      <c r="J209" s="71"/>
      <c r="K209" s="71"/>
      <c r="L209" s="71"/>
      <c r="M209" s="87"/>
      <c r="N209" s="71"/>
      <c r="O209" s="374"/>
      <c r="P209" s="374"/>
      <c r="Q209" s="374"/>
    </row>
    <row r="210" spans="1:17">
      <c r="A210" s="76">
        <f>A207+1</f>
        <v>113</v>
      </c>
      <c r="B210" s="71"/>
      <c r="C210" s="71" t="s">
        <v>375</v>
      </c>
      <c r="D210" s="71"/>
      <c r="E210" s="86">
        <v>6477938.5919999992</v>
      </c>
      <c r="F210" s="369"/>
      <c r="G210" s="82">
        <v>2.3753771715216048</v>
      </c>
      <c r="H210" s="82"/>
      <c r="I210" s="86">
        <v>6639724.8731999993</v>
      </c>
      <c r="J210" s="369"/>
      <c r="K210" s="82">
        <v>2.4347021301592884</v>
      </c>
      <c r="L210" s="71"/>
      <c r="M210" s="87">
        <f>I210-E210</f>
        <v>161786.28120000008</v>
      </c>
      <c r="N210" s="82"/>
      <c r="O210" s="332"/>
      <c r="P210" s="334"/>
      <c r="Q210" s="332">
        <f>M210/E210</f>
        <v>2.4974963702156704E-2</v>
      </c>
    </row>
    <row r="211" spans="1:17">
      <c r="A211" s="76">
        <f>A210+1</f>
        <v>114</v>
      </c>
      <c r="B211" s="71"/>
      <c r="C211" s="71" t="s">
        <v>378</v>
      </c>
      <c r="D211" s="71"/>
      <c r="E211" s="86">
        <v>33553939.056000009</v>
      </c>
      <c r="F211" s="369"/>
      <c r="G211" s="82">
        <v>12.303800000000004</v>
      </c>
      <c r="H211" s="71"/>
      <c r="I211" s="86">
        <v>33548484.816000007</v>
      </c>
      <c r="J211" s="76"/>
      <c r="K211" s="82">
        <v>12.301800000000004</v>
      </c>
      <c r="L211" s="384"/>
      <c r="M211" s="87">
        <f>I211-E211</f>
        <v>-5454.2400000020862</v>
      </c>
      <c r="N211" s="71"/>
      <c r="O211" s="374"/>
      <c r="P211" s="334"/>
      <c r="Q211" s="332">
        <f>M211/E211</f>
        <v>-1.625514068824887E-4</v>
      </c>
    </row>
    <row r="212" spans="1:17">
      <c r="A212" s="76">
        <f>A211+1</f>
        <v>115</v>
      </c>
      <c r="B212" s="71"/>
      <c r="C212" s="71" t="s">
        <v>379</v>
      </c>
      <c r="D212" s="71"/>
      <c r="E212" s="370">
        <f>SUM(E210:E211)</f>
        <v>40031877.648000009</v>
      </c>
      <c r="F212" s="76"/>
      <c r="G212" s="375">
        <v>14.67917717152161</v>
      </c>
      <c r="H212" s="76"/>
      <c r="I212" s="370">
        <f>SUM(I210:I211)</f>
        <v>40188209.689200006</v>
      </c>
      <c r="J212" s="369"/>
      <c r="K212" s="375">
        <v>14.736502130159291</v>
      </c>
      <c r="L212" s="82"/>
      <c r="M212" s="383">
        <f>SUM(M210:M211)</f>
        <v>156332.041199998</v>
      </c>
      <c r="N212" s="71"/>
      <c r="O212" s="374"/>
      <c r="P212" s="374"/>
      <c r="Q212" s="373">
        <f>M212/E212</f>
        <v>3.9051888241322186E-3</v>
      </c>
    </row>
    <row r="213" spans="1:17">
      <c r="A213" s="76"/>
      <c r="B213" s="71"/>
      <c r="C213" s="71"/>
      <c r="D213" s="71"/>
      <c r="E213" s="86"/>
      <c r="F213" s="76"/>
      <c r="G213" s="82"/>
      <c r="H213" s="76"/>
      <c r="I213" s="86"/>
      <c r="J213" s="76"/>
      <c r="K213" s="82"/>
      <c r="L213" s="82"/>
      <c r="M213" s="87"/>
      <c r="N213" s="71"/>
      <c r="O213" s="374"/>
      <c r="P213" s="374"/>
      <c r="Q213" s="374"/>
    </row>
    <row r="214" spans="1:17">
      <c r="A214" s="76">
        <f>A212+1</f>
        <v>116</v>
      </c>
      <c r="B214" s="71"/>
      <c r="C214" s="71" t="s">
        <v>410</v>
      </c>
      <c r="D214" s="71"/>
      <c r="E214" s="370">
        <f>SUM(E210)+I211</f>
        <v>40026423.408000007</v>
      </c>
      <c r="F214" s="76"/>
      <c r="G214" s="375">
        <v>14.677177171521608</v>
      </c>
      <c r="H214" s="76"/>
      <c r="I214" s="370">
        <f>SUM(I210:I211)</f>
        <v>40188209.689200006</v>
      </c>
      <c r="J214" s="369"/>
      <c r="K214" s="375">
        <v>14.736502130159291</v>
      </c>
      <c r="L214" s="82"/>
      <c r="M214" s="383">
        <f>M210</f>
        <v>161786.28120000008</v>
      </c>
      <c r="N214" s="71"/>
      <c r="O214" s="374"/>
      <c r="P214" s="374"/>
      <c r="Q214" s="335">
        <f>M214/E214</f>
        <v>4.041986953240098E-3</v>
      </c>
    </row>
    <row r="215" spans="1:17">
      <c r="A215" s="76">
        <f>A214+1</f>
        <v>117</v>
      </c>
      <c r="B215" s="71"/>
      <c r="C215" s="71" t="s">
        <v>411</v>
      </c>
      <c r="D215" s="71"/>
      <c r="E215" s="86"/>
      <c r="F215" s="76"/>
      <c r="G215" s="82"/>
      <c r="H215" s="76"/>
      <c r="I215" s="86"/>
      <c r="J215" s="76"/>
      <c r="K215" s="82"/>
      <c r="L215" s="82"/>
      <c r="M215" s="83"/>
      <c r="N215" s="71"/>
      <c r="O215" s="374"/>
      <c r="P215" s="374"/>
      <c r="Q215" s="332">
        <v>2.4974963702156686E-2</v>
      </c>
    </row>
    <row r="216" spans="1:17">
      <c r="A216" s="76"/>
      <c r="B216" s="71"/>
      <c r="C216" s="71"/>
      <c r="D216" s="71"/>
      <c r="E216" s="71"/>
      <c r="F216" s="71"/>
      <c r="G216" s="71"/>
      <c r="H216" s="71"/>
      <c r="I216" s="71"/>
      <c r="J216" s="71"/>
      <c r="K216" s="71"/>
      <c r="L216" s="71"/>
      <c r="M216" s="87"/>
      <c r="N216" s="71"/>
      <c r="O216" s="71"/>
      <c r="P216" s="71"/>
      <c r="Q216" s="71"/>
    </row>
    <row r="217" spans="1:17">
      <c r="A217" s="81" t="s">
        <v>39</v>
      </c>
      <c r="C217" s="71"/>
      <c r="D217" s="71"/>
      <c r="E217" s="71"/>
      <c r="F217" s="71"/>
      <c r="G217" s="82"/>
      <c r="H217" s="71"/>
      <c r="I217" s="71"/>
      <c r="J217" s="71"/>
      <c r="K217" s="71"/>
      <c r="L217" s="71"/>
      <c r="M217" s="87"/>
      <c r="N217" s="71"/>
      <c r="O217" s="71"/>
      <c r="P217" s="71"/>
      <c r="Q217" s="71"/>
    </row>
    <row r="218" spans="1:17">
      <c r="A218" s="176" t="s">
        <v>40</v>
      </c>
      <c r="B218" s="88"/>
      <c r="C218" s="89" t="s">
        <v>1521</v>
      </c>
      <c r="D218" s="71"/>
      <c r="E218" s="86"/>
      <c r="F218" s="71"/>
      <c r="G218" s="82"/>
      <c r="H218" s="71"/>
      <c r="I218" s="86"/>
      <c r="J218" s="71"/>
      <c r="K218" s="82"/>
      <c r="L218" s="82"/>
      <c r="M218" s="83"/>
      <c r="N218" s="71"/>
      <c r="O218" s="85"/>
      <c r="P218" s="85"/>
      <c r="Q218" s="85"/>
    </row>
    <row r="219" spans="1:17">
      <c r="A219" s="176" t="s">
        <v>42</v>
      </c>
      <c r="B219" s="95"/>
      <c r="C219" s="1284" t="s">
        <v>449</v>
      </c>
      <c r="D219" s="1285"/>
      <c r="E219" s="1285"/>
      <c r="F219" s="1285"/>
      <c r="G219" s="1285"/>
      <c r="H219" s="1285"/>
      <c r="I219" s="1285"/>
      <c r="J219" s="1285"/>
      <c r="K219" s="1285"/>
      <c r="L219" s="1285"/>
      <c r="M219" s="1285"/>
      <c r="N219" s="1285"/>
      <c r="O219" s="1285"/>
      <c r="P219" s="1285"/>
      <c r="Q219" s="1285"/>
    </row>
  </sheetData>
  <mergeCells count="27">
    <mergeCell ref="A155:Q155"/>
    <mergeCell ref="E157:G157"/>
    <mergeCell ref="I157:K157"/>
    <mergeCell ref="E158:G158"/>
    <mergeCell ref="I158:M158"/>
    <mergeCell ref="O158:Q158"/>
    <mergeCell ref="I83:K83"/>
    <mergeCell ref="E84:G84"/>
    <mergeCell ref="I84:M84"/>
    <mergeCell ref="O84:Q84"/>
    <mergeCell ref="A154:Q154"/>
    <mergeCell ref="C219:Q219"/>
    <mergeCell ref="A4:Q4"/>
    <mergeCell ref="A5:Q5"/>
    <mergeCell ref="E7:G7"/>
    <mergeCell ref="I7:K7"/>
    <mergeCell ref="E8:G8"/>
    <mergeCell ref="I8:M8"/>
    <mergeCell ref="O8:Q8"/>
    <mergeCell ref="E14:G14"/>
    <mergeCell ref="E23:G23"/>
    <mergeCell ref="E32:G32"/>
    <mergeCell ref="E41:G41"/>
    <mergeCell ref="E50:G50"/>
    <mergeCell ref="A80:Q80"/>
    <mergeCell ref="A81:Q81"/>
    <mergeCell ref="E83:G83"/>
  </mergeCells>
  <pageMargins left="0.7" right="0.7" top="0.75" bottom="0.75" header="0.3" footer="0.3"/>
  <pageSetup scale="49" firstPageNumber="6" orientation="portrait" useFirstPageNumber="1" horizontalDpi="1200" verticalDpi="1200" r:id="rId1"/>
  <headerFooter>
    <oddHeader>&amp;R&amp;10Updated: 2024-03-15
EB-2022-0200
Rate Order
Working Papers
Schedule 24
Page &amp;P of 8</oddHeader>
  </headerFooter>
  <rowBreaks count="2" manualBreakCount="2">
    <brk id="76" max="16" man="1"/>
    <brk id="150"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470CA-F395-4220-8F78-2D4F04757181}">
  <sheetPr>
    <pageSetUpPr fitToPage="1"/>
  </sheetPr>
  <dimension ref="A5:Q60"/>
  <sheetViews>
    <sheetView view="pageLayout" zoomScaleNormal="100" zoomScaleSheetLayoutView="85" workbookViewId="0">
      <selection activeCell="M9" sqref="M9"/>
    </sheetView>
  </sheetViews>
  <sheetFormatPr defaultColWidth="8.625" defaultRowHeight="12.75"/>
  <cols>
    <col min="1" max="1" width="5.25" style="363" customWidth="1"/>
    <col min="2" max="2" width="2" style="363" customWidth="1"/>
    <col min="3" max="3" width="47.5" style="363" customWidth="1"/>
    <col min="4" max="4" width="2" style="363" customWidth="1"/>
    <col min="5" max="5" width="8.625" style="363"/>
    <col min="6" max="6" width="2" style="363" customWidth="1"/>
    <col min="7" max="7" width="12.125" style="363" customWidth="1"/>
    <col min="8" max="8" width="2" style="363" customWidth="1"/>
    <col min="9" max="9" width="12.125" style="363" customWidth="1"/>
    <col min="10" max="10" width="2" style="363" customWidth="1"/>
    <col min="11" max="11" width="13.125" style="363" bestFit="1" customWidth="1"/>
    <col min="12" max="13" width="8.625" style="363"/>
    <col min="14" max="14" width="13.25" style="363" bestFit="1" customWidth="1"/>
    <col min="15" max="15" width="9" style="363" bestFit="1" customWidth="1"/>
    <col min="16" max="16384" width="8.625" style="363"/>
  </cols>
  <sheetData>
    <row r="5" spans="1:17">
      <c r="A5" s="1294" t="s">
        <v>0</v>
      </c>
      <c r="B5" s="1295"/>
      <c r="C5" s="1295"/>
      <c r="D5" s="1295"/>
      <c r="E5" s="1295"/>
      <c r="F5" s="1295"/>
      <c r="G5" s="1295"/>
      <c r="H5" s="1295"/>
      <c r="I5" s="1295"/>
      <c r="J5" s="1295"/>
      <c r="K5" s="1295"/>
      <c r="L5" s="1296"/>
    </row>
    <row r="6" spans="1:17">
      <c r="B6" s="263"/>
    </row>
    <row r="7" spans="1:17">
      <c r="A7" s="264" t="s">
        <v>1</v>
      </c>
      <c r="B7" s="263"/>
      <c r="C7" s="263"/>
      <c r="D7" s="263"/>
      <c r="E7" s="263"/>
      <c r="F7" s="263"/>
      <c r="G7" s="263"/>
      <c r="H7" s="263"/>
      <c r="I7" s="263"/>
      <c r="J7" s="263"/>
      <c r="K7" s="263"/>
    </row>
    <row r="8" spans="1:17">
      <c r="A8" s="445" t="s">
        <v>2</v>
      </c>
      <c r="B8" s="263"/>
      <c r="C8" s="344" t="s">
        <v>3</v>
      </c>
      <c r="D8" s="263"/>
      <c r="E8" s="445" t="s">
        <v>4</v>
      </c>
      <c r="F8" s="263"/>
      <c r="G8" s="1009" t="s">
        <v>5</v>
      </c>
      <c r="I8" s="445" t="s">
        <v>6</v>
      </c>
      <c r="J8" s="263"/>
      <c r="K8" s="344" t="s">
        <v>7</v>
      </c>
    </row>
    <row r="9" spans="1:17">
      <c r="B9" s="263"/>
      <c r="C9" s="263"/>
      <c r="D9" s="263"/>
      <c r="E9" s="263"/>
      <c r="F9" s="263"/>
      <c r="G9" s="264" t="s">
        <v>8</v>
      </c>
      <c r="I9" s="264" t="s">
        <v>9</v>
      </c>
      <c r="J9" s="263"/>
      <c r="K9" s="281" t="s">
        <v>10</v>
      </c>
    </row>
    <row r="10" spans="1:17">
      <c r="B10" s="263"/>
      <c r="C10" s="345" t="s">
        <v>11</v>
      </c>
      <c r="D10" s="263"/>
      <c r="E10" s="263"/>
      <c r="F10" s="263"/>
      <c r="G10" s="263"/>
      <c r="H10" s="263"/>
      <c r="I10" s="263"/>
      <c r="J10" s="263"/>
      <c r="K10" s="263"/>
    </row>
    <row r="11" spans="1:17">
      <c r="A11" s="263"/>
      <c r="B11" s="263"/>
      <c r="C11" s="263" t="s">
        <v>12</v>
      </c>
      <c r="D11" s="263"/>
      <c r="E11" s="263"/>
      <c r="F11" s="263"/>
      <c r="G11" s="263"/>
      <c r="H11" s="263"/>
      <c r="I11" s="263"/>
      <c r="J11" s="263"/>
      <c r="K11" s="263"/>
      <c r="M11" s="1010"/>
      <c r="N11" s="1010"/>
      <c r="O11" s="1010"/>
      <c r="P11" s="1010"/>
      <c r="Q11" s="1010"/>
    </row>
    <row r="12" spans="1:17" ht="14.25">
      <c r="A12" s="264">
        <v>1</v>
      </c>
      <c r="B12" s="263"/>
      <c r="C12" s="1011" t="s">
        <v>13</v>
      </c>
      <c r="D12" s="263"/>
      <c r="E12" s="264" t="s">
        <v>14</v>
      </c>
      <c r="F12" s="263"/>
      <c r="G12" s="1012">
        <v>231.041</v>
      </c>
      <c r="H12" s="1013"/>
      <c r="I12" s="1012">
        <v>207.49299999999999</v>
      </c>
      <c r="J12" s="263"/>
      <c r="K12" s="1014">
        <f>I12-G12</f>
        <v>-23.548000000000002</v>
      </c>
      <c r="M12" s="613"/>
      <c r="N12" s="613"/>
      <c r="O12" s="1021"/>
      <c r="P12" s="613"/>
      <c r="Q12" s="1021"/>
    </row>
    <row r="13" spans="1:17" ht="14.25">
      <c r="A13" s="264">
        <f>A12+1</f>
        <v>2</v>
      </c>
      <c r="B13" s="263"/>
      <c r="C13" s="1011" t="s">
        <v>15</v>
      </c>
      <c r="D13" s="263"/>
      <c r="E13" s="264" t="s">
        <v>14</v>
      </c>
      <c r="F13" s="263"/>
      <c r="G13" s="1012">
        <v>154.37</v>
      </c>
      <c r="H13" s="1013"/>
      <c r="I13" s="1012">
        <f>ROUND('Schedule 28 p.4'!K35,3)</f>
        <v>128.19800000000001</v>
      </c>
      <c r="J13" s="263"/>
      <c r="K13" s="1015">
        <f>I13-G13</f>
        <v>-26.171999999999997</v>
      </c>
      <c r="N13" s="1022"/>
      <c r="P13" s="1021"/>
      <c r="Q13" s="1021"/>
    </row>
    <row r="14" spans="1:17" ht="14.25">
      <c r="A14" s="264">
        <f>A13+1</f>
        <v>3</v>
      </c>
      <c r="B14" s="263"/>
      <c r="C14" s="263" t="s">
        <v>16</v>
      </c>
      <c r="D14" s="263"/>
      <c r="E14" s="264" t="s">
        <v>14</v>
      </c>
      <c r="F14" s="263"/>
      <c r="G14" s="346">
        <f>G13-G12</f>
        <v>-76.670999999999992</v>
      </c>
      <c r="H14" s="263"/>
      <c r="I14" s="346">
        <f>I13-I12</f>
        <v>-79.294999999999987</v>
      </c>
      <c r="J14" s="263"/>
      <c r="K14" s="1016">
        <f>I14-G14</f>
        <v>-2.6239999999999952</v>
      </c>
      <c r="N14" s="1022"/>
    </row>
    <row r="15" spans="1:17">
      <c r="A15" s="263"/>
      <c r="B15" s="263"/>
      <c r="C15" s="264"/>
      <c r="D15" s="263"/>
      <c r="E15" s="264"/>
      <c r="F15" s="263"/>
      <c r="G15" s="263"/>
      <c r="H15" s="263"/>
      <c r="I15" s="263"/>
      <c r="J15" s="263"/>
      <c r="K15" s="263"/>
      <c r="N15" s="1022"/>
    </row>
    <row r="16" spans="1:17" ht="14.25">
      <c r="A16" s="264">
        <f>A14+1</f>
        <v>4</v>
      </c>
      <c r="B16" s="263"/>
      <c r="C16" s="263" t="s">
        <v>17</v>
      </c>
      <c r="D16" s="263"/>
      <c r="E16" s="264" t="s">
        <v>18</v>
      </c>
      <c r="F16" s="263"/>
      <c r="G16" s="269">
        <v>183693.82731527116</v>
      </c>
      <c r="H16" s="263"/>
      <c r="I16" s="269">
        <v>211617.32979096129</v>
      </c>
      <c r="J16" s="263"/>
      <c r="K16" s="269">
        <f>I16-G16</f>
        <v>27923.502475690126</v>
      </c>
      <c r="M16" s="1017"/>
      <c r="N16" s="1022"/>
      <c r="O16" s="1022"/>
      <c r="P16" s="1021"/>
    </row>
    <row r="17" spans="1:17">
      <c r="A17" s="264">
        <f>A16+1</f>
        <v>5</v>
      </c>
      <c r="B17" s="263"/>
      <c r="C17" s="263" t="s">
        <v>19</v>
      </c>
      <c r="D17" s="263"/>
      <c r="E17" s="264" t="s">
        <v>20</v>
      </c>
      <c r="F17" s="263"/>
      <c r="G17" s="1018">
        <f>G14*G16/1000</f>
        <v>-14083.989434089153</v>
      </c>
      <c r="H17" s="263"/>
      <c r="I17" s="1018">
        <f>I14*I16/1000</f>
        <v>-16780.196165774272</v>
      </c>
      <c r="J17" s="263"/>
      <c r="K17" s="1018">
        <f>I17-G17</f>
        <v>-2696.2067316851189</v>
      </c>
    </row>
    <row r="18" spans="1:17">
      <c r="A18" s="264"/>
      <c r="B18" s="263"/>
      <c r="C18" s="263"/>
      <c r="D18" s="263"/>
      <c r="E18" s="264"/>
      <c r="F18" s="263"/>
      <c r="G18" s="263"/>
      <c r="H18" s="263"/>
      <c r="I18" s="263"/>
      <c r="J18" s="263"/>
      <c r="K18" s="263"/>
    </row>
    <row r="19" spans="1:17">
      <c r="A19" s="263"/>
      <c r="B19" s="263"/>
      <c r="C19" s="263" t="s">
        <v>21</v>
      </c>
      <c r="D19" s="263"/>
      <c r="E19" s="264"/>
      <c r="F19" s="263"/>
      <c r="G19" s="263"/>
      <c r="H19" s="263"/>
      <c r="I19" s="263"/>
      <c r="J19" s="263"/>
      <c r="K19" s="263"/>
    </row>
    <row r="20" spans="1:17" ht="14.25">
      <c r="A20" s="264">
        <f>A17+1</f>
        <v>6</v>
      </c>
      <c r="B20" s="263"/>
      <c r="C20" s="263" t="s">
        <v>22</v>
      </c>
      <c r="D20" s="263"/>
      <c r="E20" s="264" t="s">
        <v>18</v>
      </c>
      <c r="F20" s="263"/>
      <c r="G20" s="269">
        <v>1854217.7499535654</v>
      </c>
      <c r="H20" s="263"/>
      <c r="I20" s="269">
        <v>2067598.4164612738</v>
      </c>
      <c r="J20" s="263"/>
      <c r="K20" s="269">
        <f>I20-G20</f>
        <v>213380.66650770837</v>
      </c>
    </row>
    <row r="21" spans="1:17">
      <c r="A21" s="264">
        <f>A20+1</f>
        <v>7</v>
      </c>
      <c r="B21" s="263"/>
      <c r="C21" s="263" t="s">
        <v>23</v>
      </c>
      <c r="D21" s="263"/>
      <c r="E21" s="264" t="s">
        <v>20</v>
      </c>
      <c r="F21" s="263"/>
      <c r="G21" s="347">
        <f>G20*G14/1000</f>
        <v>-142164.7291066898</v>
      </c>
      <c r="H21" s="263"/>
      <c r="I21" s="347">
        <f>I20*I14/1000</f>
        <v>-163950.21643329668</v>
      </c>
      <c r="J21" s="263"/>
      <c r="K21" s="347">
        <f t="shared" ref="K21:K25" si="0">I21-G21</f>
        <v>-21785.487326606875</v>
      </c>
    </row>
    <row r="22" spans="1:17">
      <c r="A22" s="264">
        <f>A21+1</f>
        <v>8</v>
      </c>
      <c r="B22" s="263"/>
      <c r="C22" s="263" t="s">
        <v>24</v>
      </c>
      <c r="D22" s="263"/>
      <c r="E22" s="264"/>
      <c r="F22" s="263"/>
      <c r="G22" s="271">
        <v>7.3800000000000004E-2</v>
      </c>
      <c r="H22" s="263"/>
      <c r="I22" s="271">
        <v>7.3439648337628755E-2</v>
      </c>
      <c r="J22" s="263"/>
      <c r="K22" s="1019">
        <f t="shared" si="0"/>
        <v>-3.6035166237124994E-4</v>
      </c>
    </row>
    <row r="23" spans="1:17">
      <c r="A23" s="264">
        <f>A22+1</f>
        <v>9</v>
      </c>
      <c r="B23" s="263"/>
      <c r="C23" s="263" t="s">
        <v>25</v>
      </c>
      <c r="D23" s="263"/>
      <c r="E23" s="264" t="s">
        <v>20</v>
      </c>
      <c r="F23" s="263"/>
      <c r="G23" s="348">
        <f>G22*G21</f>
        <v>-10491.757008073708</v>
      </c>
      <c r="H23" s="263"/>
      <c r="I23" s="348">
        <f>I22*I21</f>
        <v>-12040.446239739431</v>
      </c>
      <c r="J23" s="263"/>
      <c r="K23" s="1018">
        <f>I23-G23</f>
        <v>-1548.6892316657231</v>
      </c>
    </row>
    <row r="24" spans="1:17">
      <c r="A24" s="264"/>
      <c r="B24" s="263"/>
      <c r="C24" s="263"/>
      <c r="D24" s="263"/>
      <c r="E24" s="264"/>
      <c r="F24" s="263"/>
      <c r="G24" s="263"/>
      <c r="H24" s="263"/>
      <c r="I24" s="263"/>
      <c r="J24" s="263"/>
      <c r="K24" s="263"/>
    </row>
    <row r="25" spans="1:17" ht="13.5" thickBot="1">
      <c r="A25" s="264">
        <f>A23+1</f>
        <v>10</v>
      </c>
      <c r="B25" s="263"/>
      <c r="C25" s="263" t="s">
        <v>26</v>
      </c>
      <c r="D25" s="263"/>
      <c r="E25" s="264" t="s">
        <v>20</v>
      </c>
      <c r="F25" s="263"/>
      <c r="G25" s="349">
        <f>G17+G23</f>
        <v>-24575.746442162861</v>
      </c>
      <c r="H25" s="263"/>
      <c r="I25" s="349">
        <f>I17+I23</f>
        <v>-28820.642405513703</v>
      </c>
      <c r="J25" s="263"/>
      <c r="K25" s="349">
        <f t="shared" si="0"/>
        <v>-4244.8959633508421</v>
      </c>
    </row>
    <row r="26" spans="1:17" ht="13.5" thickTop="1"/>
    <row r="27" spans="1:17">
      <c r="C27" s="345" t="s">
        <v>27</v>
      </c>
      <c r="D27" s="263"/>
      <c r="E27" s="263"/>
      <c r="F27" s="263"/>
      <c r="G27" s="263"/>
      <c r="H27" s="263"/>
      <c r="I27" s="263"/>
      <c r="J27" s="263"/>
      <c r="K27" s="263"/>
    </row>
    <row r="28" spans="1:17">
      <c r="C28" s="263" t="s">
        <v>12</v>
      </c>
      <c r="D28" s="263"/>
      <c r="E28" s="263"/>
      <c r="F28" s="263"/>
      <c r="G28" s="263"/>
      <c r="H28" s="263"/>
      <c r="I28" s="263"/>
      <c r="J28" s="263"/>
      <c r="K28" s="263"/>
    </row>
    <row r="29" spans="1:17" ht="14.25">
      <c r="A29" s="1010">
        <v>11</v>
      </c>
      <c r="C29" s="1011" t="s">
        <v>28</v>
      </c>
      <c r="D29" s="263"/>
      <c r="E29" s="264" t="s">
        <v>14</v>
      </c>
      <c r="F29" s="263"/>
      <c r="G29" s="1020">
        <v>206.12299999999999</v>
      </c>
      <c r="H29" s="263"/>
      <c r="I29" s="1020">
        <v>207.49299999999999</v>
      </c>
      <c r="J29" s="263"/>
      <c r="K29" s="1014">
        <f>I29-G29</f>
        <v>1.3700000000000045</v>
      </c>
      <c r="M29" s="613"/>
      <c r="N29" s="613"/>
      <c r="O29" s="1021"/>
      <c r="P29" s="613"/>
      <c r="Q29" s="1021"/>
    </row>
    <row r="30" spans="1:17" ht="14.25">
      <c r="A30" s="1010">
        <v>12</v>
      </c>
      <c r="C30" s="1011" t="s">
        <v>29</v>
      </c>
      <c r="D30" s="263"/>
      <c r="E30" s="264" t="s">
        <v>14</v>
      </c>
      <c r="F30" s="263"/>
      <c r="G30" s="1020">
        <v>123.77720000000001</v>
      </c>
      <c r="H30" s="263"/>
      <c r="I30" s="1012">
        <f>'Schedule 28 p.4'!K35</f>
        <v>128.1981255853164</v>
      </c>
      <c r="J30" s="263"/>
      <c r="K30" s="1015">
        <f>I30-G30</f>
        <v>4.4209255853163967</v>
      </c>
      <c r="N30" s="613"/>
      <c r="Q30" s="1021"/>
    </row>
    <row r="31" spans="1:17" ht="14.25">
      <c r="A31" s="1010">
        <v>13</v>
      </c>
      <c r="C31" s="263" t="s">
        <v>30</v>
      </c>
      <c r="D31" s="263"/>
      <c r="E31" s="264" t="s">
        <v>14</v>
      </c>
      <c r="F31" s="263"/>
      <c r="G31" s="346">
        <f>G30-G29</f>
        <v>-82.345799999999983</v>
      </c>
      <c r="H31" s="263"/>
      <c r="I31" s="346">
        <f>I30-I29</f>
        <v>-79.294874414683591</v>
      </c>
      <c r="J31" s="263"/>
      <c r="K31" s="1016">
        <f>I31-G31</f>
        <v>3.0509255853163921</v>
      </c>
      <c r="N31" s="613"/>
    </row>
    <row r="32" spans="1:17">
      <c r="A32" s="1010"/>
      <c r="C32" s="264"/>
      <c r="D32" s="263"/>
      <c r="E32" s="264"/>
      <c r="F32" s="263"/>
      <c r="G32" s="263"/>
      <c r="H32" s="263"/>
      <c r="I32" s="263"/>
      <c r="J32" s="263"/>
      <c r="K32" s="263"/>
      <c r="N32" s="613"/>
    </row>
    <row r="33" spans="1:15" ht="14.25">
      <c r="A33" s="1010">
        <v>14</v>
      </c>
      <c r="C33" s="263" t="s">
        <v>31</v>
      </c>
      <c r="D33" s="263"/>
      <c r="E33" s="264" t="s">
        <v>18</v>
      </c>
      <c r="F33" s="263"/>
      <c r="G33" s="269">
        <v>72763.587571707452</v>
      </c>
      <c r="H33" s="263"/>
      <c r="I33" s="269">
        <v>76661.375652150411</v>
      </c>
      <c r="J33" s="263"/>
      <c r="K33" s="269">
        <f>I33-G33</f>
        <v>3897.7880804429587</v>
      </c>
      <c r="O33" s="1021"/>
    </row>
    <row r="34" spans="1:15">
      <c r="A34" s="1010">
        <v>15</v>
      </c>
      <c r="C34" s="263" t="s">
        <v>32</v>
      </c>
      <c r="D34" s="263"/>
      <c r="E34" s="264" t="s">
        <v>20</v>
      </c>
      <c r="F34" s="263"/>
      <c r="G34" s="1018">
        <f>G31*G33/1000</f>
        <v>-5991.7758294623063</v>
      </c>
      <c r="H34" s="263"/>
      <c r="I34" s="1018">
        <f>I31*I33/1000</f>
        <v>-6078.8541547941495</v>
      </c>
      <c r="J34" s="263"/>
      <c r="K34" s="1018">
        <f>I34-G34</f>
        <v>-87.078325331843189</v>
      </c>
    </row>
    <row r="35" spans="1:15">
      <c r="A35" s="1010"/>
      <c r="C35" s="263"/>
      <c r="D35" s="263"/>
      <c r="E35" s="264"/>
      <c r="F35" s="263"/>
      <c r="G35" s="263"/>
      <c r="H35" s="263"/>
      <c r="I35" s="263"/>
      <c r="J35" s="263"/>
      <c r="K35" s="263"/>
    </row>
    <row r="36" spans="1:15">
      <c r="A36" s="1010"/>
      <c r="C36" s="263" t="s">
        <v>21</v>
      </c>
      <c r="D36" s="263"/>
      <c r="E36" s="264"/>
      <c r="F36" s="263"/>
      <c r="G36" s="263"/>
      <c r="H36" s="263"/>
      <c r="I36" s="263"/>
      <c r="J36" s="263"/>
      <c r="K36" s="263"/>
    </row>
    <row r="37" spans="1:15" ht="14.25">
      <c r="A37" s="1010">
        <v>16</v>
      </c>
      <c r="C37" s="263" t="s">
        <v>33</v>
      </c>
      <c r="D37" s="263"/>
      <c r="E37" s="264" t="s">
        <v>18</v>
      </c>
      <c r="F37" s="263"/>
      <c r="G37" s="269">
        <v>875962.76931340666</v>
      </c>
      <c r="H37" s="263"/>
      <c r="I37" s="269">
        <v>976767.28353872523</v>
      </c>
      <c r="J37" s="263"/>
      <c r="K37" s="269">
        <f>I37-G37</f>
        <v>100804.51422531856</v>
      </c>
      <c r="O37" s="1021"/>
    </row>
    <row r="38" spans="1:15">
      <c r="A38" s="1010">
        <v>17</v>
      </c>
      <c r="C38" s="263" t="s">
        <v>34</v>
      </c>
      <c r="D38" s="263"/>
      <c r="E38" s="264" t="s">
        <v>20</v>
      </c>
      <c r="F38" s="263"/>
      <c r="G38" s="347">
        <f>G37*G31/1000</f>
        <v>-72131.855009327905</v>
      </c>
      <c r="H38" s="263"/>
      <c r="I38" s="347">
        <f>I37*I31/1000</f>
        <v>-77452.639080574852</v>
      </c>
      <c r="J38" s="263"/>
      <c r="K38" s="347">
        <f t="shared" ref="K38:K42" si="1">I38-G38</f>
        <v>-5320.7840712469479</v>
      </c>
    </row>
    <row r="39" spans="1:15">
      <c r="A39" s="1010">
        <v>18</v>
      </c>
      <c r="C39" s="263" t="s">
        <v>24</v>
      </c>
      <c r="D39" s="263"/>
      <c r="E39" s="264"/>
      <c r="F39" s="263"/>
      <c r="G39" s="362">
        <v>8.4785522310397349E-2</v>
      </c>
      <c r="H39" s="263"/>
      <c r="I39" s="362">
        <v>7.3439648337628755E-2</v>
      </c>
      <c r="J39" s="263"/>
      <c r="K39" s="1019">
        <f t="shared" si="1"/>
        <v>-1.1345873972768594E-2</v>
      </c>
    </row>
    <row r="40" spans="1:15">
      <c r="A40" s="1010">
        <v>19</v>
      </c>
      <c r="C40" s="263" t="s">
        <v>35</v>
      </c>
      <c r="D40" s="263"/>
      <c r="E40" s="264" t="s">
        <v>20</v>
      </c>
      <c r="F40" s="263"/>
      <c r="G40" s="348">
        <f>G39*G38</f>
        <v>-6115.7370021837178</v>
      </c>
      <c r="H40" s="263"/>
      <c r="I40" s="348">
        <f>I39*I38</f>
        <v>-5688.0945768986985</v>
      </c>
      <c r="J40" s="263"/>
      <c r="K40" s="1018">
        <f>I40-G40</f>
        <v>427.64242528501927</v>
      </c>
    </row>
    <row r="41" spans="1:15">
      <c r="A41" s="1010"/>
      <c r="C41" s="263"/>
      <c r="D41" s="263"/>
      <c r="E41" s="264"/>
      <c r="F41" s="263"/>
      <c r="G41" s="263"/>
      <c r="H41" s="263"/>
      <c r="I41" s="263"/>
      <c r="J41" s="263"/>
      <c r="K41" s="263"/>
    </row>
    <row r="42" spans="1:15" ht="13.5" thickBot="1">
      <c r="A42" s="1010">
        <v>20</v>
      </c>
      <c r="C42" s="263" t="s">
        <v>36</v>
      </c>
      <c r="D42" s="263"/>
      <c r="E42" s="264" t="s">
        <v>20</v>
      </c>
      <c r="F42" s="263"/>
      <c r="G42" s="349">
        <f>G34+G40</f>
        <v>-12107.512831646025</v>
      </c>
      <c r="H42" s="263"/>
      <c r="I42" s="349">
        <f>I34+I40</f>
        <v>-11766.948731692848</v>
      </c>
      <c r="J42" s="263"/>
      <c r="K42" s="349">
        <f t="shared" si="1"/>
        <v>340.56409995317699</v>
      </c>
    </row>
    <row r="43" spans="1:15" ht="13.5" thickTop="1">
      <c r="A43" s="1010"/>
    </row>
    <row r="44" spans="1:15" ht="13.5" thickBot="1">
      <c r="A44" s="1010">
        <v>21</v>
      </c>
      <c r="C44" s="263" t="s">
        <v>37</v>
      </c>
      <c r="E44" s="264" t="s">
        <v>20</v>
      </c>
      <c r="G44" s="365">
        <f>G42+G25</f>
        <v>-36683.259273808886</v>
      </c>
      <c r="I44" s="365">
        <f>I42+I25</f>
        <v>-40587.591137206553</v>
      </c>
      <c r="K44" s="365">
        <f>I44-G44</f>
        <v>-3904.3318633976669</v>
      </c>
    </row>
    <row r="45" spans="1:15" ht="13.5" thickTop="1"/>
    <row r="46" spans="1:15">
      <c r="G46" s="363" t="s">
        <v>38</v>
      </c>
    </row>
    <row r="47" spans="1:15">
      <c r="A47" s="213" t="s">
        <v>39</v>
      </c>
    </row>
    <row r="48" spans="1:15">
      <c r="A48" s="508" t="s">
        <v>40</v>
      </c>
      <c r="C48" s="1297" t="s">
        <v>41</v>
      </c>
      <c r="D48" s="1297"/>
      <c r="E48" s="1297"/>
      <c r="F48" s="1297"/>
      <c r="G48" s="1297"/>
      <c r="H48" s="1297"/>
      <c r="I48" s="1297"/>
      <c r="J48" s="1297"/>
      <c r="K48" s="1297"/>
    </row>
    <row r="49" spans="1:11">
      <c r="A49" s="508"/>
      <c r="C49" s="1297"/>
      <c r="D49" s="1297"/>
      <c r="E49" s="1297"/>
      <c r="F49" s="1297"/>
      <c r="G49" s="1297"/>
      <c r="H49" s="1297"/>
      <c r="I49" s="1297"/>
      <c r="J49" s="1297"/>
      <c r="K49" s="1297"/>
    </row>
    <row r="50" spans="1:11">
      <c r="A50" s="508" t="s">
        <v>42</v>
      </c>
      <c r="C50" s="1297" t="s">
        <v>43</v>
      </c>
      <c r="D50" s="1297"/>
      <c r="E50" s="1297"/>
      <c r="F50" s="1297"/>
      <c r="G50" s="1297"/>
      <c r="H50" s="1297"/>
      <c r="I50" s="1297"/>
      <c r="J50" s="1297"/>
      <c r="K50" s="1297"/>
    </row>
    <row r="51" spans="1:11">
      <c r="A51" s="508"/>
      <c r="C51" s="1297"/>
      <c r="D51" s="1297"/>
      <c r="E51" s="1297"/>
      <c r="F51" s="1297"/>
      <c r="G51" s="1297"/>
      <c r="H51" s="1297"/>
      <c r="I51" s="1297"/>
      <c r="J51" s="1297"/>
      <c r="K51" s="1297"/>
    </row>
    <row r="52" spans="1:11">
      <c r="A52" s="218" t="s">
        <v>44</v>
      </c>
      <c r="C52" s="363" t="s">
        <v>45</v>
      </c>
    </row>
    <row r="53" spans="1:11">
      <c r="A53" s="218" t="s">
        <v>46</v>
      </c>
      <c r="C53" s="363" t="s">
        <v>47</v>
      </c>
    </row>
    <row r="54" spans="1:11">
      <c r="A54" s="218" t="s">
        <v>48</v>
      </c>
      <c r="C54" s="363" t="s">
        <v>49</v>
      </c>
    </row>
    <row r="55" spans="1:11">
      <c r="A55" s="218" t="s">
        <v>50</v>
      </c>
      <c r="C55" s="1297" t="s">
        <v>51</v>
      </c>
      <c r="D55" s="1297"/>
      <c r="E55" s="1297"/>
      <c r="F55" s="1297"/>
      <c r="G55" s="1297"/>
      <c r="H55" s="1297"/>
      <c r="I55" s="1297"/>
      <c r="J55" s="1297"/>
      <c r="K55" s="1297"/>
    </row>
    <row r="56" spans="1:11">
      <c r="A56" s="218"/>
      <c r="C56" s="1297"/>
      <c r="D56" s="1297"/>
      <c r="E56" s="1297"/>
      <c r="F56" s="1297"/>
      <c r="G56" s="1297"/>
      <c r="H56" s="1297"/>
      <c r="I56" s="1297"/>
      <c r="J56" s="1297"/>
      <c r="K56" s="1297"/>
    </row>
    <row r="57" spans="1:11">
      <c r="A57" s="218" t="s">
        <v>52</v>
      </c>
      <c r="C57" s="1297" t="s">
        <v>53</v>
      </c>
      <c r="D57" s="1297"/>
      <c r="E57" s="1297"/>
      <c r="F57" s="1297"/>
      <c r="G57" s="1297"/>
      <c r="H57" s="1297"/>
      <c r="I57" s="1297"/>
      <c r="J57" s="1297"/>
      <c r="K57" s="1297"/>
    </row>
    <row r="58" spans="1:11">
      <c r="A58" s="218"/>
      <c r="C58" s="1297"/>
      <c r="D58" s="1297"/>
      <c r="E58" s="1297"/>
      <c r="F58" s="1297"/>
      <c r="G58" s="1297"/>
      <c r="H58" s="1297"/>
      <c r="I58" s="1297"/>
      <c r="J58" s="1297"/>
      <c r="K58" s="1297"/>
    </row>
    <row r="59" spans="1:11">
      <c r="A59" s="218" t="s">
        <v>54</v>
      </c>
      <c r="C59" s="363" t="s">
        <v>55</v>
      </c>
    </row>
    <row r="60" spans="1:11">
      <c r="A60" s="218" t="s">
        <v>56</v>
      </c>
      <c r="C60" s="363" t="s">
        <v>57</v>
      </c>
    </row>
  </sheetData>
  <mergeCells count="5">
    <mergeCell ref="A5:L5"/>
    <mergeCell ref="C48:K49"/>
    <mergeCell ref="C50:K51"/>
    <mergeCell ref="C55:K56"/>
    <mergeCell ref="C57:K58"/>
  </mergeCells>
  <pageMargins left="0.7" right="0.7" top="0.75" bottom="0.75" header="0.3" footer="0.3"/>
  <pageSetup scale="71" orientation="portrait" useFirstPageNumber="1" r:id="rId1"/>
  <headerFooter>
    <oddHeader>&amp;R&amp;10Updated: 2024-03-15
EB-2022-0200
Rate Order
Working Papers
Schedule 28
Page &amp;P of 4</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D16AC-1B4B-4858-A1E3-3A6503A4D015}">
  <dimension ref="A1:Q110"/>
  <sheetViews>
    <sheetView view="pageBreakPreview" zoomScaleNormal="100" zoomScaleSheetLayoutView="100" workbookViewId="0">
      <selection activeCell="I32" sqref="I32"/>
    </sheetView>
  </sheetViews>
  <sheetFormatPr defaultColWidth="8.625" defaultRowHeight="15" customHeight="1"/>
  <cols>
    <col min="1" max="1" width="5" style="70" customWidth="1"/>
    <col min="2" max="2" width="1.5" style="70" customWidth="1"/>
    <col min="3" max="3" width="55.625" style="70" customWidth="1"/>
    <col min="4" max="4" width="1.5" style="70" customWidth="1"/>
    <col min="5" max="5" width="10.625" style="71" bestFit="1" customWidth="1"/>
    <col min="6" max="6" width="1.5" style="71" customWidth="1"/>
    <col min="7" max="7" width="9.625" style="71" customWidth="1"/>
    <col min="8" max="8" width="1.5" style="71" customWidth="1"/>
    <col min="9" max="9" width="9.625" style="71" customWidth="1"/>
    <col min="10" max="10" width="8.625" style="70"/>
    <col min="11" max="11" width="11.5" style="70" bestFit="1" customWidth="1"/>
    <col min="12" max="13" width="8.625" style="70"/>
    <col min="14" max="14" width="16.125" style="70" customWidth="1"/>
    <col min="15" max="16" width="11.125" style="70" customWidth="1"/>
    <col min="17" max="16384" width="8.625" style="70"/>
  </cols>
  <sheetData>
    <row r="1" spans="1:11" ht="15" customHeight="1">
      <c r="I1" s="98"/>
    </row>
    <row r="2" spans="1:11" ht="15" customHeight="1">
      <c r="I2" s="98"/>
    </row>
    <row r="3" spans="1:11" ht="15" customHeight="1">
      <c r="I3" s="98"/>
    </row>
    <row r="4" spans="1:11" ht="15" customHeight="1">
      <c r="I4" s="98"/>
    </row>
    <row r="5" spans="1:11" ht="15" customHeight="1">
      <c r="J5" s="133"/>
    </row>
    <row r="6" spans="1:11" ht="15" customHeight="1">
      <c r="A6" s="172" t="s">
        <v>1522</v>
      </c>
      <c r="B6" s="173"/>
      <c r="C6" s="173"/>
      <c r="D6" s="173"/>
      <c r="E6" s="74"/>
      <c r="F6" s="74"/>
      <c r="G6" s="74"/>
      <c r="H6" s="74"/>
      <c r="I6" s="74"/>
      <c r="J6" s="253"/>
    </row>
    <row r="7" spans="1:11" ht="15" customHeight="1">
      <c r="A7" s="172" t="s">
        <v>1523</v>
      </c>
      <c r="B7" s="173"/>
      <c r="C7" s="173"/>
      <c r="D7" s="173"/>
      <c r="E7" s="74"/>
      <c r="F7" s="74"/>
      <c r="G7" s="74"/>
      <c r="H7" s="74"/>
      <c r="I7" s="74"/>
      <c r="J7" s="253"/>
    </row>
    <row r="8" spans="1:11" ht="15" customHeight="1">
      <c r="I8" s="75"/>
    </row>
    <row r="9" spans="1:11" ht="15" customHeight="1">
      <c r="A9" s="254" t="s">
        <v>1</v>
      </c>
      <c r="B9" s="254"/>
      <c r="C9" s="254"/>
      <c r="E9" s="76"/>
      <c r="I9" s="4" t="s">
        <v>503</v>
      </c>
    </row>
    <row r="10" spans="1:11" ht="15" customHeight="1">
      <c r="A10" s="255" t="s">
        <v>2</v>
      </c>
      <c r="B10" s="256"/>
      <c r="C10" s="257" t="s">
        <v>3</v>
      </c>
      <c r="D10" s="246"/>
      <c r="E10" s="255" t="s">
        <v>667</v>
      </c>
      <c r="F10" s="76"/>
      <c r="G10" s="255" t="s">
        <v>1524</v>
      </c>
      <c r="H10" s="76"/>
      <c r="I10" s="255" t="s">
        <v>20</v>
      </c>
    </row>
    <row r="11" spans="1:11" ht="15" customHeight="1">
      <c r="E11" s="176" t="s">
        <v>8</v>
      </c>
      <c r="F11" s="76"/>
      <c r="G11" s="176" t="s">
        <v>9</v>
      </c>
      <c r="H11" s="76"/>
      <c r="I11" s="176" t="s">
        <v>370</v>
      </c>
    </row>
    <row r="13" spans="1:11" ht="15" customHeight="1">
      <c r="A13" s="246"/>
      <c r="C13" s="177" t="s">
        <v>1525</v>
      </c>
    </row>
    <row r="14" spans="1:11" ht="15" customHeight="1">
      <c r="A14" s="246" cm="1">
        <f t="array" ref="A14">MAX($A$13:A13+1)</f>
        <v>1</v>
      </c>
      <c r="C14" s="179" t="s">
        <v>1526</v>
      </c>
      <c r="E14" s="77">
        <v>738612</v>
      </c>
      <c r="G14" s="247">
        <v>3.9E-2</v>
      </c>
      <c r="I14" s="336">
        <f>E14*G14/1000</f>
        <v>28.805868</v>
      </c>
      <c r="K14" s="234"/>
    </row>
    <row r="15" spans="1:11" ht="15" customHeight="1">
      <c r="A15" s="246" cm="1">
        <f t="array" ref="A15">MAX($A$13:A14+1)</f>
        <v>2</v>
      </c>
      <c r="C15" s="179" t="s">
        <v>154</v>
      </c>
      <c r="E15" s="77">
        <v>738612</v>
      </c>
      <c r="G15" s="247">
        <v>1.1114953900582371E-2</v>
      </c>
      <c r="I15" s="336">
        <f>E15*G15/1000</f>
        <v>8.2096383304169471</v>
      </c>
      <c r="K15" s="234"/>
    </row>
    <row r="16" spans="1:11" ht="15" customHeight="1">
      <c r="A16" s="246" cm="1">
        <f t="array" ref="A16">MAX($A$13:A15+1)</f>
        <v>3</v>
      </c>
      <c r="C16" s="179" t="s">
        <v>155</v>
      </c>
      <c r="E16" s="77">
        <v>738612</v>
      </c>
      <c r="G16" s="247">
        <v>5.2788253676494023E-3</v>
      </c>
      <c r="I16" s="336">
        <f>E16*G16/1000</f>
        <v>3.8990037624502603</v>
      </c>
      <c r="K16" s="234"/>
    </row>
    <row r="17" spans="1:17" ht="15" customHeight="1" thickBot="1">
      <c r="A17" s="246" cm="1">
        <f t="array" ref="A17">MAX($A$13:A16+1)</f>
        <v>4</v>
      </c>
      <c r="C17" s="248" t="s">
        <v>1527</v>
      </c>
      <c r="I17" s="428">
        <f>SUM(I14:I16)</f>
        <v>40.914510092867211</v>
      </c>
      <c r="K17" s="234"/>
    </row>
    <row r="18" spans="1:17" ht="15" customHeight="1" thickTop="1">
      <c r="I18" s="337"/>
      <c r="K18" s="234"/>
    </row>
    <row r="19" spans="1:17" ht="15" customHeight="1">
      <c r="C19" s="177" t="s">
        <v>1528</v>
      </c>
      <c r="I19" s="337"/>
      <c r="K19" s="234"/>
    </row>
    <row r="20" spans="1:17" ht="15" customHeight="1">
      <c r="A20" s="246" cm="1">
        <f t="array" ref="A20">MAX($A$13:A19+1)</f>
        <v>5</v>
      </c>
      <c r="C20" s="179" t="s">
        <v>1526</v>
      </c>
      <c r="E20" s="77">
        <v>418156</v>
      </c>
      <c r="G20" s="247">
        <v>3.9E-2</v>
      </c>
      <c r="I20" s="338">
        <f>E20*G20/1000</f>
        <v>16.308084000000001</v>
      </c>
      <c r="K20" s="234"/>
    </row>
    <row r="21" spans="1:17" ht="15" customHeight="1">
      <c r="A21" s="246" cm="1">
        <f t="array" ref="A21">MAX($A$13:A20+1)</f>
        <v>6</v>
      </c>
      <c r="C21" s="179" t="s">
        <v>154</v>
      </c>
      <c r="E21" s="77">
        <v>418156</v>
      </c>
      <c r="G21" s="247">
        <v>1.1114953900582371E-2</v>
      </c>
      <c r="I21" s="338">
        <f>E21*G21/1000</f>
        <v>4.6477846632519224</v>
      </c>
      <c r="K21" s="234"/>
    </row>
    <row r="22" spans="1:17" ht="15" customHeight="1">
      <c r="A22" s="246" cm="1">
        <f t="array" ref="A22">MAX($A$13:A21+1)</f>
        <v>7</v>
      </c>
      <c r="C22" s="179" t="s">
        <v>155</v>
      </c>
      <c r="E22" s="77">
        <v>418156</v>
      </c>
      <c r="G22" s="247">
        <v>2.7814130862144702E-2</v>
      </c>
      <c r="I22" s="339">
        <f>E22*G22/1000</f>
        <v>11.630645704790981</v>
      </c>
      <c r="K22" s="234"/>
    </row>
    <row r="23" spans="1:17" ht="15" customHeight="1" thickBot="1">
      <c r="A23" s="246" cm="1">
        <f t="array" ref="A23">MAX($A$13:A22+1)</f>
        <v>8</v>
      </c>
      <c r="C23" s="249" t="s">
        <v>1529</v>
      </c>
      <c r="I23" s="340">
        <f>SUM(I20:I22)</f>
        <v>32.586514368042906</v>
      </c>
      <c r="K23" s="234"/>
    </row>
    <row r="24" spans="1:17" ht="15" customHeight="1" thickTop="1">
      <c r="I24" s="337"/>
      <c r="K24" s="234"/>
    </row>
    <row r="25" spans="1:17" ht="15" customHeight="1">
      <c r="C25" s="177" t="s">
        <v>1530</v>
      </c>
      <c r="I25" s="337"/>
      <c r="K25" s="234"/>
    </row>
    <row r="26" spans="1:17" ht="15" customHeight="1">
      <c r="A26" s="246" cm="1">
        <f t="array" ref="A26">MAX($A$13:A25+1)</f>
        <v>9</v>
      </c>
      <c r="C26" s="179" t="s">
        <v>1531</v>
      </c>
      <c r="E26" s="77">
        <v>162000</v>
      </c>
      <c r="G26" s="250">
        <v>0.23258828574323517</v>
      </c>
      <c r="I26" s="338">
        <f>E26*G26*12/1000</f>
        <v>452.1516274848492</v>
      </c>
      <c r="K26" s="234"/>
      <c r="N26" s="501"/>
      <c r="O26" s="250"/>
      <c r="P26" s="502"/>
      <c r="Q26" s="503"/>
    </row>
    <row r="27" spans="1:17" ht="15" customHeight="1">
      <c r="A27" s="246" cm="1">
        <f t="array" ref="A27">MAX($A$13:A26+1)</f>
        <v>10</v>
      </c>
      <c r="C27" s="179" t="s">
        <v>1532</v>
      </c>
      <c r="E27" s="77">
        <v>2835</v>
      </c>
      <c r="G27" s="250">
        <v>25.602059258023285</v>
      </c>
      <c r="I27" s="338">
        <f>E27*G27*12/1000</f>
        <v>870.9820559579523</v>
      </c>
      <c r="K27" s="234"/>
      <c r="N27" s="501"/>
      <c r="O27" s="250"/>
      <c r="P27" s="502"/>
      <c r="Q27" s="503"/>
    </row>
    <row r="28" spans="1:17" ht="15" customHeight="1">
      <c r="A28" s="246" cm="1">
        <f t="array" ref="A28">MAX($A$13:A27+1)</f>
        <v>11</v>
      </c>
      <c r="C28" s="179" t="s">
        <v>1533</v>
      </c>
      <c r="E28" s="77">
        <v>324000</v>
      </c>
      <c r="G28" s="250">
        <v>1.0928079721583104</v>
      </c>
      <c r="I28" s="338">
        <f>E28*G28/1000</f>
        <v>354.06978297929254</v>
      </c>
      <c r="K28" s="234"/>
      <c r="N28" s="501"/>
      <c r="O28" s="250"/>
      <c r="P28" s="502"/>
      <c r="Q28" s="503"/>
    </row>
    <row r="29" spans="1:17" ht="15" customHeight="1">
      <c r="A29" s="246" cm="1">
        <f t="array" ref="A29">MAX($A$13:A28+1)</f>
        <v>12</v>
      </c>
      <c r="C29" s="179" t="s">
        <v>1534</v>
      </c>
      <c r="E29" s="77">
        <v>12</v>
      </c>
      <c r="G29" s="409">
        <v>29116.67</v>
      </c>
      <c r="I29" s="339">
        <f>E29*G29/1000</f>
        <v>349.40003999999999</v>
      </c>
      <c r="K29" s="234"/>
    </row>
    <row r="30" spans="1:17" ht="15" customHeight="1">
      <c r="A30" s="246" cm="1">
        <f t="array" ref="A30">MAX($A$13:A29+1)</f>
        <v>13</v>
      </c>
      <c r="C30" s="179" t="s">
        <v>188</v>
      </c>
      <c r="E30" s="77"/>
      <c r="I30" s="338">
        <f>SUM(I26:I29)</f>
        <v>2026.6035064220941</v>
      </c>
      <c r="K30" s="234"/>
    </row>
    <row r="31" spans="1:17" ht="15" customHeight="1">
      <c r="A31" s="246" cm="1">
        <f t="array" ref="A31">MAX($A$13:A30+1)</f>
        <v>14</v>
      </c>
      <c r="C31" s="179" t="s">
        <v>1535</v>
      </c>
      <c r="E31" s="77"/>
      <c r="I31" s="78">
        <v>0.3</v>
      </c>
      <c r="K31" s="234"/>
    </row>
    <row r="32" spans="1:17" ht="15" customHeight="1" thickBot="1">
      <c r="A32" s="246" cm="1">
        <f t="array" ref="A32">MAX($A$13:A31+1)</f>
        <v>15</v>
      </c>
      <c r="C32" s="249" t="s">
        <v>1536</v>
      </c>
      <c r="I32" s="340">
        <f>I30*I31</f>
        <v>607.9810519266282</v>
      </c>
      <c r="K32" s="234"/>
    </row>
    <row r="33" spans="1:17" ht="15" customHeight="1" thickTop="1">
      <c r="K33" s="234"/>
    </row>
    <row r="34" spans="1:17" ht="15" customHeight="1">
      <c r="C34" s="177" t="s">
        <v>1537</v>
      </c>
      <c r="K34" s="234"/>
    </row>
    <row r="35" spans="1:17" ht="15" customHeight="1">
      <c r="A35" s="246" cm="1">
        <f t="array" ref="A35">MAX($A$13:A34+1)</f>
        <v>16</v>
      </c>
      <c r="C35" s="179" t="s">
        <v>1531</v>
      </c>
      <c r="E35" s="77">
        <v>28300</v>
      </c>
      <c r="G35" s="250">
        <v>0.4523022885153215</v>
      </c>
      <c r="I35" s="338">
        <f>E35*G35*12/1000</f>
        <v>153.6018571798032</v>
      </c>
      <c r="K35" s="234"/>
      <c r="N35" s="179"/>
      <c r="O35" s="250"/>
      <c r="P35" s="502"/>
      <c r="Q35" s="503"/>
    </row>
    <row r="36" spans="1:17" ht="15" customHeight="1">
      <c r="A36" s="246" cm="1">
        <f t="array" ref="A36">MAX($A$13:A35+1)</f>
        <v>17</v>
      </c>
      <c r="C36" s="179" t="s">
        <v>1532</v>
      </c>
      <c r="E36" s="77">
        <v>283</v>
      </c>
      <c r="G36" s="250">
        <v>50.026266165164898</v>
      </c>
      <c r="I36" s="338">
        <f>E36*G36*12/1000</f>
        <v>169.88919989690001</v>
      </c>
      <c r="K36" s="234"/>
      <c r="N36" s="179"/>
      <c r="O36" s="250"/>
      <c r="P36" s="502"/>
      <c r="Q36" s="503"/>
    </row>
    <row r="37" spans="1:17" ht="15" customHeight="1">
      <c r="A37" s="246" cm="1">
        <f t="array" ref="A37">MAX($A$13:A36+1)</f>
        <v>18</v>
      </c>
      <c r="C37" s="179" t="s">
        <v>1533</v>
      </c>
      <c r="E37" s="77">
        <v>56600</v>
      </c>
      <c r="G37" s="250">
        <v>1.3110344514626002</v>
      </c>
      <c r="I37" s="339">
        <f>E37*G37/1000</f>
        <v>74.204549952783168</v>
      </c>
      <c r="K37" s="234"/>
      <c r="N37" s="179"/>
      <c r="O37" s="250"/>
      <c r="P37" s="502"/>
      <c r="Q37" s="503"/>
    </row>
    <row r="38" spans="1:17" ht="15" customHeight="1">
      <c r="A38" s="246" cm="1">
        <f t="array" ref="A38">MAX($A$13:A37+1)</f>
        <v>19</v>
      </c>
      <c r="C38" s="179" t="s">
        <v>188</v>
      </c>
      <c r="I38" s="338">
        <f>SUM(I35:I37)</f>
        <v>397.69560702948638</v>
      </c>
      <c r="K38" s="234"/>
    </row>
    <row r="39" spans="1:17" ht="15" customHeight="1">
      <c r="A39" s="246" cm="1">
        <f t="array" ref="A39">MAX($A$13:A38+1)</f>
        <v>20</v>
      </c>
      <c r="C39" s="179" t="s">
        <v>1535</v>
      </c>
      <c r="I39" s="78">
        <v>0.42364471137236287</v>
      </c>
      <c r="K39" s="234"/>
    </row>
    <row r="40" spans="1:17" ht="15" customHeight="1" thickBot="1">
      <c r="A40" s="246" cm="1">
        <f t="array" ref="A40">MAX($A$13:A39+1)</f>
        <v>21</v>
      </c>
      <c r="C40" s="249" t="s">
        <v>1538</v>
      </c>
      <c r="I40" s="340">
        <f>I38*I39</f>
        <v>168.4816406540634</v>
      </c>
      <c r="K40" s="234"/>
    </row>
    <row r="41" spans="1:17" ht="15" customHeight="1" thickTop="1">
      <c r="C41" s="175"/>
      <c r="I41" s="337"/>
      <c r="K41" s="234"/>
    </row>
    <row r="42" spans="1:17" ht="15" customHeight="1">
      <c r="C42" s="177" t="s">
        <v>1539</v>
      </c>
      <c r="I42" s="337"/>
      <c r="K42" s="234"/>
    </row>
    <row r="43" spans="1:17" ht="15" customHeight="1">
      <c r="A43" s="246" cm="1">
        <f t="array" ref="A43">MAX($A$13:A42+1)</f>
        <v>22</v>
      </c>
      <c r="C43" s="179" t="s">
        <v>1540</v>
      </c>
      <c r="I43" s="336">
        <v>48.079757689903722</v>
      </c>
      <c r="K43" s="234"/>
    </row>
    <row r="44" spans="1:17" ht="15" customHeight="1">
      <c r="A44" s="246" cm="1">
        <f t="array" ref="A44">MAX($A$13:A43+1)</f>
        <v>23</v>
      </c>
      <c r="C44" s="179" t="s">
        <v>1445</v>
      </c>
      <c r="I44" s="336">
        <v>82.978207695495016</v>
      </c>
      <c r="K44" s="234"/>
    </row>
    <row r="45" spans="1:17" ht="15" customHeight="1">
      <c r="A45" s="246" cm="1">
        <f t="array" ref="A45">MAX($A$13:A44+1)</f>
        <v>24</v>
      </c>
      <c r="C45" s="179" t="s">
        <v>1541</v>
      </c>
      <c r="I45" s="336">
        <v>228.91603032106798</v>
      </c>
      <c r="K45" s="234"/>
    </row>
    <row r="46" spans="1:17" ht="15" customHeight="1" thickBot="1">
      <c r="A46" s="246" cm="1">
        <f t="array" ref="A46">MAX($A$13:A45+1)</f>
        <v>25</v>
      </c>
      <c r="C46" s="249" t="s">
        <v>1542</v>
      </c>
      <c r="I46" s="340">
        <f>SUM(I43:I45)</f>
        <v>359.97399570646672</v>
      </c>
      <c r="K46" s="234"/>
    </row>
    <row r="47" spans="1:17" ht="15" customHeight="1" thickTop="1">
      <c r="I47" s="338"/>
      <c r="K47" s="234"/>
    </row>
    <row r="48" spans="1:17" ht="15" customHeight="1" thickBot="1">
      <c r="A48" s="246" cm="1">
        <f t="array" ref="A48">MAX($A$13:A46+1)</f>
        <v>26</v>
      </c>
      <c r="C48" s="185" t="s">
        <v>1543</v>
      </c>
      <c r="I48" s="340">
        <f>I17+I23+I32+I40+I46</f>
        <v>1209.9377127480684</v>
      </c>
      <c r="K48" s="234"/>
    </row>
    <row r="49" spans="1:12" ht="15" customHeight="1" thickTop="1"/>
    <row r="50" spans="1:12" ht="15" customHeight="1">
      <c r="A50" s="187" t="s">
        <v>39</v>
      </c>
      <c r="B50" s="185"/>
      <c r="C50" s="185"/>
      <c r="D50" s="185"/>
      <c r="E50" s="185"/>
      <c r="F50" s="185"/>
      <c r="G50" s="185"/>
      <c r="H50" s="185"/>
    </row>
    <row r="51" spans="1:12" ht="39" customHeight="1">
      <c r="A51" s="188" t="s">
        <v>357</v>
      </c>
      <c r="B51" s="189"/>
      <c r="C51" s="1284" t="s">
        <v>1544</v>
      </c>
      <c r="D51" s="1284"/>
      <c r="E51" s="1284"/>
      <c r="F51" s="1284"/>
      <c r="G51" s="1284"/>
      <c r="H51" s="1284"/>
      <c r="I51" s="1284"/>
    </row>
    <row r="52" spans="1:12" ht="15" customHeight="1">
      <c r="A52" s="251" t="s">
        <v>42</v>
      </c>
      <c r="B52" s="71"/>
      <c r="C52" s="252" t="s">
        <v>1545</v>
      </c>
      <c r="D52" s="252"/>
      <c r="E52" s="252"/>
      <c r="F52" s="252"/>
      <c r="G52" s="252"/>
      <c r="H52" s="252"/>
      <c r="I52" s="252"/>
    </row>
    <row r="53" spans="1:12" ht="15" customHeight="1">
      <c r="A53" s="251" t="s">
        <v>44</v>
      </c>
      <c r="C53" s="1285" t="s">
        <v>1546</v>
      </c>
      <c r="D53" s="1285"/>
      <c r="E53" s="1285"/>
      <c r="F53" s="1285"/>
      <c r="G53" s="1285"/>
      <c r="H53" s="1285"/>
      <c r="I53" s="1285"/>
    </row>
    <row r="54" spans="1:12" ht="15" customHeight="1">
      <c r="A54" s="190"/>
      <c r="C54" s="1285"/>
      <c r="D54" s="1285"/>
      <c r="E54" s="1285"/>
      <c r="F54" s="1285"/>
      <c r="G54" s="1285"/>
      <c r="H54" s="1285"/>
      <c r="I54" s="1285"/>
    </row>
    <row r="55" spans="1:12" ht="15" customHeight="1">
      <c r="J55" s="258"/>
    </row>
    <row r="56" spans="1:12" ht="15" customHeight="1">
      <c r="J56" s="258"/>
    </row>
    <row r="57" spans="1:12" ht="15" customHeight="1">
      <c r="J57" s="258"/>
    </row>
    <row r="58" spans="1:12" ht="15" customHeight="1">
      <c r="J58" s="258"/>
    </row>
    <row r="59" spans="1:12" ht="15" customHeight="1">
      <c r="J59" s="258"/>
    </row>
    <row r="60" spans="1:12" ht="15" customHeight="1">
      <c r="A60" s="172"/>
      <c r="B60" s="173"/>
      <c r="C60" s="173"/>
      <c r="D60" s="173"/>
      <c r="E60" s="74"/>
      <c r="F60" s="74"/>
      <c r="G60" s="74"/>
      <c r="H60" s="74"/>
      <c r="I60" s="74"/>
      <c r="J60" s="258"/>
    </row>
    <row r="61" spans="1:12" ht="15" customHeight="1">
      <c r="A61" s="172"/>
      <c r="B61" s="173"/>
      <c r="C61" s="173"/>
      <c r="D61" s="173"/>
      <c r="E61" s="74"/>
      <c r="F61" s="74"/>
      <c r="G61" s="74"/>
      <c r="H61" s="74"/>
      <c r="I61" s="74"/>
      <c r="J61" s="253"/>
    </row>
    <row r="62" spans="1:12" ht="15" customHeight="1">
      <c r="A62" s="71"/>
      <c r="B62" s="71"/>
      <c r="C62" s="71"/>
    </row>
    <row r="63" spans="1:12" ht="15" customHeight="1">
      <c r="A63" s="174"/>
      <c r="B63" s="175"/>
      <c r="C63" s="175"/>
      <c r="E63" s="76"/>
      <c r="F63" s="174"/>
      <c r="G63" s="76"/>
      <c r="H63" s="76"/>
      <c r="I63" s="76"/>
    </row>
    <row r="64" spans="1:12" ht="15" customHeight="1">
      <c r="A64" s="174"/>
      <c r="B64" s="175"/>
      <c r="C64" s="175"/>
      <c r="E64" s="76"/>
      <c r="F64" s="174"/>
      <c r="G64" s="76"/>
      <c r="H64" s="76"/>
      <c r="I64" s="76"/>
      <c r="L64" s="4"/>
    </row>
    <row r="65" spans="1:9" ht="15" customHeight="1">
      <c r="A65" s="174"/>
      <c r="B65" s="175"/>
      <c r="C65" s="175"/>
      <c r="E65" s="176"/>
      <c r="F65" s="76"/>
      <c r="G65" s="176"/>
      <c r="H65" s="76"/>
      <c r="I65" s="176"/>
    </row>
    <row r="66" spans="1:9" ht="15" customHeight="1">
      <c r="A66" s="174"/>
      <c r="B66" s="175"/>
      <c r="C66" s="175"/>
      <c r="E66" s="76"/>
      <c r="F66" s="76"/>
      <c r="G66" s="76"/>
      <c r="H66" s="76"/>
      <c r="I66" s="76"/>
    </row>
    <row r="67" spans="1:9" ht="15" customHeight="1">
      <c r="A67" s="174"/>
      <c r="B67" s="175"/>
      <c r="C67" s="177"/>
      <c r="E67" s="76"/>
      <c r="F67" s="76"/>
      <c r="G67" s="76"/>
      <c r="H67" s="76"/>
      <c r="I67" s="76"/>
    </row>
    <row r="68" spans="1:9" ht="15" customHeight="1">
      <c r="A68" s="178"/>
      <c r="B68" s="175"/>
      <c r="C68" s="179"/>
      <c r="E68" s="77"/>
      <c r="F68" s="180"/>
      <c r="G68" s="181"/>
      <c r="H68" s="180"/>
      <c r="I68" s="80"/>
    </row>
    <row r="69" spans="1:9" ht="15" customHeight="1">
      <c r="A69" s="182"/>
      <c r="B69" s="71"/>
      <c r="C69" s="179"/>
      <c r="E69" s="77"/>
      <c r="F69" s="180"/>
      <c r="G69" s="181"/>
      <c r="H69" s="180"/>
      <c r="I69" s="80"/>
    </row>
    <row r="70" spans="1:9" ht="15" customHeight="1">
      <c r="A70" s="182"/>
      <c r="B70" s="71"/>
      <c r="C70" s="179"/>
      <c r="E70" s="77"/>
      <c r="F70" s="180"/>
      <c r="G70" s="181"/>
      <c r="H70" s="180"/>
      <c r="I70" s="80"/>
    </row>
    <row r="71" spans="1:9" ht="15" customHeight="1">
      <c r="A71" s="183"/>
      <c r="B71" s="71"/>
      <c r="C71" s="175"/>
      <c r="E71" s="180"/>
      <c r="F71" s="180"/>
      <c r="G71" s="184"/>
      <c r="H71" s="180"/>
      <c r="I71" s="80"/>
    </row>
    <row r="72" spans="1:9" ht="15" customHeight="1">
      <c r="A72" s="71"/>
      <c r="B72" s="71"/>
      <c r="C72" s="175"/>
      <c r="E72" s="180"/>
      <c r="F72" s="180"/>
      <c r="G72" s="184"/>
      <c r="H72" s="180"/>
      <c r="I72" s="180"/>
    </row>
    <row r="73" spans="1:9" ht="15" customHeight="1">
      <c r="A73" s="174"/>
      <c r="B73" s="175"/>
      <c r="C73" s="177"/>
      <c r="E73" s="80"/>
      <c r="F73" s="80"/>
      <c r="G73" s="181"/>
      <c r="H73" s="80"/>
      <c r="I73" s="80"/>
    </row>
    <row r="74" spans="1:9" ht="15" customHeight="1">
      <c r="A74" s="178"/>
      <c r="B74" s="175"/>
      <c r="C74" s="179"/>
      <c r="E74" s="77"/>
      <c r="F74" s="180"/>
      <c r="G74" s="181"/>
      <c r="H74" s="180"/>
      <c r="I74" s="80"/>
    </row>
    <row r="75" spans="1:9" ht="15" customHeight="1">
      <c r="A75" s="183"/>
      <c r="B75" s="185"/>
      <c r="C75" s="179"/>
      <c r="E75" s="77"/>
      <c r="F75" s="180"/>
      <c r="G75" s="181"/>
      <c r="H75" s="180"/>
      <c r="I75" s="80"/>
    </row>
    <row r="76" spans="1:9" ht="15" customHeight="1">
      <c r="A76" s="183"/>
      <c r="B76" s="185"/>
      <c r="C76" s="179"/>
      <c r="E76" s="77"/>
      <c r="F76" s="180"/>
      <c r="G76" s="181"/>
      <c r="H76" s="180"/>
      <c r="I76" s="80"/>
    </row>
    <row r="77" spans="1:9" ht="15" customHeight="1">
      <c r="A77" s="183"/>
      <c r="B77" s="185"/>
      <c r="C77" s="185"/>
      <c r="E77" s="180"/>
      <c r="F77" s="180"/>
      <c r="G77" s="184"/>
      <c r="H77" s="180"/>
      <c r="I77" s="80"/>
    </row>
    <row r="78" spans="1:9" ht="15" customHeight="1">
      <c r="A78" s="183"/>
      <c r="B78" s="185"/>
      <c r="C78" s="185"/>
      <c r="E78" s="180"/>
      <c r="F78" s="180"/>
      <c r="G78" s="184"/>
      <c r="H78" s="180"/>
      <c r="I78" s="80"/>
    </row>
    <row r="79" spans="1:9" ht="15" customHeight="1">
      <c r="A79" s="174"/>
      <c r="B79" s="175"/>
      <c r="C79" s="177"/>
      <c r="E79" s="80"/>
      <c r="F79" s="80"/>
      <c r="G79" s="181"/>
      <c r="H79" s="80"/>
      <c r="I79" s="80"/>
    </row>
    <row r="80" spans="1:9" ht="15" customHeight="1">
      <c r="A80" s="178"/>
      <c r="B80" s="175"/>
      <c r="C80" s="179"/>
      <c r="E80" s="77"/>
      <c r="F80" s="180"/>
      <c r="G80" s="181"/>
      <c r="H80" s="180"/>
      <c r="I80" s="80"/>
    </row>
    <row r="81" spans="1:9" ht="15" customHeight="1">
      <c r="A81" s="178"/>
      <c r="B81" s="175"/>
      <c r="C81" s="179"/>
      <c r="E81" s="77"/>
      <c r="F81" s="180"/>
      <c r="G81" s="181"/>
      <c r="H81" s="180"/>
      <c r="I81" s="80"/>
    </row>
    <row r="82" spans="1:9" ht="15" customHeight="1">
      <c r="A82" s="178"/>
      <c r="B82" s="175"/>
      <c r="C82" s="179"/>
      <c r="E82" s="77"/>
      <c r="F82" s="180"/>
      <c r="G82" s="181"/>
      <c r="H82" s="180"/>
      <c r="I82" s="80"/>
    </row>
    <row r="83" spans="1:9" ht="15" customHeight="1">
      <c r="A83" s="178"/>
      <c r="B83" s="185"/>
      <c r="C83" s="179"/>
      <c r="E83" s="77"/>
      <c r="F83" s="180"/>
      <c r="G83" s="181"/>
      <c r="H83" s="180"/>
      <c r="I83" s="80"/>
    </row>
    <row r="84" spans="1:9" ht="15" customHeight="1">
      <c r="A84" s="178"/>
      <c r="B84" s="185"/>
      <c r="C84" s="179"/>
      <c r="E84" s="185"/>
      <c r="F84" s="180"/>
      <c r="G84" s="181"/>
      <c r="H84" s="180"/>
      <c r="I84" s="186"/>
    </row>
    <row r="85" spans="1:9" ht="15" customHeight="1">
      <c r="A85" s="178"/>
      <c r="B85" s="185"/>
      <c r="C85" s="185"/>
      <c r="E85" s="180"/>
      <c r="F85" s="180"/>
      <c r="G85" s="184"/>
      <c r="H85" s="180"/>
      <c r="I85" s="80"/>
    </row>
    <row r="86" spans="1:9" ht="15" customHeight="1">
      <c r="A86" s="183"/>
      <c r="B86" s="185"/>
      <c r="C86" s="175"/>
      <c r="E86" s="180"/>
      <c r="F86" s="180"/>
      <c r="G86" s="181"/>
      <c r="H86" s="180"/>
      <c r="I86" s="80"/>
    </row>
    <row r="87" spans="1:9" ht="15" customHeight="1">
      <c r="A87" s="174"/>
      <c r="B87" s="175"/>
      <c r="C87" s="177"/>
      <c r="E87" s="80"/>
      <c r="F87" s="80"/>
      <c r="G87" s="181"/>
      <c r="H87" s="80"/>
      <c r="I87" s="80"/>
    </row>
    <row r="88" spans="1:9" ht="15" customHeight="1">
      <c r="A88" s="174"/>
      <c r="B88" s="175"/>
      <c r="C88" s="179"/>
      <c r="E88" s="77"/>
      <c r="F88" s="180"/>
      <c r="G88" s="181"/>
      <c r="H88" s="180"/>
      <c r="I88" s="80"/>
    </row>
    <row r="89" spans="1:9" ht="15" customHeight="1">
      <c r="A89" s="174"/>
      <c r="B89" s="175"/>
      <c r="C89" s="179"/>
      <c r="E89" s="77"/>
      <c r="F89" s="180"/>
      <c r="G89" s="181"/>
      <c r="H89" s="180"/>
      <c r="I89" s="80"/>
    </row>
    <row r="90" spans="1:9" ht="15" customHeight="1">
      <c r="A90" s="174"/>
      <c r="B90" s="175"/>
      <c r="C90" s="179"/>
      <c r="E90" s="77"/>
      <c r="F90" s="180"/>
      <c r="G90" s="181"/>
      <c r="H90" s="180"/>
      <c r="I90" s="80"/>
    </row>
    <row r="91" spans="1:9" ht="15" customHeight="1">
      <c r="A91" s="174"/>
      <c r="B91" s="185"/>
      <c r="C91" s="179"/>
      <c r="E91" s="185"/>
      <c r="F91" s="180"/>
      <c r="G91" s="181"/>
      <c r="H91" s="180"/>
      <c r="I91" s="80"/>
    </row>
    <row r="92" spans="1:9" ht="15" customHeight="1">
      <c r="A92" s="174"/>
      <c r="B92" s="185"/>
      <c r="C92" s="179"/>
      <c r="E92" s="185"/>
      <c r="F92" s="180"/>
      <c r="G92" s="181"/>
      <c r="H92" s="180"/>
      <c r="I92" s="186"/>
    </row>
    <row r="93" spans="1:9" ht="15" customHeight="1">
      <c r="A93" s="174"/>
      <c r="B93" s="185"/>
      <c r="C93" s="185"/>
      <c r="E93" s="180"/>
      <c r="F93" s="180"/>
      <c r="G93" s="184"/>
      <c r="H93" s="180"/>
      <c r="I93" s="80"/>
    </row>
    <row r="94" spans="1:9" ht="15" customHeight="1">
      <c r="A94" s="183"/>
      <c r="B94" s="185"/>
      <c r="C94" s="175"/>
      <c r="E94" s="180"/>
      <c r="F94" s="180"/>
      <c r="G94" s="181"/>
      <c r="H94" s="180"/>
      <c r="I94" s="80"/>
    </row>
    <row r="95" spans="1:9" ht="15" customHeight="1">
      <c r="A95" s="174"/>
      <c r="B95" s="175"/>
      <c r="C95" s="177"/>
      <c r="E95" s="80"/>
      <c r="F95" s="80"/>
      <c r="G95" s="181"/>
      <c r="H95" s="80"/>
      <c r="I95" s="80"/>
    </row>
    <row r="96" spans="1:9" ht="15" customHeight="1">
      <c r="A96" s="178"/>
      <c r="B96" s="175"/>
      <c r="C96" s="179"/>
      <c r="E96" s="180"/>
      <c r="F96" s="180"/>
      <c r="G96" s="181"/>
      <c r="H96" s="180"/>
      <c r="I96" s="80"/>
    </row>
    <row r="97" spans="1:9" ht="15" customHeight="1">
      <c r="A97" s="178"/>
      <c r="B97" s="185"/>
      <c r="C97" s="179"/>
      <c r="E97" s="180"/>
      <c r="F97" s="180"/>
      <c r="G97" s="181"/>
      <c r="H97" s="180"/>
      <c r="I97" s="80"/>
    </row>
    <row r="98" spans="1:9" ht="15" customHeight="1">
      <c r="A98" s="178"/>
      <c r="B98" s="185"/>
      <c r="C98" s="185"/>
      <c r="E98" s="180"/>
      <c r="F98" s="180"/>
      <c r="G98" s="180"/>
      <c r="H98" s="180"/>
      <c r="I98" s="80"/>
    </row>
    <row r="99" spans="1:9" ht="15" customHeight="1">
      <c r="A99" s="183"/>
      <c r="B99" s="185"/>
      <c r="C99" s="175"/>
      <c r="E99" s="180"/>
      <c r="F99" s="180"/>
      <c r="G99" s="80"/>
      <c r="H99" s="180"/>
      <c r="I99" s="80"/>
    </row>
    <row r="100" spans="1:9" ht="15" customHeight="1">
      <c r="A100" s="183"/>
      <c r="B100" s="185"/>
      <c r="C100" s="185"/>
      <c r="E100" s="180"/>
      <c r="F100" s="180"/>
      <c r="G100" s="180"/>
      <c r="H100" s="180"/>
      <c r="I100" s="80"/>
    </row>
    <row r="102" spans="1:9" ht="15" customHeight="1">
      <c r="A102" s="187"/>
      <c r="B102" s="185"/>
      <c r="C102" s="185"/>
      <c r="D102" s="185"/>
      <c r="E102" s="185"/>
      <c r="F102" s="185"/>
      <c r="G102" s="185"/>
      <c r="H102" s="185"/>
    </row>
    <row r="103" spans="1:9" ht="12.75" customHeight="1">
      <c r="A103" s="188"/>
      <c r="B103" s="189"/>
      <c r="C103" s="1284"/>
      <c r="D103" s="1284"/>
      <c r="E103" s="1284"/>
      <c r="F103" s="1284"/>
      <c r="G103" s="1284"/>
      <c r="H103" s="1284"/>
      <c r="I103" s="1284"/>
    </row>
    <row r="104" spans="1:9" ht="12.75" customHeight="1">
      <c r="A104" s="188"/>
      <c r="B104" s="189"/>
      <c r="C104" s="1284"/>
      <c r="D104" s="1284"/>
      <c r="E104" s="1284"/>
      <c r="F104" s="1284"/>
      <c r="G104" s="1284"/>
      <c r="H104" s="1284"/>
      <c r="I104" s="1284"/>
    </row>
    <row r="105" spans="1:9" ht="12.75" customHeight="1">
      <c r="A105" s="188"/>
      <c r="B105" s="189"/>
      <c r="C105" s="1284"/>
      <c r="D105" s="1284"/>
      <c r="E105" s="1284"/>
      <c r="F105" s="1284"/>
      <c r="G105" s="1284"/>
      <c r="H105" s="1284"/>
      <c r="I105" s="1284"/>
    </row>
    <row r="106" spans="1:9" ht="12.75" customHeight="1">
      <c r="A106" s="188"/>
      <c r="B106" s="189"/>
      <c r="C106" s="1284"/>
      <c r="D106" s="1284"/>
      <c r="E106" s="1284"/>
      <c r="F106" s="1284"/>
      <c r="G106" s="1284"/>
      <c r="H106" s="1284"/>
      <c r="I106" s="1284"/>
    </row>
    <row r="107" spans="1:9" ht="12.75" customHeight="1">
      <c r="A107" s="190"/>
      <c r="B107" s="71"/>
      <c r="C107" s="1284"/>
      <c r="D107" s="1284"/>
      <c r="E107" s="1284"/>
      <c r="F107" s="1284"/>
      <c r="G107" s="1284"/>
      <c r="H107" s="1284"/>
      <c r="I107" s="1284"/>
    </row>
    <row r="108" spans="1:9" ht="12.75" customHeight="1">
      <c r="A108" s="190"/>
      <c r="B108" s="71"/>
      <c r="C108" s="71"/>
      <c r="D108" s="71"/>
    </row>
    <row r="109" spans="1:9" ht="15" customHeight="1">
      <c r="A109" s="190"/>
      <c r="B109" s="71"/>
      <c r="C109" s="71"/>
      <c r="D109" s="71"/>
    </row>
    <row r="110" spans="1:9" ht="15" customHeight="1">
      <c r="A110" s="190"/>
      <c r="B110" s="71"/>
      <c r="C110" s="71"/>
      <c r="D110" s="71"/>
    </row>
  </sheetData>
  <mergeCells count="4">
    <mergeCell ref="C53:I54"/>
    <mergeCell ref="C103:I104"/>
    <mergeCell ref="C105:I107"/>
    <mergeCell ref="C51:I51"/>
  </mergeCells>
  <printOptions horizontalCentered="1"/>
  <pageMargins left="0.7" right="0.7" top="0.75" bottom="0.75" header="0.3" footer="0.3"/>
  <pageSetup scale="78" orientation="portrait" horizontalDpi="1200" verticalDpi="1200" r:id="rId1"/>
  <headerFooter>
    <oddHeader xml:space="preserve">&amp;R&amp;10Updated: 2024-03-15
EB-2022-0200
Rate Order
Working Papers
Schedule 25
Page &amp;P of &amp;N </oddHeader>
  </headerFooter>
  <rowBreaks count="1" manualBreakCount="1">
    <brk id="54"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C9D3D-DFFE-437C-8729-6495EBEA2C52}">
  <sheetPr>
    <pageSetUpPr fitToPage="1"/>
  </sheetPr>
  <dimension ref="A1:S247"/>
  <sheetViews>
    <sheetView view="pageBreakPreview" zoomScale="85" zoomScaleNormal="85" zoomScaleSheetLayoutView="85" workbookViewId="0">
      <selection activeCell="T42" sqref="T42"/>
    </sheetView>
  </sheetViews>
  <sheetFormatPr defaultColWidth="9" defaultRowHeight="12.75"/>
  <cols>
    <col min="1" max="1" width="5" style="141" customWidth="1"/>
    <col min="2" max="2" width="3.125" style="141" customWidth="1"/>
    <col min="3" max="3" width="43.25" style="141" customWidth="1"/>
    <col min="4" max="4" width="3.625" style="141" customWidth="1"/>
    <col min="5" max="5" width="9.625" style="141" customWidth="1"/>
    <col min="6" max="6" width="3.125" style="141" customWidth="1"/>
    <col min="7" max="7" width="14.625" style="141" bestFit="1" customWidth="1"/>
    <col min="8" max="8" width="3.125" style="141" customWidth="1"/>
    <col min="9" max="9" width="21.625" style="141" bestFit="1" customWidth="1"/>
    <col min="10" max="10" width="3.125" style="141" customWidth="1"/>
    <col min="11" max="11" width="13.75" style="141" bestFit="1" customWidth="1"/>
    <col min="12" max="12" width="3.75" style="141" customWidth="1"/>
    <col min="13" max="13" width="9" style="568"/>
    <col min="14" max="14" width="9" style="567"/>
    <col min="15" max="15" width="9" style="141"/>
    <col min="16" max="16" width="19.5" style="141" customWidth="1"/>
    <col min="17" max="17" width="9" style="141"/>
    <col min="18" max="19" width="10.125" style="141" bestFit="1" customWidth="1"/>
    <col min="20" max="16384" width="9" style="141"/>
  </cols>
  <sheetData>
    <row r="1" spans="1:18" ht="13.5" customHeight="1"/>
    <row r="2" spans="1:18">
      <c r="A2" s="442"/>
      <c r="B2" s="442"/>
      <c r="C2" s="442"/>
      <c r="D2" s="442"/>
      <c r="E2" s="442"/>
      <c r="F2" s="442"/>
      <c r="G2" s="442"/>
      <c r="H2" s="442"/>
      <c r="I2" s="442"/>
      <c r="J2" s="442"/>
      <c r="K2" s="442"/>
      <c r="L2" s="442"/>
    </row>
    <row r="3" spans="1:18">
      <c r="A3" s="1302" t="s">
        <v>1547</v>
      </c>
      <c r="B3" s="1302"/>
      <c r="C3" s="1302"/>
      <c r="D3" s="1302"/>
      <c r="E3" s="1302"/>
      <c r="F3" s="1302"/>
      <c r="G3" s="1302"/>
      <c r="H3" s="1302"/>
      <c r="I3" s="1302"/>
      <c r="J3" s="1302"/>
      <c r="K3" s="1302"/>
      <c r="L3" s="1302"/>
    </row>
    <row r="4" spans="1:18">
      <c r="I4" s="142"/>
      <c r="M4" s="1350"/>
      <c r="N4" s="1350"/>
    </row>
    <row r="5" spans="1:18">
      <c r="G5" s="142" t="s">
        <v>160</v>
      </c>
      <c r="H5" s="142"/>
      <c r="I5" s="142" t="s">
        <v>193</v>
      </c>
      <c r="J5" s="142"/>
      <c r="K5" s="142" t="s">
        <v>1548</v>
      </c>
      <c r="M5" s="619"/>
      <c r="N5" s="620"/>
    </row>
    <row r="6" spans="1:18">
      <c r="A6" s="142" t="s">
        <v>1</v>
      </c>
      <c r="G6" s="142" t="s">
        <v>195</v>
      </c>
      <c r="H6" s="142"/>
      <c r="I6" s="142" t="s">
        <v>1549</v>
      </c>
      <c r="J6" s="142"/>
      <c r="K6" s="142" t="s">
        <v>1550</v>
      </c>
    </row>
    <row r="7" spans="1:18" ht="14.25">
      <c r="A7" s="205" t="s">
        <v>2</v>
      </c>
      <c r="C7" s="559" t="s">
        <v>3</v>
      </c>
      <c r="E7" s="205" t="s">
        <v>4</v>
      </c>
      <c r="G7" s="621" t="s">
        <v>1551</v>
      </c>
      <c r="H7" s="142"/>
      <c r="I7" s="205" t="s">
        <v>621</v>
      </c>
      <c r="J7" s="142"/>
      <c r="K7" s="205" t="s">
        <v>466</v>
      </c>
    </row>
    <row r="8" spans="1:18">
      <c r="A8" s="142"/>
      <c r="G8" s="142" t="s">
        <v>8</v>
      </c>
      <c r="I8" s="142" t="s">
        <v>9</v>
      </c>
      <c r="K8" s="142" t="s">
        <v>1552</v>
      </c>
    </row>
    <row r="9" spans="1:18">
      <c r="A9" s="142"/>
      <c r="C9" s="309" t="s">
        <v>11</v>
      </c>
      <c r="D9" s="309"/>
      <c r="E9" s="309"/>
      <c r="G9" s="142"/>
      <c r="I9" s="142"/>
      <c r="K9" s="142"/>
    </row>
    <row r="10" spans="1:18">
      <c r="C10" s="309" t="s">
        <v>162</v>
      </c>
      <c r="D10" s="622"/>
      <c r="E10" s="622"/>
    </row>
    <row r="11" spans="1:18">
      <c r="A11" s="142">
        <v>1</v>
      </c>
      <c r="C11" s="145" t="s">
        <v>1553</v>
      </c>
      <c r="D11" s="145"/>
      <c r="E11" s="142" t="s">
        <v>204</v>
      </c>
      <c r="G11" s="234">
        <f>'Sch. 26. p2-p7'!Q18+'Sch. 26. p2-p7'!Q20</f>
        <v>11191.540106543553</v>
      </c>
      <c r="I11" s="617">
        <v>2146382.684925254</v>
      </c>
      <c r="K11" s="623">
        <f>G11/I11*100</f>
        <v>0.52141401368662688</v>
      </c>
      <c r="R11" s="208"/>
    </row>
    <row r="12" spans="1:18">
      <c r="A12" s="142">
        <f>A11+1</f>
        <v>2</v>
      </c>
      <c r="C12" s="145" t="s">
        <v>712</v>
      </c>
      <c r="D12" s="145"/>
      <c r="E12" s="142" t="s">
        <v>204</v>
      </c>
      <c r="G12" s="617">
        <f>'Sch. 26. p2-p7'!Q21</f>
        <v>57.285004656826196</v>
      </c>
      <c r="I12" s="617">
        <v>2118155.1438624058</v>
      </c>
      <c r="K12" s="623">
        <f>G12/I12*100</f>
        <v>2.7044763374777328E-3</v>
      </c>
      <c r="P12" s="145"/>
    </row>
    <row r="13" spans="1:18">
      <c r="A13" s="142">
        <f>A12+1</f>
        <v>3</v>
      </c>
      <c r="C13" s="145" t="s">
        <v>1554</v>
      </c>
      <c r="D13" s="145"/>
      <c r="E13" s="142" t="s">
        <v>204</v>
      </c>
      <c r="G13" s="617">
        <f>'Sch. 26. p2-p7'!Q22</f>
        <v>6.7574785766520185</v>
      </c>
      <c r="I13" s="617">
        <v>28190.996980337317</v>
      </c>
      <c r="K13" s="623">
        <f>G13/I13*100</f>
        <v>2.3970342664238625E-2</v>
      </c>
      <c r="P13" s="145"/>
    </row>
    <row r="14" spans="1:18">
      <c r="A14" s="142">
        <f>A13+1</f>
        <v>4</v>
      </c>
      <c r="C14" s="145" t="s">
        <v>715</v>
      </c>
      <c r="D14" s="145"/>
      <c r="E14" s="142" t="s">
        <v>204</v>
      </c>
      <c r="G14" s="617">
        <f>'Sch. 26. p2-p7'!Q24</f>
        <v>64.46423066216002</v>
      </c>
      <c r="I14" s="617">
        <v>2112232.8567822701</v>
      </c>
      <c r="K14" s="623">
        <f>G14/I14*100</f>
        <v>3.0519471589114198E-3</v>
      </c>
      <c r="P14" s="208"/>
    </row>
    <row r="15" spans="1:18">
      <c r="A15" s="142">
        <f>A14+1</f>
        <v>5</v>
      </c>
      <c r="C15" s="141" t="s">
        <v>212</v>
      </c>
      <c r="G15" s="624">
        <f>SUM(G11:G14)</f>
        <v>11320.046820439191</v>
      </c>
      <c r="I15" s="208"/>
      <c r="K15" s="623"/>
    </row>
    <row r="16" spans="1:18">
      <c r="K16" s="623"/>
    </row>
    <row r="17" spans="1:11">
      <c r="C17" s="309" t="s">
        <v>163</v>
      </c>
      <c r="D17" s="622"/>
      <c r="E17" s="622"/>
      <c r="K17" s="623"/>
    </row>
    <row r="18" spans="1:11">
      <c r="A18" s="142">
        <f>A15+1</f>
        <v>6</v>
      </c>
      <c r="C18" s="145" t="s">
        <v>1553</v>
      </c>
      <c r="D18" s="145"/>
      <c r="E18" s="142" t="s">
        <v>204</v>
      </c>
      <c r="G18" s="617">
        <f>'Sch. 26. p2-p7'!Q37+'Sch. 26. p2-p7'!Q39</f>
        <v>9755.1659550239128</v>
      </c>
      <c r="I18" s="617">
        <v>2078899.301296097</v>
      </c>
      <c r="K18" s="623">
        <f>G18/I18*100</f>
        <v>0.46924668015146387</v>
      </c>
    </row>
    <row r="19" spans="1:11">
      <c r="A19" s="142">
        <f>A18+1</f>
        <v>7</v>
      </c>
      <c r="C19" s="145" t="s">
        <v>712</v>
      </c>
      <c r="D19" s="145"/>
      <c r="E19" s="142" t="s">
        <v>204</v>
      </c>
      <c r="G19" s="617">
        <f>'Sch. 26. p2-p7'!Q40</f>
        <v>36.643419823391817</v>
      </c>
      <c r="I19" s="617">
        <v>1345797.9189435474</v>
      </c>
      <c r="K19" s="623">
        <f>G19/I19*100</f>
        <v>2.7228025328020224E-3</v>
      </c>
    </row>
    <row r="20" spans="1:11">
      <c r="A20" s="142">
        <f>A19+1</f>
        <v>8</v>
      </c>
      <c r="C20" s="145" t="s">
        <v>1554</v>
      </c>
      <c r="D20" s="145"/>
      <c r="E20" s="142" t="s">
        <v>204</v>
      </c>
      <c r="G20" s="617">
        <f>'Sch. 26. p2-p7'!Q41</f>
        <v>142.26963781242841</v>
      </c>
      <c r="I20" s="617">
        <v>713201.00218357728</v>
      </c>
      <c r="K20" s="623">
        <f>G20/I20*100</f>
        <v>1.9948042329840744E-2</v>
      </c>
    </row>
    <row r="21" spans="1:11">
      <c r="A21" s="142">
        <f>A20+1</f>
        <v>9</v>
      </c>
      <c r="C21" s="145" t="s">
        <v>715</v>
      </c>
      <c r="D21" s="145"/>
      <c r="E21" s="142" t="s">
        <v>204</v>
      </c>
      <c r="G21" s="617">
        <f>'Sch. 26. p2-p7'!Q43</f>
        <v>49.731033846926302</v>
      </c>
      <c r="I21" s="617">
        <v>1270935.4785071099</v>
      </c>
      <c r="K21" s="623">
        <f>G21/I21*100</f>
        <v>3.912947170641762E-3</v>
      </c>
    </row>
    <row r="22" spans="1:11">
      <c r="A22" s="142">
        <f>A21+1</f>
        <v>10</v>
      </c>
      <c r="C22" s="141" t="s">
        <v>220</v>
      </c>
      <c r="G22" s="561">
        <f>SUM(G18:G21)</f>
        <v>9983.81004650666</v>
      </c>
      <c r="K22" s="623"/>
    </row>
    <row r="23" spans="1:11">
      <c r="K23" s="623"/>
    </row>
    <row r="24" spans="1:11">
      <c r="C24" s="309" t="s">
        <v>164</v>
      </c>
      <c r="D24" s="622"/>
      <c r="E24" s="622"/>
      <c r="K24" s="623"/>
    </row>
    <row r="25" spans="1:11">
      <c r="A25" s="142">
        <f>A22+1</f>
        <v>11</v>
      </c>
      <c r="C25" s="145" t="s">
        <v>726</v>
      </c>
      <c r="D25" s="145"/>
      <c r="E25" s="142" t="s">
        <v>222</v>
      </c>
      <c r="G25" s="234">
        <f>'Sch. 26. p2-p7'!Q49+'Sch. 26. p2-p7'!Q52</f>
        <v>18.442369958104287</v>
      </c>
      <c r="I25" s="234">
        <v>3002.24</v>
      </c>
      <c r="K25" s="623">
        <f>G25/I25*100</f>
        <v>0.61428699764523453</v>
      </c>
    </row>
    <row r="26" spans="1:11">
      <c r="A26" s="142">
        <f t="shared" ref="A26:A28" si="0">A25+1</f>
        <v>12</v>
      </c>
      <c r="C26" s="145" t="s">
        <v>705</v>
      </c>
      <c r="D26" s="145"/>
      <c r="E26" s="142" t="s">
        <v>204</v>
      </c>
      <c r="G26" s="234">
        <f>'Sch. 26. p2-p7'!Q50</f>
        <v>139.87919764257722</v>
      </c>
      <c r="I26" s="234">
        <v>13604.439</v>
      </c>
      <c r="K26" s="623">
        <f>G26/I26*100</f>
        <v>1.0281879145665413</v>
      </c>
    </row>
    <row r="27" spans="1:11">
      <c r="A27" s="142">
        <f>A26+1</f>
        <v>13</v>
      </c>
      <c r="C27" s="145" t="s">
        <v>712</v>
      </c>
      <c r="D27" s="145"/>
      <c r="E27" s="142" t="s">
        <v>204</v>
      </c>
      <c r="G27" s="234">
        <f>'Sch. 26. p2-p7'!Q53</f>
        <v>0.14743618765598956</v>
      </c>
      <c r="I27" s="234">
        <v>7494.8560000000007</v>
      </c>
      <c r="K27" s="623">
        <f t="shared" ref="K27" si="1">G27/I27*100</f>
        <v>1.9671650483476877E-3</v>
      </c>
    </row>
    <row r="28" spans="1:11">
      <c r="A28" s="142">
        <f t="shared" si="0"/>
        <v>14</v>
      </c>
      <c r="C28" s="145" t="s">
        <v>1554</v>
      </c>
      <c r="D28" s="145"/>
      <c r="E28" s="142" t="s">
        <v>204</v>
      </c>
      <c r="G28" s="234">
        <f>'Sch. 26. p2-p7'!Q54</f>
        <v>0.8920846855246769</v>
      </c>
      <c r="I28" s="234">
        <v>5269.8799999999992</v>
      </c>
      <c r="K28" s="623">
        <f>G28/I28*100</f>
        <v>1.6927988597931588E-2</v>
      </c>
    </row>
    <row r="29" spans="1:11">
      <c r="A29" s="142">
        <f>A28+1</f>
        <v>15</v>
      </c>
      <c r="C29" s="145" t="s">
        <v>715</v>
      </c>
      <c r="D29" s="145"/>
      <c r="E29" s="142" t="s">
        <v>204</v>
      </c>
      <c r="G29" s="234">
        <f>'Sch. 26. p2-p7'!Q56</f>
        <v>0.21269241538230754</v>
      </c>
      <c r="I29" s="234">
        <v>7494.8560000000007</v>
      </c>
      <c r="K29" s="623">
        <f>G29/I29*100</f>
        <v>2.8378452552298206E-3</v>
      </c>
    </row>
    <row r="30" spans="1:11">
      <c r="A30" s="142">
        <f>A29+1</f>
        <v>16</v>
      </c>
      <c r="C30" s="141" t="s">
        <v>223</v>
      </c>
      <c r="G30" s="561">
        <f>SUM(G25:G29)</f>
        <v>159.57378088924449</v>
      </c>
      <c r="K30" s="208"/>
    </row>
    <row r="31" spans="1:11">
      <c r="K31" s="623"/>
    </row>
    <row r="32" spans="1:11">
      <c r="C32" s="309" t="s">
        <v>165</v>
      </c>
      <c r="D32" s="622"/>
      <c r="E32" s="622"/>
      <c r="K32" s="623"/>
    </row>
    <row r="33" spans="1:16">
      <c r="A33" s="142">
        <f>A30+1</f>
        <v>17</v>
      </c>
      <c r="C33" s="145" t="s">
        <v>726</v>
      </c>
      <c r="D33" s="145"/>
      <c r="E33" s="142" t="s">
        <v>222</v>
      </c>
      <c r="G33" s="617">
        <f>'Sch. 26. p2-p7'!Q62</f>
        <v>201.51180087445695</v>
      </c>
      <c r="H33" s="617"/>
      <c r="I33" s="617">
        <v>50435.912000000004</v>
      </c>
      <c r="K33" s="623">
        <f>G33/I33*100</f>
        <v>0.39954031340695678</v>
      </c>
    </row>
    <row r="34" spans="1:16">
      <c r="A34" s="142">
        <f t="shared" ref="A34:A36" si="2">A33+1</f>
        <v>18</v>
      </c>
      <c r="C34" s="145" t="s">
        <v>1553</v>
      </c>
      <c r="D34" s="145"/>
      <c r="E34" s="142" t="s">
        <v>204</v>
      </c>
      <c r="G34" s="617">
        <f>'Sch. 26. p2-p7'!Q66+'Sch. 26. p2-p7'!Q68</f>
        <v>91.954189362706373</v>
      </c>
      <c r="H34" s="617"/>
      <c r="I34" s="617">
        <v>610408.56000000006</v>
      </c>
      <c r="K34" s="623">
        <f>G34/I34*100</f>
        <v>1.5064367603676194E-2</v>
      </c>
    </row>
    <row r="35" spans="1:16">
      <c r="A35" s="142">
        <f>A34+1</f>
        <v>19</v>
      </c>
      <c r="C35" s="145" t="s">
        <v>712</v>
      </c>
      <c r="D35" s="145"/>
      <c r="E35" s="142" t="s">
        <v>204</v>
      </c>
      <c r="G35" s="617">
        <f>'Sch. 26. p2-p7'!Q69</f>
        <v>0.89697883832794778</v>
      </c>
      <c r="H35" s="617"/>
      <c r="I35" s="617">
        <v>69169.930000000008</v>
      </c>
      <c r="K35" s="623">
        <f>G35/I35*100</f>
        <v>1.2967756918764377E-3</v>
      </c>
    </row>
    <row r="36" spans="1:16">
      <c r="A36" s="142">
        <f t="shared" si="2"/>
        <v>20</v>
      </c>
      <c r="C36" s="145" t="s">
        <v>1554</v>
      </c>
      <c r="D36" s="145"/>
      <c r="E36" s="142" t="s">
        <v>204</v>
      </c>
      <c r="G36" s="617">
        <f>'Sch. 26. p2-p7'!Q70</f>
        <v>64.284621668061661</v>
      </c>
      <c r="H36" s="617"/>
      <c r="I36" s="617">
        <v>529124.98300000001</v>
      </c>
      <c r="K36" s="623">
        <f>G36/I36*100</f>
        <v>1.2149231983639234E-2</v>
      </c>
      <c r="P36" s="208"/>
    </row>
    <row r="37" spans="1:16">
      <c r="A37" s="142">
        <f>A36+1</f>
        <v>21</v>
      </c>
      <c r="C37" s="145" t="s">
        <v>715</v>
      </c>
      <c r="D37" s="145"/>
      <c r="E37" s="142" t="s">
        <v>204</v>
      </c>
      <c r="G37" s="617">
        <f>'Sch. 26. p2-p7'!Q72</f>
        <v>0.50098162311808569</v>
      </c>
      <c r="H37" s="617"/>
      <c r="I37" s="617">
        <v>62603.697</v>
      </c>
      <c r="K37" s="623">
        <f>G37/I37*100</f>
        <v>8.002428724266646E-4</v>
      </c>
    </row>
    <row r="38" spans="1:16">
      <c r="A38" s="142">
        <f>A37+1</f>
        <v>22</v>
      </c>
      <c r="C38" s="141" t="s">
        <v>226</v>
      </c>
      <c r="G38" s="561">
        <f>SUM(G33:G37)</f>
        <v>359.14857236667103</v>
      </c>
      <c r="K38" s="623"/>
    </row>
    <row r="39" spans="1:16">
      <c r="K39" s="623"/>
    </row>
    <row r="40" spans="1:16">
      <c r="C40" s="309" t="s">
        <v>166</v>
      </c>
      <c r="D40" s="622"/>
      <c r="E40" s="622"/>
      <c r="K40" s="623"/>
    </row>
    <row r="41" spans="1:16">
      <c r="A41" s="142">
        <f>A38+1</f>
        <v>23</v>
      </c>
      <c r="C41" s="145" t="s">
        <v>726</v>
      </c>
      <c r="D41" s="145"/>
      <c r="E41" s="142" t="s">
        <v>222</v>
      </c>
      <c r="G41" s="617">
        <f>'Sch. 26. p2-p7'!Q78</f>
        <v>36.920977371838113</v>
      </c>
      <c r="H41" s="617"/>
      <c r="I41" s="617">
        <v>9653.8799999999992</v>
      </c>
      <c r="K41" s="623">
        <f>G41/I41*100</f>
        <v>0.38244703033224065</v>
      </c>
    </row>
    <row r="42" spans="1:16">
      <c r="A42" s="142">
        <f t="shared" ref="A42:A44" si="3">A41+1</f>
        <v>24</v>
      </c>
      <c r="C42" s="145" t="s">
        <v>1553</v>
      </c>
      <c r="D42" s="145"/>
      <c r="E42" s="142" t="s">
        <v>204</v>
      </c>
      <c r="G42" s="617">
        <f>'Sch. 26. p2-p7'!Q82+'Sch. 26. p2-p7'!Q84</f>
        <v>-114.79151185569204</v>
      </c>
      <c r="H42" s="617"/>
      <c r="I42" s="617">
        <v>245727.80200000003</v>
      </c>
      <c r="K42" s="623">
        <f>G42/I42*100</f>
        <v>-4.6714906055152855E-2</v>
      </c>
    </row>
    <row r="43" spans="1:16">
      <c r="A43" s="142">
        <f>A42+1</f>
        <v>25</v>
      </c>
      <c r="C43" s="145" t="s">
        <v>712</v>
      </c>
      <c r="D43" s="145"/>
      <c r="E43" s="142" t="s">
        <v>204</v>
      </c>
      <c r="G43" s="617">
        <f>'Sch. 26. p2-p7'!Q85</f>
        <v>1.5336169907367869E-2</v>
      </c>
      <c r="H43" s="617"/>
      <c r="I43" s="617">
        <v>895.60300000000007</v>
      </c>
      <c r="K43" s="623">
        <f t="shared" ref="K43" si="4">G43/I43*100</f>
        <v>1.7123848298149812E-3</v>
      </c>
    </row>
    <row r="44" spans="1:16">
      <c r="A44" s="142">
        <f t="shared" si="3"/>
        <v>26</v>
      </c>
      <c r="C44" s="145" t="s">
        <v>1554</v>
      </c>
      <c r="D44" s="145"/>
      <c r="E44" s="142" t="s">
        <v>204</v>
      </c>
      <c r="G44" s="617">
        <f>'Sch. 26. p2-p7'!Q86</f>
        <v>14.336474901292981</v>
      </c>
      <c r="H44" s="617"/>
      <c r="I44" s="617">
        <v>152139.59299999999</v>
      </c>
      <c r="K44" s="623">
        <f>G44/I44*100</f>
        <v>9.4232373168587225E-3</v>
      </c>
    </row>
    <row r="45" spans="1:16">
      <c r="A45" s="142">
        <f>A44+1</f>
        <v>27</v>
      </c>
      <c r="C45" s="145" t="s">
        <v>715</v>
      </c>
      <c r="D45" s="145"/>
      <c r="E45" s="142" t="s">
        <v>204</v>
      </c>
      <c r="G45" s="617">
        <f>'Sch. 26. p2-p7'!Q88</f>
        <v>9.5599486635233391E-3</v>
      </c>
      <c r="H45" s="617"/>
      <c r="I45" s="617">
        <v>895.60300000000007</v>
      </c>
      <c r="K45" s="623">
        <f>G45/I45*100</f>
        <v>1.0674315141333088E-3</v>
      </c>
    </row>
    <row r="46" spans="1:16">
      <c r="A46" s="142">
        <f>A45+1</f>
        <v>28</v>
      </c>
      <c r="C46" s="141" t="s">
        <v>227</v>
      </c>
      <c r="G46" s="624">
        <f>SUM(G41:G45)</f>
        <v>-63.509163463990056</v>
      </c>
      <c r="H46" s="617"/>
      <c r="I46" s="617"/>
      <c r="K46" s="623"/>
    </row>
    <row r="47" spans="1:16">
      <c r="G47" s="617"/>
      <c r="H47" s="617"/>
      <c r="I47" s="617"/>
      <c r="K47" s="623"/>
    </row>
    <row r="48" spans="1:16">
      <c r="C48" s="309" t="s">
        <v>167</v>
      </c>
      <c r="D48" s="622"/>
      <c r="E48" s="622"/>
      <c r="K48" s="623"/>
    </row>
    <row r="49" spans="1:11">
      <c r="A49" s="142">
        <f>A46+1</f>
        <v>29</v>
      </c>
      <c r="C49" s="145" t="s">
        <v>726</v>
      </c>
      <c r="D49" s="145"/>
      <c r="E49" s="142" t="s">
        <v>204</v>
      </c>
      <c r="G49" s="617">
        <f>'Sch. 26. p2-p7'!Q105+'Sch. 26. p2-p7'!Q107</f>
        <v>156.67599651461438</v>
      </c>
      <c r="H49" s="617"/>
      <c r="I49" s="617">
        <v>74082.856000000014</v>
      </c>
      <c r="K49" s="623">
        <f>G49/I49*100</f>
        <v>0.21148752218004982</v>
      </c>
    </row>
    <row r="50" spans="1:11">
      <c r="A50" s="142"/>
      <c r="G50" s="617"/>
      <c r="H50" s="617"/>
      <c r="I50" s="617"/>
      <c r="K50" s="623"/>
    </row>
    <row r="51" spans="1:11">
      <c r="A51" s="142">
        <f>A49+1</f>
        <v>30</v>
      </c>
      <c r="C51" s="141" t="s">
        <v>230</v>
      </c>
      <c r="G51" s="624">
        <f>G49</f>
        <v>156.67599651461438</v>
      </c>
      <c r="H51" s="617"/>
      <c r="I51" s="617"/>
      <c r="K51" s="623"/>
    </row>
    <row r="52" spans="1:11">
      <c r="A52" s="142"/>
      <c r="K52" s="623"/>
    </row>
    <row r="53" spans="1:11">
      <c r="A53" s="142"/>
      <c r="C53" s="309" t="s">
        <v>168</v>
      </c>
      <c r="D53" s="622"/>
      <c r="E53" s="622"/>
      <c r="K53" s="623"/>
    </row>
    <row r="54" spans="1:11">
      <c r="A54" s="142"/>
      <c r="C54" s="141" t="s">
        <v>231</v>
      </c>
      <c r="D54" s="309"/>
      <c r="E54" s="309"/>
    </row>
    <row r="55" spans="1:11">
      <c r="A55" s="142">
        <f>A51+1</f>
        <v>31</v>
      </c>
      <c r="C55" s="145" t="s">
        <v>1553</v>
      </c>
      <c r="D55" s="145"/>
      <c r="E55" s="142" t="s">
        <v>204</v>
      </c>
      <c r="G55" s="234">
        <f>'Sch. 26. p2-p7'!Q118</f>
        <v>6.582816400256549</v>
      </c>
      <c r="H55" s="234"/>
      <c r="I55" s="234">
        <v>2985.5280000000002</v>
      </c>
      <c r="K55" s="623">
        <f>G55/I55*100</f>
        <v>0.22049086125658671</v>
      </c>
    </row>
    <row r="56" spans="1:11">
      <c r="A56" s="142"/>
      <c r="G56" s="234"/>
      <c r="H56" s="234"/>
      <c r="I56" s="234"/>
      <c r="K56" s="623"/>
    </row>
    <row r="57" spans="1:11">
      <c r="A57" s="142"/>
      <c r="C57" s="141" t="s">
        <v>237</v>
      </c>
      <c r="D57" s="309"/>
      <c r="E57" s="309"/>
      <c r="G57" s="234"/>
      <c r="H57" s="234"/>
      <c r="I57" s="234"/>
      <c r="K57" s="623"/>
    </row>
    <row r="58" spans="1:11">
      <c r="A58" s="142">
        <f>A55+1</f>
        <v>32</v>
      </c>
      <c r="C58" s="145" t="s">
        <v>1553</v>
      </c>
      <c r="D58" s="145"/>
      <c r="E58" s="142" t="s">
        <v>204</v>
      </c>
      <c r="G58" s="234">
        <f>'Sch. 26. p2-p7'!Q126</f>
        <v>16.28870072314475</v>
      </c>
      <c r="H58" s="234"/>
      <c r="I58" s="234">
        <v>49261.163</v>
      </c>
      <c r="K58" s="623">
        <f>G58/I58*100</f>
        <v>3.306600926808153E-2</v>
      </c>
    </row>
    <row r="59" spans="1:11">
      <c r="A59" s="142"/>
      <c r="C59" s="145"/>
      <c r="D59" s="145"/>
      <c r="E59" s="145"/>
      <c r="G59" s="234"/>
      <c r="H59" s="234"/>
      <c r="I59" s="234"/>
      <c r="K59" s="623"/>
    </row>
    <row r="60" spans="1:11">
      <c r="A60" s="142">
        <f>A58+1</f>
        <v>33</v>
      </c>
      <c r="C60" s="145" t="s">
        <v>712</v>
      </c>
      <c r="D60" s="145"/>
      <c r="E60" s="142" t="s">
        <v>204</v>
      </c>
      <c r="G60" s="234">
        <f>'Sch. 26. p2-p7'!Q129</f>
        <v>6.8551504074071071E-3</v>
      </c>
      <c r="H60" s="234"/>
      <c r="I60" s="234">
        <v>4053.703</v>
      </c>
      <c r="K60" s="623">
        <f>G60/I60*100</f>
        <v>1.6910835370541718E-4</v>
      </c>
    </row>
    <row r="61" spans="1:11">
      <c r="A61" s="142">
        <f>A60+1</f>
        <v>34</v>
      </c>
      <c r="C61" s="145" t="s">
        <v>1554</v>
      </c>
      <c r="D61" s="145"/>
      <c r="E61" s="142" t="s">
        <v>204</v>
      </c>
      <c r="G61" s="234">
        <f>'Sch. 26. p2-p7'!Q130</f>
        <v>0.19531223035210915</v>
      </c>
      <c r="H61" s="234"/>
      <c r="I61" s="234">
        <v>47043.374000000003</v>
      </c>
      <c r="K61" s="623">
        <f>G61/I61*100</f>
        <v>4.1517479242052056E-4</v>
      </c>
    </row>
    <row r="62" spans="1:11">
      <c r="A62" s="142">
        <f>A61+1</f>
        <v>35</v>
      </c>
      <c r="C62" s="145" t="s">
        <v>715</v>
      </c>
      <c r="D62" s="145"/>
      <c r="E62" s="142" t="s">
        <v>204</v>
      </c>
      <c r="G62" s="234">
        <f>'Sch. 26. p2-p7'!Q132</f>
        <v>4.9764098831241157E-3</v>
      </c>
      <c r="H62" s="234"/>
      <c r="I62" s="234">
        <v>4053.703</v>
      </c>
      <c r="K62" s="623">
        <f>G62/I62*100</f>
        <v>1.227620741609367E-4</v>
      </c>
    </row>
    <row r="63" spans="1:11">
      <c r="A63" s="142">
        <f>A62+1</f>
        <v>36</v>
      </c>
      <c r="C63" s="141" t="s">
        <v>239</v>
      </c>
      <c r="G63" s="361">
        <f>SUM(G55:G62)</f>
        <v>23.078660914043937</v>
      </c>
      <c r="H63" s="234"/>
      <c r="I63" s="234"/>
      <c r="K63" s="623"/>
    </row>
    <row r="64" spans="1:11">
      <c r="A64" s="142"/>
      <c r="K64" s="623"/>
    </row>
    <row r="65" spans="1:11">
      <c r="A65" s="142"/>
      <c r="C65" s="309" t="s">
        <v>169</v>
      </c>
      <c r="D65" s="622"/>
      <c r="E65" s="622"/>
      <c r="K65" s="623"/>
    </row>
    <row r="66" spans="1:11">
      <c r="A66" s="142">
        <f>A63+1</f>
        <v>37</v>
      </c>
      <c r="C66" s="145" t="s">
        <v>726</v>
      </c>
      <c r="D66" s="145"/>
      <c r="E66" s="142" t="s">
        <v>222</v>
      </c>
      <c r="G66" s="617">
        <f>'Sch. 26. p2-p7'!Q140+'Sch. 26. p2-p7'!Q153</f>
        <v>5.2271512240646301</v>
      </c>
      <c r="H66" s="617"/>
      <c r="I66" s="617">
        <v>4092.32</v>
      </c>
      <c r="K66" s="623">
        <f>G66/I66*100</f>
        <v>0.12773075478126417</v>
      </c>
    </row>
    <row r="67" spans="1:11">
      <c r="A67" s="142">
        <f>A66+1</f>
        <v>38</v>
      </c>
      <c r="C67" s="145" t="s">
        <v>1553</v>
      </c>
      <c r="D67" s="145"/>
      <c r="E67" s="142" t="s">
        <v>204</v>
      </c>
      <c r="G67" s="617">
        <f>'Sch. 26. p2-p7'!Q145+'Sch. 26. p2-p7'!Q147</f>
        <v>-262.71255641604995</v>
      </c>
      <c r="H67" s="617"/>
      <c r="I67" s="617">
        <v>8156.5959999999995</v>
      </c>
      <c r="K67" s="623">
        <f>G67/I67*100</f>
        <v>-3.220860226693218</v>
      </c>
    </row>
    <row r="68" spans="1:11">
      <c r="A68" s="142">
        <f t="shared" ref="A68:A71" si="5">A67+1</f>
        <v>39</v>
      </c>
      <c r="C68" s="145" t="s">
        <v>712</v>
      </c>
      <c r="D68" s="145"/>
      <c r="E68" s="142" t="s">
        <v>204</v>
      </c>
      <c r="G68" s="617">
        <f>'Sch. 26. p2-p7'!Q148</f>
        <v>6.3611335017866545E-3</v>
      </c>
      <c r="H68" s="617"/>
      <c r="I68" s="617">
        <v>260.29899999999998</v>
      </c>
      <c r="K68" s="623">
        <f t="shared" ref="K68" si="6">G68/I68*100</f>
        <v>2.4437794619981846E-3</v>
      </c>
    </row>
    <row r="69" spans="1:11">
      <c r="A69" s="142">
        <f t="shared" si="5"/>
        <v>40</v>
      </c>
      <c r="C69" s="145" t="s">
        <v>1554</v>
      </c>
      <c r="D69" s="145"/>
      <c r="E69" s="142" t="s">
        <v>204</v>
      </c>
      <c r="G69" s="617">
        <f>'Sch. 26. p2-p7'!Q149</f>
        <v>1.167656032206934</v>
      </c>
      <c r="H69" s="617"/>
      <c r="I69" s="617">
        <v>7896.2969999999996</v>
      </c>
      <c r="K69" s="623">
        <f>G69/I69*100</f>
        <v>1.4787387457778427E-2</v>
      </c>
    </row>
    <row r="70" spans="1:11">
      <c r="A70" s="142">
        <f t="shared" si="5"/>
        <v>41</v>
      </c>
      <c r="C70" s="145" t="s">
        <v>715</v>
      </c>
      <c r="D70" s="145"/>
      <c r="E70" s="142" t="s">
        <v>204</v>
      </c>
      <c r="G70" s="617">
        <f>'Sch. 26. p2-p7'!Q151</f>
        <v>4.2999569749432734E-3</v>
      </c>
      <c r="H70" s="617"/>
      <c r="I70" s="617">
        <v>260.29899999999998</v>
      </c>
      <c r="K70" s="623">
        <f>G70/I70*100</f>
        <v>1.6519298863780783E-3</v>
      </c>
    </row>
    <row r="71" spans="1:11">
      <c r="A71" s="142">
        <f t="shared" si="5"/>
        <v>42</v>
      </c>
      <c r="C71" s="141" t="s">
        <v>243</v>
      </c>
      <c r="G71" s="361">
        <f>SUM(G66:G70)</f>
        <v>-256.30708806930164</v>
      </c>
      <c r="H71" s="617"/>
      <c r="I71" s="617"/>
      <c r="K71" s="623"/>
    </row>
    <row r="72" spans="1:11">
      <c r="A72" s="142"/>
      <c r="K72" s="623"/>
    </row>
    <row r="73" spans="1:11">
      <c r="A73" s="142"/>
      <c r="C73" s="309" t="s">
        <v>170</v>
      </c>
      <c r="D73" s="622"/>
      <c r="E73" s="622"/>
      <c r="K73" s="623"/>
    </row>
    <row r="74" spans="1:11">
      <c r="A74" s="142">
        <f>A71+1</f>
        <v>43</v>
      </c>
      <c r="C74" s="145" t="s">
        <v>726</v>
      </c>
      <c r="D74" s="145"/>
      <c r="E74" s="142" t="s">
        <v>222</v>
      </c>
      <c r="G74" s="617">
        <f>'Sch. 26. p2-p7'!Q159</f>
        <v>13.219384967717334</v>
      </c>
      <c r="H74" s="617"/>
      <c r="I74" s="617">
        <v>20618.511999999999</v>
      </c>
      <c r="K74" s="623">
        <f>G74/I74*100</f>
        <v>6.4114156092919483E-2</v>
      </c>
    </row>
    <row r="75" spans="1:11">
      <c r="A75" s="142">
        <f>A74+1</f>
        <v>44</v>
      </c>
      <c r="C75" s="145" t="s">
        <v>1553</v>
      </c>
      <c r="D75" s="145"/>
      <c r="E75" s="142" t="s">
        <v>204</v>
      </c>
      <c r="G75" s="617">
        <f>'Sch. 26. p2-p7'!Q163+'Sch. 26. p2-p7'!Q165</f>
        <v>-79.528447904616357</v>
      </c>
      <c r="H75" s="617"/>
      <c r="I75" s="617">
        <v>206614.43199999997</v>
      </c>
      <c r="K75" s="623">
        <f>G75/I75*100</f>
        <v>-3.8491235648348304E-2</v>
      </c>
    </row>
    <row r="76" spans="1:11">
      <c r="A76" s="142">
        <f>A75+1</f>
        <v>45</v>
      </c>
      <c r="C76" s="145" t="s">
        <v>712</v>
      </c>
      <c r="D76" s="145"/>
      <c r="E76" s="142" t="s">
        <v>204</v>
      </c>
      <c r="G76" s="617">
        <f>'Sch. 26. p2-p7'!Q166</f>
        <v>3.9641984900396748E-2</v>
      </c>
      <c r="H76" s="617"/>
      <c r="I76" s="617">
        <v>3406.6589999999997</v>
      </c>
      <c r="K76" s="623">
        <f t="shared" ref="K76" si="7">G76/I76*100</f>
        <v>1.1636616667649083E-3</v>
      </c>
    </row>
    <row r="77" spans="1:11">
      <c r="A77" s="142">
        <f>A76+1</f>
        <v>46</v>
      </c>
      <c r="C77" s="145" t="s">
        <v>1554</v>
      </c>
      <c r="D77" s="145"/>
      <c r="E77" s="142" t="s">
        <v>204</v>
      </c>
      <c r="G77" s="617">
        <f>'Sch. 26. p2-p7'!Q167</f>
        <v>7.1149609479297276</v>
      </c>
      <c r="H77" s="617"/>
      <c r="I77" s="617">
        <v>64295.08</v>
      </c>
      <c r="K77" s="623">
        <f>G77/I77*100</f>
        <v>1.1066104821597124E-2</v>
      </c>
    </row>
    <row r="78" spans="1:11">
      <c r="A78" s="142">
        <f>A77+1</f>
        <v>47</v>
      </c>
      <c r="C78" s="145" t="s">
        <v>715</v>
      </c>
      <c r="D78" s="145"/>
      <c r="E78" s="142" t="s">
        <v>204</v>
      </c>
      <c r="G78" s="617">
        <f>'Sch. 26. p2-p7'!Q169</f>
        <v>2.4717070356325758E-2</v>
      </c>
      <c r="H78" s="617"/>
      <c r="I78" s="617">
        <v>3406.6589999999997</v>
      </c>
      <c r="K78" s="623">
        <f>G78/I78*100</f>
        <v>7.2555164330582425E-4</v>
      </c>
    </row>
    <row r="79" spans="1:11">
      <c r="A79" s="142">
        <f>A78+1</f>
        <v>48</v>
      </c>
      <c r="C79" s="141" t="s">
        <v>244</v>
      </c>
      <c r="G79" s="361">
        <f>SUM(G74:G78)</f>
        <v>-59.129742933712571</v>
      </c>
      <c r="H79" s="617"/>
      <c r="I79" s="617"/>
      <c r="K79" s="623"/>
    </row>
    <row r="80" spans="1:11">
      <c r="A80" s="142"/>
      <c r="K80" s="623"/>
    </row>
    <row r="81" spans="1:12">
      <c r="A81" s="142"/>
      <c r="K81" s="623"/>
    </row>
    <row r="82" spans="1:12">
      <c r="A82" s="1302" t="s">
        <v>1555</v>
      </c>
      <c r="B82" s="1302"/>
      <c r="C82" s="1302"/>
      <c r="D82" s="1302"/>
      <c r="E82" s="1302"/>
      <c r="F82" s="1302"/>
      <c r="G82" s="1302"/>
      <c r="H82" s="1302"/>
      <c r="I82" s="1302"/>
      <c r="J82" s="1302"/>
      <c r="K82" s="1302"/>
      <c r="L82" s="1302"/>
    </row>
    <row r="83" spans="1:12">
      <c r="I83" s="142"/>
    </row>
    <row r="84" spans="1:12">
      <c r="G84" s="142" t="s">
        <v>160</v>
      </c>
      <c r="H84" s="142"/>
      <c r="I84" s="142" t="s">
        <v>193</v>
      </c>
      <c r="J84" s="142"/>
      <c r="K84" s="142" t="s">
        <v>1548</v>
      </c>
    </row>
    <row r="85" spans="1:12">
      <c r="A85" s="142" t="s">
        <v>1</v>
      </c>
      <c r="G85" s="142" t="s">
        <v>195</v>
      </c>
      <c r="H85" s="142"/>
      <c r="I85" s="142" t="s">
        <v>1549</v>
      </c>
      <c r="J85" s="142"/>
      <c r="K85" s="142" t="s">
        <v>1550</v>
      </c>
    </row>
    <row r="86" spans="1:12" ht="14.25">
      <c r="A86" s="205" t="s">
        <v>2</v>
      </c>
      <c r="C86" s="559" t="s">
        <v>3</v>
      </c>
      <c r="E86" s="205" t="s">
        <v>4</v>
      </c>
      <c r="G86" s="621" t="s">
        <v>1551</v>
      </c>
      <c r="H86" s="142"/>
      <c r="I86" s="205" t="s">
        <v>621</v>
      </c>
      <c r="J86" s="142"/>
      <c r="K86" s="205" t="s">
        <v>466</v>
      </c>
    </row>
    <row r="87" spans="1:12" ht="15.75" customHeight="1">
      <c r="A87" s="142"/>
      <c r="G87" s="142" t="s">
        <v>8</v>
      </c>
      <c r="I87" s="142" t="s">
        <v>9</v>
      </c>
      <c r="K87" s="142" t="s">
        <v>1552</v>
      </c>
    </row>
    <row r="88" spans="1:12">
      <c r="A88" s="142"/>
      <c r="C88" s="309" t="s">
        <v>171</v>
      </c>
      <c r="D88" s="622"/>
      <c r="E88" s="622"/>
      <c r="K88" s="623"/>
    </row>
    <row r="89" spans="1:12">
      <c r="A89" s="142">
        <f>A79+1</f>
        <v>49</v>
      </c>
      <c r="C89" s="145" t="s">
        <v>726</v>
      </c>
      <c r="D89" s="145"/>
      <c r="E89" s="142" t="s">
        <v>222</v>
      </c>
      <c r="G89" s="617">
        <f>'Sch. 26. p2-p7'!Q177</f>
        <v>21.958449557679447</v>
      </c>
      <c r="H89" s="617"/>
      <c r="I89" s="617">
        <v>10016.800000000001</v>
      </c>
      <c r="K89" s="623">
        <f>G89/I89*100</f>
        <v>0.21921621234006314</v>
      </c>
    </row>
    <row r="90" spans="1:12">
      <c r="A90" s="142">
        <f>A89+1</f>
        <v>50</v>
      </c>
      <c r="C90" s="145" t="s">
        <v>705</v>
      </c>
      <c r="D90" s="145"/>
      <c r="E90" s="142" t="s">
        <v>204</v>
      </c>
      <c r="G90" s="617">
        <f>'Sch. 26. p2-p7'!Q178+'Sch. 26. p2-p7'!Q180</f>
        <v>36.156507772644751</v>
      </c>
      <c r="H90" s="617"/>
      <c r="I90" s="617">
        <v>94350.200000000012</v>
      </c>
      <c r="K90" s="623">
        <f>G90/I90*100</f>
        <v>3.8321601621029683E-2</v>
      </c>
    </row>
    <row r="91" spans="1:12">
      <c r="A91" s="142">
        <f>A90+1</f>
        <v>51</v>
      </c>
      <c r="C91" s="145" t="s">
        <v>712</v>
      </c>
      <c r="D91" s="145"/>
      <c r="E91" s="142" t="s">
        <v>204</v>
      </c>
      <c r="G91" s="617">
        <f>'Sch. 26. p2-p7'!Q181</f>
        <v>1.508584488733427</v>
      </c>
      <c r="H91" s="617"/>
      <c r="I91" s="617">
        <v>65959.100000000006</v>
      </c>
      <c r="K91" s="623">
        <f>G91/I91*100</f>
        <v>2.2871514146394155E-3</v>
      </c>
    </row>
    <row r="92" spans="1:12">
      <c r="A92" s="142">
        <f>A91+1</f>
        <v>52</v>
      </c>
      <c r="C92" s="145" t="s">
        <v>1554</v>
      </c>
      <c r="D92" s="145"/>
      <c r="E92" s="142" t="s">
        <v>204</v>
      </c>
      <c r="G92" s="617">
        <f>'Sch. 26. p2-p7'!Q182</f>
        <v>3.2486659967807645</v>
      </c>
      <c r="H92" s="617"/>
      <c r="I92" s="617">
        <v>28391.1</v>
      </c>
      <c r="K92" s="623">
        <f>G92/I92*100</f>
        <v>1.1442550647142113E-2</v>
      </c>
    </row>
    <row r="93" spans="1:12">
      <c r="A93" s="142">
        <f>A92+1</f>
        <v>53</v>
      </c>
      <c r="C93" s="145" t="s">
        <v>715</v>
      </c>
      <c r="D93" s="145"/>
      <c r="E93" s="142" t="s">
        <v>204</v>
      </c>
      <c r="G93" s="617">
        <f>'Sch. 26. p2-p7'!Q184</f>
        <v>0.9405685988084671</v>
      </c>
      <c r="H93" s="617"/>
      <c r="I93" s="617">
        <v>65958.3</v>
      </c>
      <c r="K93" s="623">
        <f>G93/I93*100</f>
        <v>1.4260049134202475E-3</v>
      </c>
    </row>
    <row r="94" spans="1:12">
      <c r="A94" s="142">
        <f>A93+1</f>
        <v>54</v>
      </c>
      <c r="C94" s="141" t="s">
        <v>245</v>
      </c>
      <c r="G94" s="624">
        <f>SUM(G89:G93)</f>
        <v>63.812776414646862</v>
      </c>
      <c r="H94" s="617"/>
      <c r="I94" s="617"/>
      <c r="K94" s="623"/>
    </row>
    <row r="95" spans="1:12">
      <c r="A95" s="142"/>
      <c r="K95" s="623"/>
    </row>
    <row r="96" spans="1:12">
      <c r="A96" s="142"/>
      <c r="C96" s="309" t="s">
        <v>172</v>
      </c>
      <c r="D96" s="309"/>
      <c r="E96" s="309"/>
      <c r="K96" s="623"/>
    </row>
    <row r="97" spans="1:16">
      <c r="A97" s="142"/>
      <c r="C97" s="309" t="s">
        <v>246</v>
      </c>
      <c r="D97" s="622"/>
      <c r="E97" s="622"/>
      <c r="K97" s="623"/>
    </row>
    <row r="98" spans="1:16">
      <c r="A98" s="142">
        <f>A94+1</f>
        <v>55</v>
      </c>
      <c r="C98" s="145" t="s">
        <v>1553</v>
      </c>
      <c r="D98" s="145"/>
      <c r="E98" s="142" t="s">
        <v>204</v>
      </c>
      <c r="G98" s="617">
        <f>'Sch. 26. p2-p7'!Q207</f>
        <v>3492.1124880070392</v>
      </c>
      <c r="I98" s="617">
        <v>419838.37399899703</v>
      </c>
      <c r="K98" s="623">
        <f>G98/I98*100</f>
        <v>0.83177544128335956</v>
      </c>
      <c r="P98" s="208"/>
    </row>
    <row r="99" spans="1:16">
      <c r="A99" s="142"/>
      <c r="C99" s="145" t="s">
        <v>712</v>
      </c>
      <c r="D99" s="145"/>
      <c r="E99" s="145"/>
      <c r="G99" s="617"/>
      <c r="I99" s="617"/>
      <c r="K99" s="623"/>
    </row>
    <row r="100" spans="1:16">
      <c r="A100" s="142">
        <f>A98+1</f>
        <v>56</v>
      </c>
      <c r="C100" s="625" t="s">
        <v>780</v>
      </c>
      <c r="D100" s="625"/>
      <c r="E100" s="142" t="s">
        <v>204</v>
      </c>
      <c r="G100" s="617">
        <f>'Sch. 26. p2-p7'!Q209</f>
        <v>-12.531110856576328</v>
      </c>
      <c r="I100" s="617">
        <v>118109.94610309979</v>
      </c>
      <c r="K100" s="623">
        <f>G100/I100*100</f>
        <v>-1.0609699919461271E-2</v>
      </c>
      <c r="P100" s="208"/>
    </row>
    <row r="101" spans="1:16">
      <c r="A101" s="142">
        <f>A100+1</f>
        <v>57</v>
      </c>
      <c r="C101" s="625" t="s">
        <v>781</v>
      </c>
      <c r="D101" s="625"/>
      <c r="E101" s="142" t="s">
        <v>204</v>
      </c>
      <c r="G101" s="617">
        <f>'Sch. 26. p2-p7'!Q210</f>
        <v>1.548677449913483</v>
      </c>
      <c r="I101" s="617">
        <v>301728.42789589724</v>
      </c>
      <c r="K101" s="623">
        <f>G101/I101*100</f>
        <v>5.1326865708782653E-4</v>
      </c>
      <c r="P101" s="208"/>
    </row>
    <row r="102" spans="1:16">
      <c r="A102" s="142"/>
      <c r="C102" s="145" t="s">
        <v>756</v>
      </c>
      <c r="D102" s="145"/>
      <c r="E102" s="145"/>
      <c r="G102" s="617"/>
      <c r="I102" s="617"/>
      <c r="K102" s="623"/>
    </row>
    <row r="103" spans="1:16">
      <c r="A103" s="142">
        <f>A101+1</f>
        <v>58</v>
      </c>
      <c r="C103" s="625" t="s">
        <v>780</v>
      </c>
      <c r="D103" s="625"/>
      <c r="E103" s="142" t="s">
        <v>204</v>
      </c>
      <c r="G103" s="617">
        <f>'Sch. 26. p2-p7'!Q213</f>
        <v>80.553310493869859</v>
      </c>
      <c r="I103" s="617">
        <v>118109.94610309979</v>
      </c>
      <c r="K103" s="623">
        <f>G103/I103*100</f>
        <v>6.820197041115722E-2</v>
      </c>
      <c r="P103" s="208"/>
    </row>
    <row r="104" spans="1:16">
      <c r="A104" s="142">
        <f>A103+1</f>
        <v>59</v>
      </c>
      <c r="C104" s="625" t="s">
        <v>781</v>
      </c>
      <c r="D104" s="625"/>
      <c r="E104" s="142" t="s">
        <v>204</v>
      </c>
      <c r="G104" s="617">
        <f>'Sch. 26. p2-p7'!Q214</f>
        <v>255.50995943572138</v>
      </c>
      <c r="I104" s="617">
        <v>301728.42789589724</v>
      </c>
      <c r="K104" s="623">
        <f>G104/I104*100</f>
        <v>8.4682096817167582E-2</v>
      </c>
      <c r="P104" s="208"/>
    </row>
    <row r="105" spans="1:16">
      <c r="A105" s="142"/>
      <c r="C105" s="145" t="s">
        <v>715</v>
      </c>
      <c r="D105" s="145"/>
      <c r="E105" s="145"/>
      <c r="G105" s="617"/>
      <c r="I105" s="617"/>
      <c r="K105" s="623"/>
    </row>
    <row r="106" spans="1:16">
      <c r="A106" s="142">
        <f>A104+1</f>
        <v>60</v>
      </c>
      <c r="C106" s="625" t="s">
        <v>780</v>
      </c>
      <c r="D106" s="625"/>
      <c r="E106" s="142" t="s">
        <v>204</v>
      </c>
      <c r="G106" s="617">
        <f>'Sch. 26. p2-p7'!Q217</f>
        <v>8.4056787235081387</v>
      </c>
      <c r="I106" s="617">
        <v>112485.69372538682</v>
      </c>
      <c r="K106" s="623">
        <f>G106/I106*100</f>
        <v>7.4726646963915793E-3</v>
      </c>
      <c r="P106" s="208"/>
    </row>
    <row r="107" spans="1:16">
      <c r="A107" s="142">
        <f>A106+1</f>
        <v>61</v>
      </c>
      <c r="C107" s="625" t="s">
        <v>781</v>
      </c>
      <c r="D107" s="625"/>
      <c r="E107" s="142" t="s">
        <v>204</v>
      </c>
      <c r="G107" s="617">
        <f>'Sch. 26. p2-p7'!Q218</f>
        <v>21.097255656319732</v>
      </c>
      <c r="I107" s="617">
        <v>281848.47156909306</v>
      </c>
      <c r="K107" s="623">
        <f>G107/I107*100</f>
        <v>7.4853184545823929E-3</v>
      </c>
      <c r="P107" s="208"/>
    </row>
    <row r="108" spans="1:16">
      <c r="A108" s="142">
        <f>A107+1</f>
        <v>62</v>
      </c>
      <c r="C108" s="141" t="s">
        <v>259</v>
      </c>
      <c r="G108" s="561">
        <f>SUM(G98:G107)</f>
        <v>3846.6962589097957</v>
      </c>
      <c r="K108" s="623"/>
    </row>
    <row r="109" spans="1:16">
      <c r="K109" s="623"/>
    </row>
    <row r="110" spans="1:16">
      <c r="C110" s="309" t="s">
        <v>174</v>
      </c>
      <c r="D110" s="622"/>
      <c r="E110" s="622"/>
      <c r="K110" s="623"/>
    </row>
    <row r="111" spans="1:16">
      <c r="A111" s="142">
        <f>A108+1</f>
        <v>63</v>
      </c>
      <c r="C111" s="145" t="s">
        <v>1553</v>
      </c>
      <c r="D111" s="145"/>
      <c r="E111" s="142" t="s">
        <v>204</v>
      </c>
      <c r="G111" s="617">
        <f>'Sch. 26. p2-p7'!Q231</f>
        <v>-446.26188854358156</v>
      </c>
      <c r="I111" s="617">
        <v>166805.14384610107</v>
      </c>
      <c r="K111" s="623">
        <f>G111/I111*100</f>
        <v>-0.26753484829899182</v>
      </c>
      <c r="O111" s="208"/>
      <c r="P111" s="208"/>
    </row>
    <row r="112" spans="1:16">
      <c r="A112" s="142"/>
      <c r="C112" s="145" t="s">
        <v>712</v>
      </c>
      <c r="D112" s="145"/>
      <c r="E112" s="145"/>
      <c r="G112" s="617"/>
      <c r="I112" s="617"/>
      <c r="K112" s="623"/>
      <c r="P112" s="208"/>
    </row>
    <row r="113" spans="1:17">
      <c r="A113" s="142">
        <f>A111+1</f>
        <v>64</v>
      </c>
      <c r="C113" s="625" t="s">
        <v>780</v>
      </c>
      <c r="D113" s="625"/>
      <c r="E113" s="142" t="s">
        <v>204</v>
      </c>
      <c r="G113" s="617">
        <f>'Sch. 26. p2-p7'!Q233</f>
        <v>-3.9288860147718827</v>
      </c>
      <c r="I113" s="617">
        <v>37046.412799047073</v>
      </c>
      <c r="K113" s="623">
        <f>G113/I113*100</f>
        <v>-1.0605307553213204E-2</v>
      </c>
      <c r="P113" s="208"/>
      <c r="Q113" s="208"/>
    </row>
    <row r="114" spans="1:17">
      <c r="A114" s="142">
        <f t="shared" ref="A114:A121" si="8">A113+1</f>
        <v>65</v>
      </c>
      <c r="C114" s="625" t="s">
        <v>781</v>
      </c>
      <c r="D114" s="625"/>
      <c r="E114" s="142" t="s">
        <v>204</v>
      </c>
      <c r="G114" s="617">
        <f>'Sch. 26. p2-p7'!Q234</f>
        <v>0.48681587647828439</v>
      </c>
      <c r="I114" s="617">
        <v>127776.45732687693</v>
      </c>
      <c r="K114" s="623">
        <f>G114/I114*100</f>
        <v>3.8099027525306562E-4</v>
      </c>
      <c r="P114" s="208"/>
    </row>
    <row r="115" spans="1:17">
      <c r="A115" s="142"/>
      <c r="C115" s="145" t="s">
        <v>756</v>
      </c>
      <c r="D115" s="145"/>
      <c r="E115" s="145"/>
      <c r="G115" s="617"/>
      <c r="I115" s="617"/>
      <c r="K115" s="623"/>
    </row>
    <row r="116" spans="1:17">
      <c r="A116" s="142">
        <f>A114+1</f>
        <v>66</v>
      </c>
      <c r="C116" s="625" t="s">
        <v>780</v>
      </c>
      <c r="D116" s="625"/>
      <c r="E116" s="142" t="s">
        <v>204</v>
      </c>
      <c r="G116" s="617">
        <f>'Sch. 26. p2-p7'!Q237</f>
        <v>15.626814703705422</v>
      </c>
      <c r="I116" s="617">
        <v>37046.412799047073</v>
      </c>
      <c r="K116" s="623">
        <f>G116/I116*100</f>
        <v>4.2181721583870554E-2</v>
      </c>
      <c r="O116" s="208"/>
      <c r="P116" s="208"/>
    </row>
    <row r="117" spans="1:17">
      <c r="A117" s="142">
        <f t="shared" si="8"/>
        <v>67</v>
      </c>
      <c r="C117" s="625" t="s">
        <v>781</v>
      </c>
      <c r="D117" s="625"/>
      <c r="E117" s="142" t="s">
        <v>204</v>
      </c>
      <c r="G117" s="617">
        <f>'Sch. 26. p2-p7'!Q238</f>
        <v>65.402229600410251</v>
      </c>
      <c r="I117" s="617">
        <v>127776.45732687693</v>
      </c>
      <c r="K117" s="623">
        <f>G117/I117*100</f>
        <v>5.1184882543032689E-2</v>
      </c>
      <c r="O117" s="208"/>
      <c r="P117" s="208"/>
    </row>
    <row r="118" spans="1:17">
      <c r="A118" s="142"/>
      <c r="C118" s="145" t="s">
        <v>715</v>
      </c>
      <c r="D118" s="145"/>
      <c r="G118" s="617"/>
      <c r="I118" s="617"/>
      <c r="K118" s="623"/>
    </row>
    <row r="119" spans="1:17">
      <c r="A119" s="142">
        <f>A117+1</f>
        <v>68</v>
      </c>
      <c r="C119" s="625" t="s">
        <v>780</v>
      </c>
      <c r="D119" s="625"/>
      <c r="E119" s="142" t="s">
        <v>204</v>
      </c>
      <c r="G119" s="617">
        <f>'Sch. 26. p2-p7'!Q241</f>
        <v>1.2087399242077759</v>
      </c>
      <c r="I119" s="617">
        <v>19558.157949242683</v>
      </c>
      <c r="K119" s="623">
        <f>G119/I119*100</f>
        <v>6.1802339839196353E-3</v>
      </c>
      <c r="P119" s="208"/>
    </row>
    <row r="120" spans="1:17">
      <c r="A120" s="142">
        <f t="shared" si="8"/>
        <v>69</v>
      </c>
      <c r="C120" s="625" t="s">
        <v>781</v>
      </c>
      <c r="D120" s="625"/>
      <c r="E120" s="142" t="s">
        <v>204</v>
      </c>
      <c r="G120" s="617">
        <f>'Sch. 26. p2-p7'!Q242</f>
        <v>3.9005003620059933</v>
      </c>
      <c r="I120" s="617">
        <v>67846.184143255348</v>
      </c>
      <c r="K120" s="623">
        <f>G120/I120*100</f>
        <v>5.7490342474827974E-3</v>
      </c>
      <c r="P120" s="208"/>
    </row>
    <row r="121" spans="1:17">
      <c r="A121" s="142">
        <f t="shared" si="8"/>
        <v>70</v>
      </c>
      <c r="C121" s="141" t="s">
        <v>267</v>
      </c>
      <c r="G121" s="624">
        <f>SUM(G111:G120)</f>
        <v>-363.56567409154582</v>
      </c>
      <c r="K121" s="623"/>
    </row>
    <row r="122" spans="1:17">
      <c r="A122" s="142"/>
      <c r="K122" s="623"/>
    </row>
    <row r="123" spans="1:17">
      <c r="A123" s="142"/>
      <c r="C123" s="309" t="s">
        <v>268</v>
      </c>
      <c r="D123" s="622"/>
      <c r="K123" s="623"/>
    </row>
    <row r="124" spans="1:17">
      <c r="A124" s="142">
        <f>A121+1</f>
        <v>71</v>
      </c>
      <c r="C124" s="145" t="s">
        <v>1556</v>
      </c>
      <c r="D124" s="145"/>
      <c r="E124" s="142" t="s">
        <v>222</v>
      </c>
      <c r="G124" s="617">
        <f>'Sch. 26. p2-p7'!Q252+'Sch. 26. p2-p7'!Q260</f>
        <v>82.709011453855709</v>
      </c>
      <c r="I124" s="617">
        <v>61154.511999999995</v>
      </c>
      <c r="K124" s="623">
        <f>G124/I124*100</f>
        <v>0.13524596754832369</v>
      </c>
      <c r="P124" s="208"/>
    </row>
    <row r="125" spans="1:17">
      <c r="A125" s="142">
        <f t="shared" ref="A125:A136" si="9">A124+1</f>
        <v>72</v>
      </c>
      <c r="C125" s="145" t="s">
        <v>1553</v>
      </c>
      <c r="D125" s="145"/>
      <c r="E125" s="142" t="s">
        <v>204</v>
      </c>
      <c r="G125" s="617">
        <f>'Sch. 26. p2-p7'!Q256</f>
        <v>-36.104161631818975</v>
      </c>
      <c r="I125" s="617">
        <v>684821.15746999998</v>
      </c>
      <c r="K125" s="623">
        <f>G125/I125*100</f>
        <v>-5.2720569798401116E-3</v>
      </c>
      <c r="P125" s="208"/>
    </row>
    <row r="126" spans="1:17">
      <c r="A126" s="142"/>
      <c r="C126" s="145" t="s">
        <v>1557</v>
      </c>
      <c r="D126" s="145"/>
      <c r="E126" s="145"/>
      <c r="G126" s="617"/>
      <c r="I126" s="617"/>
      <c r="K126" s="623"/>
    </row>
    <row r="127" spans="1:17">
      <c r="A127" s="142">
        <f>A125+1</f>
        <v>73</v>
      </c>
      <c r="C127" s="625" t="s">
        <v>780</v>
      </c>
      <c r="D127" s="625"/>
      <c r="E127" s="142" t="s">
        <v>204</v>
      </c>
      <c r="G127" s="617">
        <f>'Sch. 26. p2-p7'!Q263</f>
        <v>0.93020897092776655</v>
      </c>
      <c r="I127" s="617">
        <v>1176.0239999999997</v>
      </c>
      <c r="K127" s="623">
        <f>G127/I127*100</f>
        <v>7.9097788049203657E-2</v>
      </c>
      <c r="P127" s="208"/>
      <c r="Q127" s="616"/>
    </row>
    <row r="128" spans="1:17">
      <c r="A128" s="142">
        <f t="shared" si="9"/>
        <v>74</v>
      </c>
      <c r="C128" s="625" t="s">
        <v>781</v>
      </c>
      <c r="D128" s="625"/>
      <c r="E128" s="142" t="s">
        <v>204</v>
      </c>
      <c r="G128" s="617">
        <f>'Sch. 26. p2-p7'!Q264</f>
        <v>2.6555402214638741</v>
      </c>
      <c r="I128" s="617">
        <v>4527.768</v>
      </c>
      <c r="K128" s="623">
        <f>G128/I128*100</f>
        <v>5.865009473683002E-2</v>
      </c>
      <c r="P128" s="208"/>
    </row>
    <row r="129" spans="1:16">
      <c r="A129" s="142"/>
      <c r="C129" s="145" t="s">
        <v>1558</v>
      </c>
      <c r="D129" s="145"/>
      <c r="E129" s="145"/>
      <c r="G129" s="617"/>
      <c r="I129" s="617"/>
      <c r="K129" s="623"/>
    </row>
    <row r="130" spans="1:16">
      <c r="A130" s="142">
        <f>A128+1</f>
        <v>75</v>
      </c>
      <c r="C130" s="625" t="s">
        <v>780</v>
      </c>
      <c r="D130" s="625"/>
      <c r="E130" s="142" t="s">
        <v>204</v>
      </c>
      <c r="G130" s="617">
        <f>'Sch. 26. p2-p7'!Q268</f>
        <v>0.44644133961767624</v>
      </c>
      <c r="I130" s="617">
        <v>21582.238400000002</v>
      </c>
      <c r="K130" s="623">
        <f>G130/I130*100</f>
        <v>2.06855902220817E-3</v>
      </c>
      <c r="P130" s="208"/>
    </row>
    <row r="131" spans="1:16">
      <c r="A131" s="142">
        <f t="shared" si="9"/>
        <v>76</v>
      </c>
      <c r="C131" s="625" t="s">
        <v>781</v>
      </c>
      <c r="D131" s="625"/>
      <c r="E131" s="142" t="s">
        <v>204</v>
      </c>
      <c r="G131" s="617">
        <f>'Sch. 26. p2-p7'!Q269</f>
        <v>1.0398511858613688</v>
      </c>
      <c r="I131" s="617">
        <v>63100.90526</v>
      </c>
      <c r="K131" s="623">
        <f>G131/I131*100</f>
        <v>1.6479180157190805E-3</v>
      </c>
      <c r="P131" s="208"/>
    </row>
    <row r="132" spans="1:16">
      <c r="A132" s="142"/>
      <c r="C132" s="145" t="s">
        <v>1559</v>
      </c>
      <c r="D132" s="145"/>
      <c r="E132" s="145"/>
      <c r="G132" s="617"/>
      <c r="I132" s="617"/>
      <c r="K132" s="623"/>
    </row>
    <row r="133" spans="1:16">
      <c r="A133" s="142">
        <f>A131+1</f>
        <v>77</v>
      </c>
      <c r="C133" s="625" t="s">
        <v>780</v>
      </c>
      <c r="D133" s="625"/>
      <c r="E133" s="142" t="s">
        <v>204</v>
      </c>
      <c r="G133" s="617">
        <f>'Sch. 26. p2-p7'!Q281</f>
        <v>0.10499261449351094</v>
      </c>
      <c r="I133" s="617">
        <v>3909.5590999999999</v>
      </c>
      <c r="K133" s="623">
        <f>G133/I133*100</f>
        <v>2.685535934052281E-3</v>
      </c>
      <c r="P133" s="208"/>
    </row>
    <row r="134" spans="1:16">
      <c r="A134" s="142">
        <f t="shared" si="9"/>
        <v>78</v>
      </c>
      <c r="C134" s="625" t="s">
        <v>781</v>
      </c>
      <c r="D134" s="625"/>
      <c r="E134" s="142" t="s">
        <v>204</v>
      </c>
      <c r="G134" s="617">
        <f>'Sch. 26. p2-p7'!Q282</f>
        <v>0.12190267983639014</v>
      </c>
      <c r="I134" s="617">
        <v>7685.8250600000001</v>
      </c>
      <c r="K134" s="623">
        <f>G134/I134*100</f>
        <v>1.586071487247592E-3</v>
      </c>
      <c r="P134" s="208"/>
    </row>
    <row r="135" spans="1:16">
      <c r="A135" s="142">
        <f t="shared" si="9"/>
        <v>79</v>
      </c>
      <c r="C135" s="145" t="s">
        <v>1560</v>
      </c>
      <c r="D135" s="145"/>
      <c r="E135" s="142" t="s">
        <v>284</v>
      </c>
      <c r="G135" s="617">
        <f>'Sch. 26. p2-p7'!Q277+'Sch. 26. p2-p7'!Q278</f>
        <v>11.513326231422001</v>
      </c>
      <c r="I135" s="617">
        <v>94336</v>
      </c>
      <c r="K135" s="626">
        <f>G135/I135*1000</f>
        <v>0.12204594461734651</v>
      </c>
      <c r="O135" s="208"/>
      <c r="P135" s="208"/>
    </row>
    <row r="136" spans="1:16">
      <c r="A136" s="142">
        <f t="shared" si="9"/>
        <v>80</v>
      </c>
      <c r="C136" s="141" t="s">
        <v>287</v>
      </c>
      <c r="G136" s="561">
        <f>SUM(G124:G135)</f>
        <v>63.417113065659315</v>
      </c>
      <c r="K136" s="623"/>
    </row>
    <row r="137" spans="1:16">
      <c r="A137" s="142"/>
      <c r="K137" s="623"/>
    </row>
    <row r="138" spans="1:16">
      <c r="A138" s="142"/>
      <c r="C138" s="309" t="s">
        <v>288</v>
      </c>
      <c r="D138" s="622"/>
      <c r="E138" s="622"/>
      <c r="K138" s="623"/>
    </row>
    <row r="139" spans="1:16">
      <c r="A139" s="142">
        <f>A136+1</f>
        <v>81</v>
      </c>
      <c r="C139" s="145" t="s">
        <v>812</v>
      </c>
      <c r="D139" s="145"/>
      <c r="E139" s="142" t="s">
        <v>204</v>
      </c>
      <c r="G139" s="617">
        <f>'Sch. 26. p2-p7'!Q298+'Sch. 26. p2-p7'!Q300+'Sch. 26. p2-p7'!Q303+'Sch. 26. p2-p7'!Q301</f>
        <v>43.143116908361385</v>
      </c>
      <c r="I139" s="617">
        <v>93495.360420000012</v>
      </c>
      <c r="K139" s="623">
        <f>G139/I139*100</f>
        <v>4.6144660777341036E-2</v>
      </c>
      <c r="P139" s="208"/>
    </row>
    <row r="140" spans="1:16">
      <c r="A140" s="142"/>
      <c r="C140" s="145" t="s">
        <v>715</v>
      </c>
      <c r="D140" s="145"/>
      <c r="E140" s="145"/>
      <c r="G140" s="617"/>
      <c r="I140" s="617"/>
      <c r="K140" s="623"/>
    </row>
    <row r="141" spans="1:16">
      <c r="A141" s="142">
        <f>A139+1</f>
        <v>82</v>
      </c>
      <c r="C141" s="625" t="s">
        <v>780</v>
      </c>
      <c r="D141" s="625"/>
      <c r="E141" s="142" t="s">
        <v>204</v>
      </c>
      <c r="G141" s="617">
        <f>'Sch. 26. p2-p7'!Q305</f>
        <v>2.1897231665158414E-2</v>
      </c>
      <c r="I141" s="617">
        <v>4720.2247199999993</v>
      </c>
      <c r="K141" s="623">
        <f>G141/I141*100</f>
        <v>4.6390231321779987E-4</v>
      </c>
      <c r="P141" s="208"/>
    </row>
    <row r="142" spans="1:16">
      <c r="A142" s="142">
        <f>A141+1</f>
        <v>83</v>
      </c>
      <c r="C142" s="625" t="s">
        <v>781</v>
      </c>
      <c r="D142" s="625"/>
      <c r="E142" s="142" t="s">
        <v>204</v>
      </c>
      <c r="G142" s="617">
        <f>'Sch. 26. p2-p7'!Q306</f>
        <v>2.741935799165331E-2</v>
      </c>
      <c r="I142" s="617">
        <v>105.36233</v>
      </c>
      <c r="K142" s="623">
        <f>G142/I142*100</f>
        <v>2.6023872091337871E-2</v>
      </c>
      <c r="P142" s="208"/>
    </row>
    <row r="143" spans="1:16">
      <c r="A143" s="142">
        <f>A142+1</f>
        <v>84</v>
      </c>
      <c r="C143" s="141" t="s">
        <v>290</v>
      </c>
      <c r="G143" s="561">
        <f>SUM(G139:G142)</f>
        <v>43.192433498018197</v>
      </c>
      <c r="K143" s="623"/>
    </row>
    <row r="144" spans="1:16">
      <c r="A144" s="142"/>
      <c r="K144" s="623"/>
    </row>
    <row r="145" spans="1:16">
      <c r="A145" s="142"/>
      <c r="C145" s="309" t="s">
        <v>291</v>
      </c>
      <c r="D145" s="622"/>
      <c r="E145" s="622"/>
      <c r="K145" s="623"/>
    </row>
    <row r="146" spans="1:16">
      <c r="A146" s="142">
        <f>A143+1</f>
        <v>85</v>
      </c>
      <c r="C146" s="145" t="s">
        <v>726</v>
      </c>
      <c r="D146" s="145"/>
      <c r="E146" s="142" t="s">
        <v>222</v>
      </c>
      <c r="G146" s="617">
        <f>'Sch. 26. p2-p7'!Q313+'Sch. 26. p2-p7'!Q316+'Sch. 26. p2-p7'!Q317</f>
        <v>-7.0117166519070784</v>
      </c>
      <c r="I146" s="617">
        <v>28033.359999999993</v>
      </c>
      <c r="K146" s="623">
        <f>G146/I146*100</f>
        <v>-2.5012045120196363E-2</v>
      </c>
      <c r="P146" s="208"/>
    </row>
    <row r="147" spans="1:16">
      <c r="A147" s="142">
        <f>A146+1</f>
        <v>86</v>
      </c>
      <c r="C147" s="145" t="s">
        <v>705</v>
      </c>
      <c r="D147" s="145"/>
      <c r="E147" s="142" t="s">
        <v>204</v>
      </c>
      <c r="G147" s="617">
        <f>'Sch. 26. p2-p7'!Q314</f>
        <v>-5.1010279441917854</v>
      </c>
      <c r="I147" s="617">
        <v>710033.48130999994</v>
      </c>
      <c r="K147" s="623">
        <f>G147/I147*100</f>
        <v>-7.1842076162105398E-4</v>
      </c>
      <c r="P147" s="208"/>
    </row>
    <row r="148" spans="1:16">
      <c r="A148" s="142">
        <f>A147+1</f>
        <v>87</v>
      </c>
      <c r="C148" s="141" t="s">
        <v>223</v>
      </c>
      <c r="G148" s="624">
        <f>SUM(G146:G147)</f>
        <v>-12.112744596098864</v>
      </c>
      <c r="I148" s="617"/>
      <c r="K148" s="623"/>
    </row>
    <row r="149" spans="1:16">
      <c r="A149" s="142"/>
      <c r="I149" s="617"/>
      <c r="K149" s="623"/>
    </row>
    <row r="150" spans="1:16">
      <c r="A150" s="142"/>
      <c r="C150" s="309" t="s">
        <v>177</v>
      </c>
      <c r="D150" s="309"/>
      <c r="E150" s="309"/>
      <c r="I150" s="617"/>
      <c r="K150" s="623"/>
    </row>
    <row r="151" spans="1:16">
      <c r="A151" s="142"/>
      <c r="I151" s="617"/>
      <c r="K151" s="623"/>
    </row>
    <row r="152" spans="1:16">
      <c r="A152" s="142"/>
      <c r="C152" s="309" t="s">
        <v>292</v>
      </c>
      <c r="D152" s="622"/>
      <c r="E152" s="622"/>
      <c r="I152" s="617"/>
      <c r="K152" s="623"/>
    </row>
    <row r="153" spans="1:16">
      <c r="A153" s="142">
        <f>A148+1</f>
        <v>88</v>
      </c>
      <c r="C153" s="145" t="s">
        <v>1553</v>
      </c>
      <c r="D153" s="145"/>
      <c r="E153" s="142" t="s">
        <v>204</v>
      </c>
      <c r="G153" s="617">
        <f>'Sch. 26. p2-p7'!Q339</f>
        <v>3861.0108469749703</v>
      </c>
      <c r="I153" s="617">
        <v>1418219.956172256</v>
      </c>
      <c r="K153" s="623">
        <f>G153/I153*100</f>
        <v>0.27224344363308439</v>
      </c>
      <c r="P153" s="208"/>
    </row>
    <row r="154" spans="1:16">
      <c r="A154" s="142">
        <f>A153+1</f>
        <v>89</v>
      </c>
      <c r="C154" s="145" t="s">
        <v>790</v>
      </c>
      <c r="D154" s="145"/>
      <c r="E154" s="142" t="s">
        <v>204</v>
      </c>
      <c r="G154" s="617">
        <f>'Sch. 26. p2-p7'!Q341</f>
        <v>500.27385545285802</v>
      </c>
      <c r="I154" s="617">
        <v>1418219.956172256</v>
      </c>
      <c r="K154" s="623">
        <f>G154/I154*100</f>
        <v>3.5274771961542974E-2</v>
      </c>
      <c r="P154" s="208"/>
    </row>
    <row r="155" spans="1:16">
      <c r="A155" s="142">
        <f>A154+1</f>
        <v>90</v>
      </c>
      <c r="C155" s="145" t="s">
        <v>715</v>
      </c>
      <c r="D155" s="145"/>
      <c r="E155" s="142" t="s">
        <v>204</v>
      </c>
      <c r="G155" s="617">
        <f>'Sch. 26. p2-p7'!Q342</f>
        <v>-34.198751831546062</v>
      </c>
      <c r="I155" s="617">
        <v>1340837.9292994002</v>
      </c>
      <c r="K155" s="623">
        <f>G155/I155*100</f>
        <v>-2.550550747726477E-3</v>
      </c>
      <c r="P155" s="208"/>
    </row>
    <row r="156" spans="1:16">
      <c r="A156" s="142">
        <f>A155+1</f>
        <v>91</v>
      </c>
      <c r="C156" s="141" t="s">
        <v>297</v>
      </c>
      <c r="G156" s="624">
        <f>SUM(G153:G155)</f>
        <v>4327.0859505962817</v>
      </c>
      <c r="K156" s="623"/>
    </row>
    <row r="157" spans="1:16">
      <c r="A157" s="142"/>
      <c r="K157" s="623"/>
    </row>
    <row r="159" spans="1:16">
      <c r="P159" s="208"/>
    </row>
    <row r="160" spans="1:16">
      <c r="A160" s="142"/>
      <c r="K160" s="623"/>
    </row>
    <row r="161" spans="1:16">
      <c r="A161" s="1302" t="s">
        <v>1555</v>
      </c>
      <c r="B161" s="1302"/>
      <c r="C161" s="1302"/>
      <c r="D161" s="1302"/>
      <c r="E161" s="1302"/>
      <c r="F161" s="1302"/>
      <c r="G161" s="1302"/>
      <c r="H161" s="1302"/>
      <c r="I161" s="1302"/>
      <c r="J161" s="1302"/>
      <c r="K161" s="1302"/>
      <c r="L161" s="1302"/>
    </row>
    <row r="162" spans="1:16">
      <c r="I162" s="142"/>
    </row>
    <row r="163" spans="1:16">
      <c r="G163" s="142" t="s">
        <v>160</v>
      </c>
      <c r="H163" s="142"/>
      <c r="I163" s="142" t="s">
        <v>193</v>
      </c>
      <c r="J163" s="142"/>
      <c r="K163" s="142" t="s">
        <v>1548</v>
      </c>
    </row>
    <row r="164" spans="1:16">
      <c r="A164" s="142" t="s">
        <v>1</v>
      </c>
      <c r="G164" s="142" t="s">
        <v>195</v>
      </c>
      <c r="H164" s="142"/>
      <c r="I164" s="142" t="s">
        <v>1549</v>
      </c>
      <c r="J164" s="142"/>
      <c r="K164" s="142" t="s">
        <v>1550</v>
      </c>
    </row>
    <row r="165" spans="1:16" ht="14.25">
      <c r="A165" s="205" t="s">
        <v>2</v>
      </c>
      <c r="C165" s="559" t="s">
        <v>3</v>
      </c>
      <c r="E165" s="205" t="s">
        <v>4</v>
      </c>
      <c r="G165" s="621" t="s">
        <v>1551</v>
      </c>
      <c r="H165" s="142"/>
      <c r="I165" s="205" t="s">
        <v>621</v>
      </c>
      <c r="J165" s="142"/>
      <c r="K165" s="205" t="s">
        <v>466</v>
      </c>
    </row>
    <row r="166" spans="1:16">
      <c r="A166" s="142"/>
      <c r="G166" s="142" t="s">
        <v>8</v>
      </c>
      <c r="I166" s="142" t="s">
        <v>9</v>
      </c>
      <c r="K166" s="142" t="s">
        <v>1552</v>
      </c>
    </row>
    <row r="167" spans="1:16" ht="12.75" customHeight="1">
      <c r="A167" s="142"/>
      <c r="K167" s="623"/>
    </row>
    <row r="168" spans="1:16" ht="12.75" customHeight="1">
      <c r="A168" s="142"/>
      <c r="C168" s="309" t="s">
        <v>298</v>
      </c>
      <c r="D168" s="622"/>
      <c r="E168" s="622"/>
      <c r="K168" s="623"/>
    </row>
    <row r="169" spans="1:16" ht="12.75" customHeight="1">
      <c r="A169" s="142">
        <f>A156+1</f>
        <v>92</v>
      </c>
      <c r="C169" s="145" t="s">
        <v>1553</v>
      </c>
      <c r="D169" s="145"/>
      <c r="E169" s="142" t="s">
        <v>204</v>
      </c>
      <c r="G169" s="617">
        <f>'Sch. 26. p2-p7'!Q353</f>
        <v>-1584.3260471045173</v>
      </c>
      <c r="I169" s="617">
        <v>672042.15088004968</v>
      </c>
      <c r="K169" s="623">
        <f>G169/I169*100</f>
        <v>-0.23574801744649762</v>
      </c>
    </row>
    <row r="170" spans="1:16" ht="12.75" customHeight="1">
      <c r="A170" s="142">
        <f>A169+1</f>
        <v>93</v>
      </c>
      <c r="C170" s="145" t="s">
        <v>790</v>
      </c>
      <c r="D170" s="145"/>
      <c r="E170" s="142" t="s">
        <v>204</v>
      </c>
      <c r="G170" s="617">
        <f>'Sch. 26. p2-p7'!Q355</f>
        <v>173.47583492399903</v>
      </c>
      <c r="I170" s="617">
        <v>672042.15088004968</v>
      </c>
      <c r="K170" s="623">
        <f>G170/I170*100</f>
        <v>2.581323726448255E-2</v>
      </c>
    </row>
    <row r="171" spans="1:16" ht="12.75" customHeight="1">
      <c r="A171" s="142">
        <f>A170+1</f>
        <v>94</v>
      </c>
      <c r="C171" s="145" t="s">
        <v>715</v>
      </c>
      <c r="D171" s="145"/>
      <c r="E171" s="142" t="s">
        <v>204</v>
      </c>
      <c r="G171" s="617">
        <f>'Sch. 26. p2-p7'!Q356</f>
        <v>-6.7311996702865668</v>
      </c>
      <c r="I171" s="617">
        <v>374528.71065307455</v>
      </c>
      <c r="K171" s="623">
        <f>G171/I171*100</f>
        <v>-1.7972453055866439E-3</v>
      </c>
    </row>
    <row r="172" spans="1:16" ht="12.75" customHeight="1">
      <c r="A172" s="142">
        <f>A171+1</f>
        <v>95</v>
      </c>
      <c r="C172" s="141" t="s">
        <v>480</v>
      </c>
      <c r="G172" s="624">
        <f>SUM(G169:G171)</f>
        <v>-1417.5814118508049</v>
      </c>
      <c r="K172" s="623"/>
    </row>
    <row r="173" spans="1:16" ht="12.75" customHeight="1">
      <c r="A173" s="142"/>
      <c r="K173" s="623"/>
    </row>
    <row r="174" spans="1:16" ht="12.75" customHeight="1">
      <c r="A174" s="142"/>
      <c r="C174" s="309" t="s">
        <v>180</v>
      </c>
      <c r="D174" s="622"/>
      <c r="E174" s="622"/>
      <c r="K174" s="623"/>
    </row>
    <row r="175" spans="1:16">
      <c r="A175" s="142">
        <f>A172+1</f>
        <v>96</v>
      </c>
      <c r="C175" s="145" t="s">
        <v>1556</v>
      </c>
      <c r="D175" s="145"/>
      <c r="E175" s="142" t="s">
        <v>222</v>
      </c>
      <c r="G175" s="617">
        <f>'Sch. 26. p2-p7'!Q365+'Sch. 26. p2-p7'!Q372+'Sch. 26. p2-p7'!Q375</f>
        <v>260.28102439131294</v>
      </c>
      <c r="I175" s="617">
        <v>31301.096000000001</v>
      </c>
      <c r="K175" s="623">
        <f>G175/I175*100</f>
        <v>0.83153965085220305</v>
      </c>
      <c r="P175" s="208"/>
    </row>
    <row r="176" spans="1:16">
      <c r="A176" s="142">
        <f>A175+1</f>
        <v>97</v>
      </c>
      <c r="C176" s="145" t="s">
        <v>1553</v>
      </c>
      <c r="D176" s="145"/>
      <c r="E176" s="142" t="s">
        <v>204</v>
      </c>
      <c r="G176" s="617">
        <f>'Sch. 26. p2-p7'!Q369+'Sch. 26. p2-p7'!Q371</f>
        <v>198.90321100458695</v>
      </c>
      <c r="I176" s="617">
        <v>342840.96249000006</v>
      </c>
      <c r="K176" s="623">
        <f>G176/I176*100</f>
        <v>5.801617448509775E-2</v>
      </c>
      <c r="P176" s="208"/>
    </row>
    <row r="177" spans="1:16">
      <c r="A177" s="142">
        <f>A176+1</f>
        <v>98</v>
      </c>
      <c r="C177" s="145" t="s">
        <v>1561</v>
      </c>
      <c r="D177" s="145"/>
      <c r="E177" s="142" t="s">
        <v>204</v>
      </c>
      <c r="G177" s="617">
        <f>'Sch. 26. p2-p7'!Q376+'Sch. 26. p2-p7'!Q378</f>
        <v>-0.23236692762230735</v>
      </c>
      <c r="I177" s="617">
        <v>229.77864</v>
      </c>
      <c r="K177" s="623">
        <f>G177/I177*100</f>
        <v>-0.10112642655657957</v>
      </c>
      <c r="P177" s="208"/>
    </row>
    <row r="178" spans="1:16">
      <c r="A178" s="142">
        <f>A177+1</f>
        <v>99</v>
      </c>
      <c r="C178" s="145" t="s">
        <v>715</v>
      </c>
      <c r="D178" s="145"/>
      <c r="E178" s="142" t="s">
        <v>204</v>
      </c>
      <c r="G178" s="617">
        <f>'Sch. 26. p2-p7'!Q380+'Sch. 26. p2-p7'!Q381</f>
        <v>-0.18827861408699964</v>
      </c>
      <c r="I178" s="617">
        <v>35462.115590000001</v>
      </c>
      <c r="K178" s="623">
        <f>G178/I178*100</f>
        <v>-5.3092888270910867E-4</v>
      </c>
      <c r="P178" s="208"/>
    </row>
    <row r="179" spans="1:16">
      <c r="A179" s="142">
        <f>A178+1</f>
        <v>100</v>
      </c>
      <c r="C179" s="141" t="s">
        <v>315</v>
      </c>
      <c r="G179" s="624">
        <f>SUM(G175:G178)</f>
        <v>458.76358985419063</v>
      </c>
      <c r="K179" s="623"/>
    </row>
    <row r="180" spans="1:16">
      <c r="A180" s="142"/>
      <c r="K180" s="623"/>
    </row>
    <row r="181" spans="1:16">
      <c r="A181" s="142"/>
      <c r="C181" s="309" t="s">
        <v>181</v>
      </c>
      <c r="D181" s="622"/>
      <c r="E181" s="622"/>
      <c r="K181" s="623"/>
    </row>
    <row r="182" spans="1:16">
      <c r="A182" s="142">
        <f>A179+1</f>
        <v>101</v>
      </c>
      <c r="C182" s="145" t="s">
        <v>726</v>
      </c>
      <c r="D182" s="145"/>
      <c r="E182" s="142" t="s">
        <v>222</v>
      </c>
      <c r="G182" s="617">
        <f>'Sch. 26. p2-p7'!Q396+'Sch. 26. p2-p7'!Q402+'Sch. 26. p2-p7'!Q411+'Sch. 26. p2-p7'!Q412</f>
        <v>5.4253128913173576</v>
      </c>
      <c r="I182" s="617">
        <v>287.93599999999998</v>
      </c>
      <c r="K182" s="623">
        <f>G182/I182*100</f>
        <v>1.8842079112432477</v>
      </c>
      <c r="P182" s="208"/>
    </row>
    <row r="183" spans="1:16">
      <c r="A183" s="142">
        <f>A182+1</f>
        <v>102</v>
      </c>
      <c r="C183" s="145" t="s">
        <v>1553</v>
      </c>
      <c r="D183" s="145"/>
      <c r="E183" s="142" t="s">
        <v>204</v>
      </c>
      <c r="G183" s="617">
        <f>'Sch. 26. p2-p7'!Q397+'Sch. 26. p2-p7'!Q399</f>
        <v>-1.0312174489812336</v>
      </c>
      <c r="I183" s="617">
        <v>2737.0135999999998</v>
      </c>
      <c r="K183" s="623">
        <f>G183/I183*100</f>
        <v>-3.7676738215010469E-2</v>
      </c>
      <c r="P183" s="208"/>
    </row>
    <row r="184" spans="1:16">
      <c r="A184" s="142">
        <f t="shared" ref="A184:A186" si="10">A183+1</f>
        <v>103</v>
      </c>
      <c r="C184" s="145" t="s">
        <v>1561</v>
      </c>
      <c r="D184" s="145"/>
      <c r="E184" s="142" t="s">
        <v>204</v>
      </c>
      <c r="G184" s="617">
        <f>'Sch. 26. p2-p7'!Q408+'Sch. 26. p2-p7'!Q410</f>
        <v>-23.565461242438364</v>
      </c>
      <c r="I184" s="617">
        <v>41729.039689999998</v>
      </c>
      <c r="K184" s="623">
        <f>G184/I184*100</f>
        <v>-5.6472570223286549E-2</v>
      </c>
      <c r="P184" s="208"/>
    </row>
    <row r="185" spans="1:16">
      <c r="A185" s="142">
        <f t="shared" si="10"/>
        <v>104</v>
      </c>
      <c r="C185" s="145" t="s">
        <v>715</v>
      </c>
      <c r="D185" s="145"/>
      <c r="E185" s="142" t="s">
        <v>204</v>
      </c>
      <c r="G185" s="617">
        <f>'Sch. 26. p2-p7'!Q415</f>
        <v>-1.1257466206207191E-2</v>
      </c>
      <c r="I185" s="617">
        <v>1599.0381000000002</v>
      </c>
      <c r="K185" s="623">
        <f>G185/I185*100</f>
        <v>-7.0401488283532393E-4</v>
      </c>
      <c r="P185" s="208"/>
    </row>
    <row r="186" spans="1:16">
      <c r="A186" s="142">
        <f t="shared" si="10"/>
        <v>105</v>
      </c>
      <c r="C186" s="141" t="s">
        <v>485</v>
      </c>
      <c r="G186" s="624">
        <f>SUM(G182:G185)</f>
        <v>-19.182623266308447</v>
      </c>
      <c r="K186" s="623"/>
    </row>
    <row r="187" spans="1:16">
      <c r="A187" s="142"/>
      <c r="K187" s="623"/>
    </row>
    <row r="188" spans="1:16">
      <c r="A188" s="142"/>
      <c r="C188" s="309" t="s">
        <v>182</v>
      </c>
      <c r="D188" s="622"/>
      <c r="E188" s="622"/>
      <c r="K188" s="623"/>
    </row>
    <row r="189" spans="1:16">
      <c r="A189" s="142">
        <f>A186+1</f>
        <v>106</v>
      </c>
      <c r="C189" s="145" t="s">
        <v>726</v>
      </c>
      <c r="D189" s="145"/>
      <c r="E189" s="142" t="s">
        <v>222</v>
      </c>
      <c r="G189" s="617">
        <f>'Sch. 26. p2-p7'!Q421</f>
        <v>742.05422758384952</v>
      </c>
      <c r="I189" s="617">
        <v>48213.712000000007</v>
      </c>
      <c r="K189" s="623">
        <f>G189/I189*100</f>
        <v>1.5390937490642691</v>
      </c>
      <c r="P189" s="208"/>
    </row>
    <row r="190" spans="1:16">
      <c r="A190" s="142">
        <f>A189+1</f>
        <v>107</v>
      </c>
      <c r="C190" s="145" t="s">
        <v>705</v>
      </c>
      <c r="D190" s="145"/>
      <c r="E190" s="142" t="s">
        <v>204</v>
      </c>
      <c r="G190" s="617">
        <f>'Sch. 26. p2-p7'!Q422+'Sch. 26. p2-p7'!Q424</f>
        <v>47.946999438809726</v>
      </c>
      <c r="I190" s="617">
        <v>415469.58967000002</v>
      </c>
      <c r="K190" s="623">
        <f>G190/I190*100</f>
        <v>1.1540435360598393E-2</v>
      </c>
      <c r="P190" s="208"/>
    </row>
    <row r="191" spans="1:16">
      <c r="A191" s="142">
        <f t="shared" ref="A191:A193" si="11">A190+1</f>
        <v>108</v>
      </c>
      <c r="C191" s="145" t="s">
        <v>1561</v>
      </c>
      <c r="D191" s="145"/>
      <c r="E191" s="142" t="s">
        <v>204</v>
      </c>
      <c r="G191" s="617">
        <f>'Sch. 26. p2-p7'!Q427+'Sch. 26. p2-p7'!Q429</f>
        <v>116.57883048727686</v>
      </c>
      <c r="I191" s="617">
        <v>41749.229210000005</v>
      </c>
      <c r="K191" s="623">
        <f>G191/I191*100</f>
        <v>0.27923588696902996</v>
      </c>
      <c r="P191" s="208"/>
    </row>
    <row r="192" spans="1:16">
      <c r="A192" s="142">
        <f t="shared" si="11"/>
        <v>109</v>
      </c>
      <c r="C192" s="145" t="s">
        <v>715</v>
      </c>
      <c r="D192" s="145"/>
      <c r="E192" s="142" t="s">
        <v>204</v>
      </c>
      <c r="G192" s="617">
        <f>'Sch. 26. p2-p7'!Q431</f>
        <v>-0.26609005031932553</v>
      </c>
      <c r="I192" s="617">
        <v>22265.622000000003</v>
      </c>
      <c r="K192" s="623">
        <f>G192/I192*100</f>
        <v>-1.1950712642086777E-3</v>
      </c>
      <c r="P192" s="208"/>
    </row>
    <row r="193" spans="1:19">
      <c r="A193" s="142">
        <f t="shared" si="11"/>
        <v>110</v>
      </c>
      <c r="C193" s="141" t="s">
        <v>326</v>
      </c>
      <c r="G193" s="624">
        <f>SUM(G189:G192)</f>
        <v>906.31396745961672</v>
      </c>
      <c r="K193" s="623"/>
    </row>
    <row r="194" spans="1:19">
      <c r="A194" s="142"/>
      <c r="K194" s="623"/>
    </row>
    <row r="195" spans="1:19">
      <c r="A195" s="142"/>
      <c r="C195" s="309" t="s">
        <v>183</v>
      </c>
      <c r="D195" s="622"/>
      <c r="E195" s="622"/>
      <c r="K195" s="623"/>
    </row>
    <row r="196" spans="1:19">
      <c r="A196" s="142">
        <f>A193+1</f>
        <v>111</v>
      </c>
      <c r="C196" s="145" t="s">
        <v>726</v>
      </c>
      <c r="D196" s="145"/>
      <c r="E196" s="142" t="s">
        <v>222</v>
      </c>
      <c r="G196" s="617">
        <f>'Sch. 26. p2-p7'!Q436</f>
        <v>14.910823855308607</v>
      </c>
      <c r="I196" s="617">
        <v>4026.9759999999997</v>
      </c>
      <c r="K196" s="623">
        <f>G196/I196*100</f>
        <v>0.37027347208696076</v>
      </c>
      <c r="P196" s="208"/>
    </row>
    <row r="197" spans="1:19">
      <c r="A197" s="142">
        <f>A196+1</f>
        <v>112</v>
      </c>
      <c r="C197" s="145" t="s">
        <v>705</v>
      </c>
      <c r="D197" s="145"/>
      <c r="E197" s="142" t="s">
        <v>204</v>
      </c>
      <c r="G197" s="617">
        <f>'Sch. 26. p2-p7'!Q437</f>
        <v>4.5973690550053652</v>
      </c>
      <c r="I197" s="617">
        <v>56576.786000000007</v>
      </c>
      <c r="K197" s="623">
        <f>G197/I197*100</f>
        <v>8.1258929324924262E-3</v>
      </c>
      <c r="P197" s="208"/>
    </row>
    <row r="198" spans="1:19">
      <c r="A198" s="142">
        <f>A197+1</f>
        <v>113</v>
      </c>
      <c r="C198" s="145" t="s">
        <v>715</v>
      </c>
      <c r="D198" s="145"/>
      <c r="E198" s="142" t="s">
        <v>204</v>
      </c>
      <c r="G198" s="617">
        <f>'Sch. 26. p2-p7'!Q439</f>
        <v>-0.17210951761613444</v>
      </c>
      <c r="I198" s="617">
        <v>7158.4358000000002</v>
      </c>
      <c r="K198" s="623">
        <f>G198/I198*100</f>
        <v>-2.4042894624567903E-3</v>
      </c>
      <c r="O198" s="208"/>
      <c r="P198" s="208"/>
    </row>
    <row r="199" spans="1:19">
      <c r="A199" s="142">
        <f>A198+1</f>
        <v>114</v>
      </c>
      <c r="C199" s="141" t="s">
        <v>327</v>
      </c>
      <c r="G199" s="624">
        <f>SUM(G196:G198)</f>
        <v>19.336083392697837</v>
      </c>
      <c r="K199" s="623"/>
    </row>
    <row r="200" spans="1:19">
      <c r="A200" s="142"/>
      <c r="C200" s="145"/>
      <c r="D200" s="145"/>
      <c r="E200" s="145"/>
      <c r="K200" s="623"/>
    </row>
    <row r="201" spans="1:19">
      <c r="A201" s="142"/>
      <c r="C201" s="309" t="s">
        <v>184</v>
      </c>
      <c r="D201" s="622"/>
      <c r="E201" s="622"/>
      <c r="K201" s="623"/>
    </row>
    <row r="202" spans="1:19">
      <c r="A202" s="142">
        <f>A199+1</f>
        <v>115</v>
      </c>
      <c r="C202" s="145" t="s">
        <v>1562</v>
      </c>
      <c r="D202" s="145"/>
      <c r="E202" s="142" t="s">
        <v>222</v>
      </c>
      <c r="G202" s="617">
        <f>SUM('Sch. 26. p2-p7'!O444,'Sch. 26. p2-p7'!O447:O448)</f>
        <v>-122.88604495676876</v>
      </c>
      <c r="I202" s="617">
        <v>17693.232</v>
      </c>
      <c r="K202" s="623">
        <f>G202/I202*100</f>
        <v>-0.69453701255241984</v>
      </c>
      <c r="P202" s="208"/>
    </row>
    <row r="203" spans="1:19">
      <c r="A203" s="142">
        <f>A202+1</f>
        <v>116</v>
      </c>
      <c r="C203" s="145" t="s">
        <v>1563</v>
      </c>
      <c r="D203" s="145"/>
      <c r="E203" s="142" t="s">
        <v>204</v>
      </c>
      <c r="G203" s="617">
        <f>SUM('Sch. 26. p2-p7'!O450,'Sch. 26. p2-p7'!O453,'Sch. 26. p2-p7'!O456)</f>
        <v>14.991949970747294</v>
      </c>
      <c r="I203" s="617">
        <v>245674.60918000003</v>
      </c>
      <c r="K203" s="623">
        <f t="shared" ref="K203:K204" si="12">G203/I203*100</f>
        <v>6.1023603622639908E-3</v>
      </c>
      <c r="P203" s="208"/>
    </row>
    <row r="204" spans="1:19">
      <c r="A204" s="142">
        <f t="shared" ref="A204:A208" si="13">A203+1</f>
        <v>117</v>
      </c>
      <c r="C204" s="145" t="s">
        <v>1561</v>
      </c>
      <c r="D204" s="145"/>
      <c r="E204" s="142" t="s">
        <v>204</v>
      </c>
      <c r="G204" s="617">
        <f>'Sch. 26. p2-p7'!O451+'Sch. 26. p2-p7'!O454</f>
        <v>-5.4685439281460591</v>
      </c>
      <c r="I204" s="617">
        <v>24634.758119999999</v>
      </c>
      <c r="K204" s="623">
        <f t="shared" si="12"/>
        <v>-2.2198488418306659E-2</v>
      </c>
      <c r="P204" s="208"/>
    </row>
    <row r="205" spans="1:19">
      <c r="A205" s="142">
        <f t="shared" si="13"/>
        <v>118</v>
      </c>
      <c r="C205" s="145" t="s">
        <v>1564</v>
      </c>
      <c r="D205" s="145"/>
      <c r="E205" s="142" t="s">
        <v>284</v>
      </c>
      <c r="G205" s="234">
        <f>'Sch. 26. p2-p7'!O461</f>
        <v>1.9215652242538859</v>
      </c>
      <c r="I205" s="617">
        <v>11876832</v>
      </c>
      <c r="K205" s="626">
        <f>(G205+G214+G222)/(I205+I214+I222)*1000</f>
        <v>1.6069276907027826E-4</v>
      </c>
      <c r="P205" s="208"/>
    </row>
    <row r="206" spans="1:19">
      <c r="A206" s="142">
        <f t="shared" si="13"/>
        <v>119</v>
      </c>
      <c r="C206" s="145" t="s">
        <v>1565</v>
      </c>
      <c r="D206" s="145"/>
      <c r="E206" s="142" t="s">
        <v>284</v>
      </c>
      <c r="G206" s="234">
        <f>'Sch. 26. p2-p7'!O463+'Sch. 26. p2-p7'!O464</f>
        <v>10.944343172161604</v>
      </c>
      <c r="I206" s="617">
        <v>456432</v>
      </c>
      <c r="K206" s="626">
        <f t="shared" ref="K206:K207" si="14">(G206+G215+G223)/(I206+I215+I223)*1000</f>
        <v>2.405229252922839E-2</v>
      </c>
      <c r="P206" s="208"/>
      <c r="S206" s="142"/>
    </row>
    <row r="207" spans="1:19">
      <c r="A207" s="142">
        <f t="shared" si="13"/>
        <v>120</v>
      </c>
      <c r="C207" s="145" t="s">
        <v>1566</v>
      </c>
      <c r="D207" s="145"/>
      <c r="E207" s="142" t="s">
        <v>286</v>
      </c>
      <c r="G207" s="234">
        <f>'Sch. 26. p2-p7'!O468+'Sch. 26. p2-p7'!O470</f>
        <v>2.493672832617333</v>
      </c>
      <c r="I207" s="617">
        <v>1884498.87</v>
      </c>
      <c r="K207" s="626">
        <f t="shared" si="14"/>
        <v>1.4400898764305443E-3</v>
      </c>
      <c r="P207" s="208"/>
      <c r="S207" s="142"/>
    </row>
    <row r="208" spans="1:19">
      <c r="A208" s="142">
        <f t="shared" si="13"/>
        <v>121</v>
      </c>
      <c r="C208" s="141" t="s">
        <v>350</v>
      </c>
      <c r="E208" s="142"/>
      <c r="G208" s="624">
        <f>SUM(G202:G207)</f>
        <v>-98.003057685134692</v>
      </c>
      <c r="I208" s="617"/>
      <c r="K208" s="623"/>
      <c r="S208" s="142"/>
    </row>
    <row r="209" spans="1:19">
      <c r="A209" s="142"/>
      <c r="E209" s="142"/>
      <c r="S209" s="142"/>
    </row>
    <row r="210" spans="1:19">
      <c r="A210" s="142"/>
      <c r="C210" s="309" t="s">
        <v>185</v>
      </c>
      <c r="D210" s="622"/>
      <c r="E210" s="627"/>
      <c r="I210" s="617"/>
      <c r="K210" s="623"/>
      <c r="S210" s="142"/>
    </row>
    <row r="211" spans="1:19">
      <c r="A211" s="142">
        <f>A208+1</f>
        <v>122</v>
      </c>
      <c r="C211" s="145" t="s">
        <v>1562</v>
      </c>
      <c r="D211" s="145"/>
      <c r="E211" s="142" t="s">
        <v>222</v>
      </c>
      <c r="G211" s="617">
        <f>SUM('Sch. 26. p2-p7'!O485,'Sch. 26. p2-p7'!O488:O489)</f>
        <v>150.73309454686506</v>
      </c>
      <c r="I211" s="617">
        <v>207033.01600000003</v>
      </c>
      <c r="K211" s="623">
        <f t="shared" ref="K211:K213" si="15">G211/I211*100</f>
        <v>7.2806307640741239E-2</v>
      </c>
      <c r="P211" s="208"/>
      <c r="S211" s="142"/>
    </row>
    <row r="212" spans="1:19">
      <c r="A212" s="142">
        <f>A211+1</f>
        <v>123</v>
      </c>
      <c r="C212" s="145" t="s">
        <v>1563</v>
      </c>
      <c r="D212" s="145"/>
      <c r="E212" s="142" t="s">
        <v>204</v>
      </c>
      <c r="G212" s="617">
        <f>SUM('Sch. 26. p2-p7'!O491,'Sch. 26. p2-p7'!O494,'Sch. 26. p2-p7'!O497)</f>
        <v>158.66217001400173</v>
      </c>
      <c r="I212" s="617">
        <v>3347247.7449199995</v>
      </c>
      <c r="K212" s="623">
        <f t="shared" si="15"/>
        <v>4.7400784795448066E-3</v>
      </c>
      <c r="P212" s="208"/>
      <c r="S212" s="142"/>
    </row>
    <row r="213" spans="1:19">
      <c r="A213" s="142">
        <f t="shared" ref="A213:A217" si="16">A212+1</f>
        <v>124</v>
      </c>
      <c r="C213" s="145" t="s">
        <v>1561</v>
      </c>
      <c r="D213" s="145"/>
      <c r="E213" s="142" t="s">
        <v>204</v>
      </c>
      <c r="G213" s="617">
        <f>'Sch. 26. p2-p7'!O492+'Sch. 26. p2-p7'!O495</f>
        <v>26.824385933415957</v>
      </c>
      <c r="I213" s="617">
        <v>18840.365089999999</v>
      </c>
      <c r="K213" s="623">
        <f t="shared" si="15"/>
        <v>0.14237720874981175</v>
      </c>
      <c r="M213" s="141"/>
      <c r="P213" s="208"/>
    </row>
    <row r="214" spans="1:19">
      <c r="A214" s="142">
        <f t="shared" si="16"/>
        <v>125</v>
      </c>
      <c r="C214" s="145" t="s">
        <v>1564</v>
      </c>
      <c r="D214" s="145"/>
      <c r="E214" s="142" t="s">
        <v>284</v>
      </c>
      <c r="G214" s="617">
        <f>'Sch. 26. p2-p7'!O502</f>
        <v>12.169917617090924</v>
      </c>
      <c r="I214" s="617">
        <v>75990544</v>
      </c>
      <c r="K214" s="626">
        <f t="shared" ref="K214:K216" si="17">K205</f>
        <v>1.6069276907027826E-4</v>
      </c>
      <c r="P214" s="208"/>
    </row>
    <row r="215" spans="1:19">
      <c r="A215" s="142">
        <f t="shared" si="16"/>
        <v>126</v>
      </c>
      <c r="C215" s="145" t="s">
        <v>1565</v>
      </c>
      <c r="D215" s="145"/>
      <c r="E215" s="142" t="s">
        <v>284</v>
      </c>
      <c r="G215" s="617">
        <f>SUM('Sch. 26. p2-p7'!O504:O507)</f>
        <v>53.974069400578777</v>
      </c>
      <c r="I215" s="617">
        <v>2215832</v>
      </c>
      <c r="K215" s="626">
        <f t="shared" si="17"/>
        <v>2.405229252922839E-2</v>
      </c>
      <c r="P215" s="208"/>
    </row>
    <row r="216" spans="1:19">
      <c r="A216" s="142">
        <f t="shared" si="16"/>
        <v>127</v>
      </c>
      <c r="C216" s="145" t="s">
        <v>1566</v>
      </c>
      <c r="D216" s="145"/>
      <c r="E216" s="142" t="s">
        <v>286</v>
      </c>
      <c r="G216" s="617">
        <f>'Sch. 26. p2-p7'!O509+'Sch. 26. p2-p7'!O511</f>
        <v>31.68121397507938</v>
      </c>
      <c r="I216" s="617">
        <v>21526207.629999999</v>
      </c>
      <c r="K216" s="626">
        <f t="shared" si="17"/>
        <v>1.4400898764305443E-3</v>
      </c>
      <c r="P216" s="208"/>
    </row>
    <row r="217" spans="1:19">
      <c r="A217" s="142">
        <f t="shared" si="16"/>
        <v>128</v>
      </c>
      <c r="C217" s="141" t="s">
        <v>354</v>
      </c>
      <c r="E217" s="142"/>
      <c r="G217" s="624">
        <f>SUM(G211:G216)</f>
        <v>434.04485148703185</v>
      </c>
      <c r="I217" s="617"/>
      <c r="K217" s="623"/>
    </row>
    <row r="218" spans="1:19">
      <c r="A218" s="142"/>
      <c r="E218" s="142"/>
    </row>
    <row r="219" spans="1:19">
      <c r="A219" s="142"/>
      <c r="C219" s="309" t="s">
        <v>186</v>
      </c>
      <c r="D219" s="622"/>
      <c r="E219" s="627"/>
      <c r="G219" s="617"/>
      <c r="I219" s="617"/>
    </row>
    <row r="220" spans="1:19">
      <c r="A220" s="142">
        <v>129</v>
      </c>
      <c r="C220" s="145" t="s">
        <v>1562</v>
      </c>
      <c r="D220" s="145"/>
      <c r="E220" s="142" t="s">
        <v>222</v>
      </c>
      <c r="G220" s="617">
        <f>SUM('Sch. 26. p2-p7'!O517,'Sch. 26. p2-p7'!O519)</f>
        <v>55.745057523778655</v>
      </c>
      <c r="I220" s="617">
        <v>18800</v>
      </c>
      <c r="K220" s="623">
        <f t="shared" ref="K220" si="18">G220/I220*100</f>
        <v>0.29651626342435455</v>
      </c>
      <c r="P220" s="208"/>
    </row>
    <row r="221" spans="1:19">
      <c r="A221" s="142">
        <f t="shared" ref="A221:A225" si="19">A220+1</f>
        <v>130</v>
      </c>
      <c r="C221" s="145" t="s">
        <v>1563</v>
      </c>
      <c r="D221" s="145"/>
      <c r="E221" s="142" t="s">
        <v>204</v>
      </c>
      <c r="G221" s="617">
        <f>SUM('Sch. 26. p2-p7'!O520,'Sch. 26. p2-p7'!O522)</f>
        <v>14.304389983221064</v>
      </c>
      <c r="I221" s="617">
        <v>117581.94816</v>
      </c>
      <c r="K221" s="623">
        <f>G221/I221*100</f>
        <v>1.2165464348112621E-2</v>
      </c>
      <c r="P221" s="208"/>
    </row>
    <row r="222" spans="1:19">
      <c r="A222" s="142">
        <f t="shared" si="19"/>
        <v>131</v>
      </c>
      <c r="C222" s="145" t="s">
        <v>1564</v>
      </c>
      <c r="D222" s="145"/>
      <c r="E222" s="142" t="s">
        <v>284</v>
      </c>
      <c r="G222" s="617">
        <f>'Sch. 26. p2-p7'!O527</f>
        <v>4.1496442565342004</v>
      </c>
      <c r="I222" s="617">
        <v>25648168</v>
      </c>
      <c r="K222" s="626">
        <f>K205</f>
        <v>1.6069276907027826E-4</v>
      </c>
      <c r="P222" s="208"/>
    </row>
    <row r="223" spans="1:19">
      <c r="A223" s="142">
        <f t="shared" si="19"/>
        <v>132</v>
      </c>
      <c r="C223" s="145" t="s">
        <v>1567</v>
      </c>
      <c r="D223" s="145"/>
      <c r="E223" s="142" t="s">
        <v>284</v>
      </c>
      <c r="G223" s="617">
        <f>SUM('Sch. 26. p2-p7'!O529:O532)</f>
        <v>9.7729993925047545</v>
      </c>
      <c r="I223" s="617">
        <v>433112</v>
      </c>
      <c r="K223" s="626">
        <f>K206</f>
        <v>2.405229252922839E-2</v>
      </c>
      <c r="P223" s="208"/>
    </row>
    <row r="224" spans="1:19">
      <c r="A224" s="142">
        <f t="shared" si="19"/>
        <v>133</v>
      </c>
      <c r="C224" s="145" t="s">
        <v>1566</v>
      </c>
      <c r="D224" s="145"/>
      <c r="E224" s="142" t="s">
        <v>286</v>
      </c>
      <c r="G224" s="617">
        <f>'Sch. 26. p2-p7'!O534+'Sch. 26. p2-p7'!O536</f>
        <v>5.3734847217419084</v>
      </c>
      <c r="I224" s="617">
        <v>4051726.3500000006</v>
      </c>
      <c r="K224" s="626">
        <f t="shared" ref="K224" si="20">K207</f>
        <v>1.4400898764305443E-3</v>
      </c>
      <c r="P224" s="208"/>
    </row>
    <row r="225" spans="1:16">
      <c r="A225" s="142">
        <f t="shared" si="19"/>
        <v>134</v>
      </c>
      <c r="C225" s="141" t="s">
        <v>355</v>
      </c>
      <c r="G225" s="624">
        <f>SUM(G220:G224)</f>
        <v>89.345575877780576</v>
      </c>
      <c r="K225" s="623"/>
    </row>
    <row r="226" spans="1:16">
      <c r="A226" s="142"/>
    </row>
    <row r="227" spans="1:16">
      <c r="A227" s="142"/>
      <c r="C227" s="555" t="s">
        <v>1568</v>
      </c>
      <c r="D227" s="292"/>
      <c r="E227" s="292"/>
    </row>
    <row r="228" spans="1:16">
      <c r="A228" s="142">
        <f>A225+1</f>
        <v>135</v>
      </c>
      <c r="C228" s="145" t="s">
        <v>1569</v>
      </c>
      <c r="D228" s="147"/>
      <c r="E228" s="142" t="s">
        <v>286</v>
      </c>
      <c r="G228" s="617">
        <f>'Sch. 26. p2-p7'!O542</f>
        <v>186.34816992331233</v>
      </c>
      <c r="I228" s="234">
        <v>52190831.520449892</v>
      </c>
      <c r="K228" s="626">
        <f>G228/I228*1000</f>
        <v>3.5705154429336054E-3</v>
      </c>
      <c r="P228" s="208"/>
    </row>
    <row r="229" spans="1:16">
      <c r="A229" s="142"/>
    </row>
    <row r="230" spans="1:16">
      <c r="A230" s="142"/>
    </row>
    <row r="231" spans="1:16">
      <c r="A231" s="213" t="s">
        <v>189</v>
      </c>
      <c r="D231" s="148"/>
      <c r="E231" s="148"/>
    </row>
    <row r="232" spans="1:16">
      <c r="A232" s="299" t="s">
        <v>40</v>
      </c>
      <c r="C232" s="141" t="s">
        <v>1570</v>
      </c>
    </row>
    <row r="234" spans="1:16">
      <c r="C234" s="148"/>
      <c r="D234" s="148"/>
      <c r="E234" s="148"/>
      <c r="G234" s="617"/>
    </row>
    <row r="235" spans="1:16">
      <c r="C235" s="148"/>
      <c r="D235" s="148"/>
      <c r="E235" s="148"/>
    </row>
    <row r="236" spans="1:16">
      <c r="C236" s="146"/>
      <c r="D236" s="146"/>
      <c r="E236" s="146"/>
    </row>
    <row r="240" spans="1:16">
      <c r="C240" s="145"/>
      <c r="D240" s="145"/>
      <c r="E240" s="145"/>
    </row>
    <row r="241" spans="3:14">
      <c r="C241" s="145"/>
      <c r="D241" s="145"/>
      <c r="E241" s="145"/>
    </row>
    <row r="242" spans="3:14">
      <c r="C242" s="145"/>
      <c r="D242" s="145"/>
      <c r="E242" s="145"/>
    </row>
    <row r="243" spans="3:14">
      <c r="C243" s="146"/>
      <c r="D243" s="146"/>
      <c r="M243" s="141"/>
      <c r="N243" s="141"/>
    </row>
    <row r="244" spans="3:14">
      <c r="G244" s="208"/>
      <c r="I244" s="576"/>
      <c r="J244" s="208"/>
      <c r="K244" s="626"/>
    </row>
    <row r="245" spans="3:14">
      <c r="G245" s="208"/>
      <c r="I245" s="576"/>
      <c r="J245" s="208"/>
      <c r="K245" s="208"/>
    </row>
    <row r="246" spans="3:14">
      <c r="G246" s="208"/>
      <c r="I246" s="576"/>
      <c r="J246" s="208"/>
      <c r="K246" s="208"/>
    </row>
    <row r="247" spans="3:14">
      <c r="G247" s="208"/>
      <c r="I247" s="208"/>
      <c r="J247" s="208"/>
    </row>
  </sheetData>
  <mergeCells count="4">
    <mergeCell ref="A3:L3"/>
    <mergeCell ref="M4:N4"/>
    <mergeCell ref="A82:L82"/>
    <mergeCell ref="A161:L161"/>
  </mergeCells>
  <printOptions horizontalCentered="1"/>
  <pageMargins left="0.7" right="0.7" top="0.75" bottom="0.75" header="0.3" footer="0.3"/>
  <pageSetup scale="65" firstPageNumber="8" fitToHeight="0" orientation="portrait" useFirstPageNumber="1" horizontalDpi="1200" verticalDpi="1200" r:id="rId1"/>
  <headerFooter>
    <oddHeader>&amp;R&amp;10Updated: 2024-03-15
EB-2022-0200
Rate Order
Working Papers
Schedule 26
Page &amp;P of 10</oddHeader>
  </headerFooter>
  <rowBreaks count="2" manualBreakCount="2">
    <brk id="79" max="11" man="1"/>
    <brk id="158"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F242B-A1EE-4521-BCFC-575E9EB4B366}">
  <dimension ref="A1:N141"/>
  <sheetViews>
    <sheetView view="pageBreakPreview" zoomScale="85" zoomScaleNormal="100" zoomScaleSheetLayoutView="85" workbookViewId="0">
      <selection activeCell="C18" sqref="C18"/>
    </sheetView>
  </sheetViews>
  <sheetFormatPr defaultColWidth="8" defaultRowHeight="12.75" customHeight="1"/>
  <cols>
    <col min="1" max="1" width="4.875" style="268" customWidth="1"/>
    <col min="2" max="2" width="24.125" style="268" customWidth="1"/>
    <col min="3" max="3" width="2" style="268" customWidth="1"/>
    <col min="4" max="4" width="14.25" style="712" customWidth="1"/>
    <col min="5" max="5" width="2" style="712" customWidth="1"/>
    <col min="6" max="6" width="11.125" style="268" customWidth="1"/>
    <col min="7" max="7" width="2" style="268" customWidth="1"/>
    <col min="8" max="8" width="7.75" style="268" customWidth="1"/>
    <col min="9" max="9" width="2" style="268" customWidth="1"/>
    <col min="10" max="10" width="9.875" style="268" bestFit="1" customWidth="1"/>
    <col min="11" max="11" width="2" style="268" customWidth="1"/>
    <col min="12" max="12" width="13.375" style="268" customWidth="1"/>
    <col min="13" max="13" width="2" style="268" customWidth="1"/>
    <col min="14" max="14" width="11.875" style="268" bestFit="1" customWidth="1"/>
    <col min="15" max="16384" width="8" style="268"/>
  </cols>
  <sheetData>
    <row r="1" spans="1:14" ht="12.75" customHeight="1">
      <c r="A1" s="318"/>
      <c r="B1" s="318"/>
      <c r="C1" s="318"/>
      <c r="D1" s="711"/>
      <c r="E1" s="711"/>
      <c r="F1" s="318"/>
      <c r="G1" s="318"/>
      <c r="H1" s="318"/>
      <c r="I1" s="318"/>
      <c r="J1" s="326"/>
    </row>
    <row r="2" spans="1:14" ht="12.75" customHeight="1">
      <c r="A2" s="318"/>
      <c r="B2" s="318"/>
      <c r="C2" s="318"/>
      <c r="D2" s="711"/>
      <c r="E2" s="711"/>
      <c r="F2" s="318"/>
      <c r="G2" s="318"/>
      <c r="H2" s="318"/>
      <c r="I2" s="318"/>
      <c r="J2" s="326"/>
    </row>
    <row r="3" spans="1:14" ht="12.75" customHeight="1">
      <c r="A3" s="318"/>
      <c r="B3" s="318"/>
      <c r="C3" s="318"/>
      <c r="D3" s="711"/>
      <c r="E3" s="711"/>
      <c r="F3" s="318"/>
      <c r="G3" s="318"/>
      <c r="H3" s="318"/>
      <c r="I3" s="318"/>
      <c r="J3" s="326"/>
    </row>
    <row r="4" spans="1:14" ht="12.75" customHeight="1">
      <c r="A4" s="318"/>
      <c r="B4" s="318"/>
      <c r="C4" s="318"/>
      <c r="D4" s="711"/>
      <c r="E4" s="711"/>
      <c r="F4" s="318"/>
      <c r="G4" s="318"/>
      <c r="H4" s="318"/>
      <c r="I4" s="318"/>
      <c r="J4" s="326"/>
    </row>
    <row r="5" spans="1:14" ht="12.75" customHeight="1">
      <c r="A5" s="318"/>
      <c r="B5" s="318"/>
      <c r="C5" s="318"/>
      <c r="D5" s="711"/>
      <c r="E5" s="711"/>
      <c r="F5" s="318"/>
      <c r="G5" s="318"/>
      <c r="H5" s="318"/>
      <c r="I5" s="318"/>
      <c r="J5" s="666"/>
    </row>
    <row r="6" spans="1:14" ht="12.75" customHeight="1">
      <c r="A6" s="1319" t="s">
        <v>1571</v>
      </c>
      <c r="B6" s="1319"/>
      <c r="C6" s="1319"/>
      <c r="D6" s="1319"/>
      <c r="E6" s="1319"/>
      <c r="F6" s="1319"/>
      <c r="G6" s="1319"/>
      <c r="H6" s="1319"/>
      <c r="I6" s="1319"/>
      <c r="J6" s="1319"/>
      <c r="K6" s="1319"/>
      <c r="L6" s="1319"/>
      <c r="M6" s="1319"/>
      <c r="N6" s="1319"/>
    </row>
    <row r="8" spans="1:14" ht="12.75" customHeight="1">
      <c r="A8" s="1321" t="s">
        <v>606</v>
      </c>
      <c r="B8" s="318"/>
      <c r="C8" s="318"/>
      <c r="D8" s="711" t="s">
        <v>1572</v>
      </c>
      <c r="E8" s="711"/>
      <c r="F8" s="318"/>
      <c r="G8" s="318"/>
      <c r="H8" s="318"/>
      <c r="I8" s="318"/>
      <c r="J8" s="318" t="s">
        <v>1573</v>
      </c>
      <c r="L8" s="318" t="s">
        <v>1574</v>
      </c>
      <c r="M8" s="318"/>
      <c r="N8" s="318" t="s">
        <v>1573</v>
      </c>
    </row>
    <row r="9" spans="1:14" ht="12.75" customHeight="1">
      <c r="A9" s="1321"/>
      <c r="B9" s="318"/>
      <c r="C9" s="318"/>
      <c r="D9" s="711" t="s">
        <v>1575</v>
      </c>
      <c r="E9" s="711"/>
      <c r="F9" s="1351"/>
      <c r="G9" s="1351"/>
      <c r="H9" s="1351"/>
      <c r="I9" s="318"/>
      <c r="J9" s="318" t="s">
        <v>1576</v>
      </c>
      <c r="L9" s="318" t="s">
        <v>1577</v>
      </c>
      <c r="M9" s="318"/>
      <c r="N9" s="318" t="s">
        <v>1576</v>
      </c>
    </row>
    <row r="10" spans="1:14" ht="12.75" customHeight="1">
      <c r="A10" s="1322"/>
      <c r="B10" s="668" t="s">
        <v>3</v>
      </c>
      <c r="D10" s="713" t="s">
        <v>466</v>
      </c>
      <c r="E10" s="714"/>
      <c r="F10" s="1320" t="s">
        <v>147</v>
      </c>
      <c r="G10" s="1320"/>
      <c r="H10" s="1320"/>
      <c r="I10" s="667"/>
      <c r="J10" s="715" t="s">
        <v>369</v>
      </c>
      <c r="L10" s="703" t="s">
        <v>369</v>
      </c>
      <c r="M10" s="318"/>
      <c r="N10" s="703" t="s">
        <v>76</v>
      </c>
    </row>
    <row r="11" spans="1:14" ht="12.75" customHeight="1">
      <c r="A11" s="667"/>
      <c r="B11" s="667"/>
      <c r="C11" s="685"/>
      <c r="D11" s="716" t="s">
        <v>8</v>
      </c>
      <c r="E11" s="716"/>
      <c r="F11" s="654" t="s">
        <v>9</v>
      </c>
      <c r="G11" s="654"/>
      <c r="H11" s="654" t="s">
        <v>370</v>
      </c>
      <c r="I11" s="654"/>
      <c r="J11" s="654" t="s">
        <v>1578</v>
      </c>
      <c r="L11" s="654" t="s">
        <v>115</v>
      </c>
      <c r="M11" s="654"/>
      <c r="N11" s="318" t="s">
        <v>1579</v>
      </c>
    </row>
    <row r="12" spans="1:14" ht="12.75" customHeight="1">
      <c r="A12" s="667"/>
      <c r="B12" s="667"/>
      <c r="C12" s="685"/>
      <c r="D12" s="716"/>
      <c r="E12" s="716"/>
      <c r="F12" s="654"/>
      <c r="G12" s="654"/>
      <c r="H12" s="654"/>
      <c r="I12" s="654"/>
      <c r="J12" s="654"/>
    </row>
    <row r="13" spans="1:14" ht="12.75" customHeight="1">
      <c r="B13" s="671" t="s">
        <v>11</v>
      </c>
      <c r="D13" s="717"/>
      <c r="E13" s="717"/>
    </row>
    <row r="14" spans="1:14" ht="12.75" customHeight="1">
      <c r="A14" s="318">
        <v>1</v>
      </c>
      <c r="B14" s="672" t="s">
        <v>1580</v>
      </c>
      <c r="D14" s="718">
        <f>'Sch. 27 p.5'!G16</f>
        <v>-3.9520974900696566</v>
      </c>
      <c r="E14" s="718"/>
      <c r="F14" s="719">
        <v>971</v>
      </c>
      <c r="G14" s="719"/>
      <c r="H14" s="318" t="s">
        <v>1581</v>
      </c>
      <c r="I14" s="318"/>
      <c r="J14" s="650">
        <f>D14*F14/100</f>
        <v>-38.374866628576363</v>
      </c>
      <c r="L14" s="720">
        <v>1232.340091849228</v>
      </c>
      <c r="M14" s="721"/>
      <c r="N14" s="722">
        <f>J14/L14</f>
        <v>-3.1139834597924756E-2</v>
      </c>
    </row>
    <row r="15" spans="1:14" ht="12.75" customHeight="1">
      <c r="A15" s="318"/>
      <c r="B15" s="672"/>
      <c r="D15" s="718"/>
      <c r="E15" s="718"/>
      <c r="F15" s="719"/>
      <c r="G15" s="719"/>
      <c r="H15" s="318"/>
      <c r="I15" s="318"/>
      <c r="J15" s="650"/>
      <c r="L15" s="650"/>
      <c r="M15" s="650"/>
    </row>
    <row r="16" spans="1:14" ht="12.75" customHeight="1">
      <c r="A16" s="318">
        <f>A14+1</f>
        <v>2</v>
      </c>
      <c r="B16" s="672" t="s">
        <v>1582</v>
      </c>
      <c r="D16" s="718">
        <f>'Sch. 27 p.5'!G17</f>
        <v>-1.0691545413405519</v>
      </c>
      <c r="E16" s="718"/>
      <c r="F16" s="719">
        <v>8818.6627752719542</v>
      </c>
      <c r="G16" s="719"/>
      <c r="H16" s="318" t="s">
        <v>1581</v>
      </c>
      <c r="I16" s="318"/>
      <c r="J16" s="720">
        <f>D16*F16/100</f>
        <v>-94.28513354732884</v>
      </c>
      <c r="L16" s="720">
        <v>9575.3518583383666</v>
      </c>
      <c r="M16" s="721"/>
      <c r="N16" s="722">
        <f t="shared" ref="N16" si="0">J16/L16</f>
        <v>-9.8466494957283341E-3</v>
      </c>
    </row>
    <row r="17" spans="1:14" ht="12.75" customHeight="1">
      <c r="A17" s="318"/>
      <c r="B17" s="672"/>
      <c r="D17" s="718"/>
      <c r="E17" s="718"/>
      <c r="F17" s="720"/>
      <c r="G17" s="720"/>
      <c r="H17" s="318"/>
      <c r="I17" s="318"/>
      <c r="J17" s="720"/>
    </row>
    <row r="18" spans="1:14" ht="12.75" customHeight="1">
      <c r="A18" s="318">
        <f>A16+1</f>
        <v>3</v>
      </c>
      <c r="B18" s="672" t="s">
        <v>1583</v>
      </c>
      <c r="D18" s="718">
        <f>'Sch. 27 p.5'!G18</f>
        <v>-5.1409714998791178E-9</v>
      </c>
      <c r="E18" s="718"/>
      <c r="F18" s="719">
        <v>2993</v>
      </c>
      <c r="G18" s="719"/>
      <c r="H18" s="318" t="s">
        <v>1584</v>
      </c>
      <c r="I18" s="318"/>
      <c r="J18" s="720">
        <f>D18*(F18*8)/100</f>
        <v>-1.2309542159310561E-6</v>
      </c>
      <c r="L18" s="720">
        <v>121234.22091415062</v>
      </c>
      <c r="M18" s="721"/>
      <c r="N18" s="722">
        <f t="shared" ref="N18:N19" si="1">J18/L18</f>
        <v>-1.0153521065662883E-11</v>
      </c>
    </row>
    <row r="19" spans="1:14" ht="12.75" customHeight="1">
      <c r="A19" s="318">
        <f>+A18+1</f>
        <v>4</v>
      </c>
      <c r="B19" s="672" t="s">
        <v>1585</v>
      </c>
      <c r="D19" s="718">
        <f>+D18</f>
        <v>-5.1409714998791178E-9</v>
      </c>
      <c r="E19" s="718"/>
      <c r="F19" s="719">
        <v>30000</v>
      </c>
      <c r="G19" s="719"/>
      <c r="H19" s="711" t="str">
        <f>+H18</f>
        <v>m³/d</v>
      </c>
      <c r="I19" s="711"/>
      <c r="J19" s="720">
        <f>D19*(F19*8)/100</f>
        <v>-1.2338331599709882E-5</v>
      </c>
      <c r="L19" s="720">
        <v>610344.28613779438</v>
      </c>
      <c r="M19" s="721"/>
      <c r="N19" s="722">
        <f t="shared" si="1"/>
        <v>-2.0215363492277078E-11</v>
      </c>
    </row>
    <row r="20" spans="1:14" ht="12.75" customHeight="1">
      <c r="A20" s="318"/>
      <c r="B20" s="672"/>
      <c r="D20" s="718"/>
      <c r="E20" s="718"/>
      <c r="F20" s="719"/>
      <c r="G20" s="719"/>
      <c r="H20" s="318"/>
      <c r="I20" s="318"/>
      <c r="J20" s="720"/>
    </row>
    <row r="21" spans="1:14" ht="12.75" customHeight="1">
      <c r="A21" s="318">
        <f>+A19+1</f>
        <v>5</v>
      </c>
      <c r="B21" s="672" t="s">
        <v>1586</v>
      </c>
      <c r="D21" s="718">
        <f>'Sch. 27 p.5'!G19</f>
        <v>-4.0394961846416635</v>
      </c>
      <c r="E21" s="718"/>
      <c r="F21" s="719">
        <v>3292</v>
      </c>
      <c r="G21" s="719"/>
      <c r="H21" s="318" t="s">
        <v>1584</v>
      </c>
      <c r="I21" s="318"/>
      <c r="J21" s="720">
        <f>D21*(F21*8)/100</f>
        <v>-1063.8417151872286</v>
      </c>
      <c r="L21" s="720">
        <v>200896.34738541741</v>
      </c>
      <c r="M21" s="721"/>
      <c r="N21" s="722">
        <f t="shared" ref="N21:N22" si="2">J21/L21</f>
        <v>-5.2954756471816789E-3</v>
      </c>
    </row>
    <row r="22" spans="1:14" ht="12.75" customHeight="1">
      <c r="A22" s="318">
        <f>+A21+1</f>
        <v>6</v>
      </c>
      <c r="B22" s="672" t="s">
        <v>1587</v>
      </c>
      <c r="D22" s="718">
        <f>+D21</f>
        <v>-4.0394961846416635</v>
      </c>
      <c r="E22" s="718"/>
      <c r="F22" s="719">
        <v>53871</v>
      </c>
      <c r="G22" s="719"/>
      <c r="H22" s="711" t="str">
        <f>+H21</f>
        <v>m³/d</v>
      </c>
      <c r="I22" s="711"/>
      <c r="J22" s="720">
        <f>D22*(F22*8)/100</f>
        <v>-17408.935917026483</v>
      </c>
      <c r="L22" s="720">
        <v>3223273.7564272583</v>
      </c>
      <c r="M22" s="721"/>
      <c r="N22" s="722">
        <f t="shared" si="2"/>
        <v>-5.4010106595236574E-3</v>
      </c>
    </row>
    <row r="23" spans="1:14" ht="12.75" customHeight="1">
      <c r="A23" s="318"/>
      <c r="B23" s="672"/>
      <c r="D23" s="718"/>
      <c r="E23" s="718"/>
      <c r="F23" s="719"/>
      <c r="G23" s="719"/>
      <c r="H23" s="318"/>
      <c r="I23" s="318"/>
      <c r="J23" s="720"/>
    </row>
    <row r="24" spans="1:14" ht="12.75" customHeight="1">
      <c r="A24" s="318">
        <f>+A22+1</f>
        <v>7</v>
      </c>
      <c r="B24" s="672" t="s">
        <v>1588</v>
      </c>
      <c r="D24" s="718">
        <f>'Sch. 27 p.5'!G20</f>
        <v>-7.5924935585695312</v>
      </c>
      <c r="E24" s="718"/>
      <c r="F24" s="719">
        <v>15300</v>
      </c>
      <c r="G24" s="719"/>
      <c r="H24" s="318" t="s">
        <v>1584</v>
      </c>
      <c r="I24" s="318"/>
      <c r="J24" s="720">
        <f>D24*(F24*8)/100</f>
        <v>-9293.2121156891062</v>
      </c>
      <c r="L24" s="719">
        <v>1401523.3309410352</v>
      </c>
      <c r="M24" s="721"/>
      <c r="N24" s="722">
        <f t="shared" ref="N24:N25" si="3">J24/L24</f>
        <v>-6.6307937303115008E-3</v>
      </c>
    </row>
    <row r="25" spans="1:14" ht="12.75" customHeight="1">
      <c r="A25" s="318">
        <f>+A24+1</f>
        <v>8</v>
      </c>
      <c r="B25" s="672" t="s">
        <v>1589</v>
      </c>
      <c r="D25" s="718">
        <f>+D24</f>
        <v>-7.5924935585695312</v>
      </c>
      <c r="E25" s="718"/>
      <c r="F25" s="719">
        <v>238928</v>
      </c>
      <c r="G25" s="719"/>
      <c r="H25" s="711" t="str">
        <f>+H24</f>
        <v>m³/d</v>
      </c>
      <c r="I25" s="711"/>
      <c r="J25" s="720">
        <f>D25*(F25*8)/100</f>
        <v>-145124.74407695208</v>
      </c>
      <c r="L25" s="720">
        <v>21708729.941208113</v>
      </c>
      <c r="M25" s="721"/>
      <c r="N25" s="722">
        <f t="shared" si="3"/>
        <v>-6.6850868047085643E-3</v>
      </c>
    </row>
    <row r="26" spans="1:14" ht="12.75" customHeight="1">
      <c r="A26" s="318"/>
      <c r="B26" s="672"/>
      <c r="D26" s="718"/>
      <c r="E26" s="718"/>
      <c r="F26" s="719"/>
      <c r="G26" s="719"/>
      <c r="H26" s="318"/>
      <c r="I26" s="318"/>
      <c r="J26" s="720"/>
    </row>
    <row r="27" spans="1:14" ht="12.75" customHeight="1">
      <c r="A27" s="318">
        <f>+A25+1</f>
        <v>9</v>
      </c>
      <c r="B27" s="672" t="s">
        <v>1590</v>
      </c>
      <c r="D27" s="718">
        <f>'Sch. 27 p.5'!G21</f>
        <v>-2.2289974473494327</v>
      </c>
      <c r="E27" s="718"/>
      <c r="F27" s="719">
        <v>2315000</v>
      </c>
      <c r="G27" s="719"/>
      <c r="H27" s="318" t="s">
        <v>1584</v>
      </c>
      <c r="I27" s="318"/>
      <c r="J27" s="720">
        <f>D27*(F27*8)/100</f>
        <v>-412810.32724911498</v>
      </c>
      <c r="L27" s="719">
        <v>54554483.215281114</v>
      </c>
      <c r="M27" s="721"/>
      <c r="N27" s="722">
        <f>J27/L27</f>
        <v>-7.5669368110425758E-3</v>
      </c>
    </row>
    <row r="28" spans="1:14" ht="12.75" customHeight="1">
      <c r="A28" s="318"/>
      <c r="B28" s="672"/>
      <c r="D28" s="718"/>
      <c r="E28" s="718"/>
      <c r="F28" s="720"/>
      <c r="G28" s="720"/>
      <c r="H28" s="318"/>
      <c r="I28" s="318"/>
      <c r="J28" s="720"/>
    </row>
    <row r="29" spans="1:14" ht="12.75" customHeight="1">
      <c r="A29" s="318">
        <f>A27+1</f>
        <v>10</v>
      </c>
      <c r="B29" s="672" t="s">
        <v>1591</v>
      </c>
      <c r="D29" s="718">
        <f>'Sch. 27 p.5'!G22</f>
        <v>-0.20040817012079412</v>
      </c>
      <c r="E29" s="718"/>
      <c r="F29" s="719">
        <v>595851.96073228971</v>
      </c>
      <c r="G29" s="719"/>
      <c r="H29" s="318" t="s">
        <v>1581</v>
      </c>
      <c r="I29" s="318"/>
      <c r="J29" s="720">
        <f>D29*F29/100</f>
        <v>-1194.1360111324545</v>
      </c>
      <c r="L29" s="720">
        <v>184953.73859373532</v>
      </c>
      <c r="M29" s="721"/>
      <c r="N29" s="722">
        <f>J29/L29</f>
        <v>-6.4564037483744157E-3</v>
      </c>
    </row>
    <row r="30" spans="1:14" ht="12.75" customHeight="1">
      <c r="A30" s="318"/>
      <c r="B30" s="672"/>
      <c r="D30" s="718"/>
      <c r="E30" s="718"/>
      <c r="F30" s="720"/>
      <c r="G30" s="720"/>
      <c r="H30" s="318"/>
      <c r="I30" s="318"/>
      <c r="J30" s="720"/>
    </row>
    <row r="31" spans="1:14" ht="12.75" customHeight="1">
      <c r="A31" s="318">
        <f>A29+1</f>
        <v>11</v>
      </c>
      <c r="B31" s="672" t="s">
        <v>1592</v>
      </c>
      <c r="D31" s="718">
        <f>'Sch. 27 p.5'!G23</f>
        <v>-4.4430709610294921</v>
      </c>
      <c r="E31" s="718"/>
      <c r="F31" s="719">
        <v>2993</v>
      </c>
      <c r="G31" s="719"/>
      <c r="H31" s="318" t="s">
        <v>1584</v>
      </c>
      <c r="I31" s="318"/>
      <c r="J31" s="720">
        <f>D31*(F31*8)/100</f>
        <v>-1063.8489109089016</v>
      </c>
      <c r="L31" s="720">
        <v>127219.51983650308</v>
      </c>
      <c r="M31" s="721"/>
      <c r="N31" s="722">
        <f t="shared" ref="N31:N32" si="4">J31/L31</f>
        <v>-8.362308805096209E-3</v>
      </c>
    </row>
    <row r="32" spans="1:14" ht="12.75" customHeight="1">
      <c r="A32" s="318">
        <f>+A31+1</f>
        <v>12</v>
      </c>
      <c r="B32" s="672" t="s">
        <v>1593</v>
      </c>
      <c r="D32" s="718">
        <f>+D31</f>
        <v>-4.4430709610294921</v>
      </c>
      <c r="E32" s="718"/>
      <c r="F32" s="719">
        <v>4489</v>
      </c>
      <c r="G32" s="719"/>
      <c r="H32" s="711" t="str">
        <f>+H31</f>
        <v>m³/d</v>
      </c>
      <c r="I32" s="711"/>
      <c r="J32" s="720">
        <f>D32*(F32*8)/100</f>
        <v>-1595.5956435249111</v>
      </c>
      <c r="L32" s="720">
        <v>220101.7066335743</v>
      </c>
      <c r="M32" s="721"/>
      <c r="N32" s="722">
        <f t="shared" si="4"/>
        <v>-7.2493560723782191E-3</v>
      </c>
    </row>
    <row r="33" spans="1:14" ht="12.75" customHeight="1">
      <c r="A33" s="318"/>
      <c r="B33" s="672"/>
      <c r="D33" s="718"/>
      <c r="E33" s="718"/>
      <c r="F33" s="719"/>
      <c r="G33" s="719"/>
      <c r="H33" s="318"/>
      <c r="I33" s="318"/>
      <c r="J33" s="720"/>
    </row>
    <row r="34" spans="1:14" ht="12.75" customHeight="1">
      <c r="A34" s="318">
        <f>+A32+1</f>
        <v>13</v>
      </c>
      <c r="B34" s="672" t="s">
        <v>1594</v>
      </c>
      <c r="D34" s="718">
        <f>'Sch. 27 p.5'!G24</f>
        <v>-1.2393387081075884</v>
      </c>
      <c r="E34" s="718"/>
      <c r="F34" s="719">
        <v>36413</v>
      </c>
      <c r="G34" s="719"/>
      <c r="H34" s="318" t="s">
        <v>1584</v>
      </c>
      <c r="I34" s="318"/>
      <c r="J34" s="720">
        <f>D34*(F34*8)/100</f>
        <v>-3610.2432302657294</v>
      </c>
      <c r="L34" s="720">
        <v>2911467.1288948115</v>
      </c>
      <c r="M34" s="721"/>
      <c r="N34" s="722">
        <f t="shared" ref="N34:N35" si="5">J34/L34</f>
        <v>-1.2400082399818034E-3</v>
      </c>
    </row>
    <row r="35" spans="1:14" ht="12.75" customHeight="1">
      <c r="A35" s="318">
        <f>+A34+1</f>
        <v>14</v>
      </c>
      <c r="B35" s="672" t="s">
        <v>1595</v>
      </c>
      <c r="D35" s="718">
        <f>+D34</f>
        <v>-1.2393387081075884</v>
      </c>
      <c r="E35" s="718"/>
      <c r="F35" s="719">
        <v>255089</v>
      </c>
      <c r="G35" s="719"/>
      <c r="H35" s="711" t="str">
        <f>+H34</f>
        <v>m³/d</v>
      </c>
      <c r="I35" s="711"/>
      <c r="J35" s="720">
        <f>D35*(F35*8)/100</f>
        <v>-25291.33373699653</v>
      </c>
      <c r="L35" s="720">
        <v>20240382.517252848</v>
      </c>
      <c r="M35" s="721"/>
      <c r="N35" s="722">
        <f t="shared" si="5"/>
        <v>-1.2495482096466441E-3</v>
      </c>
    </row>
    <row r="36" spans="1:14" ht="12.75" customHeight="1">
      <c r="A36" s="318"/>
      <c r="B36" s="672"/>
      <c r="D36" s="718"/>
      <c r="E36" s="718"/>
      <c r="F36" s="719"/>
      <c r="G36" s="719"/>
      <c r="H36" s="318"/>
      <c r="I36" s="318"/>
      <c r="J36" s="720"/>
    </row>
    <row r="37" spans="1:14" ht="12.75" customHeight="1">
      <c r="A37" s="318">
        <f>+A35+1</f>
        <v>15</v>
      </c>
      <c r="B37" s="672" t="s">
        <v>1596</v>
      </c>
      <c r="D37" s="718">
        <f>'Sch. 27 p.5'!G25</f>
        <v>1.6945409093519683</v>
      </c>
      <c r="E37" s="718"/>
      <c r="F37" s="719">
        <v>1252000</v>
      </c>
      <c r="G37" s="719"/>
      <c r="H37" s="318" t="s">
        <v>1584</v>
      </c>
      <c r="I37" s="318"/>
      <c r="J37" s="720">
        <f>D37*(F37*8)/100</f>
        <v>169725.21748069316</v>
      </c>
      <c r="L37" s="720">
        <v>25667217.232468147</v>
      </c>
      <c r="M37" s="721"/>
      <c r="N37" s="722">
        <f>J37/L37</f>
        <v>6.6125289681187799E-3</v>
      </c>
    </row>
    <row r="38" spans="1:14" ht="12.75" customHeight="1">
      <c r="A38" s="318"/>
      <c r="B38" s="672"/>
      <c r="D38" s="718"/>
      <c r="E38" s="718"/>
      <c r="F38" s="719"/>
      <c r="G38" s="719"/>
      <c r="H38" s="318"/>
      <c r="I38" s="318"/>
      <c r="J38" s="720"/>
    </row>
    <row r="39" spans="1:14" ht="12.75" customHeight="1">
      <c r="A39" s="318"/>
      <c r="B39" s="671" t="s">
        <v>172</v>
      </c>
      <c r="D39" s="718"/>
      <c r="E39" s="718"/>
      <c r="H39" s="318"/>
      <c r="I39" s="318"/>
    </row>
    <row r="40" spans="1:14" ht="12.75" customHeight="1">
      <c r="A40" s="318">
        <f>A37+1</f>
        <v>16</v>
      </c>
      <c r="B40" s="692" t="s">
        <v>1597</v>
      </c>
      <c r="D40" s="718">
        <f>'Sch. 27 p.5'!G30</f>
        <v>-4.8016264503616304</v>
      </c>
      <c r="E40" s="718"/>
      <c r="F40" s="719">
        <v>880</v>
      </c>
      <c r="G40" s="719"/>
      <c r="H40" s="318" t="s">
        <v>1581</v>
      </c>
      <c r="I40" s="318"/>
      <c r="J40" s="706">
        <f>D40*F40/100</f>
        <v>-42.254312763182355</v>
      </c>
      <c r="L40" s="720">
        <v>1307.3229958000002</v>
      </c>
      <c r="M40" s="721"/>
      <c r="N40" s="722">
        <f>J40/L40</f>
        <v>-3.2321249529711937E-2</v>
      </c>
    </row>
    <row r="41" spans="1:14" ht="12.75" customHeight="1">
      <c r="A41" s="318"/>
      <c r="B41" s="692"/>
      <c r="D41" s="718"/>
      <c r="E41" s="718"/>
      <c r="F41" s="720"/>
      <c r="G41" s="720"/>
      <c r="H41" s="318"/>
      <c r="I41" s="318"/>
      <c r="J41" s="706"/>
    </row>
    <row r="42" spans="1:14" ht="12.75" customHeight="1">
      <c r="A42" s="318">
        <f>A40+1</f>
        <v>17</v>
      </c>
      <c r="B42" s="692" t="s">
        <v>121</v>
      </c>
      <c r="D42" s="718">
        <f>'Sch. 27 p.5'!G31</f>
        <v>-1.8625986125984519</v>
      </c>
      <c r="E42" s="718"/>
      <c r="F42" s="719">
        <v>46750.51</v>
      </c>
      <c r="G42" s="719"/>
      <c r="H42" s="318" t="s">
        <v>1581</v>
      </c>
      <c r="I42" s="318"/>
      <c r="J42" s="323">
        <f>D42*F42/100</f>
        <v>-870.7743506427006</v>
      </c>
      <c r="L42" s="720">
        <v>40182.19234455</v>
      </c>
      <c r="M42" s="721"/>
      <c r="N42" s="722">
        <f>J42/L42</f>
        <v>-2.1670653088713455E-2</v>
      </c>
    </row>
    <row r="43" spans="1:14" ht="12.75" customHeight="1">
      <c r="A43" s="318"/>
      <c r="B43" s="692"/>
      <c r="D43" s="718"/>
      <c r="E43" s="718"/>
      <c r="F43" s="720"/>
      <c r="G43" s="720"/>
      <c r="H43" s="318"/>
      <c r="I43" s="318"/>
      <c r="J43" s="323"/>
    </row>
    <row r="44" spans="1:14" ht="12.75" customHeight="1">
      <c r="A44" s="318">
        <f>A42+1</f>
        <v>18</v>
      </c>
      <c r="B44" s="692" t="s">
        <v>1598</v>
      </c>
      <c r="D44" s="718">
        <f>'Sch. 27 p.5'!G32</f>
        <v>-3.5985254685863879</v>
      </c>
      <c r="E44" s="718"/>
      <c r="F44" s="720">
        <v>14000</v>
      </c>
      <c r="G44" s="720"/>
      <c r="H44" s="318" t="s">
        <v>1584</v>
      </c>
      <c r="I44" s="318"/>
      <c r="J44" s="720">
        <f>D44*(F44*8)/100</f>
        <v>-4030.3485248167544</v>
      </c>
      <c r="L44" s="720">
        <v>984616.28399999999</v>
      </c>
      <c r="M44" s="721"/>
      <c r="N44" s="722">
        <f t="shared" ref="N44:N45" si="6">J44/L44</f>
        <v>-4.0933189815259589E-3</v>
      </c>
    </row>
    <row r="45" spans="1:14" ht="12.75" customHeight="1">
      <c r="A45" s="318">
        <f>A44+1</f>
        <v>19</v>
      </c>
      <c r="B45" s="692" t="s">
        <v>1599</v>
      </c>
      <c r="D45" s="718">
        <f>'Sch. 27 p.5'!G32</f>
        <v>-3.5985254685863879</v>
      </c>
      <c r="E45" s="718"/>
      <c r="F45" s="720">
        <v>60000</v>
      </c>
      <c r="G45" s="720"/>
      <c r="H45" s="318" t="str">
        <f>+H44</f>
        <v>m³/d</v>
      </c>
      <c r="I45" s="318"/>
      <c r="J45" s="720">
        <f>D45*(F45*8)/100</f>
        <v>-17272.922249214662</v>
      </c>
      <c r="L45" s="720">
        <v>4770683.7359999996</v>
      </c>
      <c r="M45" s="721"/>
      <c r="N45" s="722">
        <f t="shared" si="6"/>
        <v>-3.6206387186959533E-3</v>
      </c>
    </row>
    <row r="46" spans="1:14" ht="12.75" customHeight="1">
      <c r="A46" s="318"/>
      <c r="B46" s="692"/>
      <c r="D46" s="718"/>
      <c r="E46" s="718"/>
      <c r="F46" s="720"/>
      <c r="G46" s="720"/>
      <c r="H46" s="318"/>
      <c r="I46" s="318"/>
      <c r="J46" s="720"/>
    </row>
    <row r="47" spans="1:14" ht="12.75" customHeight="1">
      <c r="A47" s="318">
        <f>A45+1</f>
        <v>20</v>
      </c>
      <c r="B47" s="692" t="s">
        <v>1600</v>
      </c>
      <c r="D47" s="718">
        <f>'Sch. 27 p.5'!G33</f>
        <v>-0.64416154126613201</v>
      </c>
      <c r="E47" s="718"/>
      <c r="F47" s="719">
        <v>1677053.350276554</v>
      </c>
      <c r="G47" s="719"/>
      <c r="H47" s="318" t="s">
        <v>1581</v>
      </c>
      <c r="I47" s="318"/>
      <c r="J47" s="323">
        <f>D47*F47/100</f>
        <v>-10802.932708996754</v>
      </c>
      <c r="L47" s="720">
        <v>723570.69500000007</v>
      </c>
      <c r="M47" s="721"/>
      <c r="N47" s="722">
        <f>J47/L47</f>
        <v>-1.4930030726295172E-2</v>
      </c>
    </row>
    <row r="48" spans="1:14" ht="12.75" customHeight="1">
      <c r="A48" s="318"/>
      <c r="B48" s="692"/>
      <c r="D48" s="718"/>
      <c r="E48" s="718"/>
      <c r="F48" s="720"/>
      <c r="G48" s="720"/>
      <c r="H48" s="318"/>
      <c r="I48" s="318"/>
      <c r="J48" s="323"/>
    </row>
    <row r="49" spans="1:14" ht="12.75" customHeight="1">
      <c r="A49" s="318">
        <f>A47+1</f>
        <v>21</v>
      </c>
      <c r="B49" s="692" t="s">
        <v>1583</v>
      </c>
      <c r="D49" s="718">
        <f>'Sch. 27 p.5'!G34</f>
        <v>-6.0483586121200412</v>
      </c>
      <c r="E49" s="718"/>
      <c r="F49" s="720">
        <v>100000</v>
      </c>
      <c r="G49" s="720"/>
      <c r="H49" s="318" t="s">
        <v>1584</v>
      </c>
      <c r="I49" s="318"/>
      <c r="J49" s="720">
        <f>D49*(F49*8)/100</f>
        <v>-48386.868896960324</v>
      </c>
      <c r="L49" s="720">
        <v>8830895.7149999999</v>
      </c>
      <c r="M49" s="721"/>
      <c r="N49" s="722">
        <f t="shared" ref="N49:N50" si="7">J49/L49</f>
        <v>-5.4792707850429331E-3</v>
      </c>
    </row>
    <row r="50" spans="1:14" ht="12.75" customHeight="1">
      <c r="A50" s="318">
        <f>A49+1</f>
        <v>22</v>
      </c>
      <c r="B50" s="692" t="s">
        <v>1585</v>
      </c>
      <c r="D50" s="718">
        <f>'Sch. 27 p.5'!G34</f>
        <v>-6.0483586121200412</v>
      </c>
      <c r="E50" s="718"/>
      <c r="F50" s="720">
        <v>850000</v>
      </c>
      <c r="G50" s="720"/>
      <c r="H50" s="318" t="str">
        <f>H49</f>
        <v>m³/d</v>
      </c>
      <c r="I50" s="318"/>
      <c r="J50" s="720">
        <f>D50*(F50*8)/100</f>
        <v>-411288.38562416279</v>
      </c>
      <c r="L50" s="720">
        <v>77828579.67750001</v>
      </c>
      <c r="M50" s="721"/>
      <c r="N50" s="722">
        <f t="shared" si="7"/>
        <v>-5.2845418396227648E-3</v>
      </c>
    </row>
    <row r="51" spans="1:14" ht="12.75" customHeight="1">
      <c r="A51" s="318"/>
      <c r="B51" s="317"/>
      <c r="D51" s="718"/>
      <c r="E51" s="718"/>
      <c r="F51" s="720"/>
      <c r="G51" s="720"/>
      <c r="H51" s="318"/>
      <c r="I51" s="318"/>
    </row>
    <row r="52" spans="1:14" ht="12.75" customHeight="1">
      <c r="A52" s="318"/>
      <c r="B52" s="671" t="s">
        <v>177</v>
      </c>
      <c r="D52" s="718"/>
      <c r="E52" s="718"/>
      <c r="F52" s="720"/>
      <c r="G52" s="720"/>
      <c r="H52" s="318"/>
      <c r="I52" s="318"/>
    </row>
    <row r="53" spans="1:14" ht="12.75" customHeight="1">
      <c r="A53" s="318">
        <f>A50+1</f>
        <v>23</v>
      </c>
      <c r="B53" s="692" t="s">
        <v>1601</v>
      </c>
      <c r="D53" s="718">
        <f>'Sch. 27 p.5'!G38</f>
        <v>-3.9787922544485448</v>
      </c>
      <c r="E53" s="718"/>
      <c r="F53" s="719">
        <v>880</v>
      </c>
      <c r="G53" s="719"/>
      <c r="H53" s="318" t="s">
        <v>1581</v>
      </c>
      <c r="I53" s="318"/>
      <c r="J53" s="706">
        <f>D53*F53/100</f>
        <v>-35.013371839147197</v>
      </c>
      <c r="L53" s="720">
        <v>1048.4094942000002</v>
      </c>
      <c r="M53" s="721"/>
      <c r="N53" s="722">
        <f>J53/L53</f>
        <v>-3.3396656585854861E-2</v>
      </c>
    </row>
    <row r="54" spans="1:14" ht="12.75" customHeight="1">
      <c r="A54" s="318"/>
      <c r="B54" s="692"/>
      <c r="D54" s="718"/>
      <c r="E54" s="718"/>
      <c r="F54" s="720"/>
      <c r="G54" s="720"/>
      <c r="H54" s="318"/>
      <c r="I54" s="318"/>
      <c r="J54" s="706"/>
    </row>
    <row r="55" spans="1:14" ht="12.75" customHeight="1">
      <c r="A55" s="318">
        <f>A53+1</f>
        <v>24</v>
      </c>
      <c r="B55" s="692" t="s">
        <v>125</v>
      </c>
      <c r="D55" s="718">
        <f>'Sch. 27 p.5'!G39</f>
        <v>-1.6594747925695805</v>
      </c>
      <c r="E55" s="718"/>
      <c r="F55" s="719">
        <v>29930</v>
      </c>
      <c r="G55" s="719"/>
      <c r="H55" s="318" t="s">
        <v>1581</v>
      </c>
      <c r="I55" s="318"/>
      <c r="J55" s="323">
        <f>D55*F55/100</f>
        <v>-496.68080541607543</v>
      </c>
      <c r="L55" s="720">
        <v>26026.624677000003</v>
      </c>
      <c r="M55" s="721"/>
      <c r="N55" s="722">
        <f>J55/L55</f>
        <v>-1.9083565832299313E-2</v>
      </c>
    </row>
    <row r="56" spans="1:14" ht="12.75" customHeight="1">
      <c r="A56" s="318"/>
      <c r="B56" s="692"/>
      <c r="D56" s="718"/>
      <c r="E56" s="718"/>
      <c r="F56" s="720"/>
      <c r="G56" s="720"/>
      <c r="H56" s="318"/>
      <c r="I56" s="318"/>
      <c r="J56" s="323"/>
    </row>
    <row r="57" spans="1:14" ht="12.75" customHeight="1">
      <c r="A57" s="318">
        <f>A55+1</f>
        <v>25</v>
      </c>
      <c r="B57" s="692" t="s">
        <v>1602</v>
      </c>
      <c r="D57" s="718">
        <f>'Sch. 27 p.5'!G40</f>
        <v>-12.094091634373903</v>
      </c>
      <c r="E57" s="718"/>
      <c r="F57" s="720">
        <v>4800</v>
      </c>
      <c r="G57" s="720"/>
      <c r="H57" s="318" t="s">
        <v>1584</v>
      </c>
      <c r="I57" s="318"/>
      <c r="J57" s="720">
        <f>D57*(F57*8)/100</f>
        <v>-4644.1311875995789</v>
      </c>
      <c r="L57" s="720">
        <v>297954.05859999999</v>
      </c>
      <c r="M57" s="721"/>
      <c r="N57" s="722">
        <f>J57/L57</f>
        <v>-1.5586735785446284E-2</v>
      </c>
    </row>
    <row r="58" spans="1:14" ht="12.75" customHeight="1">
      <c r="A58" s="318">
        <f t="shared" ref="A58:A64" si="8">A57+1</f>
        <v>26</v>
      </c>
      <c r="B58" s="692" t="s">
        <v>1603</v>
      </c>
      <c r="D58" s="718">
        <f>D57</f>
        <v>-12.094091634373903</v>
      </c>
      <c r="E58" s="718"/>
      <c r="F58" s="720">
        <v>50000</v>
      </c>
      <c r="G58" s="720"/>
      <c r="H58" s="318" t="str">
        <f>H57</f>
        <v>m³/d</v>
      </c>
      <c r="I58" s="318"/>
      <c r="J58" s="720">
        <f>D58*(F58*8)/100</f>
        <v>-48376.366537495611</v>
      </c>
      <c r="L58" s="720">
        <v>3759196.6752000004</v>
      </c>
      <c r="M58" s="721"/>
      <c r="N58" s="722">
        <f>J58/L58</f>
        <v>-1.2868804352973058E-2</v>
      </c>
    </row>
    <row r="59" spans="1:14" ht="12.75" customHeight="1">
      <c r="A59" s="318"/>
      <c r="B59" s="692"/>
      <c r="D59" s="718"/>
      <c r="E59" s="718"/>
      <c r="F59" s="720"/>
      <c r="G59" s="720"/>
      <c r="H59" s="318"/>
      <c r="I59" s="318"/>
      <c r="J59" s="323"/>
    </row>
    <row r="60" spans="1:14" ht="12.75" customHeight="1">
      <c r="A60" s="318">
        <f>A58+1</f>
        <v>27</v>
      </c>
      <c r="B60" s="692" t="s">
        <v>1604</v>
      </c>
      <c r="D60" s="723">
        <f>'Sch. 27 p.5'!G42</f>
        <v>-3.5414945222820098</v>
      </c>
      <c r="E60" s="723"/>
      <c r="F60" s="719">
        <v>512505.4359204169</v>
      </c>
      <c r="G60" s="719"/>
      <c r="H60" s="318" t="s">
        <v>1581</v>
      </c>
      <c r="I60" s="318"/>
      <c r="J60" s="323">
        <f>D60*F60/100</f>
        <v>-18150.3519395191</v>
      </c>
      <c r="L60" s="720">
        <v>265369.63500000001</v>
      </c>
      <c r="M60" s="721"/>
      <c r="N60" s="722">
        <f t="shared" ref="N60:N61" si="9">J60/L60</f>
        <v>-6.8396491329986181E-2</v>
      </c>
    </row>
    <row r="61" spans="1:14" ht="12.75" customHeight="1">
      <c r="A61" s="318">
        <f t="shared" si="8"/>
        <v>28</v>
      </c>
      <c r="B61" s="692" t="s">
        <v>1605</v>
      </c>
      <c r="D61" s="723">
        <f>D60</f>
        <v>-3.5414945222820098</v>
      </c>
      <c r="E61" s="723"/>
      <c r="F61" s="719">
        <v>4037921.6163426782</v>
      </c>
      <c r="G61" s="719"/>
      <c r="H61" s="318" t="s">
        <v>1581</v>
      </c>
      <c r="I61" s="318"/>
      <c r="J61" s="323">
        <f>D61*F61/100</f>
        <v>-143002.77285681714</v>
      </c>
      <c r="L61" s="720">
        <v>2012317.56</v>
      </c>
      <c r="M61" s="721"/>
      <c r="N61" s="722">
        <f t="shared" si="9"/>
        <v>-7.1063720607207309E-2</v>
      </c>
    </row>
    <row r="62" spans="1:14" ht="12.75" customHeight="1">
      <c r="A62" s="318"/>
      <c r="B62" s="692"/>
      <c r="D62" s="718"/>
      <c r="E62" s="718"/>
      <c r="F62" s="720"/>
      <c r="G62" s="720"/>
      <c r="H62" s="318"/>
      <c r="I62" s="318"/>
      <c r="J62" s="323"/>
    </row>
    <row r="63" spans="1:14" ht="12.75" customHeight="1">
      <c r="A63" s="318">
        <f>A61+1</f>
        <v>29</v>
      </c>
      <c r="B63" s="692" t="s">
        <v>1606</v>
      </c>
      <c r="D63" s="718">
        <f>'Sch. 27 p.5'!G43</f>
        <v>-3.2918808267488089</v>
      </c>
      <c r="E63" s="718"/>
      <c r="F63" s="720">
        <v>165000</v>
      </c>
      <c r="G63" s="720"/>
      <c r="H63" s="318" t="s">
        <v>1584</v>
      </c>
      <c r="I63" s="318"/>
      <c r="J63" s="720">
        <f>D63*(F63*8)/100</f>
        <v>-43452.826913084275</v>
      </c>
      <c r="L63" s="720">
        <v>10717140.240000002</v>
      </c>
      <c r="M63" s="721"/>
      <c r="N63" s="722">
        <f t="shared" ref="N63:N64" si="10">J63/L63</f>
        <v>-4.0545169644140315E-3</v>
      </c>
    </row>
    <row r="64" spans="1:14" ht="12.75" customHeight="1">
      <c r="A64" s="318">
        <f t="shared" si="8"/>
        <v>30</v>
      </c>
      <c r="B64" s="692" t="s">
        <v>1607</v>
      </c>
      <c r="D64" s="718">
        <f>D63</f>
        <v>-3.2918808267488089</v>
      </c>
      <c r="E64" s="718"/>
      <c r="F64" s="720">
        <v>720000</v>
      </c>
      <c r="G64" s="720"/>
      <c r="H64" s="318" t="str">
        <f>H63</f>
        <v>m³/d</v>
      </c>
      <c r="I64" s="318"/>
      <c r="J64" s="720">
        <f>D64*(F64*8)/100</f>
        <v>-189612.33562073138</v>
      </c>
      <c r="L64" s="720">
        <v>17436196.32</v>
      </c>
      <c r="M64" s="721"/>
      <c r="N64" s="722">
        <f t="shared" si="10"/>
        <v>-1.0874638719411446E-2</v>
      </c>
    </row>
    <row r="65" spans="1:14" ht="12.75" customHeight="1">
      <c r="A65" s="318"/>
      <c r="B65" s="692"/>
      <c r="D65" s="718"/>
      <c r="E65" s="718"/>
      <c r="F65" s="720"/>
      <c r="G65" s="720"/>
      <c r="H65" s="318"/>
      <c r="I65" s="318"/>
      <c r="J65" s="323"/>
    </row>
    <row r="66" spans="1:14" ht="12.75" customHeight="1">
      <c r="A66" s="318">
        <f>A64+1</f>
        <v>31</v>
      </c>
      <c r="B66" s="692" t="s">
        <v>1608</v>
      </c>
      <c r="D66" s="718">
        <f>'Sch. 27 p.5'!G45</f>
        <v>-6.0326227669547237</v>
      </c>
      <c r="E66" s="718"/>
      <c r="F66" s="720">
        <v>56439</v>
      </c>
      <c r="G66" s="720"/>
      <c r="H66" s="318" t="s">
        <v>1584</v>
      </c>
      <c r="I66" s="318"/>
      <c r="J66" s="720">
        <f>D66*(F66*8)/100</f>
        <v>-27238.01570753261</v>
      </c>
      <c r="L66" s="720">
        <v>1057322.2901120002</v>
      </c>
      <c r="M66" s="721"/>
      <c r="N66" s="722">
        <f t="shared" ref="N66:N67" si="11">J66/L66</f>
        <v>-2.5761317965449625E-2</v>
      </c>
    </row>
    <row r="67" spans="1:14" ht="12.75" customHeight="1">
      <c r="A67" s="318">
        <f>A66+1</f>
        <v>32</v>
      </c>
      <c r="B67" s="692" t="s">
        <v>1609</v>
      </c>
      <c r="D67" s="718">
        <f>D66</f>
        <v>-6.0326227669547237</v>
      </c>
      <c r="E67" s="718"/>
      <c r="F67" s="720">
        <v>168100</v>
      </c>
      <c r="G67" s="720"/>
      <c r="H67" s="318" t="str">
        <f>H66</f>
        <v>m³/d</v>
      </c>
      <c r="I67" s="318"/>
      <c r="J67" s="720">
        <f>D67*(F67*8)/100</f>
        <v>-81126.710970007131</v>
      </c>
      <c r="L67" s="720">
        <v>3083587.9068000005</v>
      </c>
      <c r="M67" s="721"/>
      <c r="N67" s="722">
        <f t="shared" si="11"/>
        <v>-2.6309193518078276E-2</v>
      </c>
    </row>
    <row r="68" spans="1:14" ht="12.75" customHeight="1">
      <c r="A68" s="318"/>
      <c r="B68" s="692"/>
      <c r="D68" s="718"/>
      <c r="E68" s="718"/>
      <c r="F68" s="720"/>
      <c r="G68" s="720"/>
      <c r="H68" s="318"/>
      <c r="I68" s="318"/>
      <c r="J68" s="720"/>
    </row>
    <row r="69" spans="1:14" ht="12.75" customHeight="1">
      <c r="A69" s="318">
        <f>A67+1</f>
        <v>33</v>
      </c>
      <c r="B69" s="692" t="s">
        <v>1610</v>
      </c>
      <c r="D69" s="718">
        <f>'Sch. 27 p.5'!G46</f>
        <v>-11.348593142957441</v>
      </c>
      <c r="E69" s="718"/>
      <c r="F69" s="720">
        <v>25750</v>
      </c>
      <c r="G69" s="720"/>
      <c r="H69" s="318" t="s">
        <v>1584</v>
      </c>
      <c r="I69" s="318"/>
      <c r="J69" s="720">
        <f>D69*(F69*8)/100</f>
        <v>-23378.101874492328</v>
      </c>
      <c r="L69" s="720">
        <v>2254171.574</v>
      </c>
      <c r="M69" s="721"/>
      <c r="N69" s="722">
        <f t="shared" ref="N69:N71" si="12">J69/L69</f>
        <v>-1.037103925190937E-2</v>
      </c>
    </row>
    <row r="70" spans="1:14" ht="12.75" customHeight="1">
      <c r="A70" s="318">
        <f>A69+1</f>
        <v>34</v>
      </c>
      <c r="B70" s="692" t="s">
        <v>1611</v>
      </c>
      <c r="D70" s="718">
        <f>D69</f>
        <v>-11.348593142957441</v>
      </c>
      <c r="E70" s="718"/>
      <c r="F70" s="720">
        <v>48750</v>
      </c>
      <c r="G70" s="720"/>
      <c r="H70" s="318" t="s">
        <v>1584</v>
      </c>
      <c r="I70" s="318"/>
      <c r="J70" s="720">
        <f>D70*(F70*8)/100</f>
        <v>-44259.513257534018</v>
      </c>
      <c r="L70" s="720">
        <v>3462800.9750319999</v>
      </c>
      <c r="M70" s="721"/>
      <c r="N70" s="722">
        <f t="shared" si="12"/>
        <v>-1.278141989004292E-2</v>
      </c>
    </row>
    <row r="71" spans="1:14" ht="12.75" customHeight="1">
      <c r="A71" s="318">
        <f>A70+1</f>
        <v>35</v>
      </c>
      <c r="B71" s="692" t="s">
        <v>1612</v>
      </c>
      <c r="D71" s="718">
        <f>D69</f>
        <v>-11.348593142957441</v>
      </c>
      <c r="E71" s="718"/>
      <c r="F71" s="720">
        <v>133000</v>
      </c>
      <c r="G71" s="720"/>
      <c r="H71" s="318" t="str">
        <f>H69</f>
        <v>m³/d</v>
      </c>
      <c r="I71" s="318"/>
      <c r="J71" s="720">
        <f>D71*(F71*8)/100</f>
        <v>-120749.03104106717</v>
      </c>
      <c r="L71" s="720">
        <v>7682269.8547200002</v>
      </c>
      <c r="M71" s="721"/>
      <c r="N71" s="722">
        <f t="shared" si="12"/>
        <v>-1.5717884599807275E-2</v>
      </c>
    </row>
    <row r="72" spans="1:14" ht="12.75" customHeight="1">
      <c r="A72" s="318"/>
      <c r="B72" s="692"/>
      <c r="D72" s="718"/>
      <c r="E72" s="718"/>
      <c r="F72" s="720"/>
      <c r="G72" s="720"/>
      <c r="H72" s="318"/>
      <c r="I72" s="318"/>
      <c r="J72" s="323"/>
    </row>
    <row r="73" spans="1:14" ht="12.75" customHeight="1">
      <c r="A73" s="318">
        <f>A71+1</f>
        <v>36</v>
      </c>
      <c r="B73" s="692" t="s">
        <v>1613</v>
      </c>
      <c r="D73" s="718">
        <f>'Sch. 27 p.5'!G48</f>
        <v>-5.3880537863772338</v>
      </c>
      <c r="E73" s="718"/>
      <c r="F73" s="720">
        <v>190000</v>
      </c>
      <c r="G73" s="720"/>
      <c r="H73" s="318" t="s">
        <v>1584</v>
      </c>
      <c r="I73" s="318"/>
      <c r="J73" s="720">
        <f>D73*(F73*8)/100</f>
        <v>-81898.417552933955</v>
      </c>
      <c r="L73" s="720">
        <v>17111793.982080001</v>
      </c>
      <c r="M73" s="721"/>
      <c r="N73" s="722">
        <f t="shared" ref="N73:N75" si="13">J73/L73</f>
        <v>-4.7860801525953685E-3</v>
      </c>
    </row>
    <row r="74" spans="1:14" ht="12.75" customHeight="1">
      <c r="A74" s="318">
        <f>A73+1</f>
        <v>37</v>
      </c>
      <c r="B74" s="692" t="s">
        <v>1614</v>
      </c>
      <c r="D74" s="718">
        <f>D73</f>
        <v>-5.3880537863772338</v>
      </c>
      <c r="E74" s="718"/>
      <c r="F74" s="720">
        <v>669000</v>
      </c>
      <c r="G74" s="720"/>
      <c r="H74" s="318" t="s">
        <v>1584</v>
      </c>
      <c r="I74" s="318"/>
      <c r="J74" s="720">
        <f>D74*(F74*8)/100</f>
        <v>-288368.63864690956</v>
      </c>
      <c r="L74" s="720">
        <v>56423209.452930003</v>
      </c>
      <c r="M74" s="721"/>
      <c r="N74" s="722">
        <f t="shared" si="13"/>
        <v>-5.1108159468928414E-3</v>
      </c>
    </row>
    <row r="75" spans="1:14" ht="12.75" customHeight="1">
      <c r="A75" s="318">
        <f>A74+1</f>
        <v>38</v>
      </c>
      <c r="B75" s="692" t="s">
        <v>1615</v>
      </c>
      <c r="D75" s="718">
        <f>D73</f>
        <v>-5.3880537863772338</v>
      </c>
      <c r="E75" s="718"/>
      <c r="F75" s="720">
        <v>1200000</v>
      </c>
      <c r="G75" s="720"/>
      <c r="H75" s="318" t="str">
        <f>H73</f>
        <v>m³/d</v>
      </c>
      <c r="I75" s="318"/>
      <c r="J75" s="720">
        <f>D75*(F75*8)/100</f>
        <v>-517253.16349221446</v>
      </c>
      <c r="L75" s="720">
        <v>105172556.99508001</v>
      </c>
      <c r="M75" s="721"/>
      <c r="N75" s="722">
        <f t="shared" si="13"/>
        <v>-4.9181381367043465E-3</v>
      </c>
    </row>
    <row r="76" spans="1:14" ht="12.75" customHeight="1">
      <c r="A76" s="318"/>
      <c r="B76" s="692"/>
      <c r="D76" s="718"/>
      <c r="E76" s="718"/>
      <c r="F76" s="720"/>
      <c r="G76" s="720"/>
      <c r="H76" s="318"/>
      <c r="I76" s="318"/>
      <c r="J76" s="323"/>
    </row>
    <row r="77" spans="1:14" ht="12.75" customHeight="1">
      <c r="A77" s="318">
        <f>A75+1</f>
        <v>39</v>
      </c>
      <c r="B77" s="692" t="s">
        <v>134</v>
      </c>
      <c r="D77" s="718">
        <f>'Sch. 27 p.5'!G50</f>
        <v>-6.8151487976379332</v>
      </c>
      <c r="E77" s="718"/>
      <c r="F77" s="720">
        <v>2350000</v>
      </c>
      <c r="G77" s="720"/>
      <c r="H77" s="318" t="s">
        <v>1584</v>
      </c>
      <c r="I77" s="318"/>
      <c r="J77" s="720">
        <f>D77*(F77*8)/100</f>
        <v>-1281247.9739559316</v>
      </c>
      <c r="L77" s="720">
        <v>40031877.648000009</v>
      </c>
      <c r="M77" s="721"/>
      <c r="N77" s="722">
        <f>J77/L77</f>
        <v>-3.200569269375609E-2</v>
      </c>
    </row>
    <row r="78" spans="1:14" ht="12.75" customHeight="1">
      <c r="A78" s="318"/>
      <c r="B78" s="672"/>
      <c r="D78" s="718"/>
      <c r="E78" s="718"/>
      <c r="F78" s="720"/>
      <c r="G78" s="720"/>
      <c r="H78" s="318"/>
      <c r="I78" s="318"/>
      <c r="J78" s="720"/>
    </row>
    <row r="79" spans="1:14" ht="12.75" customHeight="1">
      <c r="A79" s="671" t="s">
        <v>39</v>
      </c>
      <c r="B79" s="318"/>
      <c r="D79" s="718"/>
      <c r="E79" s="718"/>
      <c r="F79" s="720"/>
      <c r="G79" s="720"/>
      <c r="H79" s="318"/>
      <c r="I79" s="318"/>
      <c r="J79" s="720"/>
    </row>
    <row r="80" spans="1:14" ht="12.75" customHeight="1">
      <c r="A80" s="654" t="s">
        <v>40</v>
      </c>
      <c r="B80" s="317" t="s">
        <v>1616</v>
      </c>
      <c r="D80" s="718"/>
      <c r="E80" s="718"/>
      <c r="F80" s="720"/>
      <c r="G80" s="720"/>
      <c r="H80" s="318"/>
      <c r="I80" s="318"/>
      <c r="J80" s="720"/>
    </row>
    <row r="81" spans="1:10" ht="12.75" customHeight="1">
      <c r="A81" s="654" t="s">
        <v>42</v>
      </c>
      <c r="B81" s="317" t="s">
        <v>1617</v>
      </c>
      <c r="D81" s="718"/>
      <c r="E81" s="718"/>
      <c r="F81" s="720"/>
      <c r="G81" s="720"/>
      <c r="H81" s="318"/>
      <c r="I81" s="318"/>
      <c r="J81" s="720"/>
    </row>
    <row r="82" spans="1:10" ht="12.75" customHeight="1">
      <c r="A82" s="318"/>
      <c r="B82" s="672"/>
      <c r="D82" s="718"/>
      <c r="E82" s="718"/>
      <c r="F82" s="720"/>
      <c r="G82" s="720"/>
      <c r="H82" s="318"/>
      <c r="I82" s="318"/>
      <c r="J82" s="720"/>
    </row>
    <row r="83" spans="1:10" ht="12.75" customHeight="1">
      <c r="A83" s="318"/>
      <c r="B83" s="672"/>
      <c r="D83" s="718"/>
      <c r="E83" s="718"/>
      <c r="F83" s="720"/>
      <c r="G83" s="720"/>
      <c r="H83" s="318"/>
      <c r="I83" s="318"/>
      <c r="J83" s="720"/>
    </row>
    <row r="84" spans="1:10" ht="12.75" customHeight="1">
      <c r="A84" s="318"/>
      <c r="B84" s="318"/>
      <c r="C84" s="318"/>
      <c r="D84" s="714"/>
      <c r="E84" s="714"/>
      <c r="F84" s="318"/>
      <c r="G84" s="318"/>
      <c r="H84" s="318"/>
      <c r="I84" s="318"/>
      <c r="J84" s="326"/>
    </row>
    <row r="85" spans="1:10" ht="12.75" customHeight="1">
      <c r="A85" s="318"/>
      <c r="B85" s="318"/>
      <c r="C85" s="318"/>
      <c r="D85" s="714"/>
      <c r="E85" s="714"/>
      <c r="F85" s="318"/>
      <c r="G85" s="318"/>
      <c r="H85" s="318"/>
      <c r="I85" s="318"/>
      <c r="J85" s="326"/>
    </row>
    <row r="86" spans="1:10" ht="12.75" customHeight="1">
      <c r="A86" s="318"/>
      <c r="B86" s="318"/>
      <c r="C86" s="318"/>
      <c r="D86" s="714"/>
      <c r="E86" s="714"/>
      <c r="F86" s="318"/>
      <c r="G86" s="318"/>
      <c r="H86" s="318"/>
      <c r="I86" s="318"/>
      <c r="J86" s="326"/>
    </row>
    <row r="87" spans="1:10" ht="12.75" customHeight="1">
      <c r="A87" s="318"/>
      <c r="B87" s="318"/>
      <c r="C87" s="318"/>
      <c r="D87" s="714"/>
      <c r="E87" s="714"/>
      <c r="F87" s="318"/>
      <c r="G87" s="318"/>
      <c r="H87" s="318"/>
      <c r="I87" s="318"/>
      <c r="J87" s="326"/>
    </row>
    <row r="88" spans="1:10" ht="12.75" customHeight="1">
      <c r="A88" s="318"/>
      <c r="B88" s="318"/>
      <c r="C88" s="318"/>
      <c r="D88" s="714"/>
      <c r="E88" s="714"/>
      <c r="F88" s="318"/>
      <c r="G88" s="318"/>
      <c r="H88" s="318"/>
      <c r="I88" s="318"/>
      <c r="J88" s="326"/>
    </row>
    <row r="89" spans="1:10" ht="12.75" customHeight="1">
      <c r="A89" s="318"/>
      <c r="B89" s="318"/>
      <c r="C89" s="318"/>
      <c r="D89" s="714"/>
      <c r="E89" s="714"/>
      <c r="F89" s="318"/>
      <c r="G89" s="318"/>
      <c r="H89" s="318"/>
      <c r="I89" s="318"/>
      <c r="J89" s="326"/>
    </row>
    <row r="90" spans="1:10" ht="12.75" customHeight="1">
      <c r="A90" s="318"/>
      <c r="B90" s="318"/>
      <c r="C90" s="318"/>
      <c r="D90" s="714"/>
      <c r="E90" s="714"/>
      <c r="F90" s="318"/>
      <c r="G90" s="318"/>
      <c r="H90" s="318"/>
      <c r="I90" s="318"/>
      <c r="J90" s="666"/>
    </row>
    <row r="91" spans="1:10" ht="12.75" customHeight="1">
      <c r="A91" s="1319"/>
      <c r="B91" s="1319"/>
      <c r="C91" s="1319"/>
      <c r="D91" s="1319"/>
      <c r="E91" s="1319"/>
      <c r="F91" s="1319"/>
      <c r="G91" s="1319"/>
      <c r="H91" s="1319"/>
      <c r="I91" s="1319"/>
      <c r="J91" s="1319"/>
    </row>
    <row r="92" spans="1:10" ht="12.75" customHeight="1">
      <c r="D92" s="724"/>
      <c r="E92" s="724"/>
    </row>
    <row r="93" spans="1:10" ht="12.75" customHeight="1">
      <c r="A93" s="1321"/>
      <c r="B93" s="318"/>
      <c r="C93" s="318"/>
      <c r="D93" s="714"/>
      <c r="E93" s="714"/>
      <c r="F93" s="318"/>
      <c r="G93" s="318"/>
      <c r="H93" s="318"/>
      <c r="I93" s="318"/>
      <c r="J93" s="318"/>
    </row>
    <row r="94" spans="1:10" ht="12.75" customHeight="1">
      <c r="A94" s="1321"/>
      <c r="B94" s="318"/>
      <c r="C94" s="318"/>
      <c r="D94" s="714"/>
      <c r="E94" s="714"/>
      <c r="F94" s="1351"/>
      <c r="G94" s="1351"/>
      <c r="H94" s="1351"/>
      <c r="I94" s="318"/>
      <c r="J94" s="318"/>
    </row>
    <row r="95" spans="1:10" ht="12.75" customHeight="1">
      <c r="A95" s="1321"/>
      <c r="B95" s="685"/>
      <c r="D95" s="714"/>
      <c r="E95" s="714"/>
      <c r="F95" s="318"/>
      <c r="G95" s="318"/>
      <c r="H95" s="667"/>
      <c r="I95" s="667"/>
      <c r="J95" s="654"/>
    </row>
    <row r="96" spans="1:10" ht="12.75" customHeight="1">
      <c r="A96" s="667"/>
      <c r="B96" s="667"/>
      <c r="C96" s="685"/>
      <c r="D96" s="725"/>
      <c r="E96" s="725"/>
      <c r="F96" s="654"/>
      <c r="G96" s="654"/>
      <c r="H96" s="654"/>
      <c r="I96" s="654"/>
      <c r="J96" s="654"/>
    </row>
    <row r="97" spans="1:10" ht="12.75" customHeight="1">
      <c r="A97" s="318"/>
      <c r="B97" s="671"/>
      <c r="D97" s="726"/>
      <c r="E97" s="726"/>
      <c r="H97" s="318"/>
      <c r="I97" s="318"/>
    </row>
    <row r="98" spans="1:10" ht="12.75" customHeight="1">
      <c r="A98" s="318"/>
      <c r="B98" s="671"/>
      <c r="D98" s="726"/>
      <c r="E98" s="726"/>
      <c r="H98" s="318"/>
      <c r="I98" s="318"/>
    </row>
    <row r="99" spans="1:10" ht="12.75" customHeight="1">
      <c r="A99" s="318"/>
      <c r="B99" s="692"/>
      <c r="D99" s="726"/>
      <c r="E99" s="726"/>
      <c r="F99" s="727"/>
      <c r="G99" s="727"/>
      <c r="H99" s="318"/>
      <c r="I99" s="318"/>
      <c r="J99" s="706"/>
    </row>
    <row r="100" spans="1:10" ht="12.75" customHeight="1">
      <c r="A100" s="318"/>
      <c r="B100" s="692"/>
      <c r="D100" s="726"/>
      <c r="E100" s="726"/>
      <c r="F100" s="727"/>
      <c r="G100" s="727"/>
      <c r="H100" s="318"/>
      <c r="I100" s="318"/>
      <c r="J100" s="706"/>
    </row>
    <row r="101" spans="1:10" ht="12.75" customHeight="1">
      <c r="A101" s="318"/>
      <c r="B101" s="692"/>
      <c r="D101" s="726"/>
      <c r="E101" s="726"/>
      <c r="F101" s="727"/>
      <c r="G101" s="727"/>
      <c r="H101" s="318"/>
      <c r="I101" s="318"/>
      <c r="J101" s="323"/>
    </row>
    <row r="102" spans="1:10" ht="12.75" customHeight="1">
      <c r="A102" s="318"/>
      <c r="B102" s="692"/>
      <c r="D102" s="726"/>
      <c r="E102" s="726"/>
      <c r="F102" s="727"/>
      <c r="G102" s="727"/>
      <c r="H102" s="318"/>
      <c r="I102" s="318"/>
      <c r="J102" s="323"/>
    </row>
    <row r="103" spans="1:10" ht="12.75" customHeight="1">
      <c r="A103" s="318"/>
      <c r="B103" s="692"/>
      <c r="D103" s="726"/>
      <c r="E103" s="726"/>
      <c r="F103" s="727"/>
      <c r="G103" s="727"/>
      <c r="H103" s="318"/>
      <c r="I103" s="318"/>
      <c r="J103" s="727"/>
    </row>
    <row r="104" spans="1:10" ht="12.75" customHeight="1">
      <c r="A104" s="318"/>
      <c r="B104" s="692"/>
      <c r="D104" s="726"/>
      <c r="E104" s="726"/>
      <c r="F104" s="727"/>
      <c r="G104" s="727"/>
      <c r="H104" s="318"/>
      <c r="I104" s="318"/>
      <c r="J104" s="727"/>
    </row>
    <row r="105" spans="1:10" ht="12.75" customHeight="1">
      <c r="A105" s="318"/>
      <c r="B105" s="692"/>
      <c r="D105" s="726"/>
      <c r="E105" s="726"/>
      <c r="F105" s="727"/>
      <c r="G105" s="727"/>
      <c r="H105" s="318"/>
      <c r="I105" s="318"/>
      <c r="J105" s="727"/>
    </row>
    <row r="106" spans="1:10" ht="12.75" customHeight="1">
      <c r="A106" s="318"/>
      <c r="B106" s="692"/>
      <c r="D106" s="726"/>
      <c r="E106" s="726"/>
      <c r="F106" s="727"/>
      <c r="G106" s="727"/>
      <c r="H106" s="318"/>
      <c r="I106" s="318"/>
      <c r="J106" s="323"/>
    </row>
    <row r="107" spans="1:10" ht="12.75" customHeight="1">
      <c r="A107" s="318"/>
      <c r="B107" s="692"/>
      <c r="D107" s="726"/>
      <c r="E107" s="726"/>
      <c r="F107" s="727"/>
      <c r="G107" s="727"/>
      <c r="H107" s="318"/>
      <c r="I107" s="318"/>
      <c r="J107" s="323"/>
    </row>
    <row r="108" spans="1:10" ht="12.75" customHeight="1">
      <c r="A108" s="318"/>
      <c r="B108" s="692"/>
      <c r="D108" s="726"/>
      <c r="E108" s="726"/>
      <c r="F108" s="727"/>
      <c r="G108" s="727"/>
      <c r="H108" s="318"/>
      <c r="I108" s="318"/>
      <c r="J108" s="727"/>
    </row>
    <row r="109" spans="1:10" ht="12.75" customHeight="1">
      <c r="A109" s="318"/>
      <c r="B109" s="692"/>
      <c r="D109" s="726"/>
      <c r="E109" s="726"/>
      <c r="F109" s="727"/>
      <c r="G109" s="727"/>
      <c r="H109" s="318"/>
      <c r="I109" s="318"/>
      <c r="J109" s="727"/>
    </row>
    <row r="110" spans="1:10" ht="12.75" customHeight="1">
      <c r="A110" s="318"/>
      <c r="B110" s="317"/>
      <c r="D110" s="726"/>
      <c r="E110" s="726"/>
      <c r="F110" s="727"/>
      <c r="G110" s="727"/>
      <c r="H110" s="318"/>
      <c r="I110" s="318"/>
    </row>
    <row r="111" spans="1:10" ht="12.75" customHeight="1">
      <c r="A111" s="318"/>
      <c r="B111" s="671"/>
      <c r="D111" s="726"/>
      <c r="E111" s="726"/>
      <c r="F111" s="727"/>
      <c r="G111" s="727"/>
      <c r="H111" s="318"/>
      <c r="I111" s="318"/>
    </row>
    <row r="112" spans="1:10" ht="12.75" customHeight="1">
      <c r="A112" s="318"/>
      <c r="B112" s="692"/>
      <c r="D112" s="726"/>
      <c r="E112" s="726"/>
      <c r="F112" s="727"/>
      <c r="G112" s="727"/>
      <c r="H112" s="318"/>
      <c r="I112" s="318"/>
      <c r="J112" s="706"/>
    </row>
    <row r="113" spans="1:10" ht="12.75" customHeight="1">
      <c r="A113" s="318"/>
      <c r="B113" s="692"/>
      <c r="D113" s="726"/>
      <c r="E113" s="726"/>
      <c r="F113" s="727"/>
      <c r="G113" s="727"/>
      <c r="H113" s="318"/>
      <c r="I113" s="318"/>
      <c r="J113" s="706"/>
    </row>
    <row r="114" spans="1:10" ht="12.75" customHeight="1">
      <c r="A114" s="318"/>
      <c r="B114" s="692"/>
      <c r="D114" s="726"/>
      <c r="E114" s="726"/>
      <c r="F114" s="727"/>
      <c r="G114" s="727"/>
      <c r="H114" s="318"/>
      <c r="I114" s="318"/>
      <c r="J114" s="323"/>
    </row>
    <row r="115" spans="1:10" ht="12.75" customHeight="1">
      <c r="A115" s="318"/>
      <c r="B115" s="692"/>
      <c r="D115" s="726"/>
      <c r="E115" s="726"/>
      <c r="F115" s="727"/>
      <c r="G115" s="727"/>
      <c r="H115" s="318"/>
      <c r="I115" s="318"/>
      <c r="J115" s="323"/>
    </row>
    <row r="116" spans="1:10" ht="12.75" customHeight="1">
      <c r="A116" s="318"/>
      <c r="B116" s="692"/>
      <c r="D116" s="726"/>
      <c r="E116" s="726"/>
      <c r="F116" s="727"/>
      <c r="G116" s="727"/>
      <c r="H116" s="318"/>
      <c r="I116" s="318"/>
      <c r="J116" s="727"/>
    </row>
    <row r="117" spans="1:10" ht="12.75" customHeight="1">
      <c r="A117" s="318"/>
      <c r="B117" s="692"/>
      <c r="D117" s="726"/>
      <c r="E117" s="726"/>
      <c r="F117" s="727"/>
      <c r="G117" s="727"/>
      <c r="H117" s="318"/>
      <c r="I117" s="318"/>
      <c r="J117" s="727"/>
    </row>
    <row r="118" spans="1:10" ht="12.75" customHeight="1">
      <c r="A118" s="318"/>
      <c r="B118" s="692"/>
      <c r="D118" s="726"/>
      <c r="E118" s="726"/>
      <c r="F118" s="727"/>
      <c r="G118" s="727"/>
      <c r="H118" s="318"/>
      <c r="I118" s="318"/>
      <c r="J118" s="323"/>
    </row>
    <row r="119" spans="1:10" ht="12.75" customHeight="1">
      <c r="A119" s="318"/>
      <c r="B119" s="692"/>
      <c r="D119" s="726"/>
      <c r="E119" s="726"/>
      <c r="F119" s="727"/>
      <c r="G119" s="727"/>
      <c r="H119" s="318"/>
      <c r="I119" s="318"/>
      <c r="J119" s="323"/>
    </row>
    <row r="120" spans="1:10" ht="12.75" customHeight="1">
      <c r="A120" s="318"/>
      <c r="B120" s="692"/>
      <c r="D120" s="726"/>
      <c r="E120" s="726"/>
      <c r="F120" s="727"/>
      <c r="G120" s="727"/>
      <c r="H120" s="318"/>
      <c r="I120" s="318"/>
      <c r="J120" s="323"/>
    </row>
    <row r="121" spans="1:10" ht="12.75" customHeight="1">
      <c r="A121" s="318"/>
      <c r="B121" s="692"/>
      <c r="D121" s="726"/>
      <c r="E121" s="726"/>
      <c r="F121" s="727"/>
      <c r="G121" s="727"/>
      <c r="H121" s="318"/>
      <c r="I121" s="318"/>
      <c r="J121" s="323"/>
    </row>
    <row r="122" spans="1:10" ht="12.75" customHeight="1">
      <c r="A122" s="318"/>
      <c r="B122" s="692"/>
      <c r="D122" s="726"/>
      <c r="E122" s="726"/>
      <c r="F122" s="727"/>
      <c r="G122" s="727"/>
      <c r="H122" s="318"/>
      <c r="I122" s="318"/>
      <c r="J122" s="727"/>
    </row>
    <row r="123" spans="1:10" ht="12.75" customHeight="1">
      <c r="A123" s="318"/>
      <c r="B123" s="692"/>
      <c r="D123" s="726"/>
      <c r="E123" s="726"/>
      <c r="F123" s="727"/>
      <c r="G123" s="727"/>
      <c r="H123" s="318"/>
      <c r="I123" s="318"/>
      <c r="J123" s="727"/>
    </row>
    <row r="124" spans="1:10" ht="12.75" customHeight="1">
      <c r="A124" s="318"/>
      <c r="B124" s="692"/>
      <c r="D124" s="726"/>
      <c r="E124" s="726"/>
      <c r="F124" s="727"/>
      <c r="G124" s="727"/>
      <c r="H124" s="318"/>
      <c r="I124" s="318"/>
      <c r="J124" s="323"/>
    </row>
    <row r="125" spans="1:10" ht="12.75" customHeight="1">
      <c r="A125" s="318"/>
      <c r="B125" s="692"/>
      <c r="D125" s="726"/>
      <c r="E125" s="726"/>
      <c r="F125" s="727"/>
      <c r="G125" s="727"/>
      <c r="H125" s="318"/>
      <c r="I125" s="318"/>
      <c r="J125" s="727"/>
    </row>
    <row r="126" spans="1:10" ht="12.75" customHeight="1">
      <c r="A126" s="318"/>
      <c r="B126" s="692"/>
      <c r="D126" s="726"/>
      <c r="E126" s="726"/>
      <c r="F126" s="727"/>
      <c r="G126" s="727"/>
      <c r="H126" s="318"/>
      <c r="I126" s="318"/>
      <c r="J126" s="727"/>
    </row>
    <row r="127" spans="1:10" ht="12.75" customHeight="1">
      <c r="A127" s="318"/>
      <c r="B127" s="692"/>
      <c r="D127" s="726"/>
      <c r="E127" s="726"/>
      <c r="F127" s="727"/>
      <c r="G127" s="727"/>
      <c r="H127" s="318"/>
      <c r="I127" s="318"/>
      <c r="J127" s="727"/>
    </row>
    <row r="128" spans="1:10" ht="12.75" customHeight="1">
      <c r="A128" s="318"/>
      <c r="B128" s="692"/>
      <c r="D128" s="726"/>
      <c r="E128" s="726"/>
      <c r="F128" s="727"/>
      <c r="G128" s="727"/>
      <c r="H128" s="318"/>
      <c r="I128" s="318"/>
      <c r="J128" s="727"/>
    </row>
    <row r="129" spans="1:10" ht="12.75" customHeight="1">
      <c r="A129" s="318"/>
      <c r="B129" s="692"/>
      <c r="D129" s="726"/>
      <c r="E129" s="726"/>
      <c r="F129" s="727"/>
      <c r="G129" s="727"/>
      <c r="H129" s="318"/>
      <c r="I129" s="318"/>
      <c r="J129" s="727"/>
    </row>
    <row r="130" spans="1:10" ht="12.75" customHeight="1">
      <c r="A130" s="318"/>
      <c r="B130" s="692"/>
      <c r="D130" s="726"/>
      <c r="E130" s="726"/>
      <c r="F130" s="727"/>
      <c r="G130" s="727"/>
      <c r="H130" s="318"/>
      <c r="I130" s="318"/>
      <c r="J130" s="727"/>
    </row>
    <row r="131" spans="1:10" ht="12.75" customHeight="1">
      <c r="A131" s="318"/>
      <c r="B131" s="692"/>
      <c r="D131" s="726"/>
      <c r="E131" s="726"/>
      <c r="F131" s="727"/>
      <c r="G131" s="727"/>
      <c r="H131" s="318"/>
      <c r="I131" s="318"/>
      <c r="J131" s="323"/>
    </row>
    <row r="132" spans="1:10" ht="12.75" customHeight="1">
      <c r="A132" s="318"/>
      <c r="B132" s="692"/>
      <c r="D132" s="726"/>
      <c r="E132" s="726"/>
      <c r="F132" s="727"/>
      <c r="G132" s="727"/>
      <c r="H132" s="318"/>
      <c r="I132" s="318"/>
      <c r="J132" s="727"/>
    </row>
    <row r="133" spans="1:10" ht="12.75" customHeight="1">
      <c r="A133" s="318"/>
      <c r="B133" s="692"/>
      <c r="D133" s="726"/>
      <c r="E133" s="726"/>
      <c r="F133" s="727"/>
      <c r="G133" s="727"/>
      <c r="H133" s="318"/>
      <c r="I133" s="318"/>
      <c r="J133" s="727"/>
    </row>
    <row r="134" spans="1:10" ht="12.75" customHeight="1">
      <c r="A134" s="318"/>
      <c r="B134" s="692"/>
      <c r="D134" s="726"/>
      <c r="E134" s="726"/>
      <c r="F134" s="727"/>
      <c r="G134" s="727"/>
      <c r="H134" s="318"/>
      <c r="I134" s="318"/>
      <c r="J134" s="727"/>
    </row>
    <row r="135" spans="1:10" ht="12.75" customHeight="1">
      <c r="A135" s="318"/>
      <c r="B135" s="692"/>
      <c r="D135" s="726"/>
      <c r="E135" s="726"/>
      <c r="F135" s="727"/>
      <c r="G135" s="727"/>
      <c r="H135" s="318"/>
      <c r="I135" s="318"/>
      <c r="J135" s="323"/>
    </row>
    <row r="136" spans="1:10" ht="12.75" customHeight="1">
      <c r="A136" s="318"/>
      <c r="B136" s="692"/>
      <c r="D136" s="726"/>
      <c r="E136" s="726"/>
      <c r="F136" s="727"/>
      <c r="G136" s="727"/>
      <c r="H136" s="318"/>
      <c r="I136" s="318"/>
      <c r="J136" s="727"/>
    </row>
    <row r="137" spans="1:10" ht="12.75" customHeight="1">
      <c r="A137" s="318"/>
      <c r="B137" s="317"/>
      <c r="D137" s="726"/>
      <c r="E137" s="726"/>
      <c r="F137" s="727"/>
      <c r="G137" s="727"/>
      <c r="H137" s="318"/>
      <c r="I137" s="318"/>
    </row>
    <row r="138" spans="1:10" ht="12.75" customHeight="1">
      <c r="A138" s="671"/>
      <c r="B138" s="318"/>
      <c r="D138" s="726"/>
      <c r="E138" s="726"/>
      <c r="H138" s="318"/>
      <c r="I138" s="318"/>
      <c r="J138" s="706"/>
    </row>
    <row r="139" spans="1:10" ht="12.75" customHeight="1">
      <c r="A139" s="654"/>
      <c r="B139" s="317"/>
      <c r="D139" s="724"/>
      <c r="E139" s="724"/>
    </row>
    <row r="140" spans="1:10" ht="12.75" customHeight="1">
      <c r="D140" s="724"/>
      <c r="E140" s="724"/>
    </row>
    <row r="141" spans="1:10" ht="12.75" customHeight="1">
      <c r="D141" s="724"/>
      <c r="E141" s="724"/>
    </row>
  </sheetData>
  <mergeCells count="7">
    <mergeCell ref="A93:A95"/>
    <mergeCell ref="F94:H94"/>
    <mergeCell ref="A6:N6"/>
    <mergeCell ref="A8:A10"/>
    <mergeCell ref="F9:H9"/>
    <mergeCell ref="F10:H10"/>
    <mergeCell ref="A91:J91"/>
  </mergeCells>
  <printOptions horizontalCentered="1"/>
  <pageMargins left="0.7" right="0.7" top="0.75" bottom="0.75" header="0.3" footer="0.3"/>
  <pageSetup scale="56" firstPageNumber="6" orientation="portrait" useFirstPageNumber="1" r:id="rId1"/>
  <headerFooter>
    <oddHeader>&amp;R&amp;10Updated: 2024-03-15
EB-2022-0200
Rate Order
Working Papers
Schedule 27
Page &amp;P of 6</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88F9-8E17-4349-9B9E-2E5A95B57F4D}">
  <dimension ref="A1:N43"/>
  <sheetViews>
    <sheetView showGridLines="0" view="pageLayout" zoomScaleNormal="100" zoomScaleSheetLayoutView="100" workbookViewId="0">
      <selection activeCell="M9" sqref="M9"/>
    </sheetView>
  </sheetViews>
  <sheetFormatPr defaultColWidth="9" defaultRowHeight="14.25"/>
  <cols>
    <col min="1" max="1" width="5.625" customWidth="1"/>
    <col min="2" max="2" width="1.625" customWidth="1"/>
    <col min="3" max="3" width="39.125" customWidth="1"/>
    <col min="4" max="4" width="2" customWidth="1"/>
    <col min="5" max="5" width="12.625" customWidth="1"/>
    <col min="6" max="6" width="2" customWidth="1"/>
    <col min="7" max="7" width="11.125" bestFit="1" customWidth="1"/>
    <col min="8" max="8" width="2" customWidth="1"/>
    <col min="9" max="9" width="10.625" customWidth="1"/>
    <col min="10" max="10" width="2" customWidth="1"/>
    <col min="11" max="11" width="11.125" bestFit="1" customWidth="1"/>
    <col min="12" max="12" width="2" customWidth="1"/>
    <col min="13" max="13" width="11.125" bestFit="1" customWidth="1"/>
    <col min="14" max="14" width="8.125"/>
  </cols>
  <sheetData>
    <row r="1" spans="1:14">
      <c r="A1" s="141"/>
      <c r="B1" s="141"/>
      <c r="C1" s="141"/>
      <c r="D1" s="141"/>
      <c r="E1" s="141"/>
      <c r="F1" s="141"/>
      <c r="G1" s="141"/>
      <c r="H1" s="141"/>
      <c r="I1" s="141"/>
      <c r="J1" s="141"/>
      <c r="K1" s="141"/>
      <c r="L1" s="141"/>
      <c r="M1" s="141"/>
    </row>
    <row r="2" spans="1:14">
      <c r="A2" s="141"/>
      <c r="B2" s="141"/>
      <c r="C2" s="141"/>
      <c r="D2" s="141"/>
      <c r="E2" s="141"/>
      <c r="F2" s="141"/>
      <c r="G2" s="141"/>
      <c r="H2" s="141"/>
      <c r="I2" s="141"/>
      <c r="J2" s="141"/>
      <c r="K2" s="141"/>
      <c r="L2" s="141"/>
      <c r="M2" s="141"/>
    </row>
    <row r="3" spans="1:14">
      <c r="A3" s="141"/>
      <c r="B3" s="141"/>
      <c r="C3" s="141"/>
      <c r="D3" s="141"/>
      <c r="E3" s="141"/>
      <c r="F3" s="141"/>
      <c r="G3" s="141"/>
      <c r="H3" s="141"/>
      <c r="I3" s="141"/>
      <c r="J3" s="141"/>
      <c r="K3" s="141"/>
      <c r="L3" s="141"/>
      <c r="M3" s="141"/>
    </row>
    <row r="4" spans="1:14">
      <c r="A4" s="141"/>
      <c r="B4" s="141"/>
      <c r="C4" s="141"/>
      <c r="D4" s="141"/>
      <c r="E4" s="141"/>
      <c r="F4" s="141"/>
      <c r="G4" s="141"/>
      <c r="H4" s="141"/>
      <c r="I4" s="141"/>
      <c r="J4" s="141"/>
      <c r="K4" s="141"/>
      <c r="L4" s="141"/>
      <c r="M4" s="141"/>
    </row>
    <row r="5" spans="1:14">
      <c r="A5" s="1302" t="s">
        <v>1618</v>
      </c>
      <c r="B5" s="1302"/>
      <c r="C5" s="1302"/>
      <c r="D5" s="1302"/>
      <c r="E5" s="1302"/>
      <c r="F5" s="1302"/>
      <c r="G5" s="1302"/>
      <c r="H5" s="1302"/>
      <c r="I5" s="1302"/>
      <c r="J5" s="1302"/>
      <c r="K5" s="1302"/>
      <c r="L5" s="1302"/>
      <c r="M5" s="1302"/>
    </row>
    <row r="6" spans="1:14">
      <c r="A6" s="141"/>
      <c r="B6" s="141"/>
      <c r="C6" s="141"/>
      <c r="D6" s="141"/>
      <c r="E6" s="141"/>
      <c r="F6" s="141"/>
      <c r="G6" s="141"/>
      <c r="H6" s="141"/>
      <c r="I6" s="141"/>
      <c r="J6" s="141"/>
      <c r="K6" s="141"/>
      <c r="L6" s="141"/>
      <c r="M6" s="141"/>
    </row>
    <row r="7" spans="1:14">
      <c r="A7" s="285"/>
      <c r="B7" s="141"/>
      <c r="C7" s="141"/>
      <c r="D7" s="141"/>
      <c r="E7" s="141"/>
      <c r="F7" s="141"/>
      <c r="G7" s="141"/>
      <c r="H7" s="141"/>
      <c r="I7" s="141"/>
      <c r="J7" s="141"/>
      <c r="K7" s="141"/>
      <c r="L7" s="141"/>
      <c r="M7" s="141"/>
    </row>
    <row r="8" spans="1:14" ht="39.75">
      <c r="A8" s="341" t="s">
        <v>1619</v>
      </c>
      <c r="B8" s="285"/>
      <c r="C8" s="267" t="s">
        <v>3</v>
      </c>
      <c r="D8" s="308"/>
      <c r="E8" s="286" t="s">
        <v>1620</v>
      </c>
      <c r="F8" s="303"/>
      <c r="G8" s="286" t="s">
        <v>1621</v>
      </c>
      <c r="H8" s="266"/>
      <c r="I8" s="341" t="s">
        <v>1622</v>
      </c>
      <c r="J8" s="266"/>
      <c r="K8" s="287" t="s">
        <v>1623</v>
      </c>
      <c r="L8" s="304"/>
      <c r="M8" s="287" t="s">
        <v>1624</v>
      </c>
      <c r="N8" s="288"/>
    </row>
    <row r="9" spans="1:14">
      <c r="A9" s="141"/>
      <c r="B9" s="285"/>
      <c r="C9" s="289"/>
      <c r="D9" s="308"/>
      <c r="E9" s="142" t="s">
        <v>8</v>
      </c>
      <c r="F9" s="142"/>
      <c r="G9" s="142" t="s">
        <v>1625</v>
      </c>
      <c r="H9" s="266"/>
      <c r="I9" s="142" t="s">
        <v>370</v>
      </c>
      <c r="J9" s="142"/>
      <c r="K9" s="142" t="s">
        <v>1626</v>
      </c>
      <c r="L9" s="142"/>
      <c r="M9" s="142" t="s">
        <v>1627</v>
      </c>
      <c r="N9" s="288"/>
    </row>
    <row r="10" spans="1:14" ht="15">
      <c r="A10" s="291"/>
      <c r="B10" s="292"/>
      <c r="C10" s="141" t="s">
        <v>1628</v>
      </c>
      <c r="D10" s="292"/>
      <c r="E10" s="292"/>
      <c r="F10" s="292"/>
      <c r="G10" s="292"/>
      <c r="H10" s="306"/>
      <c r="I10" s="292"/>
      <c r="J10" s="292"/>
      <c r="K10" s="292"/>
      <c r="L10" s="292"/>
      <c r="M10" s="292"/>
      <c r="N10" s="293"/>
    </row>
    <row r="11" spans="1:14">
      <c r="A11" s="142">
        <v>1</v>
      </c>
      <c r="B11" s="141"/>
      <c r="C11" s="147" t="s">
        <v>1629</v>
      </c>
      <c r="D11" s="141"/>
      <c r="E11" s="434">
        <v>118685289</v>
      </c>
      <c r="F11" s="305"/>
      <c r="G11" s="294">
        <v>3036982.8300921191</v>
      </c>
      <c r="H11" s="305"/>
      <c r="I11" s="435">
        <v>291680.87767199997</v>
      </c>
      <c r="J11" s="305"/>
      <c r="K11" s="436">
        <v>96.042978834737966</v>
      </c>
      <c r="L11" s="307"/>
      <c r="M11" s="295">
        <f>I11/E11*1000</f>
        <v>2.4575992537036329</v>
      </c>
      <c r="N11" s="296"/>
    </row>
    <row r="12" spans="1:14">
      <c r="A12" s="142">
        <v>2</v>
      </c>
      <c r="B12" s="141"/>
      <c r="C12" s="147" t="s">
        <v>1630</v>
      </c>
      <c r="D12" s="141"/>
      <c r="E12" s="294">
        <v>126719589.8</v>
      </c>
      <c r="F12" s="305"/>
      <c r="G12" s="294">
        <v>3242568.8280450362</v>
      </c>
      <c r="H12" s="305"/>
      <c r="I12" s="435">
        <v>443378.06862440001</v>
      </c>
      <c r="J12" s="305"/>
      <c r="K12" s="436">
        <v>136.73667149008992</v>
      </c>
      <c r="L12" s="307"/>
      <c r="M12" s="295">
        <f t="shared" ref="M12:M18" si="0">I12/E12*1000</f>
        <v>3.4988912868497941</v>
      </c>
      <c r="N12" s="296"/>
    </row>
    <row r="13" spans="1:14">
      <c r="A13" s="142">
        <v>3</v>
      </c>
      <c r="B13" s="141"/>
      <c r="C13" s="147" t="s">
        <v>1631</v>
      </c>
      <c r="D13" s="141"/>
      <c r="E13" s="294">
        <v>100398921</v>
      </c>
      <c r="F13" s="305"/>
      <c r="G13" s="294">
        <v>2569061.4380757422</v>
      </c>
      <c r="H13" s="305"/>
      <c r="I13" s="435">
        <v>299882.11857667298</v>
      </c>
      <c r="J13" s="305"/>
      <c r="K13" s="436">
        <v>116.72827832458856</v>
      </c>
      <c r="L13" s="307"/>
      <c r="M13" s="295">
        <f t="shared" si="0"/>
        <v>2.9869057913149581</v>
      </c>
      <c r="N13" s="296"/>
    </row>
    <row r="14" spans="1:14">
      <c r="A14" s="142">
        <v>4</v>
      </c>
      <c r="B14" s="141"/>
      <c r="C14" s="147" t="s">
        <v>1632</v>
      </c>
      <c r="D14" s="141"/>
      <c r="E14" s="294">
        <v>71437706</v>
      </c>
      <c r="F14" s="305"/>
      <c r="G14" s="294">
        <v>1827986.3357215968</v>
      </c>
      <c r="H14" s="305"/>
      <c r="I14" s="435">
        <v>249759.42643299999</v>
      </c>
      <c r="J14" s="305"/>
      <c r="K14" s="436">
        <v>136.63090448343399</v>
      </c>
      <c r="L14" s="307"/>
      <c r="M14" s="295">
        <f t="shared" si="0"/>
        <v>3.4961848639568576</v>
      </c>
      <c r="N14" s="296"/>
    </row>
    <row r="15" spans="1:14">
      <c r="A15" s="142">
        <v>5</v>
      </c>
      <c r="B15" s="141"/>
      <c r="C15" s="147" t="s">
        <v>1633</v>
      </c>
      <c r="D15" s="141"/>
      <c r="E15" s="294">
        <v>80922965</v>
      </c>
      <c r="F15" s="305"/>
      <c r="G15" s="294">
        <v>2070700.2302968272</v>
      </c>
      <c r="H15" s="305"/>
      <c r="I15" s="435">
        <v>223598.49886199998</v>
      </c>
      <c r="J15" s="305"/>
      <c r="K15" s="436">
        <v>107.98207079445196</v>
      </c>
      <c r="L15" s="307"/>
      <c r="M15" s="295">
        <f t="shared" si="0"/>
        <v>2.7631031421302961</v>
      </c>
      <c r="N15" s="296"/>
    </row>
    <row r="16" spans="1:14">
      <c r="A16" s="142">
        <v>6</v>
      </c>
      <c r="B16" s="141"/>
      <c r="C16" s="147" t="s">
        <v>1634</v>
      </c>
      <c r="D16" s="141"/>
      <c r="E16" s="294">
        <v>22010508</v>
      </c>
      <c r="F16" s="305"/>
      <c r="G16" s="294">
        <v>563216.68372569093</v>
      </c>
      <c r="H16" s="305"/>
      <c r="I16" s="435">
        <v>74106.695479000002</v>
      </c>
      <c r="J16" s="305"/>
      <c r="K16" s="436">
        <v>131.57759281699992</v>
      </c>
      <c r="L16" s="307"/>
      <c r="M16" s="295">
        <f t="shared" si="0"/>
        <v>3.3668780147645845</v>
      </c>
      <c r="N16" s="296"/>
    </row>
    <row r="17" spans="1:14">
      <c r="A17" s="142">
        <v>7</v>
      </c>
      <c r="B17" s="141"/>
      <c r="C17" s="147" t="s">
        <v>1635</v>
      </c>
      <c r="D17" s="141"/>
      <c r="E17" s="305">
        <v>7055734.9500000002</v>
      </c>
      <c r="F17" s="305"/>
      <c r="G17" s="305">
        <v>180545.93014329582</v>
      </c>
      <c r="H17" s="305"/>
      <c r="I17" s="435">
        <v>33516.394618325001</v>
      </c>
      <c r="J17" s="305"/>
      <c r="K17" s="436">
        <v>185.63915892052336</v>
      </c>
      <c r="L17" s="307"/>
      <c r="M17" s="295">
        <f t="shared" si="0"/>
        <v>4.7502343633706081</v>
      </c>
      <c r="N17" s="296"/>
    </row>
    <row r="18" spans="1:14">
      <c r="A18" s="142">
        <v>8</v>
      </c>
      <c r="B18" s="141"/>
      <c r="C18" s="141" t="s">
        <v>1636</v>
      </c>
      <c r="D18" s="141"/>
      <c r="E18" s="297">
        <f>SUM(E11:E17)</f>
        <v>527230713.75</v>
      </c>
      <c r="F18" s="305"/>
      <c r="G18" s="297">
        <f>SUM(G11:G17)</f>
        <v>13491062.27610031</v>
      </c>
      <c r="H18" s="305"/>
      <c r="I18" s="297">
        <f>SUM(I11:I17)</f>
        <v>1615922.0802653977</v>
      </c>
      <c r="J18" s="305"/>
      <c r="K18" s="298">
        <f>I18/G18*1000</f>
        <v>119.777230821033</v>
      </c>
      <c r="L18" s="307"/>
      <c r="M18" s="298">
        <f t="shared" si="0"/>
        <v>3.0649240230561161</v>
      </c>
      <c r="N18" s="296"/>
    </row>
    <row r="19" spans="1:14">
      <c r="A19" s="142"/>
      <c r="B19" s="141"/>
      <c r="C19" s="141"/>
      <c r="D19" s="141"/>
      <c r="E19" s="305"/>
      <c r="F19" s="305"/>
      <c r="G19" s="305"/>
      <c r="H19" s="305"/>
      <c r="I19" s="305"/>
      <c r="J19" s="305"/>
      <c r="K19" s="307"/>
      <c r="L19" s="307"/>
      <c r="M19" s="307"/>
      <c r="N19" s="296"/>
    </row>
    <row r="20" spans="1:14">
      <c r="A20" s="142">
        <v>9</v>
      </c>
      <c r="B20" s="141"/>
      <c r="C20" s="141" t="s">
        <v>1637</v>
      </c>
      <c r="D20" s="141"/>
      <c r="E20" s="294"/>
      <c r="F20" s="305"/>
      <c r="G20" s="294"/>
      <c r="H20" s="305"/>
      <c r="I20" s="435">
        <v>13355.451983999999</v>
      </c>
      <c r="J20" s="305"/>
      <c r="K20" s="295"/>
      <c r="L20" s="307"/>
      <c r="M20" s="295"/>
      <c r="N20" s="296"/>
    </row>
    <row r="21" spans="1:14">
      <c r="A21" s="142"/>
      <c r="B21" s="141"/>
      <c r="C21" s="141"/>
      <c r="D21" s="141"/>
      <c r="E21" s="294"/>
      <c r="F21" s="305"/>
      <c r="G21" s="294"/>
      <c r="H21" s="305"/>
      <c r="I21" s="435"/>
      <c r="J21" s="305"/>
      <c r="K21" s="295"/>
      <c r="L21" s="307"/>
      <c r="M21" s="295"/>
      <c r="N21" s="296"/>
    </row>
    <row r="22" spans="1:14">
      <c r="A22" s="142">
        <v>10</v>
      </c>
      <c r="B22" s="141"/>
      <c r="C22" s="141" t="s">
        <v>1638</v>
      </c>
      <c r="D22" s="141"/>
      <c r="E22" s="294"/>
      <c r="F22" s="305"/>
      <c r="G22" s="294"/>
      <c r="H22" s="305"/>
      <c r="I22" s="435">
        <v>51951.994995530476</v>
      </c>
      <c r="J22" s="305"/>
      <c r="K22" s="295"/>
      <c r="L22" s="307"/>
      <c r="M22" s="295"/>
      <c r="N22" s="296"/>
    </row>
    <row r="23" spans="1:14">
      <c r="A23" s="142"/>
      <c r="B23" s="141"/>
      <c r="C23" s="141"/>
      <c r="D23" s="141"/>
      <c r="E23" s="294"/>
      <c r="F23" s="305"/>
      <c r="G23" s="294"/>
      <c r="H23" s="305"/>
      <c r="I23" s="294"/>
      <c r="J23" s="305"/>
      <c r="K23" s="295"/>
      <c r="L23" s="307"/>
      <c r="M23" s="295"/>
      <c r="N23" s="296"/>
    </row>
    <row r="24" spans="1:14">
      <c r="A24" s="142">
        <v>11</v>
      </c>
      <c r="B24" s="292"/>
      <c r="C24" s="141" t="s">
        <v>1639</v>
      </c>
      <c r="D24" s="141"/>
      <c r="E24" s="297">
        <f>E18 -E20-E22</f>
        <v>527230713.75</v>
      </c>
      <c r="F24" s="305"/>
      <c r="G24" s="297">
        <f>G18 -G20-G22</f>
        <v>13491062.27610031</v>
      </c>
      <c r="H24" s="305"/>
      <c r="I24" s="297">
        <f>I18 -I20-I22</f>
        <v>1550614.6332858673</v>
      </c>
      <c r="J24" s="305"/>
      <c r="K24" s="298">
        <f>I24/G24*1000</f>
        <v>114.93643729099172</v>
      </c>
      <c r="L24" s="307"/>
      <c r="M24" s="298">
        <f t="shared" ref="M24" si="1">I24/E24*1000</f>
        <v>2.9410552019189287</v>
      </c>
      <c r="N24" s="296"/>
    </row>
    <row r="25" spans="1:14">
      <c r="A25" s="142"/>
      <c r="B25" s="141"/>
      <c r="C25" s="141"/>
      <c r="D25" s="141"/>
      <c r="E25" s="294"/>
      <c r="F25" s="305"/>
      <c r="G25" s="294"/>
      <c r="H25" s="305"/>
      <c r="I25" s="294"/>
      <c r="J25" s="305"/>
      <c r="K25" s="295"/>
      <c r="L25" s="307"/>
      <c r="M25" s="295"/>
      <c r="N25" s="296"/>
    </row>
    <row r="26" spans="1:14">
      <c r="A26" s="142"/>
      <c r="B26" s="141"/>
      <c r="C26" s="141" t="s">
        <v>1640</v>
      </c>
      <c r="D26" s="141"/>
      <c r="E26" s="294"/>
      <c r="F26" s="305"/>
      <c r="G26" s="294"/>
      <c r="H26" s="305"/>
      <c r="I26" s="294"/>
      <c r="J26" s="305"/>
      <c r="K26" s="295"/>
      <c r="L26" s="307"/>
      <c r="M26" s="295"/>
      <c r="N26" s="296"/>
    </row>
    <row r="27" spans="1:14">
      <c r="A27" s="142">
        <v>12</v>
      </c>
      <c r="B27" s="141"/>
      <c r="C27" s="147" t="s">
        <v>1641</v>
      </c>
      <c r="D27" s="141"/>
      <c r="E27" s="294"/>
      <c r="F27" s="305"/>
      <c r="G27" s="294"/>
      <c r="H27" s="305"/>
      <c r="I27" s="435">
        <v>14316.37614936</v>
      </c>
      <c r="J27" s="305"/>
      <c r="K27" s="295"/>
      <c r="L27" s="307"/>
      <c r="M27" s="295"/>
      <c r="N27" s="296"/>
    </row>
    <row r="28" spans="1:14">
      <c r="A28" s="142">
        <v>13</v>
      </c>
      <c r="B28" s="141"/>
      <c r="C28" s="147" t="s">
        <v>1642</v>
      </c>
      <c r="D28" s="141"/>
      <c r="E28" s="294"/>
      <c r="F28" s="305"/>
      <c r="G28" s="294"/>
      <c r="H28" s="305"/>
      <c r="I28" s="435">
        <v>111141.83457442699</v>
      </c>
      <c r="J28" s="305"/>
      <c r="K28" s="295"/>
      <c r="L28" s="307"/>
      <c r="M28" s="295"/>
      <c r="N28" s="296"/>
    </row>
    <row r="29" spans="1:14">
      <c r="A29" s="142">
        <v>14</v>
      </c>
      <c r="B29" s="141"/>
      <c r="C29" s="147" t="s">
        <v>1643</v>
      </c>
      <c r="D29" s="141"/>
      <c r="E29" s="294"/>
      <c r="F29" s="305"/>
      <c r="G29" s="294"/>
      <c r="H29" s="305"/>
      <c r="I29" s="435">
        <v>23971.374343929001</v>
      </c>
      <c r="J29" s="305"/>
      <c r="K29" s="295"/>
      <c r="L29" s="307"/>
      <c r="M29" s="295"/>
      <c r="N29" s="296"/>
    </row>
    <row r="30" spans="1:14">
      <c r="A30" s="142">
        <v>15</v>
      </c>
      <c r="B30" s="141"/>
      <c r="C30" s="147" t="s">
        <v>1634</v>
      </c>
      <c r="D30" s="141"/>
      <c r="E30" s="294"/>
      <c r="F30" s="305"/>
      <c r="G30" s="294"/>
      <c r="H30" s="305"/>
      <c r="I30" s="435">
        <v>14089.074244960999</v>
      </c>
      <c r="J30" s="305"/>
      <c r="K30" s="295"/>
      <c r="L30" s="307"/>
      <c r="M30" s="295"/>
      <c r="N30" s="296"/>
    </row>
    <row r="31" spans="1:14">
      <c r="A31" s="142">
        <v>16</v>
      </c>
      <c r="B31" s="141"/>
      <c r="C31" s="147" t="s">
        <v>1644</v>
      </c>
      <c r="D31" s="141"/>
      <c r="E31" s="294"/>
      <c r="F31" s="305"/>
      <c r="G31" s="294"/>
      <c r="H31" s="305"/>
      <c r="I31" s="435">
        <v>9688.5</v>
      </c>
      <c r="J31" s="305"/>
      <c r="K31" s="295"/>
      <c r="L31" s="307"/>
      <c r="M31" s="295"/>
      <c r="N31" s="296"/>
    </row>
    <row r="32" spans="1:14">
      <c r="A32" s="142">
        <v>17</v>
      </c>
      <c r="B32" s="141"/>
      <c r="C32" s="147" t="s">
        <v>1645</v>
      </c>
      <c r="D32" s="141"/>
      <c r="E32" s="294"/>
      <c r="F32" s="305"/>
      <c r="G32" s="294"/>
      <c r="H32" s="305"/>
      <c r="I32" s="435">
        <v>5707.1033522880007</v>
      </c>
      <c r="J32" s="305"/>
      <c r="K32" s="295"/>
      <c r="L32" s="307"/>
      <c r="M32" s="295"/>
      <c r="N32" s="296"/>
    </row>
    <row r="33" spans="1:14">
      <c r="A33" s="142">
        <v>18</v>
      </c>
      <c r="B33" s="141"/>
      <c r="C33" s="141" t="s">
        <v>1646</v>
      </c>
      <c r="D33" s="141"/>
      <c r="E33" s="305"/>
      <c r="F33" s="305"/>
      <c r="G33" s="305"/>
      <c r="H33" s="305"/>
      <c r="I33" s="297">
        <f>SUM(I27:I32)</f>
        <v>178914.26266496498</v>
      </c>
      <c r="J33" s="305"/>
      <c r="K33" s="307"/>
      <c r="L33" s="307"/>
      <c r="M33" s="307"/>
      <c r="N33" s="296"/>
    </row>
    <row r="34" spans="1:14">
      <c r="A34" s="299"/>
      <c r="B34" s="300"/>
      <c r="C34" s="147"/>
      <c r="D34" s="141"/>
      <c r="E34" s="294"/>
      <c r="F34" s="305"/>
      <c r="G34" s="294"/>
      <c r="H34" s="305"/>
      <c r="I34" s="294"/>
      <c r="J34" s="305"/>
      <c r="K34" s="295"/>
      <c r="L34" s="307"/>
      <c r="M34" s="295"/>
      <c r="N34" s="296"/>
    </row>
    <row r="35" spans="1:14" ht="15" thickBot="1">
      <c r="A35" s="142">
        <v>19</v>
      </c>
      <c r="B35" s="300"/>
      <c r="C35" s="141" t="s">
        <v>1647</v>
      </c>
      <c r="D35" s="141"/>
      <c r="E35" s="301">
        <f>SUM(E33,E24)</f>
        <v>527230713.75</v>
      </c>
      <c r="F35" s="305"/>
      <c r="G35" s="301">
        <f>SUM(G33,G24)</f>
        <v>13491062.27610031</v>
      </c>
      <c r="H35" s="305"/>
      <c r="I35" s="301">
        <f>SUM(I33,I24)</f>
        <v>1729528.8959508322</v>
      </c>
      <c r="J35" s="305"/>
      <c r="K35" s="302">
        <f>I35/G35*1000</f>
        <v>128.1981255853164</v>
      </c>
      <c r="L35" s="307"/>
      <c r="M35" s="302">
        <f t="shared" ref="M35" si="2">I35/E35*1000</f>
        <v>3.2804023947112699</v>
      </c>
      <c r="N35" s="296"/>
    </row>
    <row r="36" spans="1:14" ht="15" thickTop="1">
      <c r="A36" s="142"/>
      <c r="B36" s="141"/>
      <c r="C36" s="141"/>
      <c r="D36" s="141"/>
      <c r="E36" s="294"/>
      <c r="F36" s="305"/>
      <c r="G36" s="294"/>
      <c r="H36" s="305"/>
      <c r="I36" s="294"/>
      <c r="J36" s="305"/>
      <c r="K36" s="294"/>
      <c r="L36" s="305"/>
      <c r="M36" s="294"/>
      <c r="N36" s="296"/>
    </row>
    <row r="37" spans="1:14">
      <c r="A37" s="310"/>
      <c r="B37" s="311"/>
      <c r="C37" s="141"/>
      <c r="D37" s="141"/>
      <c r="E37" s="141"/>
      <c r="F37" s="141"/>
      <c r="G37" s="141"/>
      <c r="H37" s="141"/>
      <c r="I37" s="141"/>
      <c r="J37" s="141"/>
      <c r="K37" s="141"/>
      <c r="L37" s="141"/>
      <c r="M37" s="141"/>
    </row>
    <row r="38" spans="1:14">
      <c r="A38" s="290"/>
    </row>
    <row r="39" spans="1:14">
      <c r="A39" s="290"/>
    </row>
    <row r="40" spans="1:14">
      <c r="A40" s="290"/>
    </row>
    <row r="41" spans="1:14">
      <c r="A41" s="290"/>
    </row>
    <row r="42" spans="1:14">
      <c r="A42" s="290"/>
    </row>
    <row r="43" spans="1:14">
      <c r="A43" s="290"/>
    </row>
  </sheetData>
  <mergeCells count="1">
    <mergeCell ref="A5:M5"/>
  </mergeCells>
  <pageMargins left="0.7" right="0.7" top="0.75" bottom="0.75" header="0.3" footer="0.3"/>
  <pageSetup scale="72" firstPageNumber="4" orientation="portrait" useFirstPageNumber="1" horizontalDpi="1200" verticalDpi="1200" r:id="rId1"/>
  <headerFooter>
    <oddHeader>&amp;R&amp;10Updated: 2024-03-15
EB-2022-0200
Rate Order
Working Papers
Schedule 28
Page &amp;P of 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1E719-E117-4AA6-BD4B-13FE86A8E68E}">
  <sheetPr>
    <pageSetUpPr fitToPage="1"/>
  </sheetPr>
  <dimension ref="A5:V46"/>
  <sheetViews>
    <sheetView view="pageLayout" topLeftCell="A3" zoomScaleNormal="100" zoomScaleSheetLayoutView="100" workbookViewId="0">
      <selection activeCell="M9" sqref="M9"/>
    </sheetView>
  </sheetViews>
  <sheetFormatPr defaultColWidth="8.625" defaultRowHeight="12.75"/>
  <cols>
    <col min="1" max="1" width="4.125" style="268" customWidth="1"/>
    <col min="2" max="2" width="10.125" style="268" customWidth="1"/>
    <col min="3" max="3" width="2" style="268" customWidth="1"/>
    <col min="4" max="4" width="19.625" style="268" bestFit="1" customWidth="1"/>
    <col min="5" max="5" width="2" style="268" customWidth="1"/>
    <col min="6" max="6" width="8.625" style="268"/>
    <col min="7" max="7" width="2" style="268" customWidth="1"/>
    <col min="8" max="8" width="10.625" style="268" bestFit="1" customWidth="1"/>
    <col min="9" max="9" width="2" style="268" customWidth="1"/>
    <col min="10" max="10" width="14.5" style="268" customWidth="1"/>
    <col min="11" max="11" width="2" style="268" customWidth="1"/>
    <col min="12" max="12" width="14.125" style="268" bestFit="1" customWidth="1"/>
    <col min="13" max="13" width="2" style="268" customWidth="1"/>
    <col min="14" max="14" width="12.125" style="268" bestFit="1" customWidth="1"/>
    <col min="15" max="15" width="2" style="268" customWidth="1"/>
    <col min="16" max="16" width="8.625" style="268" customWidth="1"/>
    <col min="17" max="17" width="2" style="268" customWidth="1"/>
    <col min="18" max="18" width="9.125" style="268" customWidth="1"/>
    <col min="19" max="19" width="2" style="268" customWidth="1"/>
    <col min="20" max="20" width="13.125" style="268" customWidth="1"/>
    <col min="21" max="21" width="2" style="268" customWidth="1"/>
    <col min="22" max="22" width="13.5" style="268" customWidth="1"/>
    <col min="23" max="16384" width="8.625" style="268"/>
  </cols>
  <sheetData>
    <row r="5" spans="1:22">
      <c r="A5" s="1300" t="s">
        <v>58</v>
      </c>
      <c r="B5" s="1295"/>
      <c r="C5" s="1295"/>
      <c r="D5" s="1295"/>
      <c r="E5" s="1295"/>
      <c r="F5" s="1295"/>
      <c r="G5" s="1295"/>
      <c r="H5" s="1295"/>
      <c r="I5" s="1295"/>
      <c r="J5" s="1295"/>
      <c r="K5" s="1295"/>
      <c r="L5" s="1295"/>
      <c r="M5" s="1295"/>
      <c r="N5" s="1295"/>
      <c r="O5" s="1295"/>
      <c r="P5" s="1295"/>
      <c r="Q5" s="1295"/>
      <c r="R5" s="1295"/>
      <c r="S5" s="1295"/>
      <c r="T5" s="1295"/>
      <c r="U5" s="1295"/>
      <c r="V5" s="1295"/>
    </row>
    <row r="6" spans="1:22">
      <c r="A6" s="312"/>
      <c r="B6" s="312"/>
      <c r="C6" s="263"/>
      <c r="D6" s="263"/>
      <c r="E6" s="263"/>
      <c r="F6" s="263"/>
      <c r="G6" s="263"/>
      <c r="H6" s="263"/>
      <c r="I6" s="263"/>
      <c r="J6" s="264"/>
      <c r="K6" s="263"/>
      <c r="L6" s="263"/>
      <c r="M6" s="263"/>
      <c r="N6" s="264"/>
      <c r="O6" s="263"/>
      <c r="P6" s="264"/>
      <c r="Q6" s="263"/>
      <c r="R6" s="264"/>
      <c r="S6" s="263"/>
      <c r="T6" s="264"/>
      <c r="U6" s="263"/>
      <c r="V6" s="264"/>
    </row>
    <row r="7" spans="1:22">
      <c r="A7" s="263"/>
      <c r="B7" s="263"/>
      <c r="C7" s="263"/>
      <c r="D7" s="1298" t="s">
        <v>59</v>
      </c>
      <c r="E7" s="1298"/>
      <c r="F7" s="1298"/>
      <c r="G7" s="1298"/>
      <c r="H7" s="1298"/>
      <c r="I7" s="264"/>
      <c r="J7" s="264"/>
      <c r="K7" s="263"/>
      <c r="L7" s="263"/>
      <c r="M7" s="263"/>
      <c r="N7" s="1298" t="s">
        <v>60</v>
      </c>
      <c r="O7" s="1298"/>
      <c r="P7" s="1298"/>
      <c r="Q7" s="1298"/>
      <c r="R7" s="1298"/>
      <c r="S7" s="263"/>
      <c r="T7" s="264"/>
      <c r="U7" s="263"/>
      <c r="V7" s="264"/>
    </row>
    <row r="8" spans="1:22">
      <c r="A8" s="263"/>
      <c r="B8" s="263"/>
      <c r="C8" s="263"/>
      <c r="D8" s="264" t="s">
        <v>61</v>
      </c>
      <c r="E8" s="264"/>
      <c r="F8" s="264" t="s">
        <v>62</v>
      </c>
      <c r="G8" s="264"/>
      <c r="H8" s="264" t="s">
        <v>63</v>
      </c>
      <c r="I8" s="264"/>
      <c r="J8" s="264" t="s">
        <v>64</v>
      </c>
      <c r="K8" s="263"/>
      <c r="L8" s="264" t="s">
        <v>65</v>
      </c>
      <c r="M8" s="264"/>
      <c r="N8" s="264" t="s">
        <v>66</v>
      </c>
      <c r="O8" s="264"/>
      <c r="P8" s="264" t="s">
        <v>62</v>
      </c>
      <c r="Q8" s="264"/>
      <c r="R8" s="264" t="s">
        <v>63</v>
      </c>
      <c r="S8" s="263"/>
      <c r="T8" s="264" t="s">
        <v>64</v>
      </c>
      <c r="U8" s="263"/>
      <c r="V8" s="264" t="s">
        <v>67</v>
      </c>
    </row>
    <row r="9" spans="1:22">
      <c r="A9" s="264" t="s">
        <v>1</v>
      </c>
      <c r="B9" s="263"/>
      <c r="C9" s="263"/>
      <c r="D9" s="264" t="s">
        <v>68</v>
      </c>
      <c r="E9" s="263"/>
      <c r="F9" s="264" t="s">
        <v>69</v>
      </c>
      <c r="G9" s="263"/>
      <c r="H9" s="264" t="s">
        <v>70</v>
      </c>
      <c r="I9" s="264"/>
      <c r="J9" s="264" t="s">
        <v>71</v>
      </c>
      <c r="K9" s="263"/>
      <c r="L9" s="264" t="s">
        <v>72</v>
      </c>
      <c r="M9" s="264"/>
      <c r="N9" s="264" t="s">
        <v>73</v>
      </c>
      <c r="O9" s="263"/>
      <c r="P9" s="264" t="s">
        <v>69</v>
      </c>
      <c r="Q9" s="263"/>
      <c r="R9" s="264" t="s">
        <v>74</v>
      </c>
      <c r="S9" s="263"/>
      <c r="T9" s="264" t="s">
        <v>71</v>
      </c>
      <c r="U9" s="263"/>
      <c r="V9" s="264" t="s">
        <v>72</v>
      </c>
    </row>
    <row r="10" spans="1:22" ht="14.25">
      <c r="A10" s="445" t="s">
        <v>2</v>
      </c>
      <c r="B10" s="344" t="s">
        <v>75</v>
      </c>
      <c r="C10" s="263"/>
      <c r="D10" s="445" t="s">
        <v>18</v>
      </c>
      <c r="E10" s="264"/>
      <c r="F10" s="445" t="s">
        <v>76</v>
      </c>
      <c r="G10" s="264"/>
      <c r="H10" s="314" t="s">
        <v>20</v>
      </c>
      <c r="I10" s="313"/>
      <c r="J10" s="445" t="s">
        <v>18</v>
      </c>
      <c r="K10" s="264"/>
      <c r="L10" s="445" t="s">
        <v>77</v>
      </c>
      <c r="M10" s="445"/>
      <c r="N10" s="445" t="s">
        <v>18</v>
      </c>
      <c r="O10" s="264"/>
      <c r="P10" s="445" t="s">
        <v>76</v>
      </c>
      <c r="Q10" s="264"/>
      <c r="R10" s="314" t="s">
        <v>20</v>
      </c>
      <c r="S10" s="264"/>
      <c r="T10" s="445" t="s">
        <v>18</v>
      </c>
      <c r="U10" s="264"/>
      <c r="V10" s="445" t="s">
        <v>77</v>
      </c>
    </row>
    <row r="11" spans="1:22">
      <c r="A11" s="263"/>
      <c r="B11" s="263"/>
      <c r="C11" s="263"/>
      <c r="D11" s="264" t="s">
        <v>8</v>
      </c>
      <c r="E11" s="264"/>
      <c r="F11" s="264" t="s">
        <v>9</v>
      </c>
      <c r="G11" s="264"/>
      <c r="H11" s="264" t="s">
        <v>78</v>
      </c>
      <c r="I11" s="264"/>
      <c r="J11" s="264" t="s">
        <v>79</v>
      </c>
      <c r="K11" s="264"/>
      <c r="L11" s="264" t="s">
        <v>80</v>
      </c>
      <c r="M11" s="264"/>
      <c r="N11" s="264" t="s">
        <v>81</v>
      </c>
      <c r="O11" s="264"/>
      <c r="P11" s="264" t="s">
        <v>82</v>
      </c>
      <c r="Q11" s="264"/>
      <c r="R11" s="313" t="s">
        <v>83</v>
      </c>
      <c r="S11" s="264"/>
      <c r="T11" s="264" t="s">
        <v>84</v>
      </c>
      <c r="U11" s="264"/>
      <c r="V11" s="264" t="s">
        <v>85</v>
      </c>
    </row>
    <row r="12" spans="1:22">
      <c r="A12" s="263"/>
      <c r="B12" s="263"/>
      <c r="C12" s="263"/>
      <c r="D12" s="263"/>
      <c r="E12" s="263"/>
      <c r="F12" s="263"/>
      <c r="G12" s="263"/>
      <c r="H12" s="263"/>
      <c r="I12" s="263"/>
      <c r="J12" s="263"/>
      <c r="K12" s="263"/>
      <c r="L12" s="263"/>
      <c r="M12" s="263"/>
      <c r="N12" s="263"/>
      <c r="O12" s="263"/>
      <c r="P12" s="263"/>
      <c r="Q12" s="263"/>
      <c r="R12" s="263"/>
      <c r="S12" s="263"/>
      <c r="T12" s="263"/>
      <c r="U12" s="263"/>
      <c r="V12" s="263"/>
    </row>
    <row r="13" spans="1:22">
      <c r="A13" s="264">
        <v>1</v>
      </c>
      <c r="B13" s="504" t="s">
        <v>86</v>
      </c>
      <c r="C13" s="263"/>
      <c r="D13" s="505">
        <v>96706.925364375216</v>
      </c>
      <c r="E13" s="263"/>
      <c r="F13" s="506">
        <f t="shared" ref="F13:F26" si="0">D13/$D$28</f>
        <v>0.45698963057469705</v>
      </c>
      <c r="G13" s="263"/>
      <c r="H13" s="269">
        <f t="shared" ref="H13:H26" si="1">F13*H$28</f>
        <v>-1232.1385182657939</v>
      </c>
      <c r="I13" s="269"/>
      <c r="J13" s="269">
        <v>5011587.6267347429</v>
      </c>
      <c r="K13" s="263"/>
      <c r="L13" s="270">
        <f>ROUND(H13/J13*100,4)</f>
        <v>-2.46E-2</v>
      </c>
      <c r="M13" s="270"/>
      <c r="N13" s="269">
        <v>1032479.2396820309</v>
      </c>
      <c r="O13" s="263"/>
      <c r="P13" s="506">
        <f>N13/$N$28</f>
        <v>0.49936159336450586</v>
      </c>
      <c r="Q13" s="263"/>
      <c r="R13" s="269">
        <f>P13*R$28</f>
        <v>-773.35592235104787</v>
      </c>
      <c r="S13" s="263"/>
      <c r="T13" s="269">
        <f>J13</f>
        <v>5011587.6267347429</v>
      </c>
      <c r="U13" s="263"/>
      <c r="V13" s="270">
        <f>ROUND(R13/T13*100,4)</f>
        <v>-1.54E-2</v>
      </c>
    </row>
    <row r="14" spans="1:22">
      <c r="A14" s="264">
        <f>A13+1</f>
        <v>2</v>
      </c>
      <c r="B14" s="504" t="s">
        <v>87</v>
      </c>
      <c r="C14" s="263"/>
      <c r="D14" s="507">
        <v>88100.918603125523</v>
      </c>
      <c r="E14" s="263"/>
      <c r="F14" s="506">
        <f t="shared" si="0"/>
        <v>0.41632185176021697</v>
      </c>
      <c r="G14" s="263"/>
      <c r="H14" s="269">
        <f t="shared" si="1"/>
        <v>-1122.4897792635111</v>
      </c>
      <c r="I14" s="269"/>
      <c r="J14" s="269">
        <v>4799239.8721003952</v>
      </c>
      <c r="K14" s="263"/>
      <c r="L14" s="270">
        <f>ROUND(H14/J14*100,4)</f>
        <v>-2.3400000000000001E-2</v>
      </c>
      <c r="M14" s="270"/>
      <c r="N14" s="269">
        <v>929910.204529176</v>
      </c>
      <c r="O14" s="263"/>
      <c r="P14" s="506">
        <f>N14/$N$28</f>
        <v>0.44975378058217491</v>
      </c>
      <c r="Q14" s="263"/>
      <c r="R14" s="269">
        <f>P14*R$28</f>
        <v>-696.52883688856264</v>
      </c>
      <c r="S14" s="263"/>
      <c r="T14" s="269">
        <f t="shared" ref="T14:T26" si="2">J14</f>
        <v>4799239.8721003952</v>
      </c>
      <c r="U14" s="263"/>
      <c r="V14" s="270">
        <f t="shared" ref="V14:V22" si="3">ROUND(R14/T14*100,4)</f>
        <v>-1.4500000000000001E-2</v>
      </c>
    </row>
    <row r="15" spans="1:22">
      <c r="A15" s="264">
        <f t="shared" ref="A15:A23" si="4">A14+1</f>
        <v>3</v>
      </c>
      <c r="B15" s="504" t="s">
        <v>88</v>
      </c>
      <c r="C15" s="263"/>
      <c r="D15" s="507">
        <v>319.46237999375199</v>
      </c>
      <c r="E15" s="263"/>
      <c r="F15" s="506">
        <f t="shared" si="0"/>
        <v>1.5096229609801886E-3</v>
      </c>
      <c r="G15" s="263"/>
      <c r="H15" s="269">
        <f t="shared" si="1"/>
        <v>-4.0702555897012065</v>
      </c>
      <c r="I15" s="269"/>
      <c r="J15" s="269">
        <v>27429.148000000001</v>
      </c>
      <c r="K15" s="263"/>
      <c r="L15" s="270">
        <f>ROUND(H15/J15*100,4)</f>
        <v>-1.4800000000000001E-2</v>
      </c>
      <c r="M15" s="270"/>
      <c r="N15" s="269">
        <v>0</v>
      </c>
      <c r="O15" s="263"/>
      <c r="P15" s="506">
        <f>N15/$N$28</f>
        <v>0</v>
      </c>
      <c r="Q15" s="263"/>
      <c r="R15" s="269">
        <f>P15*R$28</f>
        <v>0</v>
      </c>
      <c r="S15" s="263"/>
      <c r="T15" s="269">
        <f t="shared" si="2"/>
        <v>27429.148000000001</v>
      </c>
      <c r="U15" s="263"/>
      <c r="V15" s="270">
        <f t="shared" si="3"/>
        <v>0</v>
      </c>
    </row>
    <row r="16" spans="1:22">
      <c r="A16" s="264">
        <f t="shared" si="4"/>
        <v>4</v>
      </c>
      <c r="B16" s="504" t="s">
        <v>89</v>
      </c>
      <c r="C16" s="263"/>
      <c r="D16" s="507">
        <v>13656.545643626812</v>
      </c>
      <c r="E16" s="263"/>
      <c r="F16" s="506">
        <f t="shared" si="0"/>
        <v>6.4534155388488029E-2</v>
      </c>
      <c r="G16" s="263"/>
      <c r="H16" s="269">
        <f t="shared" si="1"/>
        <v>-173.99742418205491</v>
      </c>
      <c r="I16" s="269"/>
      <c r="J16" s="269">
        <v>1068281.1669999999</v>
      </c>
      <c r="K16" s="263"/>
      <c r="L16" s="270">
        <f>ROUND(H16/J16*100,4)</f>
        <v>-1.6299999999999999E-2</v>
      </c>
      <c r="M16" s="270"/>
      <c r="N16" s="269">
        <v>47780.520141325243</v>
      </c>
      <c r="O16" s="263"/>
      <c r="P16" s="506">
        <f>N16/$N$28</f>
        <v>2.3109187819510102E-2</v>
      </c>
      <c r="Q16" s="263"/>
      <c r="R16" s="269">
        <f>P16*R$28</f>
        <v>-35.788950328615989</v>
      </c>
      <c r="S16" s="263"/>
      <c r="T16" s="269">
        <f t="shared" si="2"/>
        <v>1068281.1669999999</v>
      </c>
      <c r="U16" s="263"/>
      <c r="V16" s="270">
        <f t="shared" si="3"/>
        <v>-3.3999999999999998E-3</v>
      </c>
    </row>
    <row r="17" spans="1:22">
      <c r="A17" s="264">
        <f t="shared" si="4"/>
        <v>5</v>
      </c>
      <c r="B17" s="504" t="s">
        <v>90</v>
      </c>
      <c r="C17" s="263"/>
      <c r="D17" s="507">
        <v>4595.7465424640204</v>
      </c>
      <c r="E17" s="263"/>
      <c r="F17" s="506">
        <f t="shared" si="0"/>
        <v>2.1717250411408966E-2</v>
      </c>
      <c r="G17" s="263"/>
      <c r="H17" s="269">
        <f t="shared" si="1"/>
        <v>-58.55419675293227</v>
      </c>
      <c r="I17" s="269"/>
      <c r="J17" s="269">
        <v>381872.95299999998</v>
      </c>
      <c r="K17" s="263"/>
      <c r="L17" s="270">
        <f>ROUND(H17/J17*100,4)</f>
        <v>-1.5299999999999999E-2</v>
      </c>
      <c r="M17" s="270"/>
      <c r="N17" s="269">
        <v>5758.8072835451803</v>
      </c>
      <c r="O17" s="263"/>
      <c r="P17" s="506">
        <f>N17/$N$28</f>
        <v>2.7852639263486506E-3</v>
      </c>
      <c r="Q17" s="263"/>
      <c r="R17" s="269">
        <f>P17*R$28</f>
        <v>-4.3135082500831468</v>
      </c>
      <c r="S17" s="263"/>
      <c r="T17" s="269">
        <f t="shared" si="2"/>
        <v>381872.95299999998</v>
      </c>
      <c r="U17" s="263"/>
      <c r="V17" s="270">
        <f t="shared" si="3"/>
        <v>-1.1000000000000001E-3</v>
      </c>
    </row>
    <row r="18" spans="1:22">
      <c r="A18" s="264">
        <f t="shared" si="4"/>
        <v>6</v>
      </c>
      <c r="B18" s="504" t="s">
        <v>91</v>
      </c>
      <c r="C18" s="263"/>
      <c r="D18" s="507">
        <v>0</v>
      </c>
      <c r="E18" s="263"/>
      <c r="F18" s="506">
        <f t="shared" si="0"/>
        <v>0</v>
      </c>
      <c r="G18" s="263"/>
      <c r="H18" s="269">
        <f t="shared" si="1"/>
        <v>0</v>
      </c>
      <c r="I18" s="269"/>
      <c r="J18" s="269">
        <v>0</v>
      </c>
      <c r="K18" s="263"/>
      <c r="L18" s="270"/>
      <c r="M18" s="270"/>
      <c r="N18" s="269">
        <v>0</v>
      </c>
      <c r="O18" s="263"/>
      <c r="P18" s="271"/>
      <c r="Q18" s="263"/>
      <c r="R18" s="269"/>
      <c r="S18" s="263"/>
      <c r="T18" s="269"/>
      <c r="U18" s="263"/>
      <c r="V18" s="270"/>
    </row>
    <row r="19" spans="1:22">
      <c r="A19" s="264">
        <f t="shared" si="4"/>
        <v>7</v>
      </c>
      <c r="B19" s="504" t="s">
        <v>92</v>
      </c>
      <c r="C19" s="263"/>
      <c r="D19" s="507">
        <v>613.16435599380202</v>
      </c>
      <c r="E19" s="263"/>
      <c r="F19" s="506">
        <f t="shared" si="0"/>
        <v>2.8975148519239653E-3</v>
      </c>
      <c r="G19" s="263"/>
      <c r="H19" s="269">
        <f t="shared" si="1"/>
        <v>-7.8122990489150057</v>
      </c>
      <c r="I19" s="269"/>
      <c r="J19" s="269">
        <v>52646.499000000003</v>
      </c>
      <c r="K19" s="263"/>
      <c r="L19" s="270">
        <f t="shared" ref="L19:L22" si="5">ROUND(H19/J19*100,4)</f>
        <v>-1.4800000000000001E-2</v>
      </c>
      <c r="M19" s="270"/>
      <c r="N19" s="269">
        <v>0</v>
      </c>
      <c r="O19" s="263"/>
      <c r="P19" s="506">
        <f t="shared" ref="P19:P26" si="6">N19/$N$28</f>
        <v>0</v>
      </c>
      <c r="Q19" s="263"/>
      <c r="R19" s="269">
        <f t="shared" ref="R19:R26" si="7">P19*R$28</f>
        <v>0</v>
      </c>
      <c r="S19" s="263"/>
      <c r="T19" s="269">
        <f t="shared" si="2"/>
        <v>52646.499000000003</v>
      </c>
      <c r="U19" s="263"/>
      <c r="V19" s="270">
        <f t="shared" si="3"/>
        <v>0</v>
      </c>
    </row>
    <row r="20" spans="1:22">
      <c r="A20" s="264">
        <f t="shared" si="4"/>
        <v>8</v>
      </c>
      <c r="B20" s="504" t="s">
        <v>93</v>
      </c>
      <c r="C20" s="263"/>
      <c r="D20" s="507">
        <v>221.09810291802668</v>
      </c>
      <c r="E20" s="263"/>
      <c r="F20" s="506">
        <f t="shared" si="0"/>
        <v>1.0448014968170644E-3</v>
      </c>
      <c r="G20" s="263"/>
      <c r="H20" s="269">
        <f t="shared" si="1"/>
        <v>-2.8170008289928576</v>
      </c>
      <c r="I20" s="269"/>
      <c r="J20" s="269">
        <v>15713.662</v>
      </c>
      <c r="K20" s="263"/>
      <c r="L20" s="270">
        <f t="shared" si="5"/>
        <v>-1.7899999999999999E-2</v>
      </c>
      <c r="M20" s="270"/>
      <c r="N20" s="269">
        <v>1563.679712744675</v>
      </c>
      <c r="O20" s="263"/>
      <c r="P20" s="506">
        <f t="shared" si="6"/>
        <v>7.5627825030981442E-4</v>
      </c>
      <c r="Q20" s="263"/>
      <c r="R20" s="269">
        <f t="shared" si="7"/>
        <v>-1.1712399823978039</v>
      </c>
      <c r="S20" s="263"/>
      <c r="T20" s="269">
        <f t="shared" si="2"/>
        <v>15713.662</v>
      </c>
      <c r="U20" s="263"/>
      <c r="V20" s="270">
        <f t="shared" si="3"/>
        <v>-7.4999999999999997E-3</v>
      </c>
    </row>
    <row r="21" spans="1:22">
      <c r="A21" s="264">
        <f t="shared" si="4"/>
        <v>9</v>
      </c>
      <c r="B21" s="504" t="s">
        <v>94</v>
      </c>
      <c r="C21" s="263"/>
      <c r="D21" s="507">
        <v>4116.0808060767786</v>
      </c>
      <c r="E21" s="263"/>
      <c r="F21" s="506">
        <f t="shared" si="0"/>
        <v>1.9450584742481649E-2</v>
      </c>
      <c r="G21" s="263"/>
      <c r="H21" s="269">
        <f t="shared" si="1"/>
        <v>-52.442797517890888</v>
      </c>
      <c r="I21" s="269"/>
      <c r="J21" s="269">
        <v>323253.728</v>
      </c>
      <c r="K21" s="263"/>
      <c r="L21" s="270">
        <f t="shared" si="5"/>
        <v>-1.6199999999999999E-2</v>
      </c>
      <c r="M21" s="270"/>
      <c r="N21" s="269">
        <v>14115.935875941192</v>
      </c>
      <c r="O21" s="263"/>
      <c r="P21" s="506">
        <f t="shared" si="6"/>
        <v>6.8272135263581944E-3</v>
      </c>
      <c r="Q21" s="263"/>
      <c r="R21" s="269">
        <f t="shared" si="7"/>
        <v>-10.573232070553503</v>
      </c>
      <c r="S21" s="263"/>
      <c r="T21" s="269">
        <f t="shared" si="2"/>
        <v>323253.728</v>
      </c>
      <c r="U21" s="263"/>
      <c r="V21" s="270">
        <f t="shared" si="3"/>
        <v>-3.3E-3</v>
      </c>
    </row>
    <row r="22" spans="1:22">
      <c r="A22" s="264">
        <f t="shared" si="4"/>
        <v>10</v>
      </c>
      <c r="B22" s="504" t="s">
        <v>95</v>
      </c>
      <c r="C22" s="263"/>
      <c r="D22" s="507">
        <v>3287.3879923873546</v>
      </c>
      <c r="E22" s="263"/>
      <c r="F22" s="506">
        <f t="shared" si="0"/>
        <v>1.5534587812986229E-2</v>
      </c>
      <c r="G22" s="263"/>
      <c r="H22" s="269">
        <f t="shared" si="1"/>
        <v>-41.884460235327083</v>
      </c>
      <c r="I22" s="269"/>
      <c r="J22" s="269">
        <v>188852.1</v>
      </c>
      <c r="K22" s="263"/>
      <c r="L22" s="270">
        <f t="shared" si="5"/>
        <v>-2.2200000000000001E-2</v>
      </c>
      <c r="M22" s="270"/>
      <c r="N22" s="269">
        <v>35990.029236510592</v>
      </c>
      <c r="O22" s="263"/>
      <c r="P22" s="506">
        <f t="shared" si="6"/>
        <v>1.7406682530792451E-2</v>
      </c>
      <c r="Q22" s="263"/>
      <c r="R22" s="269">
        <f t="shared" si="7"/>
        <v>-26.957541794462127</v>
      </c>
      <c r="S22" s="263"/>
      <c r="T22" s="269">
        <f t="shared" si="2"/>
        <v>188852.1</v>
      </c>
      <c r="U22" s="263"/>
      <c r="V22" s="270">
        <f t="shared" si="3"/>
        <v>-1.43E-2</v>
      </c>
    </row>
    <row r="23" spans="1:22">
      <c r="A23" s="264">
        <f t="shared" si="4"/>
        <v>11</v>
      </c>
      <c r="B23" s="504" t="s">
        <v>96</v>
      </c>
      <c r="C23" s="263"/>
      <c r="D23" s="507">
        <v>0</v>
      </c>
      <c r="E23" s="263"/>
      <c r="F23" s="269">
        <f t="shared" si="0"/>
        <v>0</v>
      </c>
      <c r="G23" s="263"/>
      <c r="H23" s="269">
        <f t="shared" si="1"/>
        <v>0</v>
      </c>
      <c r="I23" s="269"/>
      <c r="J23" s="269">
        <v>0</v>
      </c>
      <c r="K23" s="263"/>
      <c r="L23" s="269">
        <v>0</v>
      </c>
      <c r="M23" s="270"/>
      <c r="N23" s="269">
        <v>0</v>
      </c>
      <c r="O23" s="263"/>
      <c r="P23" s="269">
        <f t="shared" si="6"/>
        <v>0</v>
      </c>
      <c r="Q23" s="263"/>
      <c r="R23" s="269">
        <f t="shared" si="7"/>
        <v>0</v>
      </c>
      <c r="S23" s="263"/>
      <c r="T23" s="269">
        <f t="shared" si="2"/>
        <v>0</v>
      </c>
      <c r="U23" s="263"/>
      <c r="V23" s="269">
        <v>0</v>
      </c>
    </row>
    <row r="24" spans="1:22">
      <c r="A24" s="264">
        <f>A23+1</f>
        <v>12</v>
      </c>
      <c r="B24" s="504" t="s">
        <v>97</v>
      </c>
      <c r="C24" s="263"/>
      <c r="D24" s="507">
        <v>0</v>
      </c>
      <c r="E24" s="263"/>
      <c r="F24" s="269">
        <f t="shared" si="0"/>
        <v>0</v>
      </c>
      <c r="G24" s="263"/>
      <c r="H24" s="269">
        <f t="shared" si="1"/>
        <v>0</v>
      </c>
      <c r="I24" s="269"/>
      <c r="J24" s="269">
        <v>0</v>
      </c>
      <c r="K24" s="263"/>
      <c r="L24" s="269">
        <v>0</v>
      </c>
      <c r="M24" s="270"/>
      <c r="N24" s="269">
        <v>0</v>
      </c>
      <c r="O24" s="263"/>
      <c r="P24" s="269">
        <f t="shared" si="6"/>
        <v>0</v>
      </c>
      <c r="Q24" s="263"/>
      <c r="R24" s="269">
        <f t="shared" si="7"/>
        <v>0</v>
      </c>
      <c r="S24" s="263"/>
      <c r="T24" s="269">
        <f t="shared" si="2"/>
        <v>0</v>
      </c>
      <c r="U24" s="263"/>
      <c r="V24" s="269">
        <v>0</v>
      </c>
    </row>
    <row r="25" spans="1:22">
      <c r="A25" s="264">
        <f>A24+1</f>
        <v>13</v>
      </c>
      <c r="B25" s="504" t="s">
        <v>98</v>
      </c>
      <c r="C25" s="263"/>
      <c r="D25" s="507">
        <v>0</v>
      </c>
      <c r="E25" s="263"/>
      <c r="F25" s="269">
        <f t="shared" si="0"/>
        <v>0</v>
      </c>
      <c r="G25" s="263"/>
      <c r="H25" s="269">
        <f t="shared" si="1"/>
        <v>0</v>
      </c>
      <c r="I25" s="269"/>
      <c r="J25" s="269">
        <v>0</v>
      </c>
      <c r="K25" s="263"/>
      <c r="L25" s="269">
        <v>0</v>
      </c>
      <c r="M25" s="270"/>
      <c r="N25" s="269">
        <v>0</v>
      </c>
      <c r="O25" s="263"/>
      <c r="P25" s="269">
        <f t="shared" si="6"/>
        <v>0</v>
      </c>
      <c r="Q25" s="263"/>
      <c r="R25" s="269">
        <f t="shared" si="7"/>
        <v>0</v>
      </c>
      <c r="S25" s="263"/>
      <c r="T25" s="269">
        <f t="shared" si="2"/>
        <v>0</v>
      </c>
      <c r="U25" s="263"/>
      <c r="V25" s="269">
        <v>0</v>
      </c>
    </row>
    <row r="26" spans="1:22">
      <c r="A26" s="264">
        <f>A25+1</f>
        <v>14</v>
      </c>
      <c r="B26" s="504" t="s">
        <v>99</v>
      </c>
      <c r="C26" s="263"/>
      <c r="D26" s="507">
        <v>0</v>
      </c>
      <c r="E26" s="263"/>
      <c r="F26" s="269">
        <f t="shared" si="0"/>
        <v>0</v>
      </c>
      <c r="G26" s="263"/>
      <c r="H26" s="269">
        <f t="shared" si="1"/>
        <v>0</v>
      </c>
      <c r="I26" s="269"/>
      <c r="J26" s="269">
        <v>0</v>
      </c>
      <c r="K26" s="263"/>
      <c r="L26" s="269">
        <v>0</v>
      </c>
      <c r="M26" s="270"/>
      <c r="N26" s="269">
        <v>0</v>
      </c>
      <c r="O26" s="263"/>
      <c r="P26" s="269">
        <f t="shared" si="6"/>
        <v>0</v>
      </c>
      <c r="Q26" s="263"/>
      <c r="R26" s="269">
        <f t="shared" si="7"/>
        <v>0</v>
      </c>
      <c r="S26" s="263"/>
      <c r="T26" s="269">
        <f t="shared" si="2"/>
        <v>0</v>
      </c>
      <c r="U26" s="263"/>
      <c r="V26" s="269">
        <v>0</v>
      </c>
    </row>
    <row r="27" spans="1:22">
      <c r="A27" s="264"/>
      <c r="B27" s="504"/>
      <c r="C27" s="263"/>
      <c r="D27" s="507"/>
      <c r="E27" s="263"/>
      <c r="F27" s="506"/>
      <c r="G27" s="263"/>
      <c r="H27" s="269"/>
      <c r="I27" s="269"/>
      <c r="J27" s="269"/>
      <c r="K27" s="263"/>
      <c r="L27" s="352"/>
      <c r="M27" s="270"/>
      <c r="N27" s="269"/>
      <c r="O27" s="263"/>
      <c r="P27" s="506"/>
      <c r="Q27" s="263"/>
      <c r="R27" s="269"/>
      <c r="S27" s="263"/>
      <c r="T27" s="269"/>
      <c r="U27" s="263"/>
      <c r="V27" s="270"/>
    </row>
    <row r="28" spans="1:22" ht="13.5" thickBot="1">
      <c r="A28" s="264">
        <f>A26+1</f>
        <v>15</v>
      </c>
      <c r="B28" s="263" t="s">
        <v>100</v>
      </c>
      <c r="C28" s="263"/>
      <c r="D28" s="353">
        <f>SUM(D13:D27)</f>
        <v>211617.32979096126</v>
      </c>
      <c r="E28" s="263"/>
      <c r="F28" s="272">
        <f>SUM(F13:F27)</f>
        <v>1</v>
      </c>
      <c r="G28" s="263"/>
      <c r="H28" s="273">
        <f>'Schedule 28 p.1'!K17</f>
        <v>-2696.2067316851189</v>
      </c>
      <c r="I28" s="265"/>
      <c r="J28" s="353">
        <f>SUM(J13:J27)</f>
        <v>11868876.755835138</v>
      </c>
      <c r="K28" s="263"/>
      <c r="L28" s="263"/>
      <c r="M28" s="263"/>
      <c r="N28" s="274">
        <f>SUM(N13:N27)</f>
        <v>2067598.4164612738</v>
      </c>
      <c r="O28" s="263"/>
      <c r="P28" s="272">
        <f>SUM(P13:P27)</f>
        <v>1</v>
      </c>
      <c r="Q28" s="263"/>
      <c r="R28" s="273">
        <f>'Schedule 28 p.1'!K23</f>
        <v>-1548.6892316657231</v>
      </c>
      <c r="S28" s="275"/>
      <c r="T28" s="274">
        <f>SUM(T13:T27)</f>
        <v>11868876.755835138</v>
      </c>
      <c r="U28" s="263"/>
      <c r="V28" s="263"/>
    </row>
    <row r="29" spans="1:22" ht="13.5" thickTop="1">
      <c r="A29" s="263"/>
      <c r="B29" s="263"/>
      <c r="C29" s="263"/>
      <c r="D29" s="263"/>
      <c r="E29" s="263"/>
      <c r="F29" s="263"/>
      <c r="G29" s="263"/>
      <c r="H29" s="263"/>
      <c r="I29" s="263"/>
      <c r="J29" s="263"/>
      <c r="K29" s="263"/>
      <c r="L29" s="263"/>
      <c r="M29" s="263"/>
      <c r="N29" s="263"/>
      <c r="O29" s="263"/>
      <c r="P29" s="263"/>
      <c r="Q29" s="263"/>
      <c r="R29" s="263"/>
      <c r="S29" s="263"/>
      <c r="T29" s="276"/>
      <c r="U29" s="263"/>
      <c r="V29" s="263"/>
    </row>
    <row r="30" spans="1:22">
      <c r="A30" s="213" t="s">
        <v>39</v>
      </c>
      <c r="B30" s="263"/>
      <c r="C30" s="263"/>
      <c r="D30" s="263"/>
      <c r="E30" s="263"/>
      <c r="F30" s="263"/>
      <c r="G30" s="263"/>
      <c r="H30" s="263"/>
      <c r="I30" s="263"/>
      <c r="J30" s="263"/>
      <c r="K30" s="263"/>
      <c r="L30" s="263"/>
      <c r="M30" s="263"/>
      <c r="N30" s="263"/>
      <c r="O30" s="263"/>
      <c r="P30" s="263"/>
      <c r="Q30" s="263"/>
      <c r="R30" s="263"/>
      <c r="S30" s="263"/>
      <c r="T30" s="263"/>
      <c r="U30" s="263"/>
      <c r="V30" s="263"/>
    </row>
    <row r="31" spans="1:22">
      <c r="A31" s="508" t="s">
        <v>40</v>
      </c>
      <c r="B31" s="278" t="s">
        <v>101</v>
      </c>
      <c r="C31" s="269"/>
      <c r="D31" s="358"/>
      <c r="E31" s="265"/>
      <c r="F31" s="265"/>
      <c r="G31" s="265"/>
      <c r="H31" s="265"/>
      <c r="I31" s="265"/>
      <c r="J31" s="265"/>
      <c r="K31" s="265"/>
      <c r="L31" s="265"/>
      <c r="M31" s="265"/>
      <c r="N31" s="263"/>
      <c r="O31" s="263"/>
      <c r="P31" s="315"/>
      <c r="Q31" s="278"/>
      <c r="R31" s="263"/>
      <c r="S31" s="263"/>
      <c r="T31" s="263"/>
      <c r="U31" s="263"/>
      <c r="V31" s="263"/>
    </row>
    <row r="32" spans="1:22">
      <c r="A32" s="508" t="s">
        <v>42</v>
      </c>
      <c r="B32" s="278" t="s">
        <v>102</v>
      </c>
      <c r="C32" s="269"/>
      <c r="D32" s="509"/>
      <c r="E32" s="265"/>
      <c r="F32" s="509"/>
      <c r="G32" s="265"/>
      <c r="H32" s="509"/>
      <c r="I32" s="509"/>
      <c r="J32" s="509"/>
      <c r="K32" s="509"/>
      <c r="L32" s="263"/>
      <c r="M32" s="263"/>
      <c r="N32" s="263"/>
      <c r="O32" s="263"/>
      <c r="P32" s="316"/>
      <c r="Q32" s="278"/>
      <c r="R32" s="263"/>
      <c r="S32" s="263"/>
      <c r="T32" s="263"/>
      <c r="U32" s="263"/>
      <c r="V32" s="263"/>
    </row>
    <row r="33" spans="1:22">
      <c r="A33" s="218" t="s">
        <v>44</v>
      </c>
      <c r="B33" s="278" t="s">
        <v>103</v>
      </c>
      <c r="C33" s="269"/>
      <c r="D33" s="265"/>
      <c r="E33" s="265"/>
      <c r="F33" s="265"/>
      <c r="G33" s="265"/>
      <c r="H33" s="510"/>
      <c r="I33" s="510"/>
      <c r="J33" s="510"/>
      <c r="K33" s="510"/>
      <c r="L33" s="263"/>
      <c r="M33" s="263"/>
      <c r="N33" s="263"/>
      <c r="O33" s="278"/>
      <c r="P33" s="511"/>
      <c r="Q33" s="511"/>
      <c r="R33" s="263"/>
      <c r="S33" s="263"/>
      <c r="T33" s="263"/>
      <c r="U33" s="263"/>
      <c r="V33" s="263"/>
    </row>
    <row r="34" spans="1:22">
      <c r="A34" s="218" t="s">
        <v>46</v>
      </c>
      <c r="B34" s="278" t="s">
        <v>104</v>
      </c>
      <c r="C34" s="269"/>
      <c r="D34" s="265"/>
      <c r="E34" s="265"/>
      <c r="F34" s="265"/>
      <c r="G34" s="265"/>
      <c r="H34" s="509"/>
      <c r="I34" s="509"/>
      <c r="J34" s="509"/>
      <c r="K34" s="509"/>
      <c r="L34" s="263"/>
      <c r="M34" s="263"/>
      <c r="N34" s="263"/>
      <c r="O34" s="278"/>
      <c r="P34" s="512"/>
      <c r="Q34" s="504"/>
      <c r="R34" s="263"/>
      <c r="S34" s="263"/>
      <c r="T34" s="513"/>
      <c r="U34" s="504"/>
      <c r="V34" s="514"/>
    </row>
    <row r="35" spans="1:22">
      <c r="A35" s="207" t="s">
        <v>48</v>
      </c>
      <c r="B35" s="278" t="s">
        <v>105</v>
      </c>
      <c r="C35" s="277"/>
      <c r="D35" s="279"/>
      <c r="E35" s="350"/>
      <c r="F35" s="279"/>
      <c r="G35" s="350"/>
      <c r="H35" s="355"/>
      <c r="I35" s="279"/>
      <c r="J35" s="279"/>
      <c r="K35" s="279"/>
      <c r="L35" s="263"/>
      <c r="M35" s="263"/>
      <c r="N35" s="263"/>
      <c r="O35" s="278"/>
      <c r="P35" s="317"/>
      <c r="R35" s="263"/>
      <c r="S35" s="263"/>
      <c r="T35" s="318"/>
      <c r="V35" s="264"/>
    </row>
    <row r="36" spans="1:22">
      <c r="A36" s="356"/>
      <c r="B36" s="354"/>
      <c r="C36" s="277"/>
      <c r="D36" s="279"/>
      <c r="E36" s="350"/>
      <c r="F36" s="279"/>
      <c r="G36" s="350"/>
      <c r="H36" s="355"/>
      <c r="I36" s="355"/>
      <c r="J36" s="355"/>
      <c r="K36" s="355"/>
      <c r="L36" s="263"/>
      <c r="M36" s="263"/>
      <c r="N36" s="263"/>
      <c r="O36" s="357"/>
      <c r="P36" s="320"/>
      <c r="Q36" s="317"/>
      <c r="R36" s="263"/>
      <c r="S36" s="263"/>
      <c r="T36" s="318"/>
      <c r="V36" s="264"/>
    </row>
    <row r="37" spans="1:22">
      <c r="A37" s="263"/>
      <c r="B37" s="358"/>
      <c r="C37" s="280"/>
      <c r="D37" s="358"/>
      <c r="E37" s="280"/>
      <c r="F37" s="263"/>
      <c r="G37" s="280"/>
      <c r="H37" s="263"/>
      <c r="I37" s="263"/>
      <c r="J37" s="263"/>
      <c r="K37" s="263"/>
      <c r="L37" s="351"/>
      <c r="M37" s="351"/>
      <c r="N37" s="263"/>
      <c r="O37" s="278"/>
      <c r="P37" s="320"/>
      <c r="Q37" s="320"/>
      <c r="R37" s="263"/>
      <c r="S37" s="263"/>
      <c r="T37" s="321"/>
      <c r="V37" s="319"/>
    </row>
    <row r="38" spans="1:22">
      <c r="A38" s="356"/>
      <c r="B38" s="263"/>
      <c r="C38" s="263"/>
      <c r="D38" s="263"/>
      <c r="E38" s="263"/>
      <c r="F38" s="263"/>
      <c r="G38" s="263"/>
      <c r="H38" s="263"/>
      <c r="I38" s="263"/>
      <c r="J38" s="263"/>
      <c r="K38" s="263"/>
      <c r="L38" s="263"/>
      <c r="M38" s="263"/>
      <c r="N38" s="263"/>
      <c r="O38" s="278"/>
      <c r="P38" s="317"/>
      <c r="Q38" s="320"/>
      <c r="R38" s="263"/>
      <c r="S38" s="263"/>
      <c r="T38" s="321"/>
      <c r="V38" s="319"/>
    </row>
    <row r="39" spans="1:22">
      <c r="A39" s="356"/>
      <c r="B39" s="263"/>
      <c r="C39" s="263"/>
      <c r="D39" s="263"/>
      <c r="E39" s="263"/>
      <c r="F39" s="263"/>
      <c r="G39" s="263"/>
      <c r="H39" s="263"/>
      <c r="I39" s="263"/>
      <c r="J39" s="263"/>
      <c r="K39" s="263"/>
      <c r="L39" s="263"/>
      <c r="M39" s="263"/>
      <c r="N39" s="263"/>
      <c r="O39" s="278"/>
      <c r="P39" s="320"/>
      <c r="Q39" s="317"/>
      <c r="R39" s="263"/>
      <c r="S39" s="263"/>
      <c r="T39" s="321"/>
      <c r="V39" s="319"/>
    </row>
    <row r="40" spans="1:22">
      <c r="A40" s="356"/>
      <c r="B40" s="263"/>
      <c r="C40" s="263"/>
      <c r="D40" s="263"/>
      <c r="E40" s="263"/>
      <c r="F40" s="263"/>
      <c r="G40" s="263"/>
      <c r="H40" s="263"/>
      <c r="I40" s="263"/>
      <c r="J40" s="263"/>
      <c r="K40" s="263"/>
      <c r="L40" s="263"/>
      <c r="M40" s="263"/>
      <c r="N40" s="263"/>
      <c r="O40" s="278"/>
      <c r="P40" s="320"/>
      <c r="Q40" s="320"/>
      <c r="R40" s="263"/>
      <c r="S40" s="263"/>
      <c r="T40" s="321"/>
      <c r="V40" s="319"/>
    </row>
    <row r="41" spans="1:22">
      <c r="A41" s="356"/>
      <c r="B41" s="263"/>
      <c r="C41" s="263"/>
      <c r="D41" s="263"/>
      <c r="E41" s="263"/>
      <c r="F41" s="263"/>
      <c r="G41" s="263"/>
      <c r="H41" s="263"/>
      <c r="I41" s="263"/>
      <c r="J41" s="263"/>
      <c r="K41" s="263"/>
      <c r="L41" s="263"/>
      <c r="M41" s="263"/>
      <c r="N41" s="263"/>
      <c r="O41" s="278"/>
      <c r="P41" s="320"/>
      <c r="Q41" s="320"/>
      <c r="R41" s="263"/>
      <c r="S41" s="263"/>
      <c r="T41" s="321"/>
      <c r="V41" s="319"/>
    </row>
    <row r="42" spans="1:22">
      <c r="A42" s="356"/>
      <c r="B42" s="263"/>
      <c r="C42" s="263"/>
      <c r="D42" s="263"/>
      <c r="E42" s="263"/>
      <c r="F42" s="263"/>
      <c r="G42" s="263"/>
      <c r="H42" s="263"/>
      <c r="I42" s="263"/>
      <c r="J42" s="263"/>
      <c r="K42" s="263"/>
      <c r="L42" s="263"/>
      <c r="M42" s="263"/>
      <c r="N42" s="263"/>
      <c r="O42" s="263"/>
      <c r="P42" s="317"/>
      <c r="Q42" s="317"/>
      <c r="R42" s="263"/>
      <c r="S42" s="263"/>
      <c r="V42" s="359"/>
    </row>
    <row r="43" spans="1:22">
      <c r="A43" s="1299"/>
      <c r="B43" s="1299"/>
      <c r="C43" s="1299"/>
      <c r="D43" s="1299"/>
      <c r="E43" s="1299"/>
      <c r="F43" s="1299"/>
      <c r="G43" s="1299"/>
      <c r="H43" s="1299"/>
      <c r="I43" s="360"/>
      <c r="J43" s="360"/>
      <c r="K43" s="360"/>
      <c r="L43" s="263"/>
      <c r="M43" s="263"/>
      <c r="N43" s="263"/>
      <c r="O43" s="263"/>
      <c r="P43" s="263"/>
      <c r="Q43" s="263"/>
      <c r="R43" s="263"/>
      <c r="S43" s="263"/>
      <c r="T43" s="263"/>
      <c r="U43" s="263"/>
      <c r="V43" s="263"/>
    </row>
    <row r="44" spans="1:22">
      <c r="A44" s="1299"/>
      <c r="B44" s="1299"/>
      <c r="C44" s="1299"/>
      <c r="D44" s="1299"/>
      <c r="E44" s="1299"/>
      <c r="F44" s="1299"/>
      <c r="G44" s="1299"/>
      <c r="H44" s="1299"/>
      <c r="I44" s="360"/>
      <c r="J44" s="360"/>
      <c r="K44" s="360"/>
      <c r="L44" s="263"/>
      <c r="M44" s="263"/>
      <c r="N44" s="263"/>
      <c r="O44" s="263"/>
      <c r="P44" s="263"/>
      <c r="Q44" s="263"/>
      <c r="R44" s="263"/>
      <c r="S44" s="263"/>
      <c r="T44" s="263"/>
      <c r="U44" s="263"/>
      <c r="V44" s="263"/>
    </row>
    <row r="45" spans="1:22">
      <c r="A45" s="1299"/>
      <c r="B45" s="1299"/>
      <c r="C45" s="1299"/>
      <c r="D45" s="1299"/>
      <c r="E45" s="1299"/>
      <c r="F45" s="1299"/>
      <c r="G45" s="1299"/>
      <c r="H45" s="1299"/>
      <c r="I45" s="360"/>
      <c r="J45" s="360"/>
      <c r="K45" s="360"/>
      <c r="L45" s="263"/>
      <c r="M45" s="263"/>
      <c r="N45" s="263"/>
      <c r="O45" s="263"/>
      <c r="P45" s="263"/>
      <c r="Q45" s="263"/>
      <c r="R45" s="263"/>
      <c r="S45" s="263"/>
      <c r="T45" s="263"/>
      <c r="U45" s="263"/>
      <c r="V45" s="263"/>
    </row>
    <row r="46" spans="1:22">
      <c r="A46" s="1299"/>
      <c r="B46" s="1299"/>
      <c r="C46" s="1299"/>
      <c r="D46" s="1299"/>
      <c r="E46" s="1299"/>
      <c r="F46" s="1299"/>
      <c r="G46" s="1299"/>
      <c r="H46" s="1299"/>
      <c r="I46" s="360"/>
      <c r="J46" s="360"/>
      <c r="K46" s="360"/>
      <c r="L46" s="263"/>
      <c r="M46" s="263"/>
      <c r="N46" s="263"/>
      <c r="O46" s="263"/>
      <c r="P46" s="263"/>
      <c r="Q46" s="263"/>
      <c r="R46" s="263"/>
      <c r="S46" s="263"/>
      <c r="T46" s="263"/>
      <c r="U46" s="263"/>
      <c r="V46" s="263"/>
    </row>
  </sheetData>
  <mergeCells count="4">
    <mergeCell ref="D7:H7"/>
    <mergeCell ref="N7:R7"/>
    <mergeCell ref="A43:H46"/>
    <mergeCell ref="A5:V5"/>
  </mergeCells>
  <printOptions horizontalCentered="1"/>
  <pageMargins left="0.7" right="0.7" top="0.75" bottom="0.75" header="0.3" footer="0.3"/>
  <pageSetup scale="71" firstPageNumber="2" fitToHeight="0" orientation="landscape" useFirstPageNumber="1" r:id="rId1"/>
  <headerFooter>
    <oddHeader>&amp;R&amp;10Updated: 2024-03-15
EB-2022-0200
Rate Order
Working Papers
Schedule 28
Page &amp;P of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7F30-0F27-45EB-BECC-43B35B334BBA}">
  <sheetPr>
    <pageSetUpPr fitToPage="1"/>
  </sheetPr>
  <dimension ref="A3:AW96"/>
  <sheetViews>
    <sheetView view="pageLayout" topLeftCell="A16" zoomScaleNormal="85" zoomScaleSheetLayoutView="100" workbookViewId="0">
      <selection activeCell="M9" sqref="M9"/>
    </sheetView>
  </sheetViews>
  <sheetFormatPr defaultColWidth="8.625" defaultRowHeight="12.75"/>
  <cols>
    <col min="1" max="1" width="4.625" style="268" customWidth="1"/>
    <col min="2" max="2" width="2" style="268" customWidth="1"/>
    <col min="3" max="3" width="11.125" style="268" customWidth="1"/>
    <col min="4" max="4" width="2" style="268" customWidth="1"/>
    <col min="5" max="5" width="19.625" style="268" bestFit="1" customWidth="1"/>
    <col min="6" max="6" width="2" style="268" customWidth="1"/>
    <col min="7" max="7" width="8.625" style="268"/>
    <col min="8" max="8" width="2" style="268" customWidth="1"/>
    <col min="9" max="9" width="9.625" style="268" customWidth="1"/>
    <col min="10" max="10" width="2" style="268" customWidth="1"/>
    <col min="11" max="11" width="12.125" style="268" customWidth="1"/>
    <col min="12" max="12" width="2" style="268" customWidth="1"/>
    <col min="13" max="13" width="8.625" style="268"/>
    <col min="14" max="14" width="2" style="268" customWidth="1"/>
    <col min="15" max="15" width="9.125" style="268" customWidth="1"/>
    <col min="16" max="16" width="2" style="268" customWidth="1"/>
    <col min="17" max="17" width="19.625" style="268" customWidth="1"/>
    <col min="18" max="18" width="5.625" style="268" customWidth="1"/>
    <col min="19" max="19" width="17.125" style="268" customWidth="1"/>
    <col min="20" max="20" width="2" style="268" customWidth="1"/>
    <col min="21" max="21" width="11.625" style="268" customWidth="1"/>
    <col min="22" max="22" width="5" style="268" customWidth="1"/>
    <col min="23" max="26" width="8.625" style="268"/>
    <col min="27" max="27" width="3" style="268" customWidth="1"/>
    <col min="28" max="28" width="18" style="268" customWidth="1"/>
    <col min="29" max="29" width="3" style="268" customWidth="1"/>
    <col min="30" max="30" width="16.5" style="268" customWidth="1"/>
    <col min="31" max="31" width="3" style="268" customWidth="1"/>
    <col min="32" max="32" width="14.5" style="268" customWidth="1"/>
    <col min="33" max="33" width="3" style="268" customWidth="1"/>
    <col min="34" max="34" width="14.5" style="268" customWidth="1"/>
    <col min="35" max="35" width="3" style="268" customWidth="1"/>
    <col min="36" max="36" width="16.25" style="268" customWidth="1"/>
    <col min="37" max="37" width="2.625" style="268" customWidth="1"/>
    <col min="38" max="38" width="16.25" style="268" customWidth="1"/>
    <col min="39" max="48" width="8.625" style="268"/>
    <col min="49" max="49" width="11.5" style="268" customWidth="1"/>
    <col min="50" max="16384" width="8.625" style="268"/>
  </cols>
  <sheetData>
    <row r="3" spans="1:49">
      <c r="AD3" s="326"/>
      <c r="AF3" s="329"/>
      <c r="AH3" s="329"/>
      <c r="AJ3" s="329"/>
      <c r="AL3" s="329"/>
    </row>
    <row r="4" spans="1:49" ht="15">
      <c r="A4" s="504"/>
      <c r="B4" s="504"/>
      <c r="C4" s="504"/>
      <c r="D4" s="504"/>
      <c r="E4" s="504"/>
      <c r="F4" s="504"/>
      <c r="G4" s="504"/>
      <c r="H4" s="504"/>
      <c r="I4" s="504"/>
      <c r="J4" s="504"/>
      <c r="K4" s="504"/>
      <c r="L4" s="504"/>
      <c r="M4" s="504"/>
      <c r="N4" s="504"/>
      <c r="O4" s="504"/>
      <c r="P4" s="504"/>
      <c r="Q4" s="504"/>
      <c r="R4" s="504"/>
      <c r="S4" s="504"/>
      <c r="T4" s="504"/>
      <c r="U4" s="504"/>
      <c r="AD4" s="326"/>
      <c r="AJ4" s="1047"/>
    </row>
    <row r="5" spans="1:49">
      <c r="A5" s="1300" t="s">
        <v>106</v>
      </c>
      <c r="B5" s="1295"/>
      <c r="C5" s="1295"/>
      <c r="D5" s="1295"/>
      <c r="E5" s="1295"/>
      <c r="F5" s="1295"/>
      <c r="G5" s="1295"/>
      <c r="H5" s="1295"/>
      <c r="I5" s="1295"/>
      <c r="J5" s="1295"/>
      <c r="K5" s="1295"/>
      <c r="L5" s="1295"/>
      <c r="M5" s="1295"/>
      <c r="N5" s="1295"/>
      <c r="O5" s="1295"/>
      <c r="P5" s="1295"/>
      <c r="Q5" s="1295"/>
      <c r="R5" s="1295"/>
      <c r="S5" s="1295"/>
      <c r="T5" s="1295"/>
      <c r="U5" s="1295"/>
      <c r="AD5" s="326"/>
      <c r="AF5" s="327"/>
      <c r="AH5" s="327"/>
      <c r="AJ5" s="327"/>
      <c r="AL5" s="327"/>
    </row>
    <row r="6" spans="1:49">
      <c r="A6" s="312"/>
      <c r="B6" s="312"/>
      <c r="C6" s="312"/>
      <c r="D6" s="263"/>
      <c r="E6" s="263"/>
      <c r="F6" s="263"/>
      <c r="G6" s="263"/>
      <c r="H6" s="263"/>
      <c r="I6" s="263"/>
      <c r="J6" s="263"/>
      <c r="K6" s="264"/>
      <c r="L6" s="263"/>
      <c r="M6" s="264"/>
      <c r="N6" s="263"/>
      <c r="O6" s="264"/>
      <c r="P6" s="263"/>
      <c r="Q6" s="313"/>
      <c r="R6" s="263"/>
      <c r="S6" s="264"/>
      <c r="T6" s="263"/>
      <c r="U6" s="263"/>
    </row>
    <row r="7" spans="1:49">
      <c r="A7" s="264"/>
      <c r="B7" s="263"/>
      <c r="C7" s="263"/>
      <c r="D7" s="263"/>
      <c r="E7" s="1298" t="s">
        <v>59</v>
      </c>
      <c r="F7" s="1298"/>
      <c r="G7" s="1298"/>
      <c r="H7" s="1298"/>
      <c r="I7" s="1298"/>
      <c r="J7" s="263"/>
      <c r="K7" s="1298" t="s">
        <v>60</v>
      </c>
      <c r="L7" s="1298"/>
      <c r="M7" s="1298"/>
      <c r="N7" s="1298"/>
      <c r="O7" s="1298"/>
      <c r="P7" s="263"/>
      <c r="Q7" s="313"/>
      <c r="R7" s="263"/>
      <c r="S7" s="264"/>
      <c r="T7" s="263"/>
      <c r="U7" s="263"/>
    </row>
    <row r="8" spans="1:49">
      <c r="A8" s="264"/>
      <c r="B8" s="263"/>
      <c r="C8" s="263"/>
      <c r="D8" s="263"/>
      <c r="E8" s="264" t="s">
        <v>107</v>
      </c>
      <c r="F8" s="264"/>
      <c r="G8" s="264" t="s">
        <v>62</v>
      </c>
      <c r="H8" s="264"/>
      <c r="I8" s="264" t="s">
        <v>63</v>
      </c>
      <c r="J8" s="263"/>
      <c r="K8" s="264" t="s">
        <v>66</v>
      </c>
      <c r="L8" s="264"/>
      <c r="M8" s="264" t="s">
        <v>62</v>
      </c>
      <c r="N8" s="264"/>
      <c r="O8" s="264" t="s">
        <v>63</v>
      </c>
      <c r="P8" s="263"/>
      <c r="Q8" s="313" t="s">
        <v>108</v>
      </c>
      <c r="R8" s="263"/>
      <c r="S8" s="264" t="s">
        <v>5</v>
      </c>
      <c r="T8" s="263"/>
      <c r="U8" s="264" t="s">
        <v>109</v>
      </c>
    </row>
    <row r="9" spans="1:49">
      <c r="A9" s="264" t="s">
        <v>1</v>
      </c>
      <c r="B9" s="263"/>
      <c r="C9" s="263"/>
      <c r="D9" s="263"/>
      <c r="E9" s="264" t="s">
        <v>68</v>
      </c>
      <c r="F9" s="263"/>
      <c r="G9" s="264" t="s">
        <v>69</v>
      </c>
      <c r="H9" s="263"/>
      <c r="I9" s="264" t="s">
        <v>70</v>
      </c>
      <c r="J9" s="263"/>
      <c r="K9" s="264" t="s">
        <v>110</v>
      </c>
      <c r="L9" s="263"/>
      <c r="M9" s="264" t="s">
        <v>69</v>
      </c>
      <c r="N9" s="263"/>
      <c r="O9" s="264" t="s">
        <v>111</v>
      </c>
      <c r="P9" s="263"/>
      <c r="Q9" s="313" t="s">
        <v>112</v>
      </c>
      <c r="R9" s="263"/>
      <c r="S9" s="264" t="s">
        <v>113</v>
      </c>
      <c r="T9" s="263"/>
      <c r="U9" s="264" t="s">
        <v>114</v>
      </c>
    </row>
    <row r="10" spans="1:49" ht="14.25">
      <c r="A10" s="445" t="s">
        <v>2</v>
      </c>
      <c r="B10" s="263"/>
      <c r="C10" s="344" t="s">
        <v>75</v>
      </c>
      <c r="D10" s="263"/>
      <c r="E10" s="445" t="s">
        <v>18</v>
      </c>
      <c r="F10" s="264"/>
      <c r="G10" s="445" t="s">
        <v>76</v>
      </c>
      <c r="H10" s="264"/>
      <c r="I10" s="314" t="s">
        <v>20</v>
      </c>
      <c r="J10" s="264"/>
      <c r="K10" s="445" t="s">
        <v>18</v>
      </c>
      <c r="L10" s="264"/>
      <c r="M10" s="445" t="s">
        <v>76</v>
      </c>
      <c r="N10" s="264"/>
      <c r="O10" s="314" t="s">
        <v>20</v>
      </c>
      <c r="P10" s="264"/>
      <c r="Q10" s="314" t="s">
        <v>20</v>
      </c>
      <c r="R10" s="264"/>
      <c r="S10" s="445" t="s">
        <v>18</v>
      </c>
      <c r="T10" s="264"/>
      <c r="U10" s="445" t="s">
        <v>77</v>
      </c>
    </row>
    <row r="11" spans="1:49">
      <c r="A11" s="263"/>
      <c r="B11" s="263"/>
      <c r="C11" s="263"/>
      <c r="D11" s="263"/>
      <c r="E11" s="264" t="s">
        <v>8</v>
      </c>
      <c r="F11" s="264"/>
      <c r="G11" s="264" t="s">
        <v>9</v>
      </c>
      <c r="H11" s="264"/>
      <c r="I11" s="281" t="s">
        <v>78</v>
      </c>
      <c r="J11" s="264"/>
      <c r="K11" s="264" t="s">
        <v>79</v>
      </c>
      <c r="L11" s="264"/>
      <c r="M11" s="264" t="s">
        <v>115</v>
      </c>
      <c r="N11" s="264"/>
      <c r="O11" s="313" t="s">
        <v>116</v>
      </c>
      <c r="P11" s="264"/>
      <c r="Q11" s="264" t="s">
        <v>117</v>
      </c>
      <c r="R11" s="264"/>
      <c r="S11" s="264" t="s">
        <v>118</v>
      </c>
      <c r="T11" s="264"/>
      <c r="U11" s="264" t="s">
        <v>119</v>
      </c>
      <c r="Z11" s="14"/>
      <c r="AH11" s="323"/>
    </row>
    <row r="12" spans="1:49">
      <c r="A12" s="263"/>
      <c r="B12" s="263"/>
      <c r="C12" s="263"/>
      <c r="D12" s="263"/>
      <c r="E12" s="263"/>
      <c r="F12" s="263"/>
      <c r="G12" s="263"/>
      <c r="H12" s="263"/>
      <c r="I12" s="263"/>
      <c r="J12" s="263"/>
      <c r="K12" s="263"/>
      <c r="L12" s="263"/>
      <c r="M12" s="263"/>
      <c r="N12" s="263"/>
      <c r="O12" s="263"/>
      <c r="P12" s="263"/>
      <c r="Q12" s="263"/>
      <c r="R12" s="263"/>
      <c r="S12" s="263"/>
      <c r="T12" s="263"/>
      <c r="U12" s="263"/>
    </row>
    <row r="13" spans="1:49">
      <c r="A13" s="264">
        <v>1</v>
      </c>
      <c r="B13" s="263"/>
      <c r="C13" s="504" t="s">
        <v>120</v>
      </c>
      <c r="D13" s="263"/>
      <c r="E13" s="515">
        <v>14301.180075638529</v>
      </c>
      <c r="F13" s="263"/>
      <c r="G13" s="506">
        <f>E13/$E$36</f>
        <v>0.186550005840358</v>
      </c>
      <c r="H13" s="263"/>
      <c r="I13" s="269">
        <f>G13*($I$36-($I$32+$I$33))</f>
        <v>-15.705190530613075</v>
      </c>
      <c r="J13" s="263"/>
      <c r="K13" s="269">
        <v>178715.8098598345</v>
      </c>
      <c r="L13" s="263"/>
      <c r="M13" s="506">
        <f>K13/$K$36</f>
        <v>0.18296662149899806</v>
      </c>
      <c r="N13" s="263"/>
      <c r="O13" s="269">
        <f>M13*(O$36-SUM($O$26:$O$27))</f>
        <v>74.871592111431568</v>
      </c>
      <c r="P13" s="263"/>
      <c r="Q13" s="265">
        <f>O13+I13</f>
        <v>59.166401580818494</v>
      </c>
      <c r="R13" s="263"/>
      <c r="S13" s="269">
        <v>976879.860067136</v>
      </c>
      <c r="T13" s="263"/>
      <c r="U13" s="270">
        <f>ROUND(Q13/S13*100,4)</f>
        <v>6.1000000000000004E-3</v>
      </c>
      <c r="AL13" s="16"/>
      <c r="AP13" s="1048"/>
      <c r="AQ13" s="322"/>
      <c r="AR13" s="322"/>
      <c r="AS13" s="322"/>
      <c r="AT13" s="322"/>
      <c r="AU13" s="322"/>
      <c r="AV13" s="322"/>
      <c r="AW13" s="1049"/>
    </row>
    <row r="14" spans="1:49">
      <c r="A14" s="264">
        <f>MAX($A$13:A13)+1</f>
        <v>2</v>
      </c>
      <c r="B14" s="263"/>
      <c r="C14" s="504" t="s">
        <v>121</v>
      </c>
      <c r="D14" s="263"/>
      <c r="E14" s="515">
        <v>3798.5836444982524</v>
      </c>
      <c r="F14" s="263"/>
      <c r="G14" s="506">
        <f>E14/$E$36</f>
        <v>4.9550162806029703E-2</v>
      </c>
      <c r="H14" s="263"/>
      <c r="I14" s="269">
        <f>G14*($I$36-($I$32+$I$33))</f>
        <v>-4.1715074957303502</v>
      </c>
      <c r="J14" s="263"/>
      <c r="K14" s="269">
        <v>46860.907652444825</v>
      </c>
      <c r="L14" s="263"/>
      <c r="M14" s="506">
        <f>K14/$K$36</f>
        <v>4.7975509051319441E-2</v>
      </c>
      <c r="N14" s="263"/>
      <c r="O14" s="269">
        <f>M14*(O$36-SUM($O$26:$O$27))</f>
        <v>19.632011104541011</v>
      </c>
      <c r="P14" s="263"/>
      <c r="Q14" s="265">
        <f t="shared" ref="Q14:Q31" si="0">O14+I14</f>
        <v>15.460503608810662</v>
      </c>
      <c r="R14" s="263"/>
      <c r="S14" s="269">
        <v>341663.84388774872</v>
      </c>
      <c r="T14" s="263"/>
      <c r="U14" s="270">
        <f>ROUND(Q14/S14*100,4)</f>
        <v>4.4999999999999997E-3</v>
      </c>
      <c r="AB14" s="14"/>
      <c r="AC14" s="14"/>
      <c r="AD14" s="16"/>
      <c r="AE14" s="14"/>
      <c r="AF14" s="14"/>
      <c r="AG14" s="14"/>
      <c r="AH14" s="14"/>
      <c r="AI14" s="14"/>
      <c r="AJ14" s="16"/>
      <c r="AL14" s="16"/>
      <c r="AP14" s="322"/>
      <c r="AQ14" s="322"/>
      <c r="AR14" s="322"/>
      <c r="AS14" s="322"/>
      <c r="AT14" s="322"/>
      <c r="AU14" s="322"/>
      <c r="AV14" s="322"/>
      <c r="AW14" s="1049"/>
    </row>
    <row r="15" spans="1:49">
      <c r="A15" s="264">
        <f>MAX($A$13:A14)+1</f>
        <v>3</v>
      </c>
      <c r="B15" s="263"/>
      <c r="C15" s="504" t="s">
        <v>122</v>
      </c>
      <c r="D15" s="263"/>
      <c r="E15" s="515">
        <v>1349.3974698234451</v>
      </c>
      <c r="F15" s="263"/>
      <c r="G15" s="506">
        <f>E15/$E$36</f>
        <v>1.7602051337381582E-2</v>
      </c>
      <c r="H15" s="263"/>
      <c r="I15" s="269">
        <f>G15*($I$36-($I$32+$I$33))</f>
        <v>-1.4818738211124998</v>
      </c>
      <c r="J15" s="263"/>
      <c r="K15" s="269">
        <v>12563.482442233153</v>
      </c>
      <c r="L15" s="263"/>
      <c r="M15" s="506">
        <f>K15/$K$36</f>
        <v>1.2862308815992457E-2</v>
      </c>
      <c r="N15" s="263"/>
      <c r="O15" s="269">
        <f>M15*(O$36-SUM($O$26:$O$27))</f>
        <v>5.2633728020579484</v>
      </c>
      <c r="P15" s="263"/>
      <c r="Q15" s="265">
        <f t="shared" si="0"/>
        <v>3.7814989809454485</v>
      </c>
      <c r="R15" s="263"/>
      <c r="S15" s="269">
        <v>929101.10525000002</v>
      </c>
      <c r="T15" s="263"/>
      <c r="U15" s="270">
        <f>ROUND(Q15/S15*100,4)</f>
        <v>4.0000000000000002E-4</v>
      </c>
      <c r="AB15" s="14"/>
      <c r="AC15" s="14"/>
      <c r="AD15" s="16"/>
      <c r="AE15" s="14"/>
      <c r="AF15" s="16"/>
      <c r="AG15" s="14"/>
      <c r="AH15" s="16"/>
      <c r="AI15" s="14"/>
      <c r="AJ15" s="16"/>
      <c r="AL15" s="16"/>
      <c r="AP15" s="322"/>
      <c r="AQ15" s="322"/>
      <c r="AR15" s="322"/>
      <c r="AS15" s="322"/>
      <c r="AT15" s="322"/>
      <c r="AU15" s="322"/>
      <c r="AV15" s="322"/>
      <c r="AW15" s="322"/>
    </row>
    <row r="16" spans="1:49">
      <c r="A16" s="264">
        <f>MAX($A$13:A15)+1</f>
        <v>4</v>
      </c>
      <c r="B16" s="263"/>
      <c r="C16" s="504" t="s">
        <v>123</v>
      </c>
      <c r="D16" s="263"/>
      <c r="E16" s="515">
        <v>66.579153630822091</v>
      </c>
      <c r="F16" s="263"/>
      <c r="G16" s="506">
        <f>E16/$E$36</f>
        <v>8.6848367987712376E-4</v>
      </c>
      <c r="H16" s="263"/>
      <c r="I16" s="269">
        <f>G16*($I$36-($I$32+$I$33))</f>
        <v>-7.3115525264955017E-2</v>
      </c>
      <c r="J16" s="263"/>
      <c r="K16" s="269">
        <v>0</v>
      </c>
      <c r="L16" s="263"/>
      <c r="M16" s="506">
        <f>K16/$K$36</f>
        <v>0</v>
      </c>
      <c r="N16" s="263"/>
      <c r="O16" s="269">
        <f>M16*(O$36-SUM($O$26:$O$27))</f>
        <v>0</v>
      </c>
      <c r="P16" s="263"/>
      <c r="Q16" s="265">
        <f t="shared" si="0"/>
        <v>-7.3115525264955017E-2</v>
      </c>
      <c r="R16" s="263"/>
      <c r="S16" s="269">
        <v>126830.75640999997</v>
      </c>
      <c r="T16" s="263"/>
      <c r="U16" s="270">
        <f>ROUND(Q16/S16*100,4)</f>
        <v>-1E-4</v>
      </c>
      <c r="AB16" s="16"/>
      <c r="AC16" s="14"/>
      <c r="AD16" s="16"/>
      <c r="AE16" s="14"/>
      <c r="AF16" s="16"/>
      <c r="AG16" s="16"/>
      <c r="AH16" s="16"/>
      <c r="AI16" s="14"/>
      <c r="AJ16" s="16"/>
      <c r="AL16" s="16"/>
      <c r="AP16" s="1040"/>
      <c r="AQ16" s="322"/>
      <c r="AR16" s="322"/>
      <c r="AS16" s="322"/>
      <c r="AT16" s="322"/>
      <c r="AU16" s="322"/>
      <c r="AV16" s="322"/>
      <c r="AW16" s="1050"/>
    </row>
    <row r="17" spans="1:49">
      <c r="A17" s="264">
        <f>MAX($A$13:A16)+1</f>
        <v>5</v>
      </c>
      <c r="B17" s="263"/>
      <c r="C17" s="504" t="s">
        <v>88</v>
      </c>
      <c r="D17" s="263"/>
      <c r="E17" s="515">
        <v>104.78171606204629</v>
      </c>
      <c r="F17" s="263"/>
      <c r="G17" s="506">
        <f>E17/$E$36</f>
        <v>1.3668123637317893E-3</v>
      </c>
      <c r="H17" s="263"/>
      <c r="I17" s="269">
        <f>G17*($I$36-($I$32+$I$33))</f>
        <v>-0.11506860316249549</v>
      </c>
      <c r="J17" s="263"/>
      <c r="K17" s="269">
        <v>878.00550636534024</v>
      </c>
      <c r="L17" s="263"/>
      <c r="M17" s="506">
        <f>K17/$K$36</f>
        <v>8.9888914295370166E-4</v>
      </c>
      <c r="N17" s="263"/>
      <c r="O17" s="269">
        <f>M17*(O$36-SUM($O$26:$O$27))</f>
        <v>0.36783354643181404</v>
      </c>
      <c r="P17" s="263"/>
      <c r="Q17" s="265">
        <f t="shared" si="0"/>
        <v>0.25276494326931853</v>
      </c>
      <c r="R17" s="263"/>
      <c r="S17" s="269">
        <v>1076377.9679700001</v>
      </c>
      <c r="T17" s="263"/>
      <c r="U17" s="270">
        <f>ROUND(Q17/S17*100,4)</f>
        <v>0</v>
      </c>
      <c r="AP17" s="1044"/>
      <c r="AQ17" s="322"/>
      <c r="AR17" s="322"/>
      <c r="AS17" s="322"/>
      <c r="AT17" s="322"/>
      <c r="AU17" s="322"/>
      <c r="AV17" s="322"/>
      <c r="AW17" s="322"/>
    </row>
    <row r="18" spans="1:49">
      <c r="A18" s="264"/>
      <c r="B18" s="263"/>
      <c r="C18" s="263"/>
      <c r="D18" s="263"/>
      <c r="E18" s="515"/>
      <c r="F18" s="263"/>
      <c r="G18" s="271"/>
      <c r="H18" s="263"/>
      <c r="I18" s="269"/>
      <c r="J18" s="263"/>
      <c r="K18" s="269"/>
      <c r="L18" s="263"/>
      <c r="M18" s="271"/>
      <c r="N18" s="263"/>
      <c r="O18" s="269"/>
      <c r="P18" s="263"/>
      <c r="Q18" s="265"/>
      <c r="R18" s="263"/>
      <c r="S18" s="269"/>
      <c r="T18" s="263"/>
      <c r="U18" s="270"/>
      <c r="AF18" s="323"/>
      <c r="AP18" s="1044"/>
      <c r="AQ18" s="322"/>
      <c r="AR18" s="322"/>
      <c r="AS18" s="322"/>
      <c r="AT18" s="322"/>
      <c r="AU18" s="322"/>
      <c r="AV18" s="322"/>
      <c r="AW18" s="322"/>
    </row>
    <row r="19" spans="1:49">
      <c r="A19" s="264">
        <f>MAX($A$13:A18)+1</f>
        <v>6</v>
      </c>
      <c r="B19" s="263"/>
      <c r="C19" s="504" t="s">
        <v>124</v>
      </c>
      <c r="D19" s="263"/>
      <c r="E19" s="515">
        <v>30078.632908403524</v>
      </c>
      <c r="F19" s="263"/>
      <c r="G19" s="506">
        <f t="shared" ref="G19:G24" si="1">E19/$E$36</f>
        <v>0.39235707228741612</v>
      </c>
      <c r="H19" s="263"/>
      <c r="I19" s="269">
        <f t="shared" ref="I19:I24" si="2">G19*($I$36-($I$32+$I$33))</f>
        <v>-33.031586080895792</v>
      </c>
      <c r="J19" s="263"/>
      <c r="K19" s="269">
        <v>496836.70523252152</v>
      </c>
      <c r="L19" s="263"/>
      <c r="M19" s="506">
        <f t="shared" ref="M19:M24" si="3">K19/$K$36</f>
        <v>0.5086541222311769</v>
      </c>
      <c r="N19" s="263"/>
      <c r="O19" s="269">
        <f t="shared" ref="O19:O24" si="4">M19*(O$36-SUM($O$26:$O$27))</f>
        <v>208.14585553081045</v>
      </c>
      <c r="P19" s="263"/>
      <c r="Q19" s="265">
        <f t="shared" si="0"/>
        <v>175.11426944991467</v>
      </c>
      <c r="R19" s="263"/>
      <c r="S19" s="269">
        <v>3238864.4996673875</v>
      </c>
      <c r="T19" s="263"/>
      <c r="U19" s="270">
        <f t="shared" ref="U19:U24" si="5">ROUND(Q19/S19*100,4)</f>
        <v>5.4000000000000003E-3</v>
      </c>
      <c r="AP19" s="1040"/>
      <c r="AQ19" s="322"/>
      <c r="AR19" s="322"/>
      <c r="AS19" s="322"/>
      <c r="AT19" s="322"/>
      <c r="AU19" s="322"/>
      <c r="AV19" s="322"/>
      <c r="AW19" s="1041"/>
    </row>
    <row r="20" spans="1:49">
      <c r="A20" s="264">
        <f>MAX($A$13:A19)+1</f>
        <v>7</v>
      </c>
      <c r="B20" s="263"/>
      <c r="C20" s="504" t="s">
        <v>125</v>
      </c>
      <c r="D20" s="263"/>
      <c r="E20" s="515">
        <v>9673.3710977964638</v>
      </c>
      <c r="F20" s="263"/>
      <c r="G20" s="506">
        <f t="shared" si="1"/>
        <v>0.12618311392805176</v>
      </c>
      <c r="H20" s="263"/>
      <c r="I20" s="269">
        <f t="shared" si="2"/>
        <v>-10.623048962442779</v>
      </c>
      <c r="J20" s="263"/>
      <c r="K20" s="269">
        <v>169398.87511490131</v>
      </c>
      <c r="L20" s="263"/>
      <c r="M20" s="506">
        <f t="shared" si="3"/>
        <v>0.17342808053642722</v>
      </c>
      <c r="N20" s="263"/>
      <c r="O20" s="269">
        <f t="shared" si="4"/>
        <v>70.968335099650886</v>
      </c>
      <c r="P20" s="263"/>
      <c r="Q20" s="265">
        <f t="shared" si="0"/>
        <v>60.345286137208106</v>
      </c>
      <c r="R20" s="263"/>
      <c r="S20" s="269">
        <v>1343314.2587384542</v>
      </c>
      <c r="T20" s="263"/>
      <c r="U20" s="270">
        <f t="shared" si="5"/>
        <v>4.4999999999999997E-3</v>
      </c>
      <c r="AF20" s="323"/>
      <c r="AH20" s="1039"/>
      <c r="AJ20" s="324"/>
      <c r="AL20" s="323"/>
      <c r="AP20" s="1040"/>
      <c r="AQ20" s="322"/>
      <c r="AR20" s="322"/>
      <c r="AS20" s="322"/>
      <c r="AT20" s="322"/>
      <c r="AU20" s="322"/>
      <c r="AV20" s="322"/>
      <c r="AW20" s="1042"/>
    </row>
    <row r="21" spans="1:49">
      <c r="A21" s="264">
        <f>MAX($A$13:A20)+1</f>
        <v>8</v>
      </c>
      <c r="B21" s="263"/>
      <c r="C21" s="504" t="s">
        <v>126</v>
      </c>
      <c r="D21" s="263"/>
      <c r="E21" s="515">
        <v>7003.5165089432876</v>
      </c>
      <c r="F21" s="263"/>
      <c r="G21" s="506">
        <f t="shared" si="1"/>
        <v>9.1356520142837239E-2</v>
      </c>
      <c r="H21" s="263"/>
      <c r="I21" s="269">
        <f t="shared" si="2"/>
        <v>-7.6910828739660824</v>
      </c>
      <c r="J21" s="263"/>
      <c r="K21" s="269">
        <v>24775.666207810355</v>
      </c>
      <c r="L21" s="263"/>
      <c r="M21" s="506">
        <f t="shared" si="3"/>
        <v>2.5364963206026634E-2</v>
      </c>
      <c r="N21" s="263"/>
      <c r="O21" s="269">
        <f t="shared" si="4"/>
        <v>10.379571768468683</v>
      </c>
      <c r="P21" s="263"/>
      <c r="Q21" s="265">
        <f t="shared" si="0"/>
        <v>2.6884888945026004</v>
      </c>
      <c r="R21" s="263"/>
      <c r="S21" s="269">
        <v>592384.97535999969</v>
      </c>
      <c r="T21" s="263"/>
      <c r="U21" s="270">
        <f t="shared" si="5"/>
        <v>5.0000000000000001E-4</v>
      </c>
      <c r="AP21" s="1040"/>
      <c r="AQ21" s="322"/>
      <c r="AR21" s="322"/>
      <c r="AS21" s="322"/>
      <c r="AT21" s="322"/>
      <c r="AU21" s="322"/>
      <c r="AV21" s="322"/>
      <c r="AW21" s="1043"/>
    </row>
    <row r="22" spans="1:49">
      <c r="A22" s="264">
        <f>MAX($A$13:A21)+1</f>
        <v>9</v>
      </c>
      <c r="B22" s="263"/>
      <c r="C22" s="504" t="s">
        <v>127</v>
      </c>
      <c r="D22" s="263"/>
      <c r="E22" s="515">
        <v>503.79084078258501</v>
      </c>
      <c r="F22" s="263"/>
      <c r="G22" s="506">
        <f t="shared" si="1"/>
        <v>6.5716384097844393E-3</v>
      </c>
      <c r="H22" s="263"/>
      <c r="I22" s="269">
        <f t="shared" si="2"/>
        <v>-0.55325022831830795</v>
      </c>
      <c r="J22" s="263"/>
      <c r="K22" s="269">
        <v>33425.440078214953</v>
      </c>
      <c r="L22" s="263"/>
      <c r="M22" s="506">
        <f t="shared" si="3"/>
        <v>3.4220474663236147E-2</v>
      </c>
      <c r="N22" s="263"/>
      <c r="O22" s="269">
        <f t="shared" si="4"/>
        <v>14.003326944851663</v>
      </c>
      <c r="P22" s="263"/>
      <c r="Q22" s="265">
        <f t="shared" si="0"/>
        <v>13.450076716533355</v>
      </c>
      <c r="R22" s="263"/>
      <c r="S22" s="269">
        <v>59730.91068999999</v>
      </c>
      <c r="T22" s="263"/>
      <c r="U22" s="270">
        <f t="shared" si="5"/>
        <v>2.2499999999999999E-2</v>
      </c>
      <c r="AP22" s="1044"/>
      <c r="AQ22" s="322"/>
      <c r="AR22" s="322"/>
      <c r="AS22" s="322"/>
      <c r="AT22" s="322"/>
      <c r="AU22" s="322"/>
      <c r="AV22" s="322"/>
      <c r="AW22" s="322"/>
    </row>
    <row r="23" spans="1:49">
      <c r="A23" s="264">
        <f>MAX($A$13:A22)+1</f>
        <v>10</v>
      </c>
      <c r="B23" s="263"/>
      <c r="C23" s="504" t="s">
        <v>128</v>
      </c>
      <c r="D23" s="263"/>
      <c r="E23" s="515">
        <v>9085.1758354969279</v>
      </c>
      <c r="F23" s="263"/>
      <c r="G23" s="506">
        <f t="shared" si="1"/>
        <v>0.11851047229729808</v>
      </c>
      <c r="H23" s="263"/>
      <c r="I23" s="269">
        <f t="shared" si="2"/>
        <v>-9.9771079551440724</v>
      </c>
      <c r="J23" s="263"/>
      <c r="K23" s="269">
        <v>9125.9038428513322</v>
      </c>
      <c r="L23" s="263"/>
      <c r="M23" s="506">
        <f t="shared" si="3"/>
        <v>9.3429663305154322E-3</v>
      </c>
      <c r="N23" s="263"/>
      <c r="O23" s="269">
        <f t="shared" si="4"/>
        <v>3.8232261080091079</v>
      </c>
      <c r="P23" s="263"/>
      <c r="Q23" s="265">
        <f t="shared" si="0"/>
        <v>-6.153881847134965</v>
      </c>
      <c r="R23" s="263"/>
      <c r="S23" s="269">
        <v>789736.67052000004</v>
      </c>
      <c r="T23" s="263"/>
      <c r="U23" s="270">
        <f t="shared" si="5"/>
        <v>-8.0000000000000004E-4</v>
      </c>
      <c r="AP23" s="1040"/>
      <c r="AQ23" s="322"/>
      <c r="AR23" s="322"/>
      <c r="AS23" s="322"/>
      <c r="AT23" s="322"/>
      <c r="AU23" s="322"/>
      <c r="AV23" s="322"/>
      <c r="AW23" s="1045"/>
    </row>
    <row r="24" spans="1:49">
      <c r="A24" s="264">
        <f>MAX($A$13:A23)+1</f>
        <v>11</v>
      </c>
      <c r="B24" s="263"/>
      <c r="C24" s="504" t="s">
        <v>129</v>
      </c>
      <c r="D24" s="263"/>
      <c r="E24" s="515">
        <v>696.36640107447943</v>
      </c>
      <c r="F24" s="263"/>
      <c r="G24" s="506">
        <f t="shared" si="1"/>
        <v>9.0836669072340889E-3</v>
      </c>
      <c r="H24" s="263"/>
      <c r="I24" s="269">
        <f t="shared" si="2"/>
        <v>-0.7647317878768628</v>
      </c>
      <c r="J24" s="263"/>
      <c r="K24" s="269">
        <v>4186.4876015481168</v>
      </c>
      <c r="L24" s="263"/>
      <c r="M24" s="506">
        <f t="shared" si="3"/>
        <v>4.2860645233539262E-3</v>
      </c>
      <c r="N24" s="263"/>
      <c r="O24" s="269">
        <f t="shared" si="4"/>
        <v>1.7538962687661028</v>
      </c>
      <c r="P24" s="263"/>
      <c r="Q24" s="265">
        <f t="shared" si="0"/>
        <v>0.98916448088924003</v>
      </c>
      <c r="R24" s="263"/>
      <c r="S24" s="269">
        <v>90073.425800000012</v>
      </c>
      <c r="T24" s="263"/>
      <c r="U24" s="270">
        <f t="shared" si="5"/>
        <v>1.1000000000000001E-3</v>
      </c>
      <c r="AF24" s="323"/>
      <c r="AP24" s="1040"/>
      <c r="AQ24" s="322"/>
      <c r="AR24" s="322"/>
      <c r="AS24" s="322"/>
      <c r="AT24" s="322"/>
      <c r="AU24" s="322"/>
      <c r="AV24" s="322"/>
      <c r="AW24" s="325"/>
    </row>
    <row r="25" spans="1:49">
      <c r="A25" s="264"/>
      <c r="B25" s="263"/>
      <c r="C25" s="263"/>
      <c r="D25" s="263"/>
      <c r="E25" s="515"/>
      <c r="F25" s="263"/>
      <c r="G25" s="271"/>
      <c r="H25" s="263"/>
      <c r="I25" s="269"/>
      <c r="J25" s="263"/>
      <c r="K25" s="269"/>
      <c r="L25" s="263"/>
      <c r="M25" s="271"/>
      <c r="N25" s="263"/>
      <c r="O25" s="269"/>
      <c r="P25" s="263"/>
      <c r="Q25" s="265"/>
      <c r="R25" s="263"/>
      <c r="S25" s="445" t="s">
        <v>130</v>
      </c>
      <c r="T25" s="264"/>
      <c r="U25" s="445" t="s">
        <v>131</v>
      </c>
      <c r="AP25" s="1040"/>
      <c r="AQ25" s="322"/>
      <c r="AR25" s="322"/>
      <c r="AS25" s="322"/>
      <c r="AT25" s="322"/>
      <c r="AU25" s="322"/>
      <c r="AV25" s="322"/>
      <c r="AW25" s="1043"/>
    </row>
    <row r="26" spans="1:49">
      <c r="A26" s="264">
        <f>MAX($A$13:A25)+1</f>
        <v>12</v>
      </c>
      <c r="B26" s="263"/>
      <c r="C26" s="504" t="s">
        <v>132</v>
      </c>
      <c r="D26" s="263"/>
      <c r="E26" s="515">
        <v>0</v>
      </c>
      <c r="F26" s="263"/>
      <c r="G26" s="506">
        <f>E26/$E$36</f>
        <v>0</v>
      </c>
      <c r="H26" s="263"/>
      <c r="I26" s="269">
        <f>G26*I$36</f>
        <v>0</v>
      </c>
      <c r="J26" s="263"/>
      <c r="K26" s="269">
        <v>0</v>
      </c>
      <c r="L26" s="263"/>
      <c r="M26" s="506">
        <f>K26/$K$36</f>
        <v>0</v>
      </c>
      <c r="N26" s="263"/>
      <c r="O26" s="269">
        <f>Q26</f>
        <v>4.0450320000000035</v>
      </c>
      <c r="P26" s="263"/>
      <c r="Q26" s="265">
        <v>4.0450320000000035</v>
      </c>
      <c r="R26" s="281" t="s">
        <v>50</v>
      </c>
      <c r="S26" s="269">
        <v>674172</v>
      </c>
      <c r="T26" s="263"/>
      <c r="U26" s="1051">
        <f>ROUND(Q26/S26*1000,3)</f>
        <v>6.0000000000000001E-3</v>
      </c>
      <c r="AP26" s="1044"/>
      <c r="AQ26" s="322"/>
      <c r="AR26" s="322"/>
      <c r="AS26" s="322"/>
      <c r="AT26" s="322"/>
      <c r="AU26" s="322"/>
      <c r="AV26" s="322"/>
      <c r="AW26" s="322"/>
    </row>
    <row r="27" spans="1:49">
      <c r="A27" s="264">
        <f>MAX($A$13:A26)+1</f>
        <v>13</v>
      </c>
      <c r="B27" s="263"/>
      <c r="C27" s="504" t="s">
        <v>133</v>
      </c>
      <c r="D27" s="263"/>
      <c r="E27" s="515">
        <v>0</v>
      </c>
      <c r="F27" s="263"/>
      <c r="G27" s="506">
        <f>E27/$E$36</f>
        <v>0</v>
      </c>
      <c r="H27" s="263"/>
      <c r="I27" s="269">
        <f>G27*I$36</f>
        <v>0</v>
      </c>
      <c r="J27" s="263"/>
      <c r="K27" s="269">
        <v>0</v>
      </c>
      <c r="L27" s="263"/>
      <c r="M27" s="506">
        <f>K27/$K$36</f>
        <v>0</v>
      </c>
      <c r="N27" s="263"/>
      <c r="O27" s="269">
        <f>Q27</f>
        <v>14.388372000000013</v>
      </c>
      <c r="P27" s="263"/>
      <c r="Q27" s="265">
        <v>14.388372000000013</v>
      </c>
      <c r="R27" s="281" t="s">
        <v>50</v>
      </c>
      <c r="S27" s="269">
        <v>2398062</v>
      </c>
      <c r="T27" s="263"/>
      <c r="U27" s="1051">
        <f>ROUND(Q27/S27*1000,3)</f>
        <v>6.0000000000000001E-3</v>
      </c>
      <c r="AF27" s="323"/>
      <c r="AP27" s="1040"/>
      <c r="AQ27" s="322"/>
      <c r="AR27" s="322"/>
      <c r="AS27" s="322"/>
      <c r="AT27" s="322"/>
      <c r="AU27" s="322"/>
      <c r="AV27" s="322"/>
      <c r="AW27" s="1041"/>
    </row>
    <row r="28" spans="1:49" ht="14.25" customHeight="1">
      <c r="A28" s="264">
        <f>MAX($A$13:A27)+1</f>
        <v>14</v>
      </c>
      <c r="B28" s="263"/>
      <c r="C28" s="504" t="s">
        <v>134</v>
      </c>
      <c r="D28" s="263"/>
      <c r="E28" s="515">
        <v>0</v>
      </c>
      <c r="F28" s="263"/>
      <c r="G28" s="506">
        <f>E28/$E$36</f>
        <v>0</v>
      </c>
      <c r="H28" s="263"/>
      <c r="I28" s="269">
        <f>G28*I$36</f>
        <v>0</v>
      </c>
      <c r="J28" s="263"/>
      <c r="K28" s="269">
        <v>0</v>
      </c>
      <c r="L28" s="263"/>
      <c r="M28" s="506">
        <f>K28/$K$36</f>
        <v>0</v>
      </c>
      <c r="N28" s="263"/>
      <c r="O28" s="269">
        <f>M28*O$36</f>
        <v>0</v>
      </c>
      <c r="P28" s="263"/>
      <c r="Q28" s="265"/>
      <c r="R28" s="281"/>
      <c r="S28" s="269"/>
      <c r="T28" s="263"/>
      <c r="U28" s="1051"/>
      <c r="AP28" s="1044"/>
      <c r="AQ28" s="322"/>
      <c r="AR28" s="322"/>
      <c r="AS28" s="322"/>
      <c r="AT28" s="322"/>
      <c r="AU28" s="322"/>
      <c r="AV28" s="322"/>
      <c r="AW28" s="322"/>
    </row>
    <row r="29" spans="1:49">
      <c r="A29" s="264"/>
      <c r="B29" s="263"/>
      <c r="C29" s="263"/>
      <c r="D29" s="263"/>
      <c r="E29" s="515"/>
      <c r="F29" s="263"/>
      <c r="G29" s="516"/>
      <c r="H29" s="263"/>
      <c r="I29" s="269"/>
      <c r="J29" s="263"/>
      <c r="K29" s="269"/>
      <c r="L29" s="263"/>
      <c r="M29" s="271"/>
      <c r="N29" s="263"/>
      <c r="O29" s="269"/>
      <c r="P29" s="263"/>
      <c r="Q29" s="265"/>
      <c r="R29" s="281"/>
      <c r="S29" s="269"/>
      <c r="T29" s="269"/>
      <c r="U29" s="1051"/>
      <c r="AP29" s="1040"/>
      <c r="AQ29" s="322"/>
      <c r="AR29" s="322"/>
      <c r="AS29" s="322"/>
      <c r="AT29" s="322"/>
      <c r="AU29" s="322"/>
      <c r="AV29" s="322"/>
      <c r="AW29" s="1046"/>
    </row>
    <row r="30" spans="1:49">
      <c r="A30" s="264">
        <f>MAX($A$13:A29)+1</f>
        <v>15</v>
      </c>
      <c r="B30" s="263"/>
      <c r="C30" s="504" t="s">
        <v>135</v>
      </c>
      <c r="D30" s="263"/>
      <c r="E30" s="515">
        <v>0</v>
      </c>
      <c r="F30" s="263"/>
      <c r="G30" s="506">
        <f>E30/$E$36</f>
        <v>0</v>
      </c>
      <c r="H30" s="263"/>
      <c r="I30" s="269">
        <f>G30*I$36</f>
        <v>0</v>
      </c>
      <c r="J30" s="263"/>
      <c r="K30" s="269">
        <v>0</v>
      </c>
      <c r="L30" s="263"/>
      <c r="M30" s="506">
        <f>K30/$K$36</f>
        <v>0</v>
      </c>
      <c r="N30" s="263"/>
      <c r="O30" s="269">
        <f>M30*O$36</f>
        <v>0</v>
      </c>
      <c r="P30" s="263"/>
      <c r="Q30" s="265"/>
      <c r="R30" s="281"/>
      <c r="S30" s="269"/>
      <c r="T30" s="263"/>
      <c r="U30" s="1051"/>
      <c r="AP30" s="1044"/>
      <c r="AQ30" s="322"/>
      <c r="AR30" s="322"/>
      <c r="AS30" s="322"/>
      <c r="AT30" s="322"/>
      <c r="AU30" s="322"/>
      <c r="AV30" s="322"/>
      <c r="AW30" s="322"/>
    </row>
    <row r="31" spans="1:49">
      <c r="A31" s="264">
        <f>MAX($A$13:A30)+1</f>
        <v>16</v>
      </c>
      <c r="B31" s="263"/>
      <c r="C31" s="504" t="s">
        <v>136</v>
      </c>
      <c r="D31" s="263"/>
      <c r="E31" s="515">
        <v>0</v>
      </c>
      <c r="F31" s="263"/>
      <c r="G31" s="506">
        <f>E31/$E$36</f>
        <v>0</v>
      </c>
      <c r="H31" s="263"/>
      <c r="I31" s="269">
        <f>G31*I$36</f>
        <v>0</v>
      </c>
      <c r="J31" s="263"/>
      <c r="K31" s="269">
        <v>0</v>
      </c>
      <c r="L31" s="263"/>
      <c r="M31" s="506">
        <f>K31/$K$36</f>
        <v>0</v>
      </c>
      <c r="N31" s="263"/>
      <c r="O31" s="269">
        <f>M31*O$36</f>
        <v>0</v>
      </c>
      <c r="P31" s="263"/>
      <c r="Q31" s="265">
        <f t="shared" si="0"/>
        <v>0</v>
      </c>
      <c r="R31" s="281"/>
      <c r="S31" s="269"/>
      <c r="T31" s="263"/>
      <c r="U31" s="1051"/>
      <c r="AP31" s="1040"/>
      <c r="AQ31" s="322"/>
      <c r="AR31" s="322"/>
      <c r="AS31" s="322"/>
      <c r="AT31" s="322"/>
      <c r="AU31" s="322"/>
      <c r="AV31" s="322"/>
      <c r="AW31" s="1046"/>
    </row>
    <row r="32" spans="1:49">
      <c r="A32" s="264">
        <f>MAX($A$13:A31)+1</f>
        <v>17</v>
      </c>
      <c r="B32" s="263"/>
      <c r="C32" s="504" t="s">
        <v>137</v>
      </c>
      <c r="D32" s="263"/>
      <c r="E32" s="515">
        <v>0</v>
      </c>
      <c r="F32" s="263"/>
      <c r="G32" s="506">
        <f>E32/$E$36</f>
        <v>0</v>
      </c>
      <c r="H32" s="263"/>
      <c r="I32" s="269">
        <v>-2.25</v>
      </c>
      <c r="J32" s="263"/>
      <c r="K32" s="269">
        <v>0</v>
      </c>
      <c r="L32" s="263"/>
      <c r="M32" s="506">
        <f>K32/$K$36</f>
        <v>0</v>
      </c>
      <c r="N32" s="263"/>
      <c r="O32" s="269">
        <f>M32*O$36</f>
        <v>0</v>
      </c>
      <c r="P32" s="263"/>
      <c r="Q32" s="265">
        <f>O32+I32</f>
        <v>-2.25</v>
      </c>
      <c r="R32" s="281" t="s">
        <v>50</v>
      </c>
      <c r="S32" s="269">
        <v>4791112.166666666</v>
      </c>
      <c r="T32" s="263"/>
      <c r="U32" s="1051">
        <f>Q32/S32*1000</f>
        <v>-4.6961956258381629E-4</v>
      </c>
    </row>
    <row r="33" spans="1:38">
      <c r="A33" s="264">
        <f>MAX($A$13:A32)+1</f>
        <v>18</v>
      </c>
      <c r="B33" s="263"/>
      <c r="C33" s="504" t="s">
        <v>138</v>
      </c>
      <c r="D33" s="263"/>
      <c r="E33" s="515">
        <v>0</v>
      </c>
      <c r="F33" s="263"/>
      <c r="G33" s="506">
        <f>E33/$E$36</f>
        <v>0</v>
      </c>
      <c r="H33" s="263"/>
      <c r="I33" s="269">
        <v>-0.64076146731590955</v>
      </c>
      <c r="J33" s="263"/>
      <c r="K33" s="269">
        <v>0</v>
      </c>
      <c r="L33" s="263"/>
      <c r="M33" s="506">
        <f>K33/$K$36</f>
        <v>0</v>
      </c>
      <c r="N33" s="263"/>
      <c r="O33" s="269">
        <f>M33*O$36</f>
        <v>0</v>
      </c>
      <c r="P33" s="263"/>
      <c r="Q33" s="265">
        <f>O33+I33</f>
        <v>-0.64076146731590955</v>
      </c>
      <c r="R33" s="281" t="s">
        <v>139</v>
      </c>
      <c r="S33" s="275"/>
      <c r="T33" s="276"/>
      <c r="U33" s="1051"/>
    </row>
    <row r="34" spans="1:38">
      <c r="A34" s="264">
        <f>MAX($A$13:A33)+1</f>
        <v>19</v>
      </c>
      <c r="B34" s="263"/>
      <c r="C34" s="504" t="s">
        <v>140</v>
      </c>
      <c r="D34" s="263"/>
      <c r="E34" s="515">
        <v>0</v>
      </c>
      <c r="F34" s="263"/>
      <c r="G34" s="506">
        <f>E34/$E$36</f>
        <v>0</v>
      </c>
      <c r="H34" s="263"/>
      <c r="I34" s="269">
        <f>G34*I$36</f>
        <v>0</v>
      </c>
      <c r="J34" s="263"/>
      <c r="K34" s="269">
        <v>0</v>
      </c>
      <c r="L34" s="263"/>
      <c r="M34" s="506">
        <f>K34/$K$36</f>
        <v>0</v>
      </c>
      <c r="N34" s="263"/>
      <c r="O34" s="269">
        <f>M34*O$36</f>
        <v>0</v>
      </c>
      <c r="P34" s="263"/>
      <c r="Q34" s="265">
        <f>O34+I34</f>
        <v>0</v>
      </c>
      <c r="R34" s="281"/>
      <c r="S34" s="263"/>
      <c r="T34" s="263"/>
      <c r="U34" s="270"/>
    </row>
    <row r="35" spans="1:38">
      <c r="A35" s="264"/>
      <c r="B35" s="263"/>
      <c r="C35" s="263"/>
      <c r="D35" s="263"/>
      <c r="E35" s="517"/>
      <c r="F35" s="263"/>
      <c r="G35" s="271"/>
      <c r="H35" s="263"/>
      <c r="I35" s="269"/>
      <c r="J35" s="263"/>
      <c r="K35" s="518"/>
      <c r="L35" s="263"/>
      <c r="M35" s="271"/>
      <c r="N35" s="263"/>
      <c r="O35" s="269"/>
      <c r="P35" s="263"/>
      <c r="Q35" s="265"/>
      <c r="R35" s="263"/>
      <c r="S35" s="263"/>
      <c r="T35" s="263"/>
      <c r="U35" s="263"/>
    </row>
    <row r="36" spans="1:38" ht="13.5" thickBot="1">
      <c r="A36" s="264">
        <f>MAX($A$13:A35)+1</f>
        <v>20</v>
      </c>
      <c r="B36" s="263"/>
      <c r="C36" s="263" t="s">
        <v>100</v>
      </c>
      <c r="D36" s="263"/>
      <c r="E36" s="282">
        <f>SUM(E13:E34)</f>
        <v>76661.375652150367</v>
      </c>
      <c r="F36" s="263"/>
      <c r="G36" s="272">
        <f>SUM(G13:G34)</f>
        <v>1</v>
      </c>
      <c r="H36" s="263"/>
      <c r="I36" s="273">
        <f>'Schedule 28 p.1'!K34</f>
        <v>-87.078325331843189</v>
      </c>
      <c r="J36" s="275"/>
      <c r="K36" s="274">
        <f>SUM(K13:K34)</f>
        <v>976767.28353872546</v>
      </c>
      <c r="L36" s="263"/>
      <c r="M36" s="272">
        <f>SUM(M13:M34)</f>
        <v>1</v>
      </c>
      <c r="N36" s="263"/>
      <c r="O36" s="273">
        <f>'Schedule 28 p.1'!K40</f>
        <v>427.64242528501927</v>
      </c>
      <c r="P36" s="275"/>
      <c r="Q36" s="273">
        <f>SUM(Q13:Q34)</f>
        <v>340.56409995317608</v>
      </c>
      <c r="R36" s="263"/>
      <c r="S36" s="263"/>
      <c r="T36" s="263"/>
      <c r="U36" s="263"/>
    </row>
    <row r="37" spans="1:38" ht="13.5" thickTop="1">
      <c r="A37" s="263"/>
      <c r="B37" s="263"/>
      <c r="C37" s="263"/>
      <c r="D37" s="263"/>
      <c r="E37" s="263"/>
      <c r="F37" s="263"/>
      <c r="G37" s="263"/>
      <c r="H37" s="263"/>
      <c r="I37" s="263"/>
      <c r="J37" s="263"/>
      <c r="K37" s="263"/>
      <c r="L37" s="263"/>
      <c r="M37" s="263"/>
      <c r="N37" s="263"/>
      <c r="O37" s="263"/>
      <c r="P37" s="263"/>
      <c r="Q37" s="263"/>
      <c r="R37" s="263"/>
      <c r="S37" s="263"/>
      <c r="T37" s="263"/>
      <c r="U37" s="263"/>
      <c r="Z37" s="14"/>
      <c r="AH37" s="323"/>
    </row>
    <row r="38" spans="1:38">
      <c r="A38" s="263"/>
      <c r="B38" s="263"/>
      <c r="C38" s="263"/>
      <c r="D38" s="263"/>
      <c r="E38" s="263"/>
      <c r="F38" s="263"/>
      <c r="G38" s="263"/>
      <c r="H38" s="263"/>
      <c r="I38" s="263"/>
      <c r="J38" s="263"/>
      <c r="K38" s="263"/>
      <c r="L38" s="263"/>
      <c r="M38" s="263"/>
      <c r="N38" s="263"/>
      <c r="O38" s="263"/>
      <c r="P38" s="263"/>
      <c r="Q38" s="263"/>
      <c r="R38" s="263"/>
      <c r="S38" s="276"/>
      <c r="T38" s="263"/>
      <c r="U38" s="263"/>
    </row>
    <row r="39" spans="1:38">
      <c r="A39" s="213" t="s">
        <v>39</v>
      </c>
      <c r="B39" s="263"/>
      <c r="C39" s="263"/>
      <c r="D39" s="263"/>
      <c r="E39" s="263"/>
      <c r="F39" s="263"/>
      <c r="G39" s="263"/>
      <c r="H39" s="263"/>
      <c r="I39" s="263"/>
      <c r="J39" s="263"/>
      <c r="K39" s="263"/>
      <c r="L39" s="263"/>
      <c r="M39" s="263"/>
      <c r="N39" s="263"/>
      <c r="O39" s="263"/>
      <c r="P39" s="263"/>
      <c r="Q39" s="263"/>
      <c r="R39" s="263"/>
      <c r="S39" s="263"/>
      <c r="T39" s="263"/>
      <c r="U39" s="263"/>
      <c r="Y39" s="323"/>
      <c r="AL39" s="16"/>
    </row>
    <row r="40" spans="1:38">
      <c r="A40" s="508" t="s">
        <v>40</v>
      </c>
      <c r="B40" s="278" t="s">
        <v>141</v>
      </c>
      <c r="C40" s="269"/>
      <c r="D40" s="358"/>
      <c r="E40" s="265"/>
      <c r="F40" s="265"/>
      <c r="G40" s="265"/>
      <c r="H40" s="265"/>
      <c r="I40" s="265"/>
      <c r="J40" s="265"/>
      <c r="K40" s="263"/>
      <c r="L40" s="263"/>
      <c r="M40" s="281" t="s">
        <v>52</v>
      </c>
      <c r="N40" s="278" t="s">
        <v>142</v>
      </c>
      <c r="O40" s="263"/>
      <c r="P40" s="263"/>
      <c r="Q40" s="265"/>
      <c r="R40" s="263"/>
      <c r="S40" s="263"/>
      <c r="T40" s="263"/>
      <c r="U40" s="263"/>
      <c r="AB40" s="14"/>
      <c r="AC40" s="14"/>
      <c r="AD40" s="16"/>
      <c r="AE40" s="14"/>
      <c r="AF40" s="14"/>
      <c r="AG40" s="14"/>
      <c r="AH40" s="14"/>
      <c r="AI40" s="14"/>
      <c r="AJ40" s="16"/>
      <c r="AL40" s="16"/>
    </row>
    <row r="41" spans="1:38">
      <c r="A41" s="508" t="s">
        <v>42</v>
      </c>
      <c r="B41" s="278" t="s">
        <v>143</v>
      </c>
      <c r="C41" s="269"/>
      <c r="D41" s="509"/>
      <c r="E41" s="265"/>
      <c r="F41" s="265"/>
      <c r="G41" s="509"/>
      <c r="H41" s="265"/>
      <c r="I41" s="509"/>
      <c r="J41" s="263"/>
      <c r="K41" s="263"/>
      <c r="L41" s="263"/>
      <c r="M41" s="316"/>
      <c r="N41" s="278"/>
      <c r="O41" s="263"/>
      <c r="P41" s="263"/>
      <c r="Q41" s="265"/>
      <c r="R41" s="263"/>
      <c r="S41" s="263"/>
      <c r="T41" s="263"/>
      <c r="U41" s="263"/>
      <c r="AB41" s="14"/>
      <c r="AC41" s="14"/>
      <c r="AD41" s="16"/>
      <c r="AE41" s="14"/>
      <c r="AF41" s="16"/>
      <c r="AG41" s="14"/>
      <c r="AH41" s="16"/>
      <c r="AI41" s="14"/>
      <c r="AJ41" s="16"/>
      <c r="AL41" s="16"/>
    </row>
    <row r="42" spans="1:38">
      <c r="A42" s="218" t="s">
        <v>44</v>
      </c>
      <c r="B42" s="278" t="s">
        <v>144</v>
      </c>
      <c r="C42" s="269"/>
      <c r="D42" s="265"/>
      <c r="E42" s="265"/>
      <c r="F42" s="265"/>
      <c r="G42" s="265"/>
      <c r="H42" s="265"/>
      <c r="I42" s="504"/>
      <c r="J42" s="263"/>
      <c r="K42" s="263"/>
      <c r="L42" s="278"/>
      <c r="M42" s="511"/>
      <c r="N42" s="511" t="s">
        <v>145</v>
      </c>
      <c r="O42" s="263"/>
      <c r="P42" s="263"/>
      <c r="Q42" s="265"/>
      <c r="R42" s="263"/>
      <c r="S42" s="263"/>
      <c r="T42" s="263"/>
      <c r="U42" s="263"/>
      <c r="AB42" s="16"/>
      <c r="AC42" s="14"/>
      <c r="AD42" s="16"/>
      <c r="AE42" s="14"/>
      <c r="AF42" s="16"/>
      <c r="AG42" s="16"/>
      <c r="AH42" s="16"/>
      <c r="AI42" s="14"/>
      <c r="AJ42" s="16"/>
      <c r="AL42" s="16"/>
    </row>
    <row r="43" spans="1:38">
      <c r="A43" s="218" t="s">
        <v>46</v>
      </c>
      <c r="B43" s="278" t="s">
        <v>146</v>
      </c>
      <c r="C43" s="269"/>
      <c r="D43" s="265"/>
      <c r="E43" s="265"/>
      <c r="F43" s="265"/>
      <c r="G43" s="265"/>
      <c r="H43" s="265"/>
      <c r="I43" s="504"/>
      <c r="J43" s="263"/>
      <c r="K43" s="263"/>
      <c r="L43" s="278"/>
      <c r="M43" s="512"/>
      <c r="N43" s="504"/>
      <c r="O43" s="263"/>
      <c r="P43" s="263"/>
      <c r="Q43" s="513" t="s">
        <v>147</v>
      </c>
      <c r="R43" s="504"/>
      <c r="S43" s="513" t="s">
        <v>148</v>
      </c>
      <c r="T43" s="504"/>
      <c r="U43" s="1052" t="s">
        <v>149</v>
      </c>
    </row>
    <row r="44" spans="1:38">
      <c r="A44" s="218" t="s">
        <v>48</v>
      </c>
      <c r="B44" s="278" t="s">
        <v>150</v>
      </c>
      <c r="C44" s="269"/>
      <c r="D44" s="509"/>
      <c r="E44" s="265"/>
      <c r="F44" s="265"/>
      <c r="G44" s="509"/>
      <c r="H44" s="265"/>
      <c r="I44" s="504"/>
      <c r="J44" s="263"/>
      <c r="K44" s="263"/>
      <c r="L44" s="278"/>
      <c r="M44" s="511"/>
      <c r="N44" s="504"/>
      <c r="O44" s="263"/>
      <c r="P44" s="263"/>
      <c r="Q44" s="1053" t="s">
        <v>151</v>
      </c>
      <c r="R44" s="504"/>
      <c r="S44" s="1053" t="s">
        <v>131</v>
      </c>
      <c r="T44" s="504"/>
      <c r="U44" s="1054" t="s">
        <v>20</v>
      </c>
      <c r="AF44" s="323"/>
    </row>
    <row r="45" spans="1:38">
      <c r="A45" s="281" t="s">
        <v>50</v>
      </c>
      <c r="B45" s="1301" t="s">
        <v>152</v>
      </c>
      <c r="C45" s="1301"/>
      <c r="D45" s="1301"/>
      <c r="E45" s="1301"/>
      <c r="F45" s="1301"/>
      <c r="G45" s="1301"/>
      <c r="H45" s="1301"/>
      <c r="I45" s="1301"/>
      <c r="J45" s="263"/>
      <c r="K45" s="263"/>
      <c r="L45" s="1055"/>
      <c r="M45" s="511" t="s">
        <v>153</v>
      </c>
      <c r="N45" s="504"/>
      <c r="O45" s="263"/>
      <c r="P45" s="263"/>
      <c r="Q45" s="513"/>
      <c r="R45" s="504"/>
      <c r="S45" s="513"/>
      <c r="T45" s="504"/>
      <c r="U45" s="1056"/>
    </row>
    <row r="46" spans="1:38">
      <c r="A46" s="281"/>
      <c r="B46" s="1301"/>
      <c r="C46" s="1301"/>
      <c r="D46" s="1301"/>
      <c r="E46" s="1301"/>
      <c r="F46" s="1301"/>
      <c r="G46" s="1301"/>
      <c r="H46" s="1301"/>
      <c r="I46" s="1301"/>
      <c r="J46" s="1051"/>
      <c r="K46" s="263"/>
      <c r="L46" s="278"/>
      <c r="M46" s="519" t="s">
        <v>154</v>
      </c>
      <c r="N46" s="504"/>
      <c r="O46" s="263"/>
      <c r="P46" s="263"/>
      <c r="Q46" s="269">
        <v>655235.89655172406</v>
      </c>
      <c r="R46" s="504"/>
      <c r="S46" s="1057">
        <v>0</v>
      </c>
      <c r="T46" s="504"/>
      <c r="U46" s="1052">
        <f>Q46*S46/1000</f>
        <v>0</v>
      </c>
      <c r="AF46" s="323"/>
      <c r="AH46" s="1039"/>
      <c r="AJ46" s="324"/>
      <c r="AL46" s="323"/>
    </row>
    <row r="47" spans="1:38">
      <c r="A47" s="275"/>
      <c r="B47" s="1301"/>
      <c r="C47" s="1301"/>
      <c r="D47" s="1301"/>
      <c r="E47" s="1301"/>
      <c r="F47" s="1301"/>
      <c r="G47" s="1301"/>
      <c r="H47" s="1301"/>
      <c r="I47" s="1301"/>
      <c r="J47" s="263"/>
      <c r="K47" s="263"/>
      <c r="L47" s="278"/>
      <c r="M47" s="519" t="s">
        <v>155</v>
      </c>
      <c r="N47" s="504"/>
      <c r="O47" s="263"/>
      <c r="P47" s="263"/>
      <c r="Q47" s="269">
        <v>642043</v>
      </c>
      <c r="R47" s="504"/>
      <c r="S47" s="1057">
        <v>-1E-3</v>
      </c>
      <c r="T47" s="504"/>
      <c r="U47" s="1052">
        <f>Q47*S47/1000</f>
        <v>-0.64204300000000003</v>
      </c>
    </row>
    <row r="48" spans="1:38" ht="12.6" customHeight="1">
      <c r="A48" s="263"/>
      <c r="B48" s="1301"/>
      <c r="C48" s="1301"/>
      <c r="D48" s="1301"/>
      <c r="E48" s="1301"/>
      <c r="F48" s="1301"/>
      <c r="G48" s="1301"/>
      <c r="H48" s="1301"/>
      <c r="I48" s="1301"/>
      <c r="J48" s="263"/>
      <c r="K48" s="263"/>
      <c r="L48" s="278"/>
      <c r="M48" s="511" t="s">
        <v>156</v>
      </c>
      <c r="N48" s="504"/>
      <c r="O48" s="263"/>
      <c r="P48" s="263"/>
      <c r="Q48" s="1058"/>
      <c r="R48" s="504"/>
      <c r="S48" s="1057"/>
      <c r="T48" s="504"/>
      <c r="U48" s="1052"/>
    </row>
    <row r="49" spans="1:34">
      <c r="A49" s="281"/>
      <c r="B49" s="1301"/>
      <c r="C49" s="1301"/>
      <c r="D49" s="1301"/>
      <c r="E49" s="1301"/>
      <c r="F49" s="1301"/>
      <c r="G49" s="1301"/>
      <c r="H49" s="1301"/>
      <c r="I49" s="1301"/>
      <c r="J49" s="263"/>
      <c r="K49" s="263"/>
      <c r="L49" s="278"/>
      <c r="M49" s="519" t="s">
        <v>154</v>
      </c>
      <c r="N49" s="504"/>
      <c r="O49" s="263"/>
      <c r="P49" s="263"/>
      <c r="Q49" s="1058">
        <v>0</v>
      </c>
      <c r="R49" s="504"/>
      <c r="S49" s="504"/>
      <c r="T49" s="504"/>
      <c r="U49" s="1052">
        <f>Q49*S50/1000</f>
        <v>0</v>
      </c>
    </row>
    <row r="50" spans="1:34">
      <c r="A50" s="281"/>
      <c r="B50" s="1301"/>
      <c r="C50" s="1301"/>
      <c r="D50" s="1301"/>
      <c r="E50" s="1301"/>
      <c r="F50" s="1301"/>
      <c r="G50" s="1301"/>
      <c r="H50" s="1301"/>
      <c r="I50" s="1301"/>
      <c r="J50" s="263"/>
      <c r="K50" s="263"/>
      <c r="L50" s="278"/>
      <c r="M50" s="519" t="s">
        <v>155</v>
      </c>
      <c r="N50" s="504"/>
      <c r="O50" s="263"/>
      <c r="P50" s="263"/>
      <c r="Q50" s="1058">
        <v>0</v>
      </c>
      <c r="R50" s="504"/>
      <c r="S50" s="1057"/>
      <c r="T50" s="504"/>
      <c r="U50" s="1052">
        <f>Q50*S51/1000</f>
        <v>0</v>
      </c>
      <c r="AF50" s="323"/>
    </row>
    <row r="51" spans="1:34" ht="13.5" thickBot="1">
      <c r="A51" s="281"/>
      <c r="B51" s="263"/>
      <c r="C51" s="263"/>
      <c r="D51" s="263"/>
      <c r="E51" s="263"/>
      <c r="F51" s="263"/>
      <c r="G51" s="263"/>
      <c r="H51" s="263"/>
      <c r="I51" s="263"/>
      <c r="J51" s="263"/>
      <c r="K51" s="263"/>
      <c r="L51" s="263"/>
      <c r="M51" s="511" t="s">
        <v>157</v>
      </c>
      <c r="N51" s="504"/>
      <c r="O51" s="263"/>
      <c r="P51" s="263"/>
      <c r="Q51" s="504"/>
      <c r="R51" s="504"/>
      <c r="S51" s="1057"/>
      <c r="T51" s="504"/>
      <c r="U51" s="1059">
        <f>SUM(U46:U50)</f>
        <v>-0.64204300000000003</v>
      </c>
    </row>
    <row r="52" spans="1:34" ht="13.5" thickTop="1">
      <c r="J52" s="263"/>
      <c r="K52" s="263"/>
      <c r="L52" s="263"/>
      <c r="M52" s="263"/>
      <c r="N52" s="263"/>
      <c r="O52" s="263"/>
      <c r="P52" s="263"/>
      <c r="Q52" s="263"/>
      <c r="R52" s="263"/>
      <c r="S52" s="263"/>
      <c r="T52" s="263"/>
      <c r="U52" s="263"/>
    </row>
    <row r="53" spans="1:34">
      <c r="J53" s="263"/>
      <c r="K53" s="263"/>
      <c r="L53" s="263"/>
      <c r="M53" s="263"/>
      <c r="N53" s="263"/>
      <c r="O53" s="263"/>
      <c r="P53" s="263"/>
      <c r="Q53" s="200"/>
      <c r="R53" s="1060"/>
      <c r="S53" s="264"/>
      <c r="T53" s="263"/>
      <c r="U53" s="263"/>
      <c r="AF53" s="323"/>
    </row>
    <row r="54" spans="1:34">
      <c r="J54" s="263"/>
      <c r="K54" s="263"/>
      <c r="L54" s="263"/>
      <c r="M54" s="263"/>
      <c r="N54" s="263"/>
      <c r="O54" s="263"/>
      <c r="P54" s="263"/>
      <c r="Q54" s="318"/>
      <c r="S54" s="318"/>
      <c r="U54" s="318"/>
      <c r="W54" s="318"/>
    </row>
    <row r="55" spans="1:34">
      <c r="J55" s="263"/>
      <c r="L55" s="263"/>
      <c r="N55" s="263"/>
      <c r="O55" s="263"/>
      <c r="P55" s="263"/>
      <c r="Q55" s="318"/>
      <c r="S55" s="318"/>
      <c r="U55" s="318"/>
      <c r="W55" s="264"/>
    </row>
    <row r="56" spans="1:34">
      <c r="O56" s="357"/>
      <c r="Q56" s="329"/>
      <c r="S56" s="327"/>
      <c r="U56" s="327"/>
      <c r="W56" s="327"/>
    </row>
    <row r="57" spans="1:34">
      <c r="O57" s="357"/>
      <c r="Q57" s="329"/>
      <c r="S57" s="327"/>
      <c r="U57" s="327"/>
      <c r="W57" s="327"/>
    </row>
    <row r="58" spans="1:34">
      <c r="Q58" s="200"/>
      <c r="R58" s="1061"/>
      <c r="S58" s="264"/>
      <c r="W58" s="264"/>
    </row>
    <row r="59" spans="1:34">
      <c r="Q59" s="318"/>
      <c r="S59" s="318"/>
      <c r="U59" s="318"/>
      <c r="W59" s="318"/>
      <c r="Y59" s="327"/>
    </row>
    <row r="60" spans="1:34">
      <c r="Q60" s="318"/>
      <c r="S60" s="318"/>
      <c r="U60" s="318"/>
      <c r="W60" s="264"/>
    </row>
    <row r="61" spans="1:34">
      <c r="Q61" s="329"/>
      <c r="S61" s="327"/>
      <c r="U61" s="327"/>
      <c r="W61" s="327"/>
    </row>
    <row r="63" spans="1:34">
      <c r="AH63" s="318"/>
    </row>
    <row r="64" spans="1:34">
      <c r="Q64" s="318"/>
      <c r="S64" s="318"/>
      <c r="U64" s="318"/>
      <c r="W64" s="318"/>
      <c r="AD64" s="318"/>
      <c r="AH64" s="318"/>
    </row>
    <row r="65" spans="17:34">
      <c r="Q65" s="318"/>
      <c r="S65" s="318"/>
      <c r="U65" s="318"/>
      <c r="W65" s="264"/>
      <c r="AA65" s="317"/>
      <c r="AB65" s="326"/>
      <c r="AD65" s="328"/>
      <c r="AF65" s="329"/>
      <c r="AH65" s="327"/>
    </row>
    <row r="66" spans="17:34">
      <c r="Q66" s="329"/>
      <c r="S66" s="327"/>
      <c r="U66" s="327"/>
      <c r="W66" s="327"/>
      <c r="AD66" s="328"/>
      <c r="AF66" s="329"/>
      <c r="AH66" s="327"/>
    </row>
    <row r="67" spans="17:34">
      <c r="AF67" s="318"/>
    </row>
    <row r="68" spans="17:34">
      <c r="Q68" s="318"/>
      <c r="S68" s="318"/>
      <c r="U68" s="318"/>
      <c r="W68" s="318"/>
      <c r="AD68" s="318"/>
    </row>
    <row r="69" spans="17:34">
      <c r="Q69" s="318"/>
      <c r="S69" s="318"/>
      <c r="U69" s="318"/>
      <c r="W69" s="264"/>
      <c r="AA69" s="317"/>
      <c r="AD69" s="328"/>
      <c r="AF69" s="329"/>
      <c r="AH69" s="327"/>
    </row>
    <row r="70" spans="17:34">
      <c r="Q70" s="329"/>
      <c r="S70" s="327"/>
      <c r="U70" s="327"/>
      <c r="W70" s="327"/>
      <c r="AF70" s="329"/>
    </row>
    <row r="71" spans="17:34">
      <c r="AD71" s="318"/>
      <c r="AF71" s="318"/>
      <c r="AH71" s="318"/>
    </row>
    <row r="72" spans="17:34">
      <c r="AD72" s="318"/>
      <c r="AF72" s="318"/>
      <c r="AH72" s="318"/>
    </row>
    <row r="73" spans="17:34">
      <c r="AA73" s="317"/>
      <c r="AD73" s="328"/>
      <c r="AF73" s="329"/>
      <c r="AH73" s="327"/>
    </row>
    <row r="79" spans="17:34">
      <c r="AH79" s="318"/>
    </row>
    <row r="80" spans="17:34">
      <c r="AA80" s="317"/>
      <c r="AD80" s="318"/>
      <c r="AH80" s="318"/>
    </row>
    <row r="81" spans="27:34">
      <c r="AA81" s="317"/>
      <c r="AD81" s="328"/>
      <c r="AF81" s="329"/>
      <c r="AH81" s="327"/>
    </row>
    <row r="82" spans="27:34">
      <c r="AA82" s="317"/>
      <c r="AD82" s="328"/>
      <c r="AF82" s="329"/>
      <c r="AH82" s="327"/>
    </row>
    <row r="86" spans="27:34">
      <c r="AF86" s="318"/>
    </row>
    <row r="87" spans="27:34">
      <c r="AA87" s="317"/>
      <c r="AD87" s="318"/>
    </row>
    <row r="88" spans="27:34">
      <c r="AA88" s="317"/>
      <c r="AD88" s="328"/>
      <c r="AF88" s="329"/>
      <c r="AH88" s="327"/>
    </row>
    <row r="89" spans="27:34">
      <c r="AA89" s="317"/>
      <c r="AD89" s="328"/>
      <c r="AF89" s="329"/>
      <c r="AH89" s="327"/>
    </row>
    <row r="92" spans="27:34">
      <c r="AF92" s="318"/>
    </row>
    <row r="93" spans="27:34">
      <c r="AH93" s="318"/>
    </row>
    <row r="94" spans="27:34">
      <c r="AD94" s="318"/>
      <c r="AH94" s="318"/>
    </row>
    <row r="95" spans="27:34">
      <c r="AD95" s="328"/>
      <c r="AF95" s="329"/>
      <c r="AH95" s="327"/>
    </row>
    <row r="96" spans="27:34">
      <c r="AD96" s="328">
        <f>AD82</f>
        <v>0</v>
      </c>
      <c r="AF96" s="329">
        <f>$AJ$5</f>
        <v>0</v>
      </c>
      <c r="AH96" s="327">
        <f>AF96*AD96</f>
        <v>0</v>
      </c>
    </row>
  </sheetData>
  <mergeCells count="4">
    <mergeCell ref="E7:I7"/>
    <mergeCell ref="K7:O7"/>
    <mergeCell ref="A5:U5"/>
    <mergeCell ref="B45:I50"/>
  </mergeCells>
  <pageMargins left="0.7" right="0.7" top="0.75" bottom="0.75" header="0.3" footer="0.3"/>
  <pageSetup scale="72" firstPageNumber="3" orientation="landscape" useFirstPageNumber="1" r:id="rId1"/>
  <headerFooter>
    <oddHeader>&amp;R&amp;10Updated: 2024-03-15
EB-2022-0200
Rate Order
Working Papers
Schedule 28
Page &amp;P of 4</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8A9F1-AE5F-4FE8-933E-8F534317C431}">
  <dimension ref="A1:R56"/>
  <sheetViews>
    <sheetView view="pageBreakPreview" zoomScale="70" zoomScaleNormal="70" zoomScaleSheetLayoutView="70" workbookViewId="0">
      <selection activeCell="T42" sqref="T42"/>
    </sheetView>
  </sheetViews>
  <sheetFormatPr defaultColWidth="9" defaultRowHeight="12.75"/>
  <cols>
    <col min="1" max="1" width="1.875" style="141" customWidth="1"/>
    <col min="2" max="2" width="5.625" style="141" bestFit="1" customWidth="1"/>
    <col min="3" max="3" width="1.875" style="141" customWidth="1"/>
    <col min="4" max="4" width="21.625" style="141" customWidth="1"/>
    <col min="5" max="5" width="1.875" style="141" customWidth="1"/>
    <col min="6" max="6" width="15.125" style="141" customWidth="1"/>
    <col min="7" max="7" width="1.875" style="141" customWidth="1"/>
    <col min="8" max="8" width="17" style="141" customWidth="1"/>
    <col min="9" max="9" width="2.125" style="141" customWidth="1"/>
    <col min="10" max="10" width="10.125" style="141" customWidth="1"/>
    <col min="11" max="11" width="1.5" style="141" customWidth="1"/>
    <col min="12" max="12" width="10.25" style="141" customWidth="1"/>
    <col min="13" max="13" width="1.5" style="141" customWidth="1"/>
    <col min="14" max="14" width="10.25" style="141" customWidth="1"/>
    <col min="15" max="15" width="1.5" style="141" customWidth="1"/>
    <col min="16" max="16" width="10.25" style="141" customWidth="1"/>
    <col min="17" max="17" width="1.5" style="141" customWidth="1"/>
    <col min="18" max="18" width="10.25" style="141" customWidth="1"/>
    <col min="19" max="19" width="1.5" style="141" customWidth="1"/>
    <col min="20" max="16384" width="9" style="141"/>
  </cols>
  <sheetData>
    <row r="1" spans="1:18" ht="31.9" customHeight="1">
      <c r="B1" s="142"/>
      <c r="F1" s="142"/>
      <c r="G1" s="142"/>
      <c r="H1" s="262"/>
      <c r="I1" s="142"/>
      <c r="J1" s="142"/>
      <c r="N1" s="442"/>
    </row>
    <row r="2" spans="1:18" ht="30.6" customHeight="1">
      <c r="B2" s="142"/>
      <c r="F2" s="142"/>
      <c r="H2" s="142"/>
      <c r="I2" s="142"/>
      <c r="J2" s="142"/>
      <c r="K2" s="442"/>
      <c r="L2" s="442"/>
      <c r="M2" s="442"/>
      <c r="N2" s="442"/>
    </row>
    <row r="3" spans="1:18">
      <c r="A3" s="1302" t="s">
        <v>158</v>
      </c>
      <c r="B3" s="1302"/>
      <c r="C3" s="1302"/>
      <c r="D3" s="1302"/>
      <c r="E3" s="1302"/>
      <c r="F3" s="1302"/>
      <c r="G3" s="1302"/>
      <c r="H3" s="1302"/>
      <c r="I3" s="142"/>
      <c r="J3" s="142"/>
      <c r="K3" s="442"/>
      <c r="L3" s="442"/>
      <c r="M3" s="442"/>
      <c r="N3" s="442"/>
    </row>
    <row r="4" spans="1:18">
      <c r="A4" s="1302" t="s">
        <v>159</v>
      </c>
      <c r="B4" s="1302"/>
      <c r="C4" s="1302"/>
      <c r="D4" s="1302"/>
      <c r="E4" s="1302"/>
      <c r="F4" s="1302"/>
      <c r="G4" s="1302"/>
      <c r="H4" s="1302"/>
      <c r="I4" s="309"/>
      <c r="J4" s="309"/>
      <c r="K4" s="309"/>
      <c r="L4" s="309"/>
      <c r="M4" s="309"/>
      <c r="N4" s="309"/>
      <c r="O4" s="309"/>
      <c r="P4" s="309"/>
      <c r="Q4" s="309"/>
    </row>
    <row r="6" spans="1:18">
      <c r="F6" s="142"/>
      <c r="H6" s="142"/>
      <c r="J6" s="142"/>
      <c r="L6" s="142"/>
      <c r="N6" s="142"/>
      <c r="P6" s="142"/>
      <c r="R6" s="142"/>
    </row>
    <row r="7" spans="1:18">
      <c r="F7" s="142" t="s">
        <v>160</v>
      </c>
    </row>
    <row r="8" spans="1:18">
      <c r="B8" s="142" t="s">
        <v>1</v>
      </c>
      <c r="F8" s="142" t="s">
        <v>161</v>
      </c>
      <c r="H8" s="142"/>
      <c r="J8" s="142"/>
      <c r="L8" s="142"/>
      <c r="N8" s="142"/>
      <c r="P8" s="142"/>
      <c r="R8" s="142"/>
    </row>
    <row r="9" spans="1:18">
      <c r="B9" s="205" t="s">
        <v>2</v>
      </c>
      <c r="D9" s="559" t="s">
        <v>3</v>
      </c>
      <c r="F9" s="205" t="s">
        <v>20</v>
      </c>
      <c r="H9" s="142"/>
      <c r="J9" s="142"/>
      <c r="L9" s="142"/>
      <c r="N9" s="560"/>
      <c r="P9" s="142"/>
      <c r="R9" s="142"/>
    </row>
    <row r="10" spans="1:18">
      <c r="F10" s="207" t="s">
        <v>8</v>
      </c>
      <c r="G10" s="142"/>
      <c r="H10" s="207"/>
      <c r="I10" s="142"/>
      <c r="J10" s="207"/>
      <c r="K10" s="142"/>
      <c r="L10" s="207"/>
      <c r="N10" s="207"/>
      <c r="O10" s="142"/>
      <c r="P10" s="207"/>
      <c r="Q10" s="142"/>
      <c r="R10" s="207"/>
    </row>
    <row r="12" spans="1:18">
      <c r="D12" s="309" t="s">
        <v>11</v>
      </c>
    </row>
    <row r="13" spans="1:18">
      <c r="B13" s="142">
        <v>1</v>
      </c>
      <c r="D13" s="147" t="s">
        <v>162</v>
      </c>
      <c r="F13" s="234">
        <f>'Sch. 26. p2-p7'!Q26</f>
        <v>11320.046820439191</v>
      </c>
    </row>
    <row r="14" spans="1:18">
      <c r="B14" s="142">
        <f>MAX($B$13:B13)+1</f>
        <v>2</v>
      </c>
      <c r="D14" s="147" t="s">
        <v>163</v>
      </c>
      <c r="F14" s="234">
        <f>'Sch. 26. p2-p7'!Q45</f>
        <v>9983.81004650666</v>
      </c>
    </row>
    <row r="15" spans="1:18">
      <c r="B15" s="142">
        <f>MAX($B$13:B14)+1</f>
        <v>3</v>
      </c>
      <c r="D15" s="147" t="s">
        <v>164</v>
      </c>
      <c r="F15" s="234">
        <f>'Sch. 26. p2-p7'!Q58</f>
        <v>159.57378088924452</v>
      </c>
    </row>
    <row r="16" spans="1:18">
      <c r="B16" s="142">
        <f>MAX($B$13:B15)+1</f>
        <v>4</v>
      </c>
      <c r="D16" s="147" t="s">
        <v>165</v>
      </c>
      <c r="F16" s="234">
        <f>'Sch. 26. p2-p7'!Q74</f>
        <v>359.14857236667103</v>
      </c>
    </row>
    <row r="17" spans="2:6">
      <c r="B17" s="142">
        <f>MAX($B$13:B16)+1</f>
        <v>5</v>
      </c>
      <c r="D17" s="147" t="s">
        <v>166</v>
      </c>
      <c r="F17" s="234">
        <f>'Sch. 26. p2-p7'!Q90</f>
        <v>-63.518723412653564</v>
      </c>
    </row>
    <row r="18" spans="2:6">
      <c r="B18" s="142">
        <f>MAX($B$13:B17)+1</f>
        <v>6</v>
      </c>
      <c r="D18" s="147" t="s">
        <v>167</v>
      </c>
      <c r="F18" s="234">
        <f>'Sch. 26. p2-p7'!Q109</f>
        <v>156.67599651461438</v>
      </c>
    </row>
    <row r="19" spans="2:6">
      <c r="B19" s="142">
        <f>MAX($B$13:B18)+1</f>
        <v>7</v>
      </c>
      <c r="D19" s="147" t="s">
        <v>168</v>
      </c>
      <c r="F19" s="234">
        <f>'Sch. 26. p2-p7'!Q136</f>
        <v>23.078660914043937</v>
      </c>
    </row>
    <row r="20" spans="2:6">
      <c r="B20" s="142">
        <f>MAX($B$13:B19)+1</f>
        <v>8</v>
      </c>
      <c r="D20" s="147" t="s">
        <v>169</v>
      </c>
      <c r="F20" s="234">
        <f>'Sch. 26. p2-p7'!Q155</f>
        <v>-256.30708806930164</v>
      </c>
    </row>
    <row r="21" spans="2:6">
      <c r="B21" s="142">
        <f>MAX($B$13:B20)+1</f>
        <v>9</v>
      </c>
      <c r="D21" s="147" t="s">
        <v>170</v>
      </c>
      <c r="F21" s="234">
        <f>'Sch. 26. p2-p7'!Q173</f>
        <v>-59.129742933712571</v>
      </c>
    </row>
    <row r="22" spans="2:6">
      <c r="B22" s="142">
        <f>MAX($B$13:B21)+1</f>
        <v>10</v>
      </c>
      <c r="D22" s="147" t="s">
        <v>171</v>
      </c>
      <c r="F22" s="234">
        <f>'Sch. 26. p2-p7'!Q188</f>
        <v>63.812776414646862</v>
      </c>
    </row>
    <row r="23" spans="2:6">
      <c r="B23" s="142">
        <f>MAX($B$13:B22)+1</f>
        <v>11</v>
      </c>
      <c r="D23" s="141" t="str">
        <f>"Total " &amp;D12</f>
        <v>Total EGD Rate Zone</v>
      </c>
      <c r="F23" s="361">
        <f>SUM(F13:F22)</f>
        <v>21687.191099629406</v>
      </c>
    </row>
    <row r="24" spans="2:6">
      <c r="F24" s="234"/>
    </row>
    <row r="25" spans="2:6">
      <c r="D25" s="309" t="s">
        <v>172</v>
      </c>
      <c r="F25" s="234"/>
    </row>
    <row r="26" spans="2:6">
      <c r="B26" s="142">
        <f>MAX($B$13:B25)+1</f>
        <v>12</v>
      </c>
      <c r="D26" s="147" t="s">
        <v>173</v>
      </c>
      <c r="F26" s="234">
        <f>'Sch. 26. p2-p7'!Q221</f>
        <v>3846.6962589097957</v>
      </c>
    </row>
    <row r="27" spans="2:6">
      <c r="B27" s="142">
        <f>MAX($B$13:B26)+1</f>
        <v>13</v>
      </c>
      <c r="D27" s="147" t="s">
        <v>174</v>
      </c>
      <c r="F27" s="234">
        <f>'Sch. 26. p2-p7'!Q245</f>
        <v>-363.56567409154582</v>
      </c>
    </row>
    <row r="28" spans="2:6">
      <c r="B28" s="142">
        <f>MAX($B$13:B27)+1</f>
        <v>14</v>
      </c>
      <c r="D28" s="147" t="s">
        <v>175</v>
      </c>
      <c r="F28" s="234">
        <f>'Sch. 26. p2-p7'!Q285</f>
        <v>63.417113065659315</v>
      </c>
    </row>
    <row r="29" spans="2:6">
      <c r="B29" s="142">
        <f>MAX($B$13:B28)+1</f>
        <v>15</v>
      </c>
      <c r="D29" s="147" t="s">
        <v>176</v>
      </c>
      <c r="F29" s="234">
        <f>'Sch. 26. p2-p7'!Q309</f>
        <v>43.192433498018197</v>
      </c>
    </row>
    <row r="30" spans="2:6">
      <c r="B30" s="142">
        <f>MAX($B$13:B29)+1</f>
        <v>16</v>
      </c>
      <c r="D30" s="147" t="s">
        <v>164</v>
      </c>
      <c r="F30" s="234">
        <f>'Sch. 26. p2-p7'!Q331</f>
        <v>-12.112744596098864</v>
      </c>
    </row>
    <row r="31" spans="2:6">
      <c r="B31" s="142">
        <f>MAX($B$13:B30)+1</f>
        <v>17</v>
      </c>
      <c r="D31" s="141" t="str">
        <f>"Total " &amp;D25</f>
        <v>Total Union North Rate Zone</v>
      </c>
      <c r="F31" s="361">
        <f>SUM(F26:F30)</f>
        <v>3577.6273867858285</v>
      </c>
    </row>
    <row r="32" spans="2:6">
      <c r="F32" s="234"/>
    </row>
    <row r="33" spans="2:6">
      <c r="D33" s="309" t="s">
        <v>177</v>
      </c>
      <c r="F33" s="234"/>
    </row>
    <row r="34" spans="2:6">
      <c r="B34" s="142">
        <f>MAX($B$13:B33)+1</f>
        <v>18</v>
      </c>
      <c r="D34" s="147" t="s">
        <v>178</v>
      </c>
      <c r="F34" s="234">
        <f>'Sch. 26. p2-p7'!Q344</f>
        <v>4327.0859505962817</v>
      </c>
    </row>
    <row r="35" spans="2:6">
      <c r="B35" s="142">
        <f>MAX($B$13:B34)+1</f>
        <v>19</v>
      </c>
      <c r="D35" s="147" t="s">
        <v>179</v>
      </c>
      <c r="F35" s="234">
        <f>'Sch. 26. p2-p7'!Q358</f>
        <v>-1417.5814118508049</v>
      </c>
    </row>
    <row r="36" spans="2:6">
      <c r="B36" s="142">
        <f>MAX($B$13:B35)+1</f>
        <v>20</v>
      </c>
      <c r="D36" s="147" t="s">
        <v>180</v>
      </c>
      <c r="F36" s="234">
        <f>'Sch. 26. p2-p7'!Q383</f>
        <v>458.76358985419057</v>
      </c>
    </row>
    <row r="37" spans="2:6">
      <c r="B37" s="142">
        <f>MAX($B$13:B36)+1</f>
        <v>21</v>
      </c>
      <c r="D37" s="147" t="s">
        <v>181</v>
      </c>
      <c r="F37" s="234">
        <f>'Sch. 26. p2-p7'!Q417</f>
        <v>-19.182623266308447</v>
      </c>
    </row>
    <row r="38" spans="2:6">
      <c r="B38" s="142">
        <f>MAX($B$13:B37)+1</f>
        <v>22</v>
      </c>
      <c r="D38" s="147" t="s">
        <v>182</v>
      </c>
      <c r="F38" s="234">
        <f>'Sch. 26. p2-p7'!Q433</f>
        <v>906.31396745961672</v>
      </c>
    </row>
    <row r="39" spans="2:6">
      <c r="B39" s="142">
        <f>MAX($B$13:B38)+1</f>
        <v>23</v>
      </c>
      <c r="D39" s="147" t="s">
        <v>183</v>
      </c>
      <c r="F39" s="234">
        <f>'Sch. 26. p2-p7'!Q441</f>
        <v>19.336083392697837</v>
      </c>
    </row>
    <row r="40" spans="2:6">
      <c r="B40" s="142">
        <f>MAX($B$13:B39)+1</f>
        <v>24</v>
      </c>
      <c r="D40" s="147" t="s">
        <v>184</v>
      </c>
      <c r="F40" s="234">
        <f>'Sch. 26. p2-p7'!Q473</f>
        <v>-98.003057685134678</v>
      </c>
    </row>
    <row r="41" spans="2:6">
      <c r="B41" s="142">
        <f>MAX($B$13:B40)+1</f>
        <v>25</v>
      </c>
      <c r="D41" s="147" t="s">
        <v>185</v>
      </c>
      <c r="F41" s="234">
        <f>'Sch. 26. p2-p7'!Q514</f>
        <v>434.04485148703185</v>
      </c>
    </row>
    <row r="42" spans="2:6">
      <c r="B42" s="142">
        <f>MAX($B$13:B41)+1</f>
        <v>26</v>
      </c>
      <c r="D42" s="147" t="s">
        <v>186</v>
      </c>
      <c r="F42" s="234">
        <f>'Sch. 26. p2-p7'!Q539</f>
        <v>89.345575877780576</v>
      </c>
    </row>
    <row r="43" spans="2:6">
      <c r="B43" s="142">
        <f>MAX($B$13:B42)+1</f>
        <v>27</v>
      </c>
      <c r="D43" s="147" t="s">
        <v>187</v>
      </c>
      <c r="F43" s="234">
        <f>'Sch. 26. p2-p7'!O542</f>
        <v>186.34816992331233</v>
      </c>
    </row>
    <row r="44" spans="2:6">
      <c r="B44" s="142">
        <f>MAX($B$13:B43)+1</f>
        <v>28</v>
      </c>
      <c r="D44" s="141" t="str">
        <f>"Total " &amp;D33</f>
        <v>Total Union South Rate Zone</v>
      </c>
      <c r="F44" s="561">
        <f>SUM(F34:F43)</f>
        <v>4886.4710957886646</v>
      </c>
    </row>
    <row r="45" spans="2:6">
      <c r="D45" s="147"/>
    </row>
    <row r="46" spans="2:6" ht="13.5" thickBot="1">
      <c r="B46" s="142">
        <f>MAX($B$13:B45)+1</f>
        <v>29</v>
      </c>
      <c r="D46" s="146" t="s">
        <v>188</v>
      </c>
      <c r="F46" s="562">
        <f>F23+F31+F44</f>
        <v>30151.289582203899</v>
      </c>
    </row>
    <row r="47" spans="2:6" ht="13.5" thickTop="1"/>
    <row r="49" spans="2:7">
      <c r="B49" s="213" t="s">
        <v>189</v>
      </c>
    </row>
    <row r="50" spans="2:7">
      <c r="B50" s="207" t="s">
        <v>40</v>
      </c>
      <c r="D50" s="141" t="s">
        <v>190</v>
      </c>
    </row>
    <row r="51" spans="2:7">
      <c r="B51" s="508"/>
    </row>
    <row r="54" spans="2:7">
      <c r="D54" s="563"/>
      <c r="E54" s="563"/>
      <c r="F54" s="563"/>
      <c r="G54" s="563"/>
    </row>
    <row r="55" spans="2:7">
      <c r="D55" s="563"/>
      <c r="E55" s="564"/>
      <c r="F55" s="565"/>
      <c r="G55" s="563"/>
    </row>
    <row r="56" spans="2:7">
      <c r="D56" s="563"/>
      <c r="E56" s="564"/>
      <c r="F56" s="566"/>
      <c r="G56" s="563"/>
    </row>
  </sheetData>
  <mergeCells count="2">
    <mergeCell ref="A3:H3"/>
    <mergeCell ref="A4:H4"/>
  </mergeCells>
  <printOptions horizontalCentered="1"/>
  <pageMargins left="0.7" right="0.7" top="0.75" bottom="0.75" header="0.3" footer="0.3"/>
  <pageSetup scale="85" fitToHeight="0" orientation="portrait" r:id="rId1"/>
  <headerFooter>
    <oddHeader>&amp;R&amp;10Updated: 2024-03-15
EB-2022-0200
Rate Order
Working Papers
Schedule 26
Page &amp;P of 10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F14F-6C9E-4DB9-9AFF-21ACB494B665}">
  <dimension ref="A3:AO655"/>
  <sheetViews>
    <sheetView view="pageLayout" topLeftCell="B42" zoomScaleNormal="100" zoomScaleSheetLayoutView="70" workbookViewId="0">
      <selection activeCell="T42" sqref="T42"/>
    </sheetView>
  </sheetViews>
  <sheetFormatPr defaultColWidth="9" defaultRowHeight="12.75"/>
  <cols>
    <col min="1" max="1" width="5.625" style="142" customWidth="1"/>
    <col min="2" max="2" width="2.5" style="141" customWidth="1"/>
    <col min="3" max="3" width="49.25" style="141" customWidth="1"/>
    <col min="4" max="4" width="1.625" style="141" customWidth="1"/>
    <col min="5" max="5" width="9" style="141" customWidth="1"/>
    <col min="6" max="6" width="1.625" style="141" customWidth="1"/>
    <col min="7" max="7" width="13.625" style="141" bestFit="1" customWidth="1"/>
    <col min="8" max="8" width="2.125" style="141" customWidth="1"/>
    <col min="9" max="9" width="9.375" style="141" bestFit="1" customWidth="1"/>
    <col min="10" max="10" width="2.125" style="141" customWidth="1"/>
    <col min="11" max="11" width="10.25" style="141" bestFit="1" customWidth="1"/>
    <col min="12" max="12" width="2.125" style="141" customWidth="1"/>
    <col min="13" max="13" width="16.625" style="141" customWidth="1"/>
    <col min="14" max="14" width="2.125" style="141" customWidth="1"/>
    <col min="15" max="15" width="10" style="141" bestFit="1" customWidth="1"/>
    <col min="16" max="16" width="2.125" style="141" customWidth="1"/>
    <col min="17" max="17" width="14.625" style="141" bestFit="1" customWidth="1"/>
    <col min="18" max="18" width="2.125" style="141" customWidth="1"/>
    <col min="19" max="19" width="15.625" style="141" customWidth="1"/>
    <col min="20" max="20" width="9" style="567"/>
    <col min="21" max="21" width="9" style="568"/>
    <col min="22" max="22" width="13.625" style="141" bestFit="1" customWidth="1"/>
    <col min="23" max="23" width="11.625" style="141" customWidth="1"/>
    <col min="24" max="24" width="14" style="141" bestFit="1" customWidth="1"/>
    <col min="25" max="25" width="9" style="141"/>
    <col min="26" max="26" width="10.75" style="141" customWidth="1"/>
    <col min="27" max="16384" width="9" style="141"/>
  </cols>
  <sheetData>
    <row r="3" spans="1:33">
      <c r="Q3" s="146"/>
    </row>
    <row r="4" spans="1:33">
      <c r="A4" s="1302" t="s">
        <v>191</v>
      </c>
      <c r="B4" s="1303"/>
      <c r="C4" s="1303"/>
      <c r="D4" s="1303"/>
      <c r="E4" s="1303"/>
      <c r="F4" s="1303"/>
      <c r="G4" s="1303"/>
      <c r="H4" s="1303"/>
      <c r="I4" s="1303"/>
      <c r="J4" s="1303"/>
      <c r="K4" s="1303"/>
      <c r="L4" s="1303"/>
      <c r="M4" s="1303"/>
      <c r="N4" s="1303"/>
      <c r="O4" s="1303"/>
      <c r="P4" s="1303"/>
      <c r="Q4" s="1303"/>
    </row>
    <row r="5" spans="1:33">
      <c r="A5" s="1302" t="s">
        <v>159</v>
      </c>
      <c r="B5" s="1302"/>
      <c r="C5" s="1302"/>
      <c r="D5" s="1302"/>
      <c r="E5" s="1302"/>
      <c r="F5" s="1302"/>
      <c r="G5" s="1302"/>
      <c r="H5" s="1302"/>
      <c r="I5" s="1302"/>
      <c r="J5" s="1302"/>
      <c r="K5" s="1302"/>
      <c r="L5" s="1302"/>
      <c r="M5" s="1302"/>
      <c r="N5" s="1302"/>
      <c r="O5" s="1302"/>
      <c r="P5" s="1302"/>
      <c r="Q5" s="1302"/>
    </row>
    <row r="6" spans="1:33">
      <c r="G6" s="142"/>
      <c r="H6" s="142"/>
      <c r="I6" s="142"/>
      <c r="K6" s="142"/>
      <c r="M6" s="142"/>
      <c r="T6" s="1304"/>
      <c r="U6" s="1304"/>
    </row>
    <row r="7" spans="1:33">
      <c r="O7" s="142" t="s">
        <v>192</v>
      </c>
      <c r="Q7" s="142" t="s">
        <v>160</v>
      </c>
    </row>
    <row r="8" spans="1:33">
      <c r="A8" s="142" t="s">
        <v>1</v>
      </c>
      <c r="G8" s="142" t="s">
        <v>5</v>
      </c>
      <c r="I8" s="142" t="s">
        <v>6</v>
      </c>
      <c r="K8" s="142" t="s">
        <v>148</v>
      </c>
      <c r="M8" s="142" t="s">
        <v>193</v>
      </c>
      <c r="O8" s="142" t="s">
        <v>194</v>
      </c>
      <c r="Q8" s="142" t="s">
        <v>195</v>
      </c>
      <c r="V8" s="1303"/>
      <c r="W8" s="1303"/>
      <c r="X8" s="1303"/>
      <c r="Y8" s="1303"/>
      <c r="Z8" s="1303"/>
      <c r="AA8" s="1303"/>
      <c r="AB8" s="1303"/>
      <c r="AC8" s="1303"/>
      <c r="AD8" s="1303"/>
      <c r="AE8" s="1303"/>
      <c r="AF8" s="1303"/>
      <c r="AG8" s="1303"/>
    </row>
    <row r="9" spans="1:33">
      <c r="A9" s="205" t="s">
        <v>2</v>
      </c>
      <c r="C9" s="559" t="s">
        <v>3</v>
      </c>
      <c r="E9" s="205" t="s">
        <v>4</v>
      </c>
      <c r="F9" s="142"/>
      <c r="G9" s="205" t="s">
        <v>196</v>
      </c>
      <c r="I9" s="205" t="s">
        <v>197</v>
      </c>
      <c r="K9" s="205" t="s">
        <v>194</v>
      </c>
      <c r="M9" s="205" t="s">
        <v>198</v>
      </c>
      <c r="O9" s="205" t="s">
        <v>20</v>
      </c>
      <c r="Q9" s="205" t="s">
        <v>20</v>
      </c>
      <c r="V9" s="142"/>
      <c r="W9" s="142"/>
      <c r="X9" s="142"/>
      <c r="Y9" s="142"/>
      <c r="Z9" s="142"/>
      <c r="AA9" s="142"/>
      <c r="AB9" s="142"/>
      <c r="AC9" s="142"/>
      <c r="AD9" s="142"/>
      <c r="AE9" s="142"/>
      <c r="AF9" s="142"/>
      <c r="AG9" s="142"/>
    </row>
    <row r="10" spans="1:33">
      <c r="A10" s="143"/>
      <c r="B10" s="130"/>
      <c r="C10" s="130"/>
      <c r="D10" s="130"/>
      <c r="E10" s="130"/>
      <c r="F10" s="130"/>
      <c r="G10" s="218" t="s">
        <v>8</v>
      </c>
      <c r="H10" s="143"/>
      <c r="I10" s="218" t="s">
        <v>9</v>
      </c>
      <c r="J10" s="143"/>
      <c r="K10" s="218" t="s">
        <v>10</v>
      </c>
      <c r="L10" s="130"/>
      <c r="M10" s="218" t="s">
        <v>79</v>
      </c>
      <c r="N10" s="130"/>
      <c r="O10" s="218" t="s">
        <v>199</v>
      </c>
      <c r="P10" s="130"/>
      <c r="Q10" s="143" t="s">
        <v>81</v>
      </c>
    </row>
    <row r="11" spans="1:33">
      <c r="A11" s="143"/>
      <c r="B11" s="130"/>
      <c r="C11" s="546" t="s">
        <v>162</v>
      </c>
      <c r="D11" s="130"/>
      <c r="E11" s="130"/>
      <c r="F11" s="130"/>
      <c r="G11" s="130"/>
      <c r="H11" s="130"/>
      <c r="I11" s="130"/>
      <c r="J11" s="130"/>
      <c r="K11" s="130"/>
      <c r="L11" s="130"/>
      <c r="M11" s="130"/>
      <c r="N11" s="130"/>
      <c r="O11" s="130"/>
      <c r="P11" s="130"/>
      <c r="Q11" s="130"/>
    </row>
    <row r="12" spans="1:33">
      <c r="A12" s="143">
        <v>1</v>
      </c>
      <c r="B12" s="130"/>
      <c r="C12" s="130" t="s">
        <v>200</v>
      </c>
      <c r="D12" s="130"/>
      <c r="E12" s="143" t="s">
        <v>201</v>
      </c>
      <c r="F12" s="143"/>
      <c r="G12" s="128">
        <v>21.878786989991127</v>
      </c>
      <c r="H12" s="569"/>
      <c r="I12" s="128">
        <v>24.721118090241212</v>
      </c>
      <c r="J12" s="570"/>
      <c r="K12" s="128">
        <f>I12-G12</f>
        <v>2.8423311002500853</v>
      </c>
      <c r="L12" s="130"/>
      <c r="M12" s="140">
        <v>8629517.0000035521</v>
      </c>
      <c r="N12" s="140"/>
      <c r="O12" s="140">
        <f>(K12*M12)/1000</f>
        <v>24527.944549246909</v>
      </c>
      <c r="P12" s="140"/>
      <c r="Q12" s="140"/>
      <c r="U12" s="571"/>
      <c r="W12" s="208"/>
      <c r="Z12" s="129"/>
    </row>
    <row r="13" spans="1:33">
      <c r="A13" s="143"/>
      <c r="B13" s="130"/>
      <c r="C13" s="130" t="s">
        <v>202</v>
      </c>
      <c r="D13" s="130"/>
      <c r="E13" s="143"/>
      <c r="F13" s="143"/>
      <c r="G13" s="572"/>
      <c r="H13" s="130"/>
      <c r="I13" s="572"/>
      <c r="J13" s="130"/>
      <c r="K13" s="572"/>
      <c r="L13" s="130"/>
      <c r="M13" s="140"/>
      <c r="N13" s="140"/>
      <c r="O13" s="140"/>
      <c r="P13" s="140"/>
      <c r="Q13" s="140"/>
    </row>
    <row r="14" spans="1:33">
      <c r="A14" s="143">
        <f>A12+1</f>
        <v>2</v>
      </c>
      <c r="B14" s="130"/>
      <c r="C14" s="547" t="s">
        <v>203</v>
      </c>
      <c r="D14" s="130"/>
      <c r="E14" s="143" t="s">
        <v>204</v>
      </c>
      <c r="F14" s="143"/>
      <c r="G14" s="573">
        <v>10.625586308573068</v>
      </c>
      <c r="H14" s="130"/>
      <c r="I14" s="573">
        <v>10.184675709748158</v>
      </c>
      <c r="J14" s="130"/>
      <c r="K14" s="573">
        <f t="shared" ref="K14:K43" si="0">I14-G14</f>
        <v>-0.44091059882491024</v>
      </c>
      <c r="L14" s="130"/>
      <c r="M14" s="140">
        <v>232981.49714345211</v>
      </c>
      <c r="N14" s="140"/>
      <c r="O14" s="140">
        <f>(K14*M14)/100</f>
        <v>-1027.2401142064359</v>
      </c>
      <c r="P14" s="140"/>
      <c r="Q14" s="140"/>
      <c r="U14" s="571"/>
      <c r="V14" s="568"/>
      <c r="W14" s="208"/>
      <c r="X14" s="574"/>
      <c r="Y14" s="573"/>
      <c r="Z14" s="573"/>
    </row>
    <row r="15" spans="1:33">
      <c r="A15" s="143">
        <f>A14+1</f>
        <v>3</v>
      </c>
      <c r="B15" s="130"/>
      <c r="C15" s="547" t="s">
        <v>205</v>
      </c>
      <c r="D15" s="130"/>
      <c r="E15" s="143" t="s">
        <v>204</v>
      </c>
      <c r="F15" s="143"/>
      <c r="G15" s="573">
        <v>9.9455984153461188</v>
      </c>
      <c r="H15" s="130"/>
      <c r="I15" s="573">
        <v>9.4864690305083119</v>
      </c>
      <c r="J15" s="130"/>
      <c r="K15" s="573">
        <f t="shared" si="0"/>
        <v>-0.45912938483780685</v>
      </c>
      <c r="L15" s="130"/>
      <c r="M15" s="140">
        <v>419228.50793916028</v>
      </c>
      <c r="N15" s="140"/>
      <c r="O15" s="140">
        <f>(K15*M15)/100</f>
        <v>-1924.8012695657828</v>
      </c>
      <c r="P15" s="140"/>
      <c r="Q15" s="140"/>
      <c r="U15" s="571"/>
      <c r="V15" s="568"/>
      <c r="W15" s="208"/>
      <c r="Y15" s="573"/>
      <c r="Z15" s="573"/>
    </row>
    <row r="16" spans="1:33">
      <c r="A16" s="143">
        <f t="shared" ref="A16:A18" si="1">A15+1</f>
        <v>4</v>
      </c>
      <c r="B16" s="130"/>
      <c r="C16" s="547" t="s">
        <v>206</v>
      </c>
      <c r="D16" s="130"/>
      <c r="E16" s="143" t="s">
        <v>204</v>
      </c>
      <c r="F16" s="143"/>
      <c r="G16" s="573">
        <v>9.4131350011351689</v>
      </c>
      <c r="H16" s="130"/>
      <c r="I16" s="573">
        <v>8.9397394588596288</v>
      </c>
      <c r="J16" s="130"/>
      <c r="K16" s="573">
        <f t="shared" si="0"/>
        <v>-0.47339554227554004</v>
      </c>
      <c r="L16" s="130"/>
      <c r="M16" s="140">
        <v>615622.71606997063</v>
      </c>
      <c r="N16" s="140"/>
      <c r="O16" s="140">
        <f t="shared" ref="O16:O17" si="2">(K16*M16)/100</f>
        <v>-2914.3304951108457</v>
      </c>
      <c r="P16" s="140"/>
      <c r="Q16" s="140"/>
      <c r="U16" s="571"/>
      <c r="V16" s="568"/>
      <c r="W16" s="208"/>
      <c r="Y16" s="573"/>
      <c r="Z16" s="573"/>
    </row>
    <row r="17" spans="1:26">
      <c r="A17" s="143">
        <f t="shared" si="1"/>
        <v>5</v>
      </c>
      <c r="B17" s="130"/>
      <c r="C17" s="547" t="s">
        <v>207</v>
      </c>
      <c r="D17" s="130"/>
      <c r="E17" s="143" t="s">
        <v>204</v>
      </c>
      <c r="F17" s="143"/>
      <c r="G17" s="573">
        <v>9.0162092414560693</v>
      </c>
      <c r="H17" s="130"/>
      <c r="I17" s="573">
        <v>8.5321789387623941</v>
      </c>
      <c r="J17" s="130"/>
      <c r="K17" s="573">
        <f t="shared" si="0"/>
        <v>-0.4840303026936752</v>
      </c>
      <c r="L17" s="130"/>
      <c r="M17" s="140">
        <v>1597372.2206569067</v>
      </c>
      <c r="N17" s="140"/>
      <c r="O17" s="140">
        <f t="shared" si="2"/>
        <v>-7731.7655947903067</v>
      </c>
      <c r="P17" s="140"/>
      <c r="Q17" s="140"/>
      <c r="U17" s="571"/>
      <c r="V17" s="568"/>
      <c r="W17" s="208"/>
      <c r="Y17" s="573"/>
      <c r="Z17" s="573"/>
    </row>
    <row r="18" spans="1:26">
      <c r="A18" s="143">
        <f t="shared" si="1"/>
        <v>6</v>
      </c>
      <c r="B18" s="130"/>
      <c r="C18" s="130" t="s">
        <v>202</v>
      </c>
      <c r="D18" s="130"/>
      <c r="E18" s="143"/>
      <c r="F18" s="143"/>
      <c r="G18" s="573"/>
      <c r="H18" s="130"/>
      <c r="I18" s="573"/>
      <c r="J18" s="130"/>
      <c r="K18" s="573"/>
      <c r="L18" s="130"/>
      <c r="M18" s="575">
        <f>SUM(M14:M17)</f>
        <v>2865204.9418094899</v>
      </c>
      <c r="N18" s="140"/>
      <c r="O18" s="575">
        <f>SUM(O14:O17)</f>
        <v>-13598.137473673371</v>
      </c>
      <c r="P18" s="140"/>
      <c r="Q18" s="140">
        <f>O12+O18</f>
        <v>10929.807075573539</v>
      </c>
      <c r="U18" s="571"/>
      <c r="V18" s="568"/>
      <c r="W18" s="576"/>
    </row>
    <row r="19" spans="1:26">
      <c r="A19" s="143"/>
      <c r="B19" s="130"/>
      <c r="C19" s="130"/>
      <c r="D19" s="130"/>
      <c r="E19" s="143"/>
      <c r="F19" s="143"/>
      <c r="G19" s="548"/>
      <c r="H19" s="130"/>
      <c r="I19" s="548"/>
      <c r="J19" s="130"/>
      <c r="K19" s="548"/>
      <c r="L19" s="130"/>
      <c r="M19" s="140"/>
      <c r="N19" s="140"/>
      <c r="O19" s="140"/>
      <c r="P19" s="140"/>
      <c r="Q19" s="140"/>
      <c r="W19" s="208"/>
    </row>
    <row r="20" spans="1:26">
      <c r="A20" s="143">
        <f>A18+1</f>
        <v>7</v>
      </c>
      <c r="B20" s="130"/>
      <c r="C20" s="130" t="s">
        <v>208</v>
      </c>
      <c r="D20" s="130"/>
      <c r="E20" s="143" t="s">
        <v>204</v>
      </c>
      <c r="F20" s="143"/>
      <c r="G20" s="573">
        <v>1.2932710721024872</v>
      </c>
      <c r="H20" s="130"/>
      <c r="I20" s="573">
        <v>1.3024059520250633</v>
      </c>
      <c r="J20" s="130"/>
      <c r="K20" s="573">
        <f t="shared" si="0"/>
        <v>9.1348799225761113E-3</v>
      </c>
      <c r="L20" s="130"/>
      <c r="M20" s="140">
        <v>2865204.9418094894</v>
      </c>
      <c r="N20" s="140"/>
      <c r="O20" s="140">
        <f t="shared" ref="O20:O22" si="3">(K20*M20)/100</f>
        <v>261.7330309700136</v>
      </c>
      <c r="P20" s="577"/>
      <c r="Q20" s="577">
        <f>O20</f>
        <v>261.7330309700136</v>
      </c>
      <c r="U20" s="571"/>
      <c r="V20" s="568"/>
      <c r="W20" s="208"/>
      <c r="Y20" s="573"/>
      <c r="Z20" s="573"/>
    </row>
    <row r="21" spans="1:26">
      <c r="A21" s="143">
        <f>A20+1</f>
        <v>8</v>
      </c>
      <c r="B21" s="130"/>
      <c r="C21" s="130" t="s">
        <v>209</v>
      </c>
      <c r="D21" s="130"/>
      <c r="E21" s="143" t="s">
        <v>204</v>
      </c>
      <c r="F21" s="143"/>
      <c r="G21" s="573">
        <v>3.9267443870173873</v>
      </c>
      <c r="H21" s="130"/>
      <c r="I21" s="573">
        <v>3.9287734599835034</v>
      </c>
      <c r="J21" s="130"/>
      <c r="K21" s="573">
        <f t="shared" si="0"/>
        <v>2.0290729661160967E-3</v>
      </c>
      <c r="L21" s="130"/>
      <c r="M21" s="140">
        <v>2823210.6786419302</v>
      </c>
      <c r="N21" s="140"/>
      <c r="O21" s="140">
        <f t="shared" si="3"/>
        <v>57.285004656826196</v>
      </c>
      <c r="P21" s="577"/>
      <c r="Q21" s="577">
        <f>O21</f>
        <v>57.285004656826196</v>
      </c>
      <c r="U21" s="571"/>
      <c r="V21" s="568"/>
      <c r="W21" s="208"/>
      <c r="Y21" s="573"/>
      <c r="Z21" s="573"/>
    </row>
    <row r="22" spans="1:26">
      <c r="A22" s="143">
        <f t="shared" ref="A22" si="4">A21+1</f>
        <v>9</v>
      </c>
      <c r="B22" s="130"/>
      <c r="C22" s="130" t="s">
        <v>210</v>
      </c>
      <c r="D22" s="130"/>
      <c r="E22" s="143" t="s">
        <v>204</v>
      </c>
      <c r="F22" s="143"/>
      <c r="G22" s="573">
        <v>0.96972012770460903</v>
      </c>
      <c r="H22" s="130"/>
      <c r="I22" s="573">
        <v>0.98583973054777452</v>
      </c>
      <c r="J22" s="130"/>
      <c r="K22" s="573">
        <f t="shared" si="0"/>
        <v>1.6119602843165493E-2</v>
      </c>
      <c r="L22" s="130"/>
      <c r="M22" s="140">
        <v>41920.875113353701</v>
      </c>
      <c r="N22" s="140"/>
      <c r="O22" s="140">
        <f t="shared" si="3"/>
        <v>6.7574785766520185</v>
      </c>
      <c r="P22" s="140"/>
      <c r="Q22" s="140">
        <f>O22</f>
        <v>6.7574785766520185</v>
      </c>
      <c r="U22" s="571"/>
      <c r="V22" s="568"/>
      <c r="W22" s="208"/>
      <c r="Y22" s="573"/>
      <c r="Z22" s="573"/>
    </row>
    <row r="23" spans="1:26">
      <c r="A23" s="143"/>
      <c r="B23" s="130"/>
      <c r="C23" s="130"/>
      <c r="D23" s="130"/>
      <c r="E23" s="143"/>
      <c r="F23" s="143"/>
      <c r="G23" s="548"/>
      <c r="H23" s="130"/>
      <c r="I23" s="548"/>
      <c r="J23" s="130"/>
      <c r="K23" s="548"/>
      <c r="L23" s="130"/>
      <c r="M23" s="140"/>
      <c r="N23" s="140"/>
      <c r="O23" s="140"/>
      <c r="P23" s="140"/>
      <c r="Q23" s="140"/>
      <c r="W23" s="208"/>
    </row>
    <row r="24" spans="1:26">
      <c r="A24" s="143">
        <f>A22+1</f>
        <v>10</v>
      </c>
      <c r="B24" s="130"/>
      <c r="C24" s="130" t="s">
        <v>211</v>
      </c>
      <c r="D24" s="130"/>
      <c r="E24" s="143" t="s">
        <v>204</v>
      </c>
      <c r="F24" s="143"/>
      <c r="G24" s="573">
        <v>18.377497019556195</v>
      </c>
      <c r="H24" s="130"/>
      <c r="I24" s="573">
        <v>18.379787776097782</v>
      </c>
      <c r="J24" s="130"/>
      <c r="K24" s="573">
        <f t="shared" si="0"/>
        <v>2.2907565415870579E-3</v>
      </c>
      <c r="L24" s="130"/>
      <c r="M24" s="140">
        <v>2814102.2187149832</v>
      </c>
      <c r="N24" s="140"/>
      <c r="O24" s="140">
        <f t="shared" ref="O24" si="5">(K24*M24)/100</f>
        <v>64.46423066216002</v>
      </c>
      <c r="P24" s="140"/>
      <c r="Q24" s="140">
        <f>O24</f>
        <v>64.46423066216002</v>
      </c>
      <c r="U24" s="571"/>
      <c r="V24" s="568"/>
      <c r="W24" s="208"/>
      <c r="Y24" s="573"/>
      <c r="Z24" s="573"/>
    </row>
    <row r="25" spans="1:26">
      <c r="A25" s="143"/>
      <c r="B25" s="130"/>
      <c r="C25" s="130"/>
      <c r="D25" s="130"/>
      <c r="E25" s="143"/>
      <c r="F25" s="143"/>
      <c r="G25" s="548"/>
      <c r="H25" s="130"/>
      <c r="I25" s="548"/>
      <c r="J25" s="130"/>
      <c r="K25" s="548"/>
      <c r="L25" s="130"/>
      <c r="M25" s="140"/>
      <c r="N25" s="140"/>
      <c r="O25" s="140"/>
      <c r="P25" s="140"/>
      <c r="Q25" s="140"/>
    </row>
    <row r="26" spans="1:26" ht="13.5" thickBot="1">
      <c r="A26" s="143">
        <v>11</v>
      </c>
      <c r="B26" s="130"/>
      <c r="C26" s="130" t="s">
        <v>212</v>
      </c>
      <c r="D26" s="130"/>
      <c r="E26" s="143"/>
      <c r="F26" s="143"/>
      <c r="G26" s="573"/>
      <c r="H26" s="130"/>
      <c r="I26" s="573"/>
      <c r="J26" s="130"/>
      <c r="K26" s="573"/>
      <c r="L26" s="130"/>
      <c r="M26" s="140"/>
      <c r="N26" s="140"/>
      <c r="O26" s="578">
        <f>Q26</f>
        <v>11320.046820439191</v>
      </c>
      <c r="P26" s="140"/>
      <c r="Q26" s="578">
        <f>Q12+Q18+Q20+Q21+Q22+Q24</f>
        <v>11320.046820439191</v>
      </c>
    </row>
    <row r="27" spans="1:26" ht="13.5" thickTop="1">
      <c r="A27" s="143"/>
      <c r="B27" s="130"/>
      <c r="C27" s="130"/>
      <c r="D27" s="130"/>
      <c r="E27" s="143"/>
      <c r="F27" s="143"/>
      <c r="G27" s="130"/>
      <c r="H27" s="130"/>
      <c r="I27" s="130"/>
      <c r="J27" s="130"/>
      <c r="K27" s="579"/>
      <c r="L27" s="130"/>
      <c r="M27" s="140"/>
      <c r="N27" s="140"/>
      <c r="O27" s="140"/>
      <c r="P27" s="140"/>
      <c r="Q27" s="140"/>
    </row>
    <row r="28" spans="1:26">
      <c r="A28" s="143"/>
      <c r="B28" s="130"/>
      <c r="C28" s="546" t="s">
        <v>213</v>
      </c>
      <c r="D28" s="130"/>
      <c r="E28" s="143"/>
      <c r="F28" s="143"/>
      <c r="G28" s="130"/>
      <c r="H28" s="130"/>
      <c r="I28" s="130"/>
      <c r="J28" s="130"/>
      <c r="K28" s="579"/>
      <c r="L28" s="130"/>
      <c r="M28" s="140"/>
      <c r="N28" s="140"/>
      <c r="O28" s="140"/>
      <c r="P28" s="140"/>
      <c r="Q28" s="140"/>
    </row>
    <row r="29" spans="1:26">
      <c r="A29" s="143">
        <f>A26+1</f>
        <v>12</v>
      </c>
      <c r="B29" s="130"/>
      <c r="C29" s="130" t="s">
        <v>200</v>
      </c>
      <c r="D29" s="130"/>
      <c r="E29" s="143" t="s">
        <v>201</v>
      </c>
      <c r="F29" s="143"/>
      <c r="G29" s="128">
        <v>76.575754464968981</v>
      </c>
      <c r="H29" s="580"/>
      <c r="I29" s="128">
        <v>78.640633196953075</v>
      </c>
      <c r="J29" s="580"/>
      <c r="K29" s="128">
        <f t="shared" si="0"/>
        <v>2.0648787319840949</v>
      </c>
      <c r="L29" s="130"/>
      <c r="M29" s="140">
        <v>693955.00000013644</v>
      </c>
      <c r="N29" s="140"/>
      <c r="O29" s="140">
        <f>K29*M29/1000</f>
        <v>1432.9329204543042</v>
      </c>
      <c r="P29" s="140"/>
      <c r="Q29" s="140"/>
      <c r="U29" s="571"/>
      <c r="Y29" s="573"/>
      <c r="Z29" s="573"/>
    </row>
    <row r="30" spans="1:26">
      <c r="A30" s="143"/>
      <c r="B30" s="130"/>
      <c r="C30" s="130" t="s">
        <v>202</v>
      </c>
      <c r="D30" s="130"/>
      <c r="E30" s="143"/>
      <c r="F30" s="143"/>
      <c r="G30" s="130"/>
      <c r="H30" s="130"/>
      <c r="I30" s="572"/>
      <c r="J30" s="130"/>
      <c r="K30" s="579"/>
      <c r="L30" s="130"/>
      <c r="M30" s="140"/>
      <c r="N30" s="140"/>
      <c r="O30" s="140"/>
      <c r="P30" s="140"/>
      <c r="Q30" s="140"/>
    </row>
    <row r="31" spans="1:26">
      <c r="A31" s="143">
        <f>A29+1</f>
        <v>13</v>
      </c>
      <c r="B31" s="130"/>
      <c r="C31" s="547" t="s">
        <v>214</v>
      </c>
      <c r="D31" s="130"/>
      <c r="E31" s="143" t="s">
        <v>204</v>
      </c>
      <c r="F31" s="143"/>
      <c r="G31" s="573">
        <v>10.02372105089005</v>
      </c>
      <c r="H31" s="130"/>
      <c r="I31" s="573">
        <v>10.434195448783903</v>
      </c>
      <c r="J31" s="130"/>
      <c r="K31" s="579">
        <f t="shared" si="0"/>
        <v>0.41047439789385365</v>
      </c>
      <c r="L31" s="130"/>
      <c r="M31" s="140">
        <v>263665.7424054427</v>
      </c>
      <c r="N31" s="140"/>
      <c r="O31" s="140">
        <f>K31*M31/100</f>
        <v>1082.2803685911001</v>
      </c>
      <c r="P31" s="140"/>
      <c r="Q31" s="140"/>
      <c r="U31" s="571"/>
      <c r="V31" s="568"/>
      <c r="W31" s="208"/>
      <c r="Y31" s="573"/>
      <c r="Z31" s="573"/>
    </row>
    <row r="32" spans="1:26">
      <c r="A32" s="143">
        <f>A31+1</f>
        <v>14</v>
      </c>
      <c r="B32" s="130"/>
      <c r="C32" s="547" t="s">
        <v>215</v>
      </c>
      <c r="D32" s="130"/>
      <c r="E32" s="143" t="s">
        <v>204</v>
      </c>
      <c r="F32" s="143"/>
      <c r="G32" s="573">
        <v>7.6575306126998592</v>
      </c>
      <c r="H32" s="130"/>
      <c r="I32" s="573">
        <v>8.0050084333113798</v>
      </c>
      <c r="J32" s="130"/>
      <c r="K32" s="579">
        <f t="shared" si="0"/>
        <v>0.34747782061152055</v>
      </c>
      <c r="L32" s="130"/>
      <c r="M32" s="140">
        <v>329689.98713997786</v>
      </c>
      <c r="N32" s="140"/>
      <c r="O32" s="140">
        <f t="shared" ref="O32:O36" si="6">K32*M32/100</f>
        <v>1145.5995820883975</v>
      </c>
      <c r="P32" s="140"/>
      <c r="Q32" s="140"/>
      <c r="U32" s="571"/>
      <c r="V32" s="568"/>
      <c r="W32" s="208"/>
      <c r="Y32" s="573"/>
      <c r="Z32" s="573"/>
    </row>
    <row r="33" spans="1:26">
      <c r="A33" s="143">
        <f t="shared" ref="A33:A37" si="7">A32+1</f>
        <v>15</v>
      </c>
      <c r="B33" s="130"/>
      <c r="C33" s="547" t="s">
        <v>216</v>
      </c>
      <c r="D33" s="130"/>
      <c r="E33" s="143" t="s">
        <v>204</v>
      </c>
      <c r="F33" s="143"/>
      <c r="G33" s="573">
        <v>6.0005324475411648</v>
      </c>
      <c r="H33" s="130"/>
      <c r="I33" s="573">
        <v>6.3038950136559633</v>
      </c>
      <c r="J33" s="130"/>
      <c r="K33" s="579">
        <f t="shared" si="0"/>
        <v>0.3033625661147985</v>
      </c>
      <c r="L33" s="130"/>
      <c r="M33" s="140">
        <v>615736.30856812373</v>
      </c>
      <c r="N33" s="140"/>
      <c r="O33" s="140">
        <f t="shared" si="6"/>
        <v>1867.913466172794</v>
      </c>
      <c r="P33" s="140"/>
      <c r="Q33" s="140"/>
      <c r="U33" s="571"/>
      <c r="V33" s="568"/>
      <c r="W33" s="208"/>
      <c r="Y33" s="573"/>
      <c r="Z33" s="573"/>
    </row>
    <row r="34" spans="1:26">
      <c r="A34" s="143">
        <f t="shared" si="7"/>
        <v>16</v>
      </c>
      <c r="B34" s="130"/>
      <c r="C34" s="547" t="s">
        <v>217</v>
      </c>
      <c r="D34" s="130"/>
      <c r="E34" s="143" t="s">
        <v>204</v>
      </c>
      <c r="F34" s="143"/>
      <c r="G34" s="573">
        <v>4.9359527096542184</v>
      </c>
      <c r="H34" s="130"/>
      <c r="I34" s="573">
        <v>5.2109723111202984</v>
      </c>
      <c r="J34" s="130"/>
      <c r="K34" s="579">
        <f t="shared" si="0"/>
        <v>0.27501960146607995</v>
      </c>
      <c r="L34" s="130"/>
      <c r="M34" s="140">
        <v>427232.6036197521</v>
      </c>
      <c r="N34" s="140"/>
      <c r="O34" s="140">
        <f t="shared" si="6"/>
        <v>1174.9734038081995</v>
      </c>
      <c r="P34" s="140"/>
      <c r="Q34" s="140"/>
      <c r="U34" s="571"/>
      <c r="V34" s="568"/>
      <c r="W34" s="208"/>
      <c r="Y34" s="573"/>
      <c r="Z34" s="573"/>
    </row>
    <row r="35" spans="1:26">
      <c r="A35" s="143">
        <f t="shared" si="7"/>
        <v>17</v>
      </c>
      <c r="B35" s="130"/>
      <c r="C35" s="547" t="s">
        <v>218</v>
      </c>
      <c r="D35" s="130"/>
      <c r="E35" s="143" t="s">
        <v>204</v>
      </c>
      <c r="F35" s="143"/>
      <c r="G35" s="573">
        <v>4.4628924854344909</v>
      </c>
      <c r="H35" s="130"/>
      <c r="I35" s="573">
        <v>4.7253175263185208</v>
      </c>
      <c r="J35" s="130"/>
      <c r="K35" s="579">
        <f t="shared" si="0"/>
        <v>0.26242504088402985</v>
      </c>
      <c r="L35" s="130"/>
      <c r="M35" s="140">
        <v>441103.9598570778</v>
      </c>
      <c r="N35" s="140"/>
      <c r="O35" s="140">
        <f t="shared" si="6"/>
        <v>1157.5672469960111</v>
      </c>
      <c r="P35" s="140"/>
      <c r="Q35" s="140"/>
      <c r="U35" s="571"/>
      <c r="V35" s="568"/>
      <c r="W35" s="208"/>
      <c r="Y35" s="573"/>
      <c r="Z35" s="573"/>
    </row>
    <row r="36" spans="1:26">
      <c r="A36" s="143">
        <f t="shared" si="7"/>
        <v>18</v>
      </c>
      <c r="B36" s="130"/>
      <c r="C36" s="547" t="s">
        <v>219</v>
      </c>
      <c r="D36" s="130"/>
      <c r="E36" s="143" t="s">
        <v>204</v>
      </c>
      <c r="F36" s="143"/>
      <c r="G36" s="573">
        <v>4.3440974799090117</v>
      </c>
      <c r="H36" s="130"/>
      <c r="I36" s="573">
        <v>4.6033597521097525</v>
      </c>
      <c r="J36" s="130"/>
      <c r="K36" s="579">
        <f t="shared" si="0"/>
        <v>0.25926227220074072</v>
      </c>
      <c r="L36" s="130"/>
      <c r="M36" s="581">
        <v>642911.96921392286</v>
      </c>
      <c r="N36" s="140"/>
      <c r="O36" s="140">
        <f t="shared" si="6"/>
        <v>1666.8281796345429</v>
      </c>
      <c r="P36" s="140"/>
      <c r="Q36" s="140"/>
      <c r="U36" s="571"/>
      <c r="V36" s="568"/>
      <c r="W36" s="208"/>
      <c r="Y36" s="573"/>
      <c r="Z36" s="573"/>
    </row>
    <row r="37" spans="1:26">
      <c r="A37" s="143">
        <f t="shared" si="7"/>
        <v>19</v>
      </c>
      <c r="B37" s="130"/>
      <c r="C37" s="130" t="s">
        <v>202</v>
      </c>
      <c r="D37" s="130"/>
      <c r="E37" s="143"/>
      <c r="F37" s="143"/>
      <c r="G37" s="573"/>
      <c r="H37" s="130"/>
      <c r="I37" s="573"/>
      <c r="J37" s="130"/>
      <c r="K37" s="582"/>
      <c r="L37" s="130"/>
      <c r="M37" s="140">
        <f>SUM(M31:M36)</f>
        <v>2720340.570804297</v>
      </c>
      <c r="N37" s="140"/>
      <c r="O37" s="575">
        <f>SUM(O31:O36)</f>
        <v>8095.1622472910449</v>
      </c>
      <c r="P37" s="140"/>
      <c r="Q37" s="140">
        <f>O37+O29</f>
        <v>9528.0951677453486</v>
      </c>
      <c r="V37" s="208"/>
      <c r="W37" s="576"/>
    </row>
    <row r="38" spans="1:26">
      <c r="A38" s="143"/>
      <c r="B38" s="130"/>
      <c r="C38" s="130"/>
      <c r="D38" s="130"/>
      <c r="E38" s="143"/>
      <c r="F38" s="143"/>
      <c r="G38" s="573"/>
      <c r="H38" s="130"/>
      <c r="I38" s="548"/>
      <c r="J38" s="130"/>
      <c r="K38" s="579"/>
      <c r="L38" s="130"/>
      <c r="M38" s="140"/>
      <c r="N38" s="140"/>
      <c r="O38" s="140"/>
      <c r="P38" s="140"/>
      <c r="Q38" s="140"/>
    </row>
    <row r="39" spans="1:26">
      <c r="A39" s="143">
        <f>A37+1</f>
        <v>20</v>
      </c>
      <c r="B39" s="130"/>
      <c r="C39" s="130" t="s">
        <v>208</v>
      </c>
      <c r="D39" s="130"/>
      <c r="E39" s="143" t="s">
        <v>204</v>
      </c>
      <c r="F39" s="143"/>
      <c r="G39" s="573">
        <v>1.206161316244416</v>
      </c>
      <c r="H39" s="130"/>
      <c r="I39" s="573">
        <v>1.2145084618083051</v>
      </c>
      <c r="J39" s="130"/>
      <c r="K39" s="579">
        <f t="shared" si="0"/>
        <v>8.3471455638890468E-3</v>
      </c>
      <c r="L39" s="130"/>
      <c r="M39" s="140">
        <v>2720340.570804297</v>
      </c>
      <c r="N39" s="140"/>
      <c r="O39" s="140">
        <f>K39*M39/100</f>
        <v>227.07078727856486</v>
      </c>
      <c r="P39" s="140"/>
      <c r="Q39" s="140">
        <f>O39</f>
        <v>227.07078727856486</v>
      </c>
      <c r="U39" s="571"/>
      <c r="V39" s="568"/>
      <c r="W39" s="208"/>
      <c r="Y39" s="573"/>
      <c r="Z39" s="573"/>
    </row>
    <row r="40" spans="1:26">
      <c r="A40" s="143">
        <f>A39+1</f>
        <v>21</v>
      </c>
      <c r="B40" s="130"/>
      <c r="C40" s="130" t="s">
        <v>209</v>
      </c>
      <c r="D40" s="130"/>
      <c r="E40" s="143" t="s">
        <v>204</v>
      </c>
      <c r="F40" s="143"/>
      <c r="G40" s="573">
        <v>3.9267443846006143</v>
      </c>
      <c r="H40" s="130"/>
      <c r="I40" s="573">
        <v>3.9287734568078299</v>
      </c>
      <c r="J40" s="130"/>
      <c r="K40" s="579">
        <f t="shared" si="0"/>
        <v>2.0290722072155987E-3</v>
      </c>
      <c r="L40" s="130"/>
      <c r="M40" s="140">
        <v>1805919.9516450861</v>
      </c>
      <c r="N40" s="140"/>
      <c r="O40" s="140">
        <f t="shared" ref="O40:O41" si="8">K40*M40/100</f>
        <v>36.643419823391817</v>
      </c>
      <c r="P40" s="140"/>
      <c r="Q40" s="140">
        <f t="shared" ref="Q40:Q41" si="9">O40</f>
        <v>36.643419823391817</v>
      </c>
      <c r="U40" s="571"/>
      <c r="V40" s="568"/>
      <c r="W40" s="208"/>
      <c r="Y40" s="573"/>
      <c r="Z40" s="573"/>
    </row>
    <row r="41" spans="1:26">
      <c r="A41" s="143">
        <f>A40+1</f>
        <v>22</v>
      </c>
      <c r="B41" s="130"/>
      <c r="C41" s="130" t="s">
        <v>210</v>
      </c>
      <c r="D41" s="130"/>
      <c r="E41" s="143" t="s">
        <v>204</v>
      </c>
      <c r="F41" s="143"/>
      <c r="G41" s="573">
        <v>0.96972040643947122</v>
      </c>
      <c r="H41" s="130"/>
      <c r="I41" s="573">
        <v>0.9858400968092762</v>
      </c>
      <c r="J41" s="130"/>
      <c r="K41" s="579">
        <f t="shared" si="0"/>
        <v>1.6119690369804984E-2</v>
      </c>
      <c r="L41" s="130"/>
      <c r="M41" s="140">
        <v>882582.94389403716</v>
      </c>
      <c r="N41" s="140"/>
      <c r="O41" s="140">
        <f t="shared" si="8"/>
        <v>142.26963781242841</v>
      </c>
      <c r="P41" s="140"/>
      <c r="Q41" s="140">
        <f t="shared" si="9"/>
        <v>142.26963781242841</v>
      </c>
      <c r="U41" s="571"/>
      <c r="V41" s="568"/>
      <c r="W41" s="208"/>
      <c r="Y41" s="573"/>
      <c r="Z41" s="573"/>
    </row>
    <row r="42" spans="1:26">
      <c r="A42" s="143"/>
      <c r="B42" s="130"/>
      <c r="C42" s="130"/>
      <c r="D42" s="130"/>
      <c r="E42" s="143"/>
      <c r="F42" s="143"/>
      <c r="G42" s="573"/>
      <c r="H42" s="130"/>
      <c r="I42" s="548"/>
      <c r="J42" s="130"/>
      <c r="K42" s="579"/>
      <c r="L42" s="130"/>
      <c r="M42" s="140"/>
      <c r="N42" s="140"/>
      <c r="O42" s="140"/>
      <c r="P42" s="140"/>
      <c r="Q42" s="140"/>
    </row>
    <row r="43" spans="1:26">
      <c r="A43" s="143">
        <f>A41+1</f>
        <v>23</v>
      </c>
      <c r="B43" s="130"/>
      <c r="C43" s="130" t="s">
        <v>211</v>
      </c>
      <c r="D43" s="130"/>
      <c r="E43" s="143" t="s">
        <v>204</v>
      </c>
      <c r="F43" s="143"/>
      <c r="G43" s="573">
        <v>18.400798940142568</v>
      </c>
      <c r="H43" s="130"/>
      <c r="I43" s="573">
        <v>18.403718327704969</v>
      </c>
      <c r="J43" s="130"/>
      <c r="K43" s="579">
        <f t="shared" si="0"/>
        <v>2.9193875624002885E-3</v>
      </c>
      <c r="L43" s="130"/>
      <c r="M43" s="140">
        <v>1703474.8824523315</v>
      </c>
      <c r="N43" s="140"/>
      <c r="O43" s="140">
        <f t="shared" ref="O43" si="10">K43*M43/100</f>
        <v>49.731033846926302</v>
      </c>
      <c r="P43" s="140"/>
      <c r="Q43" s="140">
        <f t="shared" ref="Q43" si="11">O43</f>
        <v>49.731033846926302</v>
      </c>
      <c r="U43" s="571"/>
      <c r="V43" s="568"/>
      <c r="W43" s="208"/>
      <c r="Y43" s="573"/>
      <c r="Z43" s="573"/>
    </row>
    <row r="44" spans="1:26">
      <c r="A44" s="143"/>
      <c r="B44" s="130"/>
      <c r="C44" s="130"/>
      <c r="D44" s="130"/>
      <c r="E44" s="143"/>
      <c r="F44" s="143"/>
      <c r="G44" s="573"/>
      <c r="H44" s="130"/>
      <c r="I44" s="548"/>
      <c r="J44" s="130"/>
      <c r="K44" s="579"/>
      <c r="L44" s="130"/>
      <c r="M44" s="140"/>
      <c r="N44" s="140"/>
      <c r="O44" s="140"/>
      <c r="P44" s="140"/>
      <c r="Q44" s="140"/>
    </row>
    <row r="45" spans="1:26" ht="13.5" thickBot="1">
      <c r="A45" s="143">
        <f>A43+1</f>
        <v>24</v>
      </c>
      <c r="B45" s="130"/>
      <c r="C45" s="130" t="s">
        <v>220</v>
      </c>
      <c r="D45" s="130"/>
      <c r="E45" s="143"/>
      <c r="F45" s="143"/>
      <c r="G45" s="573"/>
      <c r="H45" s="130"/>
      <c r="I45" s="573"/>
      <c r="J45" s="130"/>
      <c r="K45" s="582"/>
      <c r="L45" s="130"/>
      <c r="M45" s="140"/>
      <c r="N45" s="140"/>
      <c r="O45" s="578">
        <f>O29+O37+O39+O40+O41+O43</f>
        <v>9983.81004650666</v>
      </c>
      <c r="P45" s="140"/>
      <c r="Q45" s="578">
        <f>Q29+Q37+Q39+Q40+Q41+Q43</f>
        <v>9983.81004650666</v>
      </c>
    </row>
    <row r="46" spans="1:26" ht="13.5" thickTop="1">
      <c r="A46" s="143"/>
      <c r="B46" s="130"/>
      <c r="C46" s="130"/>
      <c r="D46" s="130"/>
      <c r="E46" s="143"/>
      <c r="F46" s="143"/>
      <c r="G46" s="573"/>
      <c r="H46" s="130"/>
      <c r="I46" s="583"/>
      <c r="J46" s="130"/>
      <c r="K46" s="579"/>
      <c r="L46" s="130"/>
      <c r="M46" s="140"/>
      <c r="N46" s="140"/>
      <c r="O46" s="140"/>
      <c r="P46" s="140"/>
      <c r="Q46" s="140"/>
    </row>
    <row r="47" spans="1:26">
      <c r="A47" s="143"/>
      <c r="B47" s="130"/>
      <c r="C47" s="546" t="s">
        <v>164</v>
      </c>
      <c r="D47" s="130"/>
      <c r="E47" s="143"/>
      <c r="F47" s="143"/>
      <c r="G47" s="584"/>
      <c r="H47" s="584"/>
      <c r="I47" s="584"/>
      <c r="J47" s="584"/>
      <c r="K47" s="149"/>
      <c r="L47" s="130"/>
      <c r="M47" s="140"/>
      <c r="N47" s="140"/>
      <c r="O47" s="140"/>
      <c r="P47" s="140"/>
      <c r="Q47" s="140"/>
    </row>
    <row r="48" spans="1:26">
      <c r="A48" s="143">
        <f>A45+1</f>
        <v>25</v>
      </c>
      <c r="B48" s="130"/>
      <c r="C48" s="130" t="s">
        <v>200</v>
      </c>
      <c r="D48" s="130"/>
      <c r="E48" s="143" t="s">
        <v>201</v>
      </c>
      <c r="F48" s="143"/>
      <c r="G48" s="128">
        <v>133.47154003244088</v>
      </c>
      <c r="H48" s="584"/>
      <c r="I48" s="128">
        <v>137.07062366228914</v>
      </c>
      <c r="J48" s="584"/>
      <c r="K48" s="128">
        <f>I48-G48</f>
        <v>3.599083629848252</v>
      </c>
      <c r="L48" s="130"/>
      <c r="M48" s="140">
        <v>55.999353856135407</v>
      </c>
      <c r="N48" s="140"/>
      <c r="O48" s="140">
        <f>K48*M48/1000</f>
        <v>0.20154635774569651</v>
      </c>
      <c r="P48" s="140"/>
      <c r="Q48" s="140"/>
      <c r="U48" s="571"/>
      <c r="Y48" s="573"/>
      <c r="Z48" s="573"/>
    </row>
    <row r="49" spans="1:26">
      <c r="A49" s="143">
        <f>A48+1</f>
        <v>26</v>
      </c>
      <c r="B49" s="130"/>
      <c r="C49" s="130" t="s">
        <v>221</v>
      </c>
      <c r="D49" s="130"/>
      <c r="E49" s="143" t="s">
        <v>222</v>
      </c>
      <c r="F49" s="143"/>
      <c r="G49" s="573">
        <v>39.612916581984031</v>
      </c>
      <c r="H49" s="130"/>
      <c r="I49" s="573">
        <v>40.681085867856595</v>
      </c>
      <c r="J49" s="130"/>
      <c r="K49" s="579">
        <f>I49-G49</f>
        <v>1.068169285872564</v>
      </c>
      <c r="L49" s="130"/>
      <c r="M49" s="140">
        <v>1501.12</v>
      </c>
      <c r="N49" s="140"/>
      <c r="O49" s="140">
        <f>K49*M49/100</f>
        <v>16.034502784090233</v>
      </c>
      <c r="P49" s="140"/>
      <c r="Q49" s="140">
        <f>SUM(O48:O49)</f>
        <v>16.236049141835927</v>
      </c>
      <c r="U49" s="571"/>
      <c r="V49" s="568"/>
      <c r="W49" s="208"/>
      <c r="Y49" s="573"/>
      <c r="Z49" s="573"/>
    </row>
    <row r="50" spans="1:26">
      <c r="A50" s="143">
        <f>A49+1</f>
        <v>27</v>
      </c>
      <c r="B50" s="130"/>
      <c r="C50" s="130" t="s">
        <v>202</v>
      </c>
      <c r="D50" s="130"/>
      <c r="E50" s="143" t="s">
        <v>204</v>
      </c>
      <c r="F50" s="143"/>
      <c r="G50" s="573">
        <v>0.18751269562434469</v>
      </c>
      <c r="H50" s="130"/>
      <c r="I50" s="573">
        <v>1.1993184243566981</v>
      </c>
      <c r="J50" s="130"/>
      <c r="K50" s="579">
        <f>I50-G50</f>
        <v>1.0118057287323534</v>
      </c>
      <c r="L50" s="130"/>
      <c r="M50" s="140">
        <v>13824.708999999999</v>
      </c>
      <c r="N50" s="140"/>
      <c r="O50" s="140">
        <f>K50*M50/100</f>
        <v>139.87919764257722</v>
      </c>
      <c r="P50" s="140"/>
      <c r="Q50" s="140">
        <f>O50</f>
        <v>139.87919764257722</v>
      </c>
      <c r="U50" s="571"/>
      <c r="V50" s="568"/>
      <c r="W50" s="208"/>
      <c r="Y50" s="573"/>
      <c r="Z50" s="573"/>
    </row>
    <row r="51" spans="1:26">
      <c r="A51" s="143"/>
      <c r="B51" s="130"/>
      <c r="C51" s="585"/>
      <c r="D51" s="130"/>
      <c r="E51" s="143"/>
      <c r="F51" s="143"/>
      <c r="G51" s="130"/>
      <c r="H51" s="130"/>
      <c r="I51" s="130"/>
      <c r="J51" s="130"/>
      <c r="K51" s="579"/>
      <c r="L51" s="130"/>
      <c r="M51" s="140"/>
      <c r="N51" s="140"/>
      <c r="O51" s="140"/>
      <c r="P51" s="140"/>
      <c r="Q51" s="140"/>
    </row>
    <row r="52" spans="1:26">
      <c r="A52" s="143">
        <f>A50+1</f>
        <v>28</v>
      </c>
      <c r="B52" s="130"/>
      <c r="C52" s="130" t="s">
        <v>208</v>
      </c>
      <c r="D52" s="130"/>
      <c r="E52" s="143" t="s">
        <v>204</v>
      </c>
      <c r="F52" s="143"/>
      <c r="G52" s="573">
        <v>1.2036738876609459</v>
      </c>
      <c r="H52" s="130"/>
      <c r="I52" s="573">
        <v>1.2196331444978772</v>
      </c>
      <c r="J52" s="130"/>
      <c r="K52" s="579">
        <f>I52-G52</f>
        <v>1.5959256836931335E-2</v>
      </c>
      <c r="L52" s="130"/>
      <c r="M52" s="140">
        <v>13824.708999999999</v>
      </c>
      <c r="N52" s="140"/>
      <c r="O52" s="140">
        <f>K52*M52/100</f>
        <v>2.2063208162683612</v>
      </c>
      <c r="P52" s="140"/>
      <c r="Q52" s="140">
        <f>O52</f>
        <v>2.2063208162683612</v>
      </c>
      <c r="U52" s="571"/>
      <c r="V52" s="568"/>
      <c r="W52" s="208"/>
      <c r="Y52" s="573"/>
      <c r="Z52" s="573"/>
    </row>
    <row r="53" spans="1:26">
      <c r="A53" s="143">
        <f>A52+1</f>
        <v>29</v>
      </c>
      <c r="B53" s="130"/>
      <c r="C53" s="130" t="s">
        <v>209</v>
      </c>
      <c r="D53" s="130"/>
      <c r="E53" s="143" t="s">
        <v>204</v>
      </c>
      <c r="F53" s="143"/>
      <c r="G53" s="573">
        <v>3.9267459704927896</v>
      </c>
      <c r="H53" s="130"/>
      <c r="I53" s="573">
        <v>3.9287762733489338</v>
      </c>
      <c r="J53" s="130"/>
      <c r="K53" s="579">
        <f>I53-G53</f>
        <v>2.0303028561441394E-3</v>
      </c>
      <c r="L53" s="130"/>
      <c r="M53" s="140">
        <v>7261.7829999999994</v>
      </c>
      <c r="N53" s="140"/>
      <c r="O53" s="140">
        <f t="shared" ref="O53:O54" si="12">K53*M53/100</f>
        <v>0.14743618765598956</v>
      </c>
      <c r="P53" s="140"/>
      <c r="Q53" s="140">
        <f t="shared" ref="Q53:Q54" si="13">O53</f>
        <v>0.14743618765598956</v>
      </c>
      <c r="U53" s="571"/>
      <c r="V53" s="568"/>
      <c r="W53" s="208"/>
      <c r="Y53" s="573"/>
      <c r="Z53" s="573"/>
    </row>
    <row r="54" spans="1:26">
      <c r="A54" s="143">
        <f>A53+1</f>
        <v>30</v>
      </c>
      <c r="B54" s="130"/>
      <c r="C54" s="130" t="s">
        <v>210</v>
      </c>
      <c r="D54" s="130"/>
      <c r="E54" s="143" t="s">
        <v>204</v>
      </c>
      <c r="F54" s="143"/>
      <c r="G54" s="573">
        <v>0.96971998004937487</v>
      </c>
      <c r="H54" s="130"/>
      <c r="I54" s="573">
        <v>0.98583933954137914</v>
      </c>
      <c r="J54" s="130"/>
      <c r="K54" s="579">
        <f>I54-G54</f>
        <v>1.611935949200427E-2</v>
      </c>
      <c r="L54" s="130"/>
      <c r="M54" s="140">
        <v>5534.2440000000006</v>
      </c>
      <c r="N54" s="140"/>
      <c r="O54" s="140">
        <f t="shared" si="12"/>
        <v>0.8920846855246769</v>
      </c>
      <c r="P54" s="140"/>
      <c r="Q54" s="140">
        <f t="shared" si="13"/>
        <v>0.8920846855246769</v>
      </c>
      <c r="U54" s="571"/>
      <c r="V54" s="568"/>
      <c r="W54" s="208"/>
      <c r="Y54" s="573"/>
      <c r="Z54" s="573"/>
    </row>
    <row r="55" spans="1:26">
      <c r="A55" s="143"/>
      <c r="B55" s="130"/>
      <c r="C55" s="130"/>
      <c r="D55" s="130"/>
      <c r="E55" s="143"/>
      <c r="F55" s="143"/>
      <c r="G55" s="573"/>
      <c r="H55" s="130"/>
      <c r="I55" s="548"/>
      <c r="J55" s="130"/>
      <c r="K55" s="579"/>
      <c r="L55" s="130"/>
      <c r="M55" s="140"/>
      <c r="N55" s="140"/>
      <c r="O55" s="140"/>
      <c r="P55" s="140"/>
      <c r="Q55" s="140"/>
    </row>
    <row r="56" spans="1:26">
      <c r="A56" s="143">
        <f>A54+1</f>
        <v>31</v>
      </c>
      <c r="B56" s="130"/>
      <c r="C56" s="130" t="s">
        <v>211</v>
      </c>
      <c r="D56" s="130"/>
      <c r="E56" s="143" t="s">
        <v>204</v>
      </c>
      <c r="F56" s="143"/>
      <c r="G56" s="573">
        <v>18.400811234906183</v>
      </c>
      <c r="H56" s="130"/>
      <c r="I56" s="573">
        <v>18.403740163178789</v>
      </c>
      <c r="J56" s="130"/>
      <c r="K56" s="579">
        <f>I56-G56</f>
        <v>2.9289282726061572E-3</v>
      </c>
      <c r="L56" s="130"/>
      <c r="M56" s="140">
        <v>7261.7829999999994</v>
      </c>
      <c r="N56" s="140"/>
      <c r="O56" s="140">
        <f>K56*M56/100</f>
        <v>0.21269241538230754</v>
      </c>
      <c r="P56" s="140"/>
      <c r="Q56" s="140">
        <f>O56</f>
        <v>0.21269241538230754</v>
      </c>
      <c r="U56" s="571"/>
      <c r="V56" s="568"/>
      <c r="W56" s="208"/>
      <c r="Y56" s="573"/>
      <c r="Z56" s="573"/>
    </row>
    <row r="57" spans="1:26">
      <c r="A57" s="143"/>
      <c r="B57" s="130"/>
      <c r="C57" s="130"/>
      <c r="D57" s="130"/>
      <c r="E57" s="143"/>
      <c r="F57" s="143"/>
      <c r="G57" s="130"/>
      <c r="H57" s="130"/>
      <c r="I57" s="130"/>
      <c r="J57" s="130"/>
      <c r="K57" s="579"/>
      <c r="L57" s="130"/>
      <c r="M57" s="140"/>
      <c r="N57" s="140"/>
      <c r="O57" s="140"/>
      <c r="P57" s="140"/>
      <c r="Q57" s="140"/>
    </row>
    <row r="58" spans="1:26" ht="13.5" thickBot="1">
      <c r="A58" s="143">
        <f>A56+1</f>
        <v>32</v>
      </c>
      <c r="B58" s="130"/>
      <c r="C58" s="130" t="s">
        <v>223</v>
      </c>
      <c r="D58" s="130"/>
      <c r="E58" s="143"/>
      <c r="F58" s="143"/>
      <c r="G58" s="573"/>
      <c r="H58" s="130"/>
      <c r="I58" s="573"/>
      <c r="J58" s="130"/>
      <c r="K58" s="582"/>
      <c r="L58" s="130"/>
      <c r="M58" s="140"/>
      <c r="N58" s="140"/>
      <c r="O58" s="578">
        <f>O48+O49+O50+O52+O53+O54+O56</f>
        <v>159.57378088924452</v>
      </c>
      <c r="P58" s="140"/>
      <c r="Q58" s="578">
        <f>SUM(Q49:Q56)</f>
        <v>159.57378088924452</v>
      </c>
    </row>
    <row r="59" spans="1:26" ht="13.5" thickTop="1">
      <c r="A59" s="143"/>
      <c r="B59" s="130"/>
      <c r="C59" s="130"/>
      <c r="D59" s="130"/>
      <c r="E59" s="143"/>
      <c r="F59" s="143"/>
      <c r="G59" s="130"/>
      <c r="H59" s="130"/>
      <c r="I59" s="130"/>
      <c r="J59" s="130"/>
      <c r="K59" s="579"/>
      <c r="L59" s="130"/>
      <c r="M59" s="140"/>
      <c r="N59" s="140"/>
      <c r="O59" s="140"/>
      <c r="P59" s="140"/>
      <c r="Q59" s="140"/>
    </row>
    <row r="60" spans="1:26">
      <c r="A60" s="143"/>
      <c r="B60" s="130"/>
      <c r="C60" s="546" t="s">
        <v>165</v>
      </c>
      <c r="D60" s="130"/>
      <c r="E60" s="143"/>
      <c r="F60" s="143"/>
      <c r="G60" s="130"/>
      <c r="H60" s="130"/>
      <c r="I60" s="130"/>
      <c r="J60" s="130"/>
      <c r="K60" s="579"/>
      <c r="L60" s="130"/>
      <c r="M60" s="140"/>
      <c r="N60" s="140"/>
      <c r="O60" s="140"/>
      <c r="P60" s="140"/>
      <c r="Q60" s="140"/>
    </row>
    <row r="61" spans="1:26">
      <c r="A61" s="143">
        <f>A58+1</f>
        <v>33</v>
      </c>
      <c r="B61" s="130"/>
      <c r="C61" s="130" t="s">
        <v>200</v>
      </c>
      <c r="D61" s="130"/>
      <c r="E61" s="143" t="s">
        <v>201</v>
      </c>
      <c r="F61" s="143"/>
      <c r="G61" s="128">
        <v>642.54715571555448</v>
      </c>
      <c r="H61" s="584"/>
      <c r="I61" s="128">
        <v>659.87355315563298</v>
      </c>
      <c r="J61" s="584"/>
      <c r="K61" s="128">
        <f>I61-G61</f>
        <v>17.326397440078495</v>
      </c>
      <c r="L61" s="130"/>
      <c r="M61" s="140">
        <v>1664.0073658240813</v>
      </c>
      <c r="N61" s="140"/>
      <c r="O61" s="140">
        <f>K61*M61/1000</f>
        <v>28.831252963486119</v>
      </c>
      <c r="P61" s="140"/>
      <c r="Q61" s="140"/>
      <c r="U61" s="571"/>
      <c r="Y61" s="573"/>
      <c r="Z61" s="573"/>
    </row>
    <row r="62" spans="1:26">
      <c r="A62" s="143">
        <f>A61+1</f>
        <v>34</v>
      </c>
      <c r="B62" s="130"/>
      <c r="C62" s="130" t="s">
        <v>221</v>
      </c>
      <c r="D62" s="130"/>
      <c r="E62" s="143" t="s">
        <v>222</v>
      </c>
      <c r="F62" s="143"/>
      <c r="G62" s="573">
        <v>25.39395049703483</v>
      </c>
      <c r="H62" s="130"/>
      <c r="I62" s="573">
        <v>26.07870285329626</v>
      </c>
      <c r="J62" s="130"/>
      <c r="K62" s="579">
        <f t="shared" ref="K62:K88" si="14">I62-G62</f>
        <v>0.68475235626143061</v>
      </c>
      <c r="L62" s="130"/>
      <c r="M62" s="140">
        <v>25217.955999999998</v>
      </c>
      <c r="N62" s="140"/>
      <c r="O62" s="140">
        <f>K62*M62/100</f>
        <v>172.68054791097083</v>
      </c>
      <c r="P62" s="140"/>
      <c r="Q62" s="140">
        <f>SUM(O61:O62)</f>
        <v>201.51180087445695</v>
      </c>
      <c r="U62" s="571"/>
      <c r="V62" s="568"/>
      <c r="W62" s="208"/>
      <c r="Y62" s="573"/>
      <c r="Z62" s="573"/>
    </row>
    <row r="63" spans="1:26">
      <c r="A63" s="143"/>
      <c r="B63" s="130"/>
      <c r="C63" s="130" t="s">
        <v>202</v>
      </c>
      <c r="D63" s="130"/>
      <c r="E63" s="143"/>
      <c r="F63" s="143"/>
      <c r="G63" s="130"/>
      <c r="H63" s="130"/>
      <c r="I63" s="130"/>
      <c r="J63" s="130"/>
      <c r="K63" s="579"/>
      <c r="L63" s="130"/>
      <c r="M63" s="140"/>
      <c r="N63" s="140"/>
      <c r="O63" s="140"/>
      <c r="P63" s="140"/>
      <c r="Q63" s="140"/>
    </row>
    <row r="64" spans="1:26">
      <c r="A64" s="143">
        <f>A62+1</f>
        <v>35</v>
      </c>
      <c r="B64" s="130"/>
      <c r="C64" s="130" t="s">
        <v>224</v>
      </c>
      <c r="D64" s="130"/>
      <c r="E64" s="143" t="s">
        <v>204</v>
      </c>
      <c r="F64" s="143"/>
      <c r="G64" s="573">
        <v>1.0325728182266571</v>
      </c>
      <c r="H64" s="130"/>
      <c r="I64" s="573">
        <v>1.0518482137741192</v>
      </c>
      <c r="J64" s="130"/>
      <c r="K64" s="579">
        <f t="shared" si="14"/>
        <v>1.9275395547462049E-2</v>
      </c>
      <c r="L64" s="130"/>
      <c r="M64" s="140">
        <v>360441.67</v>
      </c>
      <c r="N64" s="140"/>
      <c r="O64" s="140">
        <f>K64*M64/100</f>
        <v>69.476557610377853</v>
      </c>
      <c r="P64" s="140"/>
      <c r="Q64" s="140"/>
      <c r="U64" s="571"/>
      <c r="V64" s="568"/>
      <c r="W64" s="208"/>
      <c r="Y64" s="573"/>
      <c r="Z64" s="573"/>
    </row>
    <row r="65" spans="1:26">
      <c r="A65" s="143">
        <f>A64+1</f>
        <v>36</v>
      </c>
      <c r="B65" s="130"/>
      <c r="C65" s="130" t="s">
        <v>225</v>
      </c>
      <c r="D65" s="130"/>
      <c r="E65" s="143" t="s">
        <v>204</v>
      </c>
      <c r="F65" s="143"/>
      <c r="G65" s="573">
        <v>0.8645988740145667</v>
      </c>
      <c r="H65" s="130"/>
      <c r="I65" s="573">
        <v>0.87934478806818617</v>
      </c>
      <c r="J65" s="130"/>
      <c r="K65" s="579">
        <f t="shared" si="14"/>
        <v>1.4745914053619469E-2</v>
      </c>
      <c r="L65" s="130"/>
      <c r="M65" s="581">
        <v>97430.936999999991</v>
      </c>
      <c r="N65" s="140"/>
      <c r="O65" s="581">
        <f>K65*M65/100</f>
        <v>14.367082231656129</v>
      </c>
      <c r="P65" s="140"/>
      <c r="Q65" s="130"/>
      <c r="U65" s="571"/>
      <c r="V65" s="568"/>
      <c r="W65" s="208"/>
      <c r="Y65" s="573"/>
      <c r="Z65" s="573"/>
    </row>
    <row r="66" spans="1:26">
      <c r="A66" s="143">
        <f>A65+1</f>
        <v>37</v>
      </c>
      <c r="B66" s="130"/>
      <c r="C66" s="130" t="s">
        <v>202</v>
      </c>
      <c r="D66" s="130"/>
      <c r="E66" s="143"/>
      <c r="F66" s="143"/>
      <c r="G66" s="573">
        <v>0</v>
      </c>
      <c r="H66" s="130"/>
      <c r="I66" s="573"/>
      <c r="J66" s="130"/>
      <c r="K66" s="582"/>
      <c r="L66" s="130"/>
      <c r="M66" s="140">
        <f>SUM(M64:M65)</f>
        <v>457872.60699999996</v>
      </c>
      <c r="N66" s="140"/>
      <c r="O66" s="140">
        <f>SUM(O64:O65)</f>
        <v>83.84363984203398</v>
      </c>
      <c r="P66" s="140"/>
      <c r="Q66" s="140">
        <f>SUM(O64:O65)</f>
        <v>83.84363984203398</v>
      </c>
    </row>
    <row r="67" spans="1:26">
      <c r="A67" s="143"/>
      <c r="B67" s="130"/>
      <c r="C67" s="130"/>
      <c r="D67" s="130"/>
      <c r="E67" s="143"/>
      <c r="F67" s="143"/>
      <c r="G67" s="130"/>
      <c r="H67" s="130"/>
      <c r="I67" s="130"/>
      <c r="J67" s="130"/>
      <c r="K67" s="579"/>
      <c r="L67" s="130"/>
      <c r="M67" s="140"/>
      <c r="N67" s="140"/>
      <c r="O67" s="140"/>
      <c r="P67" s="140"/>
      <c r="Q67" s="140"/>
    </row>
    <row r="68" spans="1:26">
      <c r="A68" s="143">
        <f>A66+1</f>
        <v>38</v>
      </c>
      <c r="B68" s="130"/>
      <c r="C68" s="130" t="s">
        <v>208</v>
      </c>
      <c r="D68" s="130"/>
      <c r="E68" s="143" t="s">
        <v>204</v>
      </c>
      <c r="F68" s="143"/>
      <c r="G68" s="573">
        <v>0.25233468088460609</v>
      </c>
      <c r="H68" s="130"/>
      <c r="I68" s="573">
        <v>0.25410603592893011</v>
      </c>
      <c r="J68" s="130"/>
      <c r="K68" s="579">
        <f t="shared" si="14"/>
        <v>1.7713550443240189E-3</v>
      </c>
      <c r="L68" s="130"/>
      <c r="M68" s="140">
        <v>457872.60700000002</v>
      </c>
      <c r="N68" s="140"/>
      <c r="O68" s="140">
        <f>K68*M68/100</f>
        <v>8.1105495206723912</v>
      </c>
      <c r="P68" s="140"/>
      <c r="Q68" s="140">
        <f>O68</f>
        <v>8.1105495206723912</v>
      </c>
      <c r="U68" s="571"/>
      <c r="V68" s="568"/>
      <c r="W68" s="208"/>
      <c r="Y68" s="573"/>
      <c r="Z68" s="573"/>
    </row>
    <row r="69" spans="1:26">
      <c r="A69" s="143">
        <f>A68+1</f>
        <v>39</v>
      </c>
      <c r="B69" s="130"/>
      <c r="C69" s="130" t="s">
        <v>209</v>
      </c>
      <c r="D69" s="130"/>
      <c r="E69" s="143" t="s">
        <v>204</v>
      </c>
      <c r="F69" s="143"/>
      <c r="G69" s="573">
        <v>3.9267443867607112</v>
      </c>
      <c r="H69" s="130"/>
      <c r="I69" s="573">
        <v>3.9287734596462265</v>
      </c>
      <c r="J69" s="130"/>
      <c r="K69" s="579">
        <f t="shared" si="14"/>
        <v>2.0290728855152373E-3</v>
      </c>
      <c r="L69" s="130"/>
      <c r="M69" s="140">
        <v>44206.339</v>
      </c>
      <c r="N69" s="140"/>
      <c r="O69" s="140">
        <f t="shared" ref="O69:O70" si="15">K69*M69/100</f>
        <v>0.89697883832794778</v>
      </c>
      <c r="P69" s="140"/>
      <c r="Q69" s="140">
        <f t="shared" ref="Q69:Q70" si="16">O69</f>
        <v>0.89697883832794778</v>
      </c>
      <c r="U69" s="571"/>
      <c r="V69" s="568"/>
      <c r="W69" s="208"/>
      <c r="Y69" s="573"/>
      <c r="Z69" s="573"/>
    </row>
    <row r="70" spans="1:26">
      <c r="A70" s="143">
        <f>A69+1</f>
        <v>40</v>
      </c>
      <c r="B70" s="130"/>
      <c r="C70" s="130" t="s">
        <v>210</v>
      </c>
      <c r="D70" s="130"/>
      <c r="E70" s="143" t="s">
        <v>204</v>
      </c>
      <c r="F70" s="143"/>
      <c r="G70" s="573">
        <v>0.96972039724946102</v>
      </c>
      <c r="H70" s="130"/>
      <c r="I70" s="573">
        <v>0.9858400847334744</v>
      </c>
      <c r="J70" s="130"/>
      <c r="K70" s="579">
        <f t="shared" si="14"/>
        <v>1.6119687484013379E-2</v>
      </c>
      <c r="L70" s="130"/>
      <c r="M70" s="140">
        <v>398795.70699999999</v>
      </c>
      <c r="N70" s="140"/>
      <c r="O70" s="140">
        <f t="shared" si="15"/>
        <v>64.284621668061661</v>
      </c>
      <c r="P70" s="140"/>
      <c r="Q70" s="140">
        <f t="shared" si="16"/>
        <v>64.284621668061661</v>
      </c>
      <c r="U70" s="571"/>
      <c r="V70" s="568"/>
      <c r="W70" s="208"/>
      <c r="Y70" s="573"/>
      <c r="Z70" s="573"/>
    </row>
    <row r="71" spans="1:26">
      <c r="A71" s="143"/>
      <c r="B71" s="130"/>
      <c r="C71" s="130"/>
      <c r="D71" s="130"/>
      <c r="E71" s="143"/>
      <c r="F71" s="143"/>
      <c r="G71" s="573"/>
      <c r="H71" s="130"/>
      <c r="I71" s="548"/>
      <c r="J71" s="130"/>
      <c r="K71" s="579"/>
      <c r="L71" s="130"/>
      <c r="M71" s="140"/>
      <c r="N71" s="140"/>
      <c r="O71" s="140"/>
      <c r="P71" s="140"/>
      <c r="Q71" s="140"/>
    </row>
    <row r="72" spans="1:26">
      <c r="A72" s="143">
        <f>A70+1</f>
        <v>41</v>
      </c>
      <c r="B72" s="130"/>
      <c r="C72" s="130" t="s">
        <v>211</v>
      </c>
      <c r="D72" s="130"/>
      <c r="E72" s="143" t="s">
        <v>204</v>
      </c>
      <c r="F72" s="143"/>
      <c r="G72" s="573">
        <v>18.339431448884856</v>
      </c>
      <c r="H72" s="130"/>
      <c r="I72" s="573">
        <v>18.34069677063216</v>
      </c>
      <c r="J72" s="130"/>
      <c r="K72" s="579">
        <f t="shared" si="14"/>
        <v>1.2653217473044265E-3</v>
      </c>
      <c r="L72" s="130"/>
      <c r="M72" s="140">
        <v>39593.22</v>
      </c>
      <c r="N72" s="140"/>
      <c r="O72" s="140">
        <f t="shared" ref="O72" si="17">K72*M72/100</f>
        <v>0.50098162311808569</v>
      </c>
      <c r="P72" s="140"/>
      <c r="Q72" s="140">
        <f t="shared" ref="Q72" si="18">O72</f>
        <v>0.50098162311808569</v>
      </c>
      <c r="U72" s="571"/>
      <c r="V72" s="568"/>
      <c r="W72" s="208"/>
      <c r="Y72" s="573"/>
      <c r="Z72" s="573"/>
    </row>
    <row r="73" spans="1:26">
      <c r="A73" s="143"/>
      <c r="B73" s="130"/>
      <c r="C73" s="130"/>
      <c r="D73" s="130"/>
      <c r="E73" s="143"/>
      <c r="F73" s="143"/>
      <c r="G73" s="130"/>
      <c r="H73" s="130"/>
      <c r="I73" s="130"/>
      <c r="J73" s="130"/>
      <c r="K73" s="579"/>
      <c r="L73" s="130"/>
      <c r="M73" s="140"/>
      <c r="N73" s="140"/>
      <c r="O73" s="140"/>
      <c r="P73" s="140"/>
      <c r="Q73" s="140"/>
    </row>
    <row r="74" spans="1:26" ht="13.5" thickBot="1">
      <c r="A74" s="143">
        <f>A72+1</f>
        <v>42</v>
      </c>
      <c r="B74" s="130"/>
      <c r="C74" s="130" t="s">
        <v>226</v>
      </c>
      <c r="D74" s="130"/>
      <c r="E74" s="143"/>
      <c r="F74" s="143"/>
      <c r="G74" s="573"/>
      <c r="H74" s="130"/>
      <c r="I74" s="573"/>
      <c r="J74" s="130"/>
      <c r="K74" s="582"/>
      <c r="L74" s="130"/>
      <c r="M74" s="140"/>
      <c r="N74" s="140"/>
      <c r="O74" s="578">
        <f>O61+O62+O64+O65+O68+O69+O70+O72</f>
        <v>359.14857236667103</v>
      </c>
      <c r="P74" s="140"/>
      <c r="Q74" s="578">
        <f>Q61+Q62+Q64+Q66+Q68+Q69+Q70+Q72</f>
        <v>359.14857236667103</v>
      </c>
    </row>
    <row r="75" spans="1:26" ht="13.5" thickTop="1">
      <c r="A75" s="143"/>
      <c r="B75" s="130"/>
      <c r="C75" s="130"/>
      <c r="D75" s="130"/>
      <c r="E75" s="143"/>
      <c r="F75" s="143"/>
      <c r="G75" s="130"/>
      <c r="H75" s="130"/>
      <c r="I75" s="130"/>
      <c r="J75" s="130"/>
      <c r="K75" s="582"/>
      <c r="L75" s="130"/>
      <c r="M75" s="140"/>
      <c r="N75" s="140"/>
      <c r="O75" s="140"/>
      <c r="P75" s="140"/>
      <c r="Q75" s="140"/>
    </row>
    <row r="76" spans="1:26">
      <c r="A76" s="143"/>
      <c r="B76" s="130"/>
      <c r="C76" s="546" t="s">
        <v>166</v>
      </c>
      <c r="D76" s="130"/>
      <c r="E76" s="143"/>
      <c r="F76" s="143"/>
      <c r="G76" s="130"/>
      <c r="H76" s="130"/>
      <c r="I76" s="130"/>
      <c r="J76" s="130"/>
      <c r="K76" s="579"/>
      <c r="L76" s="130"/>
      <c r="M76" s="140"/>
      <c r="N76" s="140"/>
      <c r="O76" s="140"/>
      <c r="P76" s="140"/>
      <c r="Q76" s="140"/>
    </row>
    <row r="77" spans="1:26">
      <c r="A77" s="143">
        <f>A74+1</f>
        <v>43</v>
      </c>
      <c r="B77" s="130"/>
      <c r="C77" s="130" t="s">
        <v>200</v>
      </c>
      <c r="D77" s="130"/>
      <c r="E77" s="143" t="s">
        <v>201</v>
      </c>
      <c r="F77" s="143"/>
      <c r="G77" s="128">
        <v>681.10851778541416</v>
      </c>
      <c r="H77" s="584"/>
      <c r="I77" s="128">
        <v>699.47472915838455</v>
      </c>
      <c r="J77" s="584"/>
      <c r="K77" s="128">
        <f t="shared" si="14"/>
        <v>18.366211372970383</v>
      </c>
      <c r="L77" s="130"/>
      <c r="M77" s="140">
        <v>88.000191503820815</v>
      </c>
      <c r="N77" s="140"/>
      <c r="O77" s="140">
        <f>K77*M77/1000</f>
        <v>1.6162301180210457</v>
      </c>
      <c r="P77" s="140"/>
      <c r="Q77" s="140"/>
      <c r="U77" s="571"/>
      <c r="Y77" s="573"/>
      <c r="Z77" s="573"/>
    </row>
    <row r="78" spans="1:26">
      <c r="A78" s="143">
        <f>A77+1</f>
        <v>44</v>
      </c>
      <c r="B78" s="130"/>
      <c r="C78" s="130" t="s">
        <v>221</v>
      </c>
      <c r="D78" s="130"/>
      <c r="E78" s="143" t="s">
        <v>222</v>
      </c>
      <c r="F78" s="143"/>
      <c r="G78" s="573">
        <v>27.124262553809189</v>
      </c>
      <c r="H78" s="130"/>
      <c r="I78" s="573">
        <v>27.855673080018693</v>
      </c>
      <c r="J78" s="130"/>
      <c r="K78" s="579">
        <f t="shared" si="14"/>
        <v>0.73141052620950475</v>
      </c>
      <c r="L78" s="130"/>
      <c r="M78" s="140">
        <v>4826.9399999999996</v>
      </c>
      <c r="N78" s="140"/>
      <c r="O78" s="140">
        <f>K78*M78/100</f>
        <v>35.304747253817069</v>
      </c>
      <c r="P78" s="140"/>
      <c r="Q78" s="140">
        <f>SUM(O77:O78)</f>
        <v>36.920977371838113</v>
      </c>
      <c r="U78" s="571"/>
      <c r="V78" s="568"/>
      <c r="W78" s="208"/>
      <c r="Y78" s="573"/>
      <c r="Z78" s="573"/>
    </row>
    <row r="79" spans="1:26">
      <c r="A79" s="143"/>
      <c r="B79" s="130"/>
      <c r="C79" s="130" t="s">
        <v>202</v>
      </c>
      <c r="D79" s="130"/>
      <c r="E79" s="143"/>
      <c r="F79" s="143"/>
      <c r="G79" s="130"/>
      <c r="H79" s="130"/>
      <c r="I79" s="130"/>
      <c r="J79" s="130"/>
      <c r="K79" s="579"/>
      <c r="L79" s="130"/>
      <c r="M79" s="140"/>
      <c r="N79" s="140"/>
      <c r="O79" s="140"/>
      <c r="P79" s="140"/>
      <c r="Q79" s="140"/>
    </row>
    <row r="80" spans="1:26">
      <c r="A80" s="143">
        <f>A78+1</f>
        <v>45</v>
      </c>
      <c r="B80" s="130"/>
      <c r="C80" s="130" t="s">
        <v>224</v>
      </c>
      <c r="D80" s="130"/>
      <c r="E80" s="143" t="s">
        <v>204</v>
      </c>
      <c r="F80" s="143"/>
      <c r="G80" s="573">
        <v>0.67077638089742209</v>
      </c>
      <c r="H80" s="130"/>
      <c r="I80" s="573">
        <v>0.58765006951034593</v>
      </c>
      <c r="J80" s="130"/>
      <c r="K80" s="579">
        <f t="shared" si="14"/>
        <v>-8.3126311387076157E-2</v>
      </c>
      <c r="L80" s="130"/>
      <c r="M80" s="140">
        <v>49806.136999999995</v>
      </c>
      <c r="N80" s="140"/>
      <c r="O80" s="140">
        <f>K80*M80/100</f>
        <v>-41.402004532493748</v>
      </c>
      <c r="P80" s="140"/>
      <c r="Q80" s="140"/>
      <c r="U80" s="571"/>
      <c r="V80" s="568"/>
      <c r="W80" s="208"/>
      <c r="Y80" s="573"/>
      <c r="Z80" s="573"/>
    </row>
    <row r="81" spans="1:26">
      <c r="A81" s="143">
        <f>A80+1</f>
        <v>46</v>
      </c>
      <c r="B81" s="130"/>
      <c r="C81" s="130" t="s">
        <v>225</v>
      </c>
      <c r="D81" s="130"/>
      <c r="E81" s="143" t="s">
        <v>204</v>
      </c>
      <c r="F81" s="143"/>
      <c r="G81" s="573">
        <v>0.5682897741756695</v>
      </c>
      <c r="H81" s="130"/>
      <c r="I81" s="573">
        <v>0.48239996495544996</v>
      </c>
      <c r="J81" s="130"/>
      <c r="K81" s="579">
        <f t="shared" si="14"/>
        <v>-8.5889809220219548E-2</v>
      </c>
      <c r="L81" s="130"/>
      <c r="M81" s="581">
        <v>86339.013999999996</v>
      </c>
      <c r="N81" s="140"/>
      <c r="O81" s="581">
        <f>K81*M81/100</f>
        <v>-74.156414407218648</v>
      </c>
      <c r="P81" s="140"/>
      <c r="Q81" s="130"/>
      <c r="U81" s="571"/>
      <c r="V81" s="568"/>
      <c r="W81" s="208"/>
      <c r="Y81" s="573"/>
      <c r="Z81" s="573"/>
    </row>
    <row r="82" spans="1:26">
      <c r="A82" s="143">
        <f>A81+1</f>
        <v>47</v>
      </c>
      <c r="B82" s="130"/>
      <c r="C82" s="130" t="s">
        <v>202</v>
      </c>
      <c r="D82" s="130"/>
      <c r="E82" s="143"/>
      <c r="F82" s="143"/>
      <c r="G82" s="573"/>
      <c r="H82" s="130"/>
      <c r="I82" s="573"/>
      <c r="J82" s="130"/>
      <c r="K82" s="582"/>
      <c r="L82" s="130"/>
      <c r="M82" s="140">
        <f>SUM(M80:M81)</f>
        <v>136145.15099999998</v>
      </c>
      <c r="N82" s="140"/>
      <c r="O82" s="140">
        <f>SUM(O80:O81)</f>
        <v>-115.5584189397124</v>
      </c>
      <c r="P82" s="140"/>
      <c r="Q82" s="140">
        <f>SUM(O80:O81)</f>
        <v>-115.5584189397124</v>
      </c>
    </row>
    <row r="83" spans="1:26">
      <c r="A83" s="143"/>
      <c r="B83" s="130"/>
      <c r="C83" s="130"/>
      <c r="D83" s="130"/>
      <c r="E83" s="143"/>
      <c r="F83" s="143"/>
      <c r="G83" s="130"/>
      <c r="H83" s="130"/>
      <c r="I83" s="130"/>
      <c r="J83" s="130"/>
      <c r="K83" s="579"/>
      <c r="L83" s="130"/>
      <c r="M83" s="130"/>
      <c r="N83" s="140"/>
      <c r="O83" s="140"/>
      <c r="P83" s="140"/>
      <c r="Q83" s="140"/>
    </row>
    <row r="84" spans="1:26">
      <c r="A84" s="143">
        <f>A82+1</f>
        <v>48</v>
      </c>
      <c r="B84" s="130"/>
      <c r="C84" s="130" t="s">
        <v>208</v>
      </c>
      <c r="D84" s="130"/>
      <c r="E84" s="143" t="s">
        <v>204</v>
      </c>
      <c r="F84" s="143"/>
      <c r="G84" s="573">
        <v>9.4794584882729044E-2</v>
      </c>
      <c r="H84" s="130"/>
      <c r="I84" s="573">
        <v>9.5357885946621035E-2</v>
      </c>
      <c r="J84" s="130"/>
      <c r="K84" s="579">
        <f t="shared" si="14"/>
        <v>5.6330106389199108E-4</v>
      </c>
      <c r="L84" s="130"/>
      <c r="M84" s="140">
        <v>136145.15099999998</v>
      </c>
      <c r="N84" s="140"/>
      <c r="O84" s="140">
        <f>K84*M84/100</f>
        <v>0.76690708402035768</v>
      </c>
      <c r="P84" s="140"/>
      <c r="Q84" s="140">
        <f>O84</f>
        <v>0.76690708402035768</v>
      </c>
      <c r="U84" s="571"/>
      <c r="V84" s="568"/>
      <c r="W84" s="208"/>
      <c r="Y84" s="573"/>
      <c r="Z84" s="573"/>
    </row>
    <row r="85" spans="1:26">
      <c r="A85" s="143">
        <f>A84+1</f>
        <v>49</v>
      </c>
      <c r="B85" s="130"/>
      <c r="C85" s="130" t="s">
        <v>209</v>
      </c>
      <c r="D85" s="130"/>
      <c r="E85" s="143" t="s">
        <v>204</v>
      </c>
      <c r="F85" s="143"/>
      <c r="G85" s="573">
        <v>3.9267453785808999</v>
      </c>
      <c r="H85" s="130"/>
      <c r="I85" s="573">
        <v>3.9287752209981761</v>
      </c>
      <c r="J85" s="130"/>
      <c r="K85" s="579">
        <f t="shared" si="14"/>
        <v>2.0298424172762175E-3</v>
      </c>
      <c r="L85" s="130"/>
      <c r="M85" s="140">
        <v>755.53499999999997</v>
      </c>
      <c r="N85" s="140"/>
      <c r="O85" s="140">
        <f t="shared" ref="O85:O86" si="19">K85*M85/100</f>
        <v>1.5336169907367869E-2</v>
      </c>
      <c r="P85" s="140"/>
      <c r="Q85" s="140">
        <f t="shared" ref="Q85:Q86" si="20">O85</f>
        <v>1.5336169907367869E-2</v>
      </c>
      <c r="U85" s="571"/>
      <c r="V85" s="568"/>
      <c r="W85" s="208"/>
      <c r="Y85" s="573"/>
      <c r="Z85" s="573"/>
    </row>
    <row r="86" spans="1:26">
      <c r="A86" s="143">
        <f>A85+1</f>
        <v>50</v>
      </c>
      <c r="B86" s="130"/>
      <c r="C86" s="130" t="s">
        <v>210</v>
      </c>
      <c r="D86" s="130"/>
      <c r="E86" s="143" t="s">
        <v>204</v>
      </c>
      <c r="F86" s="143"/>
      <c r="G86" s="573">
        <v>0.96972045424185205</v>
      </c>
      <c r="H86" s="130"/>
      <c r="I86" s="573">
        <v>0.98584015962227201</v>
      </c>
      <c r="J86" s="130"/>
      <c r="K86" s="579">
        <f t="shared" si="14"/>
        <v>1.6119705380419957E-2</v>
      </c>
      <c r="L86" s="130"/>
      <c r="M86" s="140">
        <v>88937.574000000008</v>
      </c>
      <c r="N86" s="140"/>
      <c r="O86" s="140">
        <f t="shared" si="19"/>
        <v>14.336474901292981</v>
      </c>
      <c r="P86" s="140"/>
      <c r="Q86" s="140">
        <f t="shared" si="20"/>
        <v>14.336474901292981</v>
      </c>
      <c r="U86" s="571"/>
      <c r="V86" s="568"/>
      <c r="W86" s="208"/>
      <c r="Y86" s="573"/>
      <c r="Z86" s="573"/>
    </row>
    <row r="87" spans="1:26">
      <c r="A87" s="143"/>
      <c r="B87" s="130"/>
      <c r="C87" s="130"/>
      <c r="D87" s="130"/>
      <c r="E87" s="143"/>
      <c r="F87" s="143"/>
      <c r="G87" s="573"/>
      <c r="H87" s="130"/>
      <c r="I87" s="548"/>
      <c r="J87" s="130"/>
      <c r="K87" s="579"/>
      <c r="L87" s="130"/>
      <c r="M87" s="140"/>
      <c r="N87" s="140"/>
      <c r="O87" s="140"/>
      <c r="P87" s="140"/>
      <c r="Q87" s="140"/>
    </row>
    <row r="88" spans="1:26">
      <c r="A88" s="143">
        <f>A86+1</f>
        <v>51</v>
      </c>
      <c r="B88" s="130"/>
      <c r="C88" s="130" t="s">
        <v>211</v>
      </c>
      <c r="D88" s="130"/>
      <c r="E88" s="143" t="s">
        <v>204</v>
      </c>
      <c r="F88" s="143"/>
      <c r="G88" s="573">
        <v>18.339431448884856</v>
      </c>
      <c r="H88" s="130"/>
      <c r="I88" s="573">
        <v>18.340696770632164</v>
      </c>
      <c r="J88" s="130"/>
      <c r="K88" s="579">
        <f t="shared" si="14"/>
        <v>1.2653217473079792E-3</v>
      </c>
      <c r="L88" s="130"/>
      <c r="M88" s="140">
        <v>755.53499999999997</v>
      </c>
      <c r="N88" s="140"/>
      <c r="O88" s="140">
        <f t="shared" ref="O88" si="21">K88*M88/100</f>
        <v>9.5599486635233391E-3</v>
      </c>
      <c r="P88" s="140"/>
      <c r="Q88" s="140">
        <f t="shared" ref="Q88" si="22">O88</f>
        <v>9.5599486635233391E-3</v>
      </c>
      <c r="U88" s="571"/>
      <c r="V88" s="568"/>
      <c r="W88" s="208"/>
      <c r="Y88" s="573"/>
      <c r="Z88" s="573"/>
    </row>
    <row r="89" spans="1:26">
      <c r="A89" s="143"/>
      <c r="B89" s="130"/>
      <c r="C89" s="130"/>
      <c r="D89" s="130"/>
      <c r="E89" s="143"/>
      <c r="F89" s="143"/>
      <c r="G89" s="130"/>
      <c r="H89" s="130"/>
      <c r="I89" s="130"/>
      <c r="J89" s="130"/>
      <c r="K89" s="579"/>
      <c r="L89" s="130"/>
      <c r="M89" s="140"/>
      <c r="N89" s="140"/>
      <c r="O89" s="140"/>
      <c r="P89" s="140"/>
      <c r="Q89" s="140"/>
    </row>
    <row r="90" spans="1:26" ht="13.5" thickBot="1">
      <c r="A90" s="143">
        <f>A88+1</f>
        <v>52</v>
      </c>
      <c r="B90" s="130"/>
      <c r="C90" s="130" t="s">
        <v>227</v>
      </c>
      <c r="D90" s="130"/>
      <c r="E90" s="143"/>
      <c r="F90" s="143"/>
      <c r="G90" s="573"/>
      <c r="H90" s="130"/>
      <c r="I90" s="573"/>
      <c r="J90" s="130"/>
      <c r="K90" s="582"/>
      <c r="L90" s="130"/>
      <c r="M90" s="140"/>
      <c r="N90" s="140"/>
      <c r="O90" s="578">
        <f>O77+O78+O80+O81+O84+O85+O86</f>
        <v>-63.518723412653564</v>
      </c>
      <c r="P90" s="140"/>
      <c r="Q90" s="578">
        <f>Q77+Q78+Q80+Q82+Q84+Q85+Q86</f>
        <v>-63.518723412653564</v>
      </c>
    </row>
    <row r="91" spans="1:26" ht="13.5" thickTop="1">
      <c r="A91" s="143"/>
      <c r="B91" s="130"/>
      <c r="C91" s="130"/>
      <c r="D91" s="130"/>
      <c r="E91" s="143"/>
      <c r="F91" s="143"/>
      <c r="G91" s="130"/>
      <c r="H91" s="130"/>
      <c r="I91" s="130"/>
      <c r="J91" s="130"/>
      <c r="K91" s="579"/>
      <c r="L91" s="130"/>
      <c r="M91" s="140"/>
      <c r="N91" s="140"/>
      <c r="O91" s="140"/>
      <c r="P91" s="140"/>
      <c r="Q91" s="140"/>
    </row>
    <row r="92" spans="1:26">
      <c r="A92" s="143"/>
      <c r="B92" s="130"/>
      <c r="C92" s="130"/>
      <c r="D92" s="130"/>
      <c r="E92" s="143"/>
      <c r="F92" s="143"/>
      <c r="G92" s="130"/>
      <c r="H92" s="130"/>
      <c r="I92" s="130"/>
      <c r="J92" s="130"/>
      <c r="K92" s="579"/>
      <c r="L92" s="130"/>
      <c r="M92" s="140"/>
      <c r="N92" s="140"/>
      <c r="O92" s="140"/>
      <c r="P92" s="140"/>
      <c r="Q92" s="140"/>
    </row>
    <row r="93" spans="1:26">
      <c r="A93" s="143"/>
      <c r="B93" s="130"/>
      <c r="C93" s="130"/>
      <c r="D93" s="130"/>
      <c r="E93" s="143"/>
      <c r="F93" s="143"/>
      <c r="G93" s="130"/>
      <c r="H93" s="130"/>
      <c r="I93" s="130"/>
      <c r="J93" s="130"/>
      <c r="K93" s="579"/>
      <c r="L93" s="130"/>
      <c r="M93" s="140"/>
      <c r="N93" s="140"/>
      <c r="O93" s="140"/>
      <c r="P93" s="140"/>
      <c r="Q93" s="140"/>
    </row>
    <row r="94" spans="1:26">
      <c r="A94" s="143"/>
      <c r="B94" s="130"/>
      <c r="C94" s="130"/>
      <c r="D94" s="130"/>
      <c r="E94" s="143"/>
      <c r="F94" s="143"/>
      <c r="G94" s="130"/>
      <c r="H94" s="130"/>
      <c r="I94" s="130"/>
      <c r="J94" s="130"/>
      <c r="K94" s="579"/>
      <c r="L94" s="130"/>
      <c r="M94" s="140"/>
      <c r="N94" s="140"/>
      <c r="O94" s="140"/>
      <c r="P94" s="140"/>
      <c r="Q94" s="140"/>
    </row>
    <row r="95" spans="1:26">
      <c r="A95" s="1295" t="s">
        <v>191</v>
      </c>
      <c r="B95" s="1305"/>
      <c r="C95" s="1305"/>
      <c r="D95" s="1305"/>
      <c r="E95" s="1305"/>
      <c r="F95" s="1305"/>
      <c r="G95" s="1305"/>
      <c r="H95" s="1305"/>
      <c r="I95" s="1305"/>
      <c r="J95" s="1305"/>
      <c r="K95" s="1305"/>
      <c r="L95" s="1305"/>
      <c r="M95" s="1305"/>
      <c r="N95" s="1305"/>
      <c r="O95" s="1305"/>
      <c r="P95" s="1305"/>
      <c r="Q95" s="1305"/>
    </row>
    <row r="96" spans="1:26">
      <c r="A96" s="1295" t="s">
        <v>228</v>
      </c>
      <c r="B96" s="1295"/>
      <c r="C96" s="1295"/>
      <c r="D96" s="1295"/>
      <c r="E96" s="1295"/>
      <c r="F96" s="1295"/>
      <c r="G96" s="1295"/>
      <c r="H96" s="1295"/>
      <c r="I96" s="1295"/>
      <c r="J96" s="1295"/>
      <c r="K96" s="1295"/>
      <c r="L96" s="1295"/>
      <c r="M96" s="1295"/>
      <c r="N96" s="1295"/>
      <c r="O96" s="1295"/>
      <c r="P96" s="1295"/>
      <c r="Q96" s="1295"/>
    </row>
    <row r="97" spans="1:26">
      <c r="A97" s="143"/>
      <c r="B97" s="130"/>
      <c r="C97" s="130"/>
      <c r="D97" s="130"/>
      <c r="E97" s="130"/>
      <c r="F97" s="130"/>
      <c r="G97" s="143"/>
      <c r="H97" s="143"/>
      <c r="I97" s="143"/>
      <c r="J97" s="130"/>
      <c r="K97" s="143"/>
      <c r="L97" s="130"/>
      <c r="M97" s="143"/>
      <c r="N97" s="130"/>
      <c r="O97" s="130"/>
      <c r="P97" s="130"/>
      <c r="Q97" s="130"/>
    </row>
    <row r="98" spans="1:26">
      <c r="A98" s="143"/>
      <c r="B98" s="130"/>
      <c r="C98" s="130"/>
      <c r="D98" s="130"/>
      <c r="E98" s="130"/>
      <c r="F98" s="130"/>
      <c r="G98" s="130"/>
      <c r="H98" s="130"/>
      <c r="I98" s="130"/>
      <c r="J98" s="130"/>
      <c r="K98" s="130"/>
      <c r="L98" s="130"/>
      <c r="M98" s="130"/>
      <c r="N98" s="130"/>
      <c r="O98" s="143" t="s">
        <v>192</v>
      </c>
      <c r="P98" s="130"/>
      <c r="Q98" s="143" t="s">
        <v>160</v>
      </c>
    </row>
    <row r="99" spans="1:26">
      <c r="A99" s="143" t="s">
        <v>1</v>
      </c>
      <c r="B99" s="130"/>
      <c r="C99" s="130"/>
      <c r="D99" s="130"/>
      <c r="E99" s="130"/>
      <c r="F99" s="130"/>
      <c r="G99" s="143" t="s">
        <v>5</v>
      </c>
      <c r="H99" s="130"/>
      <c r="I99" s="143" t="s">
        <v>6</v>
      </c>
      <c r="J99" s="130"/>
      <c r="K99" s="143" t="s">
        <v>148</v>
      </c>
      <c r="L99" s="130"/>
      <c r="M99" s="143" t="s">
        <v>193</v>
      </c>
      <c r="N99" s="130"/>
      <c r="O99" s="143" t="s">
        <v>194</v>
      </c>
      <c r="P99" s="130"/>
      <c r="Q99" s="143" t="s">
        <v>195</v>
      </c>
    </row>
    <row r="100" spans="1:26">
      <c r="A100" s="215" t="s">
        <v>2</v>
      </c>
      <c r="B100" s="130"/>
      <c r="C100" s="450" t="s">
        <v>3</v>
      </c>
      <c r="D100" s="130"/>
      <c r="E100" s="215" t="s">
        <v>4</v>
      </c>
      <c r="F100" s="143"/>
      <c r="G100" s="215" t="s">
        <v>196</v>
      </c>
      <c r="H100" s="130"/>
      <c r="I100" s="215" t="s">
        <v>197</v>
      </c>
      <c r="J100" s="130"/>
      <c r="K100" s="215" t="s">
        <v>194</v>
      </c>
      <c r="L100" s="130"/>
      <c r="M100" s="215" t="s">
        <v>198</v>
      </c>
      <c r="N100" s="130"/>
      <c r="O100" s="215" t="s">
        <v>20</v>
      </c>
      <c r="P100" s="130"/>
      <c r="Q100" s="215" t="s">
        <v>20</v>
      </c>
    </row>
    <row r="101" spans="1:26">
      <c r="A101" s="143"/>
      <c r="B101" s="130"/>
      <c r="C101" s="130"/>
      <c r="D101" s="130"/>
      <c r="E101" s="130"/>
      <c r="F101" s="130"/>
      <c r="G101" s="218" t="s">
        <v>8</v>
      </c>
      <c r="H101" s="143"/>
      <c r="I101" s="218" t="s">
        <v>9</v>
      </c>
      <c r="J101" s="143"/>
      <c r="K101" s="218" t="s">
        <v>10</v>
      </c>
      <c r="L101" s="130"/>
      <c r="M101" s="218" t="s">
        <v>79</v>
      </c>
      <c r="N101" s="130"/>
      <c r="O101" s="218" t="s">
        <v>199</v>
      </c>
      <c r="P101" s="130"/>
      <c r="Q101" s="143" t="s">
        <v>81</v>
      </c>
    </row>
    <row r="102" spans="1:26">
      <c r="A102" s="143"/>
      <c r="B102" s="130"/>
      <c r="C102" s="546" t="s">
        <v>167</v>
      </c>
      <c r="D102" s="130"/>
      <c r="E102" s="143"/>
      <c r="F102" s="143"/>
      <c r="G102" s="130"/>
      <c r="H102" s="130"/>
      <c r="I102" s="130"/>
      <c r="J102" s="130"/>
      <c r="K102" s="579"/>
      <c r="L102" s="130"/>
      <c r="M102" s="140"/>
      <c r="N102" s="140"/>
      <c r="O102" s="140"/>
      <c r="P102" s="140"/>
      <c r="Q102" s="140"/>
    </row>
    <row r="103" spans="1:26">
      <c r="A103" s="143">
        <f>A90+1</f>
        <v>53</v>
      </c>
      <c r="B103" s="130"/>
      <c r="C103" s="130" t="s">
        <v>200</v>
      </c>
      <c r="D103" s="130"/>
      <c r="E103" s="143" t="s">
        <v>201</v>
      </c>
      <c r="F103" s="143"/>
      <c r="G103" s="128">
        <v>546.96967474977816</v>
      </c>
      <c r="H103" s="584"/>
      <c r="I103" s="128">
        <v>561.71880854966435</v>
      </c>
      <c r="J103" s="584"/>
      <c r="K103" s="128">
        <f>I103-G103</f>
        <v>14.749133799886181</v>
      </c>
      <c r="L103" s="130"/>
      <c r="M103" s="140">
        <v>16.000009514245104</v>
      </c>
      <c r="N103" s="140"/>
      <c r="O103" s="140">
        <f>K103*M103/1000</f>
        <v>0.23598628112505293</v>
      </c>
      <c r="P103" s="140"/>
      <c r="Q103" s="140"/>
      <c r="U103" s="571"/>
      <c r="Y103" s="573"/>
      <c r="Z103" s="573"/>
    </row>
    <row r="104" spans="1:26">
      <c r="A104" s="143"/>
      <c r="B104" s="130"/>
      <c r="C104" s="130"/>
      <c r="D104" s="130"/>
      <c r="E104" s="143"/>
      <c r="F104" s="143"/>
      <c r="G104" s="130"/>
      <c r="H104" s="130"/>
      <c r="I104" s="130"/>
      <c r="J104" s="130"/>
      <c r="K104" s="579"/>
      <c r="L104" s="130"/>
      <c r="M104" s="140"/>
      <c r="N104" s="140"/>
      <c r="O104" s="140"/>
      <c r="P104" s="140"/>
      <c r="Q104" s="140"/>
    </row>
    <row r="105" spans="1:26">
      <c r="A105" s="143">
        <f>A103+1</f>
        <v>54</v>
      </c>
      <c r="B105" s="130"/>
      <c r="C105" s="130" t="s">
        <v>221</v>
      </c>
      <c r="D105" s="130"/>
      <c r="E105" s="143" t="s">
        <v>222</v>
      </c>
      <c r="F105" s="143"/>
      <c r="G105" s="573">
        <v>11.212672899678186</v>
      </c>
      <c r="H105" s="130"/>
      <c r="I105" s="573">
        <v>11.518396529620844</v>
      </c>
      <c r="J105" s="130"/>
      <c r="K105" s="579">
        <f>I105-G105</f>
        <v>0.30572362994265845</v>
      </c>
      <c r="L105" s="130"/>
      <c r="M105" s="140">
        <v>37041.428</v>
      </c>
      <c r="N105" s="140"/>
      <c r="O105" s="140">
        <f>K105*M105/100</f>
        <v>113.24439826419626</v>
      </c>
      <c r="P105" s="140"/>
      <c r="Q105" s="140">
        <f>O103+O105</f>
        <v>113.48038454532131</v>
      </c>
      <c r="U105" s="571"/>
      <c r="V105" s="568"/>
      <c r="W105" s="208"/>
      <c r="Y105" s="573"/>
      <c r="Z105" s="573"/>
    </row>
    <row r="106" spans="1:26">
      <c r="A106" s="143"/>
      <c r="B106" s="130"/>
      <c r="C106" s="130"/>
      <c r="D106" s="130"/>
      <c r="E106" s="143"/>
      <c r="F106" s="143"/>
      <c r="G106" s="130"/>
      <c r="H106" s="130"/>
      <c r="I106" s="130"/>
      <c r="J106" s="130"/>
      <c r="K106" s="579"/>
      <c r="L106" s="130"/>
      <c r="M106" s="140"/>
      <c r="N106" s="140"/>
      <c r="O106" s="140"/>
      <c r="P106" s="140"/>
      <c r="Q106" s="140"/>
    </row>
    <row r="107" spans="1:26">
      <c r="A107" s="143">
        <f>A105+1</f>
        <v>55</v>
      </c>
      <c r="B107" s="130"/>
      <c r="C107" s="130" t="s">
        <v>229</v>
      </c>
      <c r="D107" s="130"/>
      <c r="E107" s="143" t="s">
        <v>222</v>
      </c>
      <c r="F107" s="143"/>
      <c r="G107" s="130">
        <v>20.749300000000002</v>
      </c>
      <c r="H107" s="130"/>
      <c r="I107" s="573">
        <v>25.320264229554823</v>
      </c>
      <c r="J107" s="130"/>
      <c r="K107" s="586">
        <f>I107-G107</f>
        <v>4.5709642295548214</v>
      </c>
      <c r="L107" s="130"/>
      <c r="M107" s="219">
        <v>945</v>
      </c>
      <c r="N107" s="219"/>
      <c r="O107" s="219">
        <f>K107*M107/100</f>
        <v>43.195611969293061</v>
      </c>
      <c r="P107" s="219"/>
      <c r="Q107" s="219">
        <f>O107</f>
        <v>43.195611969293061</v>
      </c>
      <c r="U107" s="571"/>
      <c r="V107" s="568"/>
      <c r="W107" s="208"/>
      <c r="Y107" s="573"/>
      <c r="Z107" s="573"/>
    </row>
    <row r="108" spans="1:26">
      <c r="A108" s="143"/>
      <c r="B108" s="130"/>
      <c r="C108" s="130"/>
      <c r="D108" s="130"/>
      <c r="E108" s="143"/>
      <c r="F108" s="143"/>
      <c r="G108" s="130"/>
      <c r="H108" s="130"/>
      <c r="I108" s="130"/>
      <c r="J108" s="130"/>
      <c r="K108" s="579"/>
      <c r="L108" s="130"/>
      <c r="M108" s="140"/>
      <c r="N108" s="140"/>
      <c r="O108" s="140"/>
      <c r="P108" s="140"/>
      <c r="Q108" s="140"/>
    </row>
    <row r="109" spans="1:26" ht="13.5" thickBot="1">
      <c r="A109" s="143">
        <f>A107+1</f>
        <v>56</v>
      </c>
      <c r="B109" s="130"/>
      <c r="C109" s="130" t="s">
        <v>230</v>
      </c>
      <c r="D109" s="130"/>
      <c r="E109" s="143"/>
      <c r="F109" s="143"/>
      <c r="G109" s="573"/>
      <c r="H109" s="130"/>
      <c r="I109" s="573"/>
      <c r="J109" s="130"/>
      <c r="K109" s="582"/>
      <c r="L109" s="130"/>
      <c r="M109" s="140"/>
      <c r="N109" s="140"/>
      <c r="O109" s="578">
        <f>SUM(O103:O107)</f>
        <v>156.67599651461438</v>
      </c>
      <c r="P109" s="140"/>
      <c r="Q109" s="578">
        <f>SUM(Q103:Q107)</f>
        <v>156.67599651461438</v>
      </c>
    </row>
    <row r="110" spans="1:26" ht="13.5" thickTop="1">
      <c r="A110" s="130"/>
      <c r="B110" s="130"/>
      <c r="C110" s="130"/>
      <c r="D110" s="130"/>
      <c r="E110" s="130"/>
      <c r="F110" s="130"/>
      <c r="G110" s="130"/>
      <c r="H110" s="130"/>
      <c r="I110" s="130"/>
      <c r="J110" s="130"/>
      <c r="K110" s="130"/>
      <c r="L110" s="130"/>
      <c r="M110" s="130"/>
      <c r="N110" s="130"/>
      <c r="O110" s="130"/>
      <c r="P110" s="130"/>
      <c r="Q110" s="130"/>
      <c r="T110" s="141"/>
      <c r="U110" s="141"/>
    </row>
    <row r="111" spans="1:26">
      <c r="A111" s="143"/>
      <c r="B111" s="130"/>
      <c r="C111" s="546" t="s">
        <v>168</v>
      </c>
      <c r="D111" s="130"/>
      <c r="E111" s="143"/>
      <c r="F111" s="143"/>
      <c r="G111" s="130"/>
      <c r="H111" s="130"/>
      <c r="I111" s="130"/>
      <c r="J111" s="130"/>
      <c r="K111" s="579"/>
      <c r="L111" s="130"/>
      <c r="M111" s="140"/>
      <c r="N111" s="140"/>
      <c r="O111" s="140"/>
      <c r="P111" s="140"/>
      <c r="Q111" s="140"/>
    </row>
    <row r="112" spans="1:26">
      <c r="A112" s="143"/>
      <c r="B112" s="130"/>
      <c r="C112" s="130" t="s">
        <v>231</v>
      </c>
      <c r="D112" s="130"/>
      <c r="E112" s="143"/>
      <c r="F112" s="143"/>
      <c r="G112" s="130"/>
      <c r="H112" s="130"/>
      <c r="I112" s="130"/>
      <c r="J112" s="130"/>
      <c r="K112" s="579"/>
      <c r="L112" s="130"/>
      <c r="M112" s="140"/>
      <c r="N112" s="140"/>
      <c r="O112" s="140"/>
      <c r="P112" s="140"/>
      <c r="Q112" s="140"/>
    </row>
    <row r="113" spans="1:26">
      <c r="A113" s="143">
        <f>A109+1</f>
        <v>57</v>
      </c>
      <c r="B113" s="130"/>
      <c r="C113" s="130" t="s">
        <v>232</v>
      </c>
      <c r="D113" s="130"/>
      <c r="E113" s="143" t="s">
        <v>201</v>
      </c>
      <c r="F113" s="143"/>
      <c r="G113" s="128">
        <v>125.890540340409</v>
      </c>
      <c r="H113" s="584"/>
      <c r="I113" s="128">
        <v>129.28520097579084</v>
      </c>
      <c r="J113" s="584"/>
      <c r="K113" s="128">
        <f>I113-G113</f>
        <v>3.3946606353818396</v>
      </c>
      <c r="L113" s="130"/>
      <c r="M113" s="219">
        <v>122.99947206620826</v>
      </c>
      <c r="N113" s="140"/>
      <c r="O113" s="140">
        <f t="shared" ref="O113" si="23">K113*M113/1000</f>
        <v>0.41754146599590536</v>
      </c>
      <c r="P113" s="140"/>
      <c r="Q113" s="140"/>
      <c r="U113" s="571"/>
      <c r="Y113" s="573"/>
      <c r="Z113" s="573"/>
    </row>
    <row r="114" spans="1:26">
      <c r="A114" s="143"/>
      <c r="B114" s="130"/>
      <c r="C114" s="130" t="s">
        <v>233</v>
      </c>
      <c r="D114" s="130"/>
      <c r="E114" s="143"/>
      <c r="F114" s="143"/>
      <c r="G114" s="130"/>
      <c r="H114" s="130"/>
      <c r="I114" s="130"/>
      <c r="J114" s="130"/>
      <c r="K114" s="579"/>
      <c r="L114" s="130"/>
      <c r="M114" s="140"/>
      <c r="N114" s="140"/>
      <c r="O114" s="140"/>
      <c r="P114" s="140"/>
      <c r="Q114" s="140"/>
      <c r="Y114" s="573"/>
    </row>
    <row r="115" spans="1:26">
      <c r="A115" s="143">
        <f>A113+1</f>
        <v>58</v>
      </c>
      <c r="B115" s="130"/>
      <c r="C115" s="130" t="s">
        <v>234</v>
      </c>
      <c r="D115" s="130"/>
      <c r="E115" s="143" t="s">
        <v>204</v>
      </c>
      <c r="F115" s="143"/>
      <c r="G115" s="573">
        <v>8.7071583280414799</v>
      </c>
      <c r="H115" s="130"/>
      <c r="I115" s="573">
        <v>10.283357152719793</v>
      </c>
      <c r="J115" s="130"/>
      <c r="K115" s="579">
        <f>I115-G115</f>
        <v>1.576198824678313</v>
      </c>
      <c r="L115" s="130"/>
      <c r="M115" s="140">
        <v>81.460000000000008</v>
      </c>
      <c r="N115" s="140"/>
      <c r="O115" s="140">
        <f>K115*M115/100</f>
        <v>1.2839715625829538</v>
      </c>
      <c r="P115" s="140"/>
      <c r="Q115" s="140"/>
      <c r="U115" s="571"/>
      <c r="V115" s="568"/>
      <c r="W115" s="208"/>
      <c r="Y115" s="573"/>
      <c r="Z115" s="573"/>
    </row>
    <row r="116" spans="1:26">
      <c r="A116" s="143">
        <f>A115+1</f>
        <v>59</v>
      </c>
      <c r="B116" s="130"/>
      <c r="C116" s="130" t="s">
        <v>235</v>
      </c>
      <c r="D116" s="130"/>
      <c r="E116" s="143" t="s">
        <v>204</v>
      </c>
      <c r="F116" s="143"/>
      <c r="G116" s="573">
        <v>7.2307643883583737</v>
      </c>
      <c r="H116" s="130"/>
      <c r="I116" s="573">
        <v>8.7671456749188206</v>
      </c>
      <c r="J116" s="130"/>
      <c r="K116" s="579">
        <f>I116-G116</f>
        <v>1.5363812865604469</v>
      </c>
      <c r="L116" s="130"/>
      <c r="M116" s="140">
        <v>256.63600000000002</v>
      </c>
      <c r="N116" s="140"/>
      <c r="O116" s="140">
        <f t="shared" ref="O116:O117" si="24">K116*M116/100</f>
        <v>3.9429074785772689</v>
      </c>
      <c r="P116" s="140"/>
      <c r="Q116" s="140"/>
      <c r="U116" s="571"/>
      <c r="V116" s="568"/>
      <c r="W116" s="208"/>
      <c r="Y116" s="573"/>
      <c r="Z116" s="573"/>
    </row>
    <row r="117" spans="1:26">
      <c r="A117" s="143">
        <f>A116+1</f>
        <v>60</v>
      </c>
      <c r="B117" s="130"/>
      <c r="C117" s="130" t="s">
        <v>236</v>
      </c>
      <c r="D117" s="130"/>
      <c r="E117" s="143" t="s">
        <v>204</v>
      </c>
      <c r="F117" s="143"/>
      <c r="G117" s="573">
        <v>6.6456319318883716</v>
      </c>
      <c r="H117" s="130"/>
      <c r="I117" s="573">
        <v>8.1662371514573717</v>
      </c>
      <c r="J117" s="130"/>
      <c r="K117" s="579">
        <f>I117-G117</f>
        <v>1.5206052195690001</v>
      </c>
      <c r="L117" s="130"/>
      <c r="M117" s="581">
        <v>61.711999999999996</v>
      </c>
      <c r="N117" s="140"/>
      <c r="O117" s="581">
        <f t="shared" si="24"/>
        <v>0.93839589310042126</v>
      </c>
      <c r="P117" s="140"/>
      <c r="Q117" s="130"/>
      <c r="U117" s="571"/>
      <c r="V117" s="568"/>
      <c r="W117" s="208"/>
      <c r="Y117" s="573"/>
      <c r="Z117" s="573"/>
    </row>
    <row r="118" spans="1:26">
      <c r="A118" s="143">
        <f>A117+1</f>
        <v>61</v>
      </c>
      <c r="B118" s="130"/>
      <c r="C118" s="130" t="s">
        <v>202</v>
      </c>
      <c r="D118" s="130"/>
      <c r="E118" s="143"/>
      <c r="F118" s="143"/>
      <c r="G118" s="573"/>
      <c r="H118" s="130"/>
      <c r="I118" s="573"/>
      <c r="J118" s="130"/>
      <c r="K118" s="579"/>
      <c r="L118" s="130"/>
      <c r="M118" s="140">
        <f>SUM(M115:M117)</f>
        <v>399.80799999999999</v>
      </c>
      <c r="N118" s="140"/>
      <c r="O118" s="140">
        <f>SUM(O115:O117)</f>
        <v>6.1652749342606432</v>
      </c>
      <c r="P118" s="140"/>
      <c r="Q118" s="140">
        <f>SUM(O113:O117)</f>
        <v>6.582816400256549</v>
      </c>
      <c r="Z118" s="573"/>
    </row>
    <row r="119" spans="1:26">
      <c r="A119" s="143"/>
      <c r="B119" s="130"/>
      <c r="C119" s="130"/>
      <c r="D119" s="130"/>
      <c r="E119" s="130"/>
      <c r="F119" s="130"/>
      <c r="G119" s="130"/>
      <c r="H119" s="130"/>
      <c r="I119" s="130"/>
      <c r="J119" s="130"/>
      <c r="K119" s="130"/>
      <c r="L119" s="130"/>
      <c r="M119" s="130"/>
      <c r="N119" s="130"/>
      <c r="O119" s="130"/>
      <c r="P119" s="130"/>
      <c r="Q119" s="130"/>
    </row>
    <row r="120" spans="1:26">
      <c r="A120" s="143"/>
      <c r="B120" s="130"/>
      <c r="C120" s="130" t="s">
        <v>237</v>
      </c>
      <c r="D120" s="130"/>
      <c r="E120" s="143"/>
      <c r="F120" s="143"/>
      <c r="G120" s="130"/>
      <c r="H120" s="130"/>
      <c r="I120" s="130"/>
      <c r="J120" s="130"/>
      <c r="K120" s="579"/>
      <c r="L120" s="130"/>
      <c r="M120" s="140"/>
      <c r="N120" s="140"/>
      <c r="O120" s="140"/>
      <c r="P120" s="140"/>
      <c r="Q120" s="140"/>
    </row>
    <row r="121" spans="1:26">
      <c r="A121" s="143">
        <f>A118+1</f>
        <v>62</v>
      </c>
      <c r="B121" s="130"/>
      <c r="C121" s="130" t="s">
        <v>232</v>
      </c>
      <c r="D121" s="130"/>
      <c r="E121" s="143" t="s">
        <v>201</v>
      </c>
      <c r="F121" s="143"/>
      <c r="G121" s="128">
        <v>125.890540340409</v>
      </c>
      <c r="H121" s="584"/>
      <c r="I121" s="128">
        <v>129.28520097579084</v>
      </c>
      <c r="J121" s="584"/>
      <c r="K121" s="128">
        <f t="shared" ref="K121" si="25">I121-G121</f>
        <v>3.3946606353818396</v>
      </c>
      <c r="L121" s="130"/>
      <c r="M121" s="219">
        <v>40.999824022069419</v>
      </c>
      <c r="N121" s="140"/>
      <c r="O121" s="140">
        <f t="shared" ref="O121" si="26">K121*M121/1000</f>
        <v>0.1391804886653018</v>
      </c>
      <c r="P121" s="140"/>
      <c r="Q121" s="140"/>
      <c r="U121" s="571"/>
    </row>
    <row r="122" spans="1:26">
      <c r="A122" s="143"/>
      <c r="B122" s="130"/>
      <c r="C122" s="130" t="s">
        <v>233</v>
      </c>
      <c r="D122" s="130"/>
      <c r="E122" s="143"/>
      <c r="F122" s="143"/>
      <c r="G122" s="130"/>
      <c r="H122" s="130"/>
      <c r="I122" s="130"/>
      <c r="J122" s="130"/>
      <c r="K122" s="579"/>
      <c r="L122" s="130"/>
      <c r="M122" s="140"/>
      <c r="N122" s="140"/>
      <c r="O122" s="140"/>
      <c r="P122" s="140"/>
      <c r="Q122" s="140"/>
      <c r="U122" s="587"/>
      <c r="V122" s="587"/>
      <c r="W122" s="587"/>
    </row>
    <row r="123" spans="1:26">
      <c r="A123" s="143">
        <f>A121+1</f>
        <v>63</v>
      </c>
      <c r="B123" s="130"/>
      <c r="C123" s="130" t="s">
        <v>234</v>
      </c>
      <c r="D123" s="130"/>
      <c r="E123" s="143" t="s">
        <v>204</v>
      </c>
      <c r="F123" s="143"/>
      <c r="G123" s="573">
        <v>3.0187054350434206</v>
      </c>
      <c r="H123" s="130"/>
      <c r="I123" s="573">
        <v>4.4415134359133326</v>
      </c>
      <c r="J123" s="130"/>
      <c r="K123" s="579">
        <f>I123-G123</f>
        <v>1.422808000869912</v>
      </c>
      <c r="L123" s="130"/>
      <c r="M123" s="219">
        <v>354.75</v>
      </c>
      <c r="N123" s="219"/>
      <c r="O123" s="219">
        <f t="shared" ref="O123:O125" si="27">K123*M123/100</f>
        <v>5.047411383086013</v>
      </c>
      <c r="P123" s="219"/>
      <c r="Q123" s="219"/>
      <c r="U123" s="588"/>
      <c r="V123" s="587"/>
      <c r="W123" s="589"/>
      <c r="Y123" s="573"/>
      <c r="Z123" s="573"/>
    </row>
    <row r="124" spans="1:26">
      <c r="A124" s="143">
        <f>A123+1</f>
        <v>64</v>
      </c>
      <c r="B124" s="130"/>
      <c r="C124" s="130" t="s">
        <v>235</v>
      </c>
      <c r="D124" s="130"/>
      <c r="E124" s="143" t="s">
        <v>204</v>
      </c>
      <c r="F124" s="143"/>
      <c r="G124" s="573">
        <v>2.1834219027636586</v>
      </c>
      <c r="H124" s="130"/>
      <c r="I124" s="573">
        <v>3.5837068513820616</v>
      </c>
      <c r="J124" s="130"/>
      <c r="K124" s="579">
        <f>I124-G124</f>
        <v>1.400284948618403</v>
      </c>
      <c r="L124" s="130"/>
      <c r="M124" s="140">
        <v>386.06799999999998</v>
      </c>
      <c r="N124" s="140"/>
      <c r="O124" s="140">
        <f t="shared" si="27"/>
        <v>5.4060520954320967</v>
      </c>
      <c r="P124" s="140"/>
      <c r="Q124" s="140"/>
      <c r="U124" s="588"/>
      <c r="V124" s="587"/>
      <c r="W124" s="589"/>
      <c r="Y124" s="573"/>
      <c r="Z124" s="573"/>
    </row>
    <row r="125" spans="1:26">
      <c r="A125" s="143">
        <f>A124+1</f>
        <v>65</v>
      </c>
      <c r="B125" s="130"/>
      <c r="C125" s="130" t="s">
        <v>236</v>
      </c>
      <c r="D125" s="130"/>
      <c r="E125" s="143" t="s">
        <v>204</v>
      </c>
      <c r="F125" s="143"/>
      <c r="G125" s="573">
        <v>1.9276317065247057</v>
      </c>
      <c r="H125" s="130"/>
      <c r="I125" s="573">
        <v>3.3210192375823926</v>
      </c>
      <c r="J125" s="130"/>
      <c r="K125" s="579">
        <f>I125-G125</f>
        <v>1.3933875310576869</v>
      </c>
      <c r="L125" s="130"/>
      <c r="M125" s="581">
        <v>408.79199999999997</v>
      </c>
      <c r="N125" s="140"/>
      <c r="O125" s="581">
        <f t="shared" si="27"/>
        <v>5.6960567559613393</v>
      </c>
      <c r="P125" s="140"/>
      <c r="Q125" s="130"/>
      <c r="U125" s="588"/>
      <c r="V125" s="587"/>
      <c r="W125" s="589"/>
      <c r="Y125" s="573"/>
      <c r="Z125" s="573"/>
    </row>
    <row r="126" spans="1:26">
      <c r="A126" s="143">
        <f>A125+1</f>
        <v>66</v>
      </c>
      <c r="B126" s="130"/>
      <c r="C126" s="130" t="s">
        <v>202</v>
      </c>
      <c r="D126" s="130"/>
      <c r="E126" s="143"/>
      <c r="F126" s="143"/>
      <c r="G126" s="573"/>
      <c r="H126" s="130"/>
      <c r="I126" s="573"/>
      <c r="J126" s="130"/>
      <c r="K126" s="582"/>
      <c r="L126" s="130"/>
      <c r="M126" s="140">
        <f>SUM(M123:M125)</f>
        <v>1149.6099999999999</v>
      </c>
      <c r="N126" s="140"/>
      <c r="O126" s="140">
        <f>SUM(O123:O125)</f>
        <v>16.14952023447945</v>
      </c>
      <c r="P126" s="140"/>
      <c r="Q126" s="140">
        <f>SUM(O121:O125)</f>
        <v>16.28870072314475</v>
      </c>
    </row>
    <row r="127" spans="1:26">
      <c r="A127" s="143"/>
      <c r="B127" s="130"/>
      <c r="C127" s="130"/>
      <c r="D127" s="130"/>
      <c r="E127" s="143"/>
      <c r="F127" s="143"/>
      <c r="G127" s="130"/>
      <c r="H127" s="130"/>
      <c r="I127" s="130"/>
      <c r="J127" s="130"/>
      <c r="K127" s="579"/>
      <c r="L127" s="130"/>
      <c r="M127" s="140"/>
      <c r="N127" s="140"/>
      <c r="O127" s="140"/>
      <c r="P127" s="140"/>
      <c r="Q127" s="140"/>
    </row>
    <row r="128" spans="1:26">
      <c r="A128" s="143">
        <f>A126+1</f>
        <v>67</v>
      </c>
      <c r="B128" s="130"/>
      <c r="C128" s="130" t="s">
        <v>208</v>
      </c>
      <c r="D128" s="130"/>
      <c r="E128" s="143" t="s">
        <v>204</v>
      </c>
      <c r="F128" s="143"/>
      <c r="G128" s="583">
        <v>0</v>
      </c>
      <c r="H128" s="130"/>
      <c r="I128" s="573">
        <v>0</v>
      </c>
      <c r="J128" s="130"/>
      <c r="K128" s="579">
        <f>I128-G128</f>
        <v>0</v>
      </c>
      <c r="L128" s="130"/>
      <c r="M128" s="140">
        <v>1549.4179999999999</v>
      </c>
      <c r="N128" s="140"/>
      <c r="O128" s="140">
        <f t="shared" ref="O128:O130" si="28">K128*M128/100</f>
        <v>0</v>
      </c>
      <c r="P128" s="140"/>
      <c r="Q128" s="590">
        <f>O128</f>
        <v>0</v>
      </c>
      <c r="U128" s="588"/>
      <c r="V128" s="587"/>
      <c r="W128" s="589"/>
      <c r="Y128" s="573"/>
      <c r="Z128" s="573"/>
    </row>
    <row r="129" spans="1:26">
      <c r="A129" s="143">
        <f>A128+1</f>
        <v>68</v>
      </c>
      <c r="B129" s="130"/>
      <c r="C129" s="130" t="s">
        <v>209</v>
      </c>
      <c r="D129" s="130"/>
      <c r="E129" s="143" t="s">
        <v>204</v>
      </c>
      <c r="F129" s="143"/>
      <c r="G129" s="573">
        <v>3.9267447076426962</v>
      </c>
      <c r="H129" s="130"/>
      <c r="I129" s="573">
        <v>3.9287740294133648</v>
      </c>
      <c r="J129" s="130"/>
      <c r="K129" s="579">
        <f>I129-G129</f>
        <v>2.0293217706686129E-3</v>
      </c>
      <c r="L129" s="130"/>
      <c r="M129" s="140">
        <v>337.80499999999995</v>
      </c>
      <c r="N129" s="140"/>
      <c r="O129" s="140">
        <f t="shared" si="28"/>
        <v>6.8551504074071071E-3</v>
      </c>
      <c r="P129" s="140"/>
      <c r="Q129" s="140">
        <f t="shared" ref="Q129:Q130" si="29">O129</f>
        <v>6.8551504074071071E-3</v>
      </c>
      <c r="U129" s="588"/>
      <c r="V129" s="587"/>
      <c r="W129" s="589"/>
      <c r="Y129" s="573"/>
      <c r="Z129" s="573"/>
    </row>
    <row r="130" spans="1:26">
      <c r="A130" s="143">
        <f>A129+1</f>
        <v>69</v>
      </c>
      <c r="B130" s="130"/>
      <c r="C130" s="130" t="s">
        <v>210</v>
      </c>
      <c r="D130" s="130"/>
      <c r="E130" s="143" t="s">
        <v>204</v>
      </c>
      <c r="F130" s="143"/>
      <c r="G130" s="573">
        <v>0.96972153366292246</v>
      </c>
      <c r="H130" s="130"/>
      <c r="I130" s="573">
        <v>0.98584157799663263</v>
      </c>
      <c r="J130" s="130"/>
      <c r="K130" s="579">
        <f>I130-G130</f>
        <v>1.6120044333710171E-2</v>
      </c>
      <c r="L130" s="130"/>
      <c r="M130" s="140">
        <v>1211.6110000000001</v>
      </c>
      <c r="N130" s="140"/>
      <c r="O130" s="140">
        <f t="shared" si="28"/>
        <v>0.19531223035210915</v>
      </c>
      <c r="P130" s="140"/>
      <c r="Q130" s="140">
        <f t="shared" si="29"/>
        <v>0.19531223035210915</v>
      </c>
      <c r="U130" s="588"/>
      <c r="V130" s="587"/>
      <c r="W130" s="589"/>
      <c r="Y130" s="573"/>
      <c r="Z130" s="573"/>
    </row>
    <row r="131" spans="1:26">
      <c r="A131" s="143"/>
      <c r="B131" s="130"/>
      <c r="C131" s="130"/>
      <c r="D131" s="130"/>
      <c r="E131" s="143"/>
      <c r="F131" s="143"/>
      <c r="G131" s="573"/>
      <c r="H131" s="130"/>
      <c r="I131" s="548"/>
      <c r="J131" s="130"/>
      <c r="K131" s="579"/>
      <c r="L131" s="130"/>
      <c r="M131" s="140"/>
      <c r="N131" s="140"/>
      <c r="O131" s="140"/>
      <c r="P131" s="140"/>
      <c r="Q131" s="140"/>
    </row>
    <row r="132" spans="1:26">
      <c r="A132" s="143">
        <f>A130+1</f>
        <v>70</v>
      </c>
      <c r="B132" s="130"/>
      <c r="C132" s="130" t="s">
        <v>211</v>
      </c>
      <c r="D132" s="130"/>
      <c r="E132" s="143" t="s">
        <v>204</v>
      </c>
      <c r="F132" s="143"/>
      <c r="G132" s="573">
        <v>18.34709332635693</v>
      </c>
      <c r="H132" s="130"/>
      <c r="I132" s="573">
        <v>18.348566486873537</v>
      </c>
      <c r="J132" s="130"/>
      <c r="K132" s="579">
        <f>I132-G132</f>
        <v>1.4731605166069528E-3</v>
      </c>
      <c r="L132" s="130"/>
      <c r="M132" s="140">
        <v>337.80499999999995</v>
      </c>
      <c r="N132" s="140"/>
      <c r="O132" s="140">
        <f t="shared" ref="O132" si="30">K132*M132/100</f>
        <v>4.9764098831241157E-3</v>
      </c>
      <c r="P132" s="140"/>
      <c r="Q132" s="140">
        <f t="shared" ref="Q132" si="31">O132</f>
        <v>4.9764098831241157E-3</v>
      </c>
      <c r="U132" s="588"/>
      <c r="V132" s="587"/>
      <c r="W132" s="589"/>
      <c r="Y132" s="573"/>
      <c r="Z132" s="573"/>
    </row>
    <row r="133" spans="1:26">
      <c r="A133" s="143"/>
      <c r="B133" s="130"/>
      <c r="C133" s="130"/>
      <c r="D133" s="130"/>
      <c r="E133" s="143"/>
      <c r="F133" s="143"/>
      <c r="G133" s="130"/>
      <c r="H133" s="130"/>
      <c r="I133" s="130"/>
      <c r="J133" s="130"/>
      <c r="K133" s="579"/>
      <c r="L133" s="130"/>
      <c r="M133" s="140"/>
      <c r="N133" s="140"/>
      <c r="O133" s="140"/>
      <c r="P133" s="140"/>
      <c r="Q133" s="140"/>
    </row>
    <row r="134" spans="1:26">
      <c r="A134" s="143">
        <f>A132+1</f>
        <v>71</v>
      </c>
      <c r="B134" s="130"/>
      <c r="C134" s="130" t="s">
        <v>238</v>
      </c>
      <c r="D134" s="130"/>
      <c r="E134" s="143" t="s">
        <v>204</v>
      </c>
      <c r="F134" s="143"/>
      <c r="G134" s="573">
        <v>-77</v>
      </c>
      <c r="H134" s="130"/>
      <c r="I134" s="573">
        <v>-77</v>
      </c>
      <c r="J134" s="130"/>
      <c r="K134" s="579">
        <f>I134-G134</f>
        <v>0</v>
      </c>
      <c r="L134" s="130"/>
      <c r="M134" s="140">
        <v>432.0085578856079</v>
      </c>
      <c r="N134" s="140"/>
      <c r="O134" s="140">
        <f t="shared" ref="O134" si="32">K134*M134/100</f>
        <v>0</v>
      </c>
      <c r="P134" s="140"/>
      <c r="Q134" s="590">
        <f t="shared" ref="Q134" si="33">O134</f>
        <v>0</v>
      </c>
    </row>
    <row r="135" spans="1:26">
      <c r="A135" s="143"/>
      <c r="B135" s="130"/>
      <c r="C135" s="130"/>
      <c r="D135" s="130"/>
      <c r="E135" s="143"/>
      <c r="F135" s="143"/>
      <c r="G135" s="130"/>
      <c r="H135" s="130"/>
      <c r="I135" s="130"/>
      <c r="J135" s="130"/>
      <c r="K135" s="579"/>
      <c r="L135" s="130"/>
      <c r="M135" s="140"/>
      <c r="N135" s="140"/>
      <c r="O135" s="140"/>
      <c r="P135" s="140"/>
      <c r="Q135" s="140"/>
    </row>
    <row r="136" spans="1:26" ht="13.5" thickBot="1">
      <c r="A136" s="143">
        <f>A134+1</f>
        <v>72</v>
      </c>
      <c r="B136" s="130"/>
      <c r="C136" s="130" t="s">
        <v>239</v>
      </c>
      <c r="D136" s="130"/>
      <c r="E136" s="143"/>
      <c r="F136" s="143"/>
      <c r="G136" s="573"/>
      <c r="H136" s="130"/>
      <c r="I136" s="573"/>
      <c r="J136" s="130"/>
      <c r="K136" s="591"/>
      <c r="L136" s="130"/>
      <c r="M136" s="219"/>
      <c r="N136" s="219"/>
      <c r="O136" s="592">
        <f>O113+O115+O116+O117+O121+O123+O124+O125+O128+O129+O130+O132+O134</f>
        <v>23.07866091404394</v>
      </c>
      <c r="P136" s="140"/>
      <c r="Q136" s="592">
        <f>Q113+Q115+Q116+Q118+Q121+Q123+Q124+Q126+Q128+Q129+Q130+Q132+Q134</f>
        <v>23.078660914043937</v>
      </c>
    </row>
    <row r="137" spans="1:26" ht="13.5" thickTop="1">
      <c r="A137" s="143"/>
      <c r="B137" s="130"/>
      <c r="C137" s="130"/>
      <c r="D137" s="130"/>
      <c r="E137" s="143"/>
      <c r="F137" s="143"/>
      <c r="G137" s="130"/>
      <c r="H137" s="130"/>
      <c r="I137" s="130"/>
      <c r="J137" s="130"/>
      <c r="K137" s="579"/>
      <c r="L137" s="130"/>
      <c r="M137" s="140"/>
      <c r="N137" s="140"/>
      <c r="O137" s="140"/>
      <c r="P137" s="140"/>
      <c r="Q137" s="140"/>
    </row>
    <row r="138" spans="1:26">
      <c r="A138" s="143"/>
      <c r="B138" s="130"/>
      <c r="C138" s="546" t="s">
        <v>169</v>
      </c>
      <c r="D138" s="130"/>
      <c r="E138" s="143"/>
      <c r="F138" s="143"/>
      <c r="G138" s="130"/>
      <c r="H138" s="130"/>
      <c r="I138" s="130"/>
      <c r="J138" s="130"/>
      <c r="K138" s="579"/>
      <c r="L138" s="130"/>
      <c r="M138" s="140"/>
      <c r="N138" s="140"/>
      <c r="O138" s="140"/>
      <c r="P138" s="140"/>
      <c r="Q138" s="140"/>
    </row>
    <row r="139" spans="1:26">
      <c r="A139" s="143">
        <f>A136+1</f>
        <v>73</v>
      </c>
      <c r="B139" s="130"/>
      <c r="C139" s="130" t="s">
        <v>200</v>
      </c>
      <c r="D139" s="130"/>
      <c r="E139" s="143" t="s">
        <v>201</v>
      </c>
      <c r="F139" s="143"/>
      <c r="G139" s="128">
        <v>134.92647936727528</v>
      </c>
      <c r="H139" s="584"/>
      <c r="I139" s="128">
        <v>138.56479569303124</v>
      </c>
      <c r="J139" s="584"/>
      <c r="K139" s="128">
        <f t="shared" ref="K139:K167" si="34">I139-G139</f>
        <v>3.6383163257559659</v>
      </c>
      <c r="L139" s="130"/>
      <c r="M139" s="140">
        <v>64.001669950149449</v>
      </c>
      <c r="N139" s="140"/>
      <c r="O139" s="140">
        <f t="shared" ref="O139" si="35">K139*M139/1000</f>
        <v>0.23285832065527376</v>
      </c>
      <c r="P139" s="140"/>
      <c r="Q139" s="140"/>
      <c r="U139" s="571"/>
      <c r="Y139" s="573"/>
      <c r="Z139" s="573"/>
    </row>
    <row r="140" spans="1:26">
      <c r="A140" s="143">
        <f>A139+1</f>
        <v>74</v>
      </c>
      <c r="B140" s="130"/>
      <c r="C140" s="130" t="s">
        <v>221</v>
      </c>
      <c r="D140" s="130"/>
      <c r="E140" s="143" t="s">
        <v>222</v>
      </c>
      <c r="F140" s="143"/>
      <c r="G140" s="573">
        <v>9.0517208463813486</v>
      </c>
      <c r="H140" s="130"/>
      <c r="I140" s="573">
        <v>9.2958020963036105</v>
      </c>
      <c r="J140" s="130"/>
      <c r="K140" s="579">
        <f t="shared" si="34"/>
        <v>0.24408124992226199</v>
      </c>
      <c r="L140" s="130"/>
      <c r="M140" s="140">
        <v>2046.16</v>
      </c>
      <c r="N140" s="140"/>
      <c r="O140" s="140">
        <f>K140*M140/100</f>
        <v>4.9942929034093559</v>
      </c>
      <c r="P140" s="140"/>
      <c r="Q140" s="140">
        <f>SUM(O139:O140)</f>
        <v>5.2271512240646301</v>
      </c>
      <c r="U140" s="588"/>
      <c r="V140" s="587"/>
      <c r="W140" s="589"/>
      <c r="Y140" s="573"/>
      <c r="Z140" s="573"/>
    </row>
    <row r="141" spans="1:26">
      <c r="A141" s="143"/>
      <c r="B141" s="130"/>
      <c r="C141" s="130" t="s">
        <v>202</v>
      </c>
      <c r="D141" s="130"/>
      <c r="E141" s="143"/>
      <c r="F141" s="143"/>
      <c r="G141" s="130"/>
      <c r="H141" s="130"/>
      <c r="I141" s="130"/>
      <c r="J141" s="130"/>
      <c r="K141" s="579"/>
      <c r="L141" s="130"/>
      <c r="M141" s="140"/>
      <c r="N141" s="140"/>
      <c r="O141" s="140"/>
      <c r="P141" s="140"/>
      <c r="Q141" s="140"/>
    </row>
    <row r="142" spans="1:26">
      <c r="A142" s="143">
        <f>A140+1</f>
        <v>75</v>
      </c>
      <c r="B142" s="130"/>
      <c r="C142" s="130" t="s">
        <v>240</v>
      </c>
      <c r="D142" s="130"/>
      <c r="E142" s="143" t="s">
        <v>204</v>
      </c>
      <c r="F142" s="143"/>
      <c r="G142" s="573">
        <v>7.4823219899090896</v>
      </c>
      <c r="H142" s="130"/>
      <c r="I142" s="573">
        <v>2.4147580038194714</v>
      </c>
      <c r="J142" s="130"/>
      <c r="K142" s="579">
        <f t="shared" si="34"/>
        <v>-5.0675639860896187</v>
      </c>
      <c r="L142" s="130"/>
      <c r="M142" s="140">
        <v>874.43599999999992</v>
      </c>
      <c r="N142" s="140"/>
      <c r="O142" s="140">
        <f>K142*M142/100</f>
        <v>-44.312603817402618</v>
      </c>
      <c r="P142" s="140"/>
      <c r="Q142" s="140"/>
      <c r="U142" s="588"/>
      <c r="V142" s="587"/>
      <c r="W142" s="589"/>
      <c r="Y142" s="573"/>
      <c r="Z142" s="573"/>
    </row>
    <row r="143" spans="1:26">
      <c r="A143" s="143">
        <f>A142+1</f>
        <v>76</v>
      </c>
      <c r="B143" s="130"/>
      <c r="C143" s="130" t="s">
        <v>241</v>
      </c>
      <c r="D143" s="130"/>
      <c r="E143" s="143" t="s">
        <v>204</v>
      </c>
      <c r="F143" s="143"/>
      <c r="G143" s="573">
        <v>6.1080928904752776</v>
      </c>
      <c r="H143" s="130"/>
      <c r="I143" s="573">
        <v>2.4147041779374661</v>
      </c>
      <c r="J143" s="130"/>
      <c r="K143" s="579">
        <f t="shared" si="34"/>
        <v>-3.6933887125378115</v>
      </c>
      <c r="L143" s="130"/>
      <c r="M143" s="140">
        <v>1708.8330000000001</v>
      </c>
      <c r="N143" s="140"/>
      <c r="O143" s="140">
        <f t="shared" ref="O143:O144" si="36">K143*M143/100</f>
        <v>-63.113845138121263</v>
      </c>
      <c r="P143" s="140"/>
      <c r="Q143" s="140"/>
      <c r="U143" s="588"/>
      <c r="V143" s="587"/>
      <c r="W143" s="589"/>
      <c r="Y143" s="573"/>
      <c r="Z143" s="573"/>
    </row>
    <row r="144" spans="1:26">
      <c r="A144" s="143">
        <f t="shared" ref="A144:A145" si="37">A143+1</f>
        <v>77</v>
      </c>
      <c r="B144" s="130"/>
      <c r="C144" s="130" t="s">
        <v>242</v>
      </c>
      <c r="D144" s="130"/>
      <c r="E144" s="143" t="s">
        <v>204</v>
      </c>
      <c r="F144" s="143"/>
      <c r="G144" s="573">
        <v>5.542619907675042</v>
      </c>
      <c r="H144" s="130"/>
      <c r="I144" s="573">
        <v>2.4147376761395267</v>
      </c>
      <c r="J144" s="130"/>
      <c r="K144" s="582">
        <f t="shared" si="34"/>
        <v>-3.1278822315355153</v>
      </c>
      <c r="L144" s="130"/>
      <c r="M144" s="581">
        <v>4973.7969999999996</v>
      </c>
      <c r="N144" s="140"/>
      <c r="O144" s="581">
        <f t="shared" si="36"/>
        <v>-155.5745125956465</v>
      </c>
      <c r="P144" s="140"/>
      <c r="Q144" s="130"/>
      <c r="U144" s="588"/>
      <c r="V144" s="587"/>
      <c r="W144" s="589"/>
      <c r="Y144" s="573"/>
      <c r="Z144" s="573"/>
    </row>
    <row r="145" spans="1:41">
      <c r="A145" s="143">
        <f t="shared" si="37"/>
        <v>78</v>
      </c>
      <c r="B145" s="130"/>
      <c r="C145" s="130" t="s">
        <v>202</v>
      </c>
      <c r="D145" s="130"/>
      <c r="E145" s="143"/>
      <c r="F145" s="143"/>
      <c r="G145" s="573"/>
      <c r="H145" s="130"/>
      <c r="I145" s="573"/>
      <c r="J145" s="130"/>
      <c r="K145" s="582"/>
      <c r="L145" s="130"/>
      <c r="M145" s="140">
        <f>SUM(M142:M144)</f>
        <v>7557.0659999999998</v>
      </c>
      <c r="N145" s="140"/>
      <c r="O145" s="140">
        <f>SUM(O142:O144)</f>
        <v>-263.00096155117035</v>
      </c>
      <c r="P145" s="140"/>
      <c r="Q145" s="140">
        <f>SUM(O142:O144)</f>
        <v>-263.00096155117035</v>
      </c>
    </row>
    <row r="146" spans="1:41">
      <c r="A146" s="143"/>
      <c r="B146" s="130"/>
      <c r="C146" s="130"/>
      <c r="D146" s="130"/>
      <c r="E146" s="143"/>
      <c r="F146" s="143"/>
      <c r="G146" s="130"/>
      <c r="H146" s="130"/>
      <c r="I146" s="130"/>
      <c r="J146" s="130"/>
      <c r="K146" s="579"/>
      <c r="L146" s="130"/>
      <c r="M146" s="140"/>
      <c r="N146" s="140"/>
      <c r="O146" s="140"/>
      <c r="P146" s="140"/>
      <c r="Q146" s="140"/>
    </row>
    <row r="147" spans="1:41">
      <c r="A147" s="143">
        <f>A145+1</f>
        <v>79</v>
      </c>
      <c r="B147" s="130"/>
      <c r="C147" s="130" t="s">
        <v>208</v>
      </c>
      <c r="D147" s="130"/>
      <c r="E147" s="143" t="s">
        <v>204</v>
      </c>
      <c r="F147" s="143"/>
      <c r="G147" s="573">
        <v>0.56728392094566971</v>
      </c>
      <c r="H147" s="130"/>
      <c r="I147" s="573">
        <v>0.57110028479799546</v>
      </c>
      <c r="J147" s="130"/>
      <c r="K147" s="579">
        <f t="shared" si="34"/>
        <v>3.8163638523257548E-3</v>
      </c>
      <c r="L147" s="130"/>
      <c r="M147" s="140">
        <v>7557.0659999999998</v>
      </c>
      <c r="N147" s="140"/>
      <c r="O147" s="140">
        <f t="shared" ref="O147:O149" si="38">K147*M147/100</f>
        <v>0.28840513512039984</v>
      </c>
      <c r="P147" s="140"/>
      <c r="Q147" s="140">
        <f>O147</f>
        <v>0.28840513512039984</v>
      </c>
      <c r="U147" s="588"/>
      <c r="V147" s="587"/>
      <c r="W147" s="589"/>
      <c r="Y147" s="573"/>
      <c r="Z147" s="573"/>
    </row>
    <row r="148" spans="1:41">
      <c r="A148" s="143">
        <f>A147+1</f>
        <v>80</v>
      </c>
      <c r="B148" s="130"/>
      <c r="C148" s="130" t="s">
        <v>209</v>
      </c>
      <c r="D148" s="130"/>
      <c r="E148" s="143" t="s">
        <v>204</v>
      </c>
      <c r="F148" s="143"/>
      <c r="G148" s="573">
        <v>3.9267458432309148</v>
      </c>
      <c r="H148" s="130"/>
      <c r="I148" s="573">
        <v>3.9287760462156069</v>
      </c>
      <c r="J148" s="130"/>
      <c r="K148" s="579">
        <f t="shared" si="34"/>
        <v>2.0302029846921421E-3</v>
      </c>
      <c r="L148" s="130"/>
      <c r="M148" s="140">
        <v>313.32499999999999</v>
      </c>
      <c r="N148" s="140"/>
      <c r="O148" s="140">
        <f t="shared" si="38"/>
        <v>6.3611335017866545E-3</v>
      </c>
      <c r="P148" s="140"/>
      <c r="Q148" s="140">
        <f t="shared" ref="Q148:Q149" si="39">O148</f>
        <v>6.3611335017866545E-3</v>
      </c>
      <c r="U148" s="588"/>
      <c r="V148" s="587"/>
      <c r="W148" s="589"/>
      <c r="Y148" s="573"/>
      <c r="Z148" s="573"/>
    </row>
    <row r="149" spans="1:41" ht="13.5" customHeight="1">
      <c r="A149" s="143">
        <f>A148+1</f>
        <v>81</v>
      </c>
      <c r="B149" s="130"/>
      <c r="C149" s="130" t="s">
        <v>210</v>
      </c>
      <c r="D149" s="130"/>
      <c r="E149" s="143" t="s">
        <v>204</v>
      </c>
      <c r="F149" s="143"/>
      <c r="G149" s="573">
        <v>0.96971985302412911</v>
      </c>
      <c r="H149" s="130"/>
      <c r="I149" s="573">
        <v>0.98583936961378815</v>
      </c>
      <c r="J149" s="130"/>
      <c r="K149" s="579">
        <f t="shared" si="34"/>
        <v>1.6119516589659044E-2</v>
      </c>
      <c r="L149" s="130"/>
      <c r="M149" s="140">
        <v>7243.741</v>
      </c>
      <c r="N149" s="140"/>
      <c r="O149" s="140">
        <f t="shared" si="38"/>
        <v>1.167656032206934</v>
      </c>
      <c r="P149" s="140"/>
      <c r="Q149" s="140">
        <f t="shared" si="39"/>
        <v>1.167656032206934</v>
      </c>
      <c r="U149" s="588"/>
      <c r="V149" s="587"/>
      <c r="W149" s="589"/>
      <c r="Y149" s="573"/>
      <c r="Z149" s="573"/>
    </row>
    <row r="150" spans="1:41">
      <c r="A150" s="143"/>
      <c r="B150" s="130"/>
      <c r="C150" s="130"/>
      <c r="D150" s="130"/>
      <c r="E150" s="143"/>
      <c r="F150" s="143"/>
      <c r="G150" s="573"/>
      <c r="H150" s="130"/>
      <c r="I150" s="548"/>
      <c r="J150" s="130"/>
      <c r="K150" s="579"/>
      <c r="L150" s="130"/>
      <c r="M150" s="140"/>
      <c r="N150" s="140"/>
      <c r="O150" s="140"/>
      <c r="P150" s="140"/>
      <c r="Q150" s="140"/>
    </row>
    <row r="151" spans="1:41">
      <c r="A151" s="143">
        <f>A149+1</f>
        <v>82</v>
      </c>
      <c r="B151" s="130"/>
      <c r="C151" s="130" t="s">
        <v>211</v>
      </c>
      <c r="D151" s="130"/>
      <c r="E151" s="143" t="s">
        <v>204</v>
      </c>
      <c r="F151" s="143"/>
      <c r="G151" s="573">
        <v>18.343372330048751</v>
      </c>
      <c r="H151" s="130"/>
      <c r="I151" s="573">
        <v>18.344744693241903</v>
      </c>
      <c r="J151" s="130"/>
      <c r="K151" s="579">
        <f t="shared" si="34"/>
        <v>1.3723631931519265E-3</v>
      </c>
      <c r="L151" s="130"/>
      <c r="M151" s="140">
        <v>313.32499999999999</v>
      </c>
      <c r="N151" s="140"/>
      <c r="O151" s="140">
        <f t="shared" ref="O151" si="40">K151*M151/100</f>
        <v>4.2999569749432734E-3</v>
      </c>
      <c r="P151" s="140"/>
      <c r="Q151" s="140">
        <f t="shared" ref="Q151" si="41">O151</f>
        <v>4.2999569749432734E-3</v>
      </c>
      <c r="U151" s="588"/>
      <c r="V151" s="587"/>
      <c r="W151" s="589"/>
      <c r="Y151" s="573"/>
      <c r="Z151" s="573"/>
    </row>
    <row r="152" spans="1:41">
      <c r="A152" s="143"/>
      <c r="B152" s="130"/>
      <c r="C152" s="130"/>
      <c r="D152" s="130"/>
      <c r="E152" s="143"/>
      <c r="F152" s="143"/>
      <c r="G152" s="130"/>
      <c r="H152" s="130"/>
      <c r="I152" s="130"/>
      <c r="J152" s="130"/>
      <c r="K152" s="579"/>
      <c r="L152" s="130"/>
      <c r="M152" s="140"/>
      <c r="N152" s="140"/>
      <c r="O152" s="140"/>
      <c r="P152" s="140"/>
      <c r="Q152" s="140"/>
    </row>
    <row r="153" spans="1:41">
      <c r="A153" s="143">
        <f>A151+1</f>
        <v>83</v>
      </c>
      <c r="B153" s="130"/>
      <c r="C153" s="130" t="s">
        <v>238</v>
      </c>
      <c r="D153" s="130"/>
      <c r="E153" s="143" t="s">
        <v>204</v>
      </c>
      <c r="F153" s="143"/>
      <c r="G153" s="586">
        <v>-50</v>
      </c>
      <c r="H153" s="219"/>
      <c r="I153" s="586">
        <v>-50</v>
      </c>
      <c r="J153" s="130"/>
      <c r="K153" s="579">
        <f t="shared" si="34"/>
        <v>0</v>
      </c>
      <c r="L153" s="130"/>
      <c r="M153" s="140">
        <v>129.15341999999998</v>
      </c>
      <c r="N153" s="140"/>
      <c r="O153" s="140">
        <f t="shared" ref="O153" si="42">K153*M153/100</f>
        <v>0</v>
      </c>
      <c r="P153" s="140"/>
      <c r="Q153" s="590">
        <f t="shared" ref="Q153" si="43">O153</f>
        <v>0</v>
      </c>
    </row>
    <row r="154" spans="1:41">
      <c r="A154" s="143"/>
      <c r="B154" s="130"/>
      <c r="C154" s="130"/>
      <c r="D154" s="130"/>
      <c r="E154" s="143" t="s">
        <v>204</v>
      </c>
      <c r="F154" s="143"/>
      <c r="G154" s="130"/>
      <c r="H154" s="130"/>
      <c r="I154" s="130"/>
      <c r="J154" s="130"/>
      <c r="K154" s="579"/>
      <c r="L154" s="130"/>
      <c r="M154" s="140"/>
      <c r="N154" s="140"/>
      <c r="O154" s="140"/>
      <c r="P154" s="140"/>
      <c r="Q154" s="140"/>
    </row>
    <row r="155" spans="1:41" ht="13.5" thickBot="1">
      <c r="A155" s="143">
        <f>A153+1</f>
        <v>84</v>
      </c>
      <c r="B155" s="130"/>
      <c r="C155" s="130" t="s">
        <v>243</v>
      </c>
      <c r="D155" s="130"/>
      <c r="E155" s="143"/>
      <c r="F155" s="143"/>
      <c r="G155" s="573"/>
      <c r="H155" s="130"/>
      <c r="I155" s="573"/>
      <c r="J155" s="130"/>
      <c r="K155" s="582"/>
      <c r="L155" s="130"/>
      <c r="M155" s="140"/>
      <c r="N155" s="140"/>
      <c r="O155" s="578">
        <f>O139+O140+O142+O143+O144+O147+O148+O149+O151+O153</f>
        <v>-256.3070880693017</v>
      </c>
      <c r="P155" s="140"/>
      <c r="Q155" s="578">
        <f>Q139+Q140+Q142+Q143+Q145+Q147+Q148+Q149+Q151+Q153</f>
        <v>-256.30708806930164</v>
      </c>
    </row>
    <row r="156" spans="1:41" ht="13.5" thickTop="1">
      <c r="A156" s="143"/>
      <c r="B156" s="130"/>
      <c r="C156" s="130"/>
      <c r="D156" s="130"/>
      <c r="E156" s="143"/>
      <c r="F156" s="143"/>
      <c r="G156" s="130"/>
      <c r="H156" s="130"/>
      <c r="I156" s="130" t="s">
        <v>38</v>
      </c>
      <c r="J156" s="130"/>
      <c r="K156" s="579"/>
      <c r="L156" s="130"/>
      <c r="M156" s="140"/>
      <c r="N156" s="140"/>
      <c r="O156" s="140"/>
      <c r="P156" s="140"/>
      <c r="Q156" s="140"/>
    </row>
    <row r="157" spans="1:41">
      <c r="A157" s="143"/>
      <c r="B157" s="130"/>
      <c r="C157" s="546" t="s">
        <v>170</v>
      </c>
      <c r="D157" s="130"/>
      <c r="E157" s="143"/>
      <c r="F157" s="143"/>
      <c r="G157" s="130"/>
      <c r="H157" s="130"/>
      <c r="I157" s="130"/>
      <c r="J157" s="130"/>
      <c r="K157" s="579"/>
      <c r="L157" s="130"/>
      <c r="M157" s="140"/>
      <c r="N157" s="140"/>
      <c r="O157" s="140"/>
      <c r="P157" s="140"/>
      <c r="Q157" s="140"/>
    </row>
    <row r="158" spans="1:41">
      <c r="A158" s="143">
        <f>A155+1</f>
        <v>85</v>
      </c>
      <c r="B158" s="130"/>
      <c r="C158" s="130" t="s">
        <v>200</v>
      </c>
      <c r="D158" s="130"/>
      <c r="E158" s="143" t="s">
        <v>201</v>
      </c>
      <c r="F158" s="143"/>
      <c r="G158" s="128">
        <v>305.5481997087212</v>
      </c>
      <c r="H158" s="584"/>
      <c r="I158" s="128">
        <v>313.78736083201369</v>
      </c>
      <c r="J158" s="584"/>
      <c r="K158" s="128">
        <f t="shared" si="34"/>
        <v>8.2391611232924902</v>
      </c>
      <c r="L158" s="130"/>
      <c r="M158" s="140">
        <v>88.000518496370432</v>
      </c>
      <c r="N158" s="140"/>
      <c r="O158" s="140">
        <f t="shared" ref="O158" si="44">K158*M158/1000</f>
        <v>0.72505045082487696</v>
      </c>
      <c r="P158" s="140"/>
      <c r="Q158" s="140"/>
      <c r="U158" s="571"/>
      <c r="Y158" s="573"/>
      <c r="Z158" s="573"/>
    </row>
    <row r="159" spans="1:41">
      <c r="A159" s="143">
        <f>A158+1</f>
        <v>86</v>
      </c>
      <c r="B159" s="130"/>
      <c r="C159" s="130" t="s">
        <v>221</v>
      </c>
      <c r="D159" s="130"/>
      <c r="E159" s="143" t="s">
        <v>222</v>
      </c>
      <c r="F159" s="143"/>
      <c r="G159" s="573">
        <v>4.4945119394531865</v>
      </c>
      <c r="H159" s="130"/>
      <c r="I159" s="573">
        <v>4.6157072470184701</v>
      </c>
      <c r="J159" s="130"/>
      <c r="K159" s="579">
        <f t="shared" si="34"/>
        <v>0.12119530756528363</v>
      </c>
      <c r="L159" s="130"/>
      <c r="M159" s="140">
        <v>10309.255999999999</v>
      </c>
      <c r="N159" s="140"/>
      <c r="O159" s="140">
        <f>K159*M159/100</f>
        <v>12.494334516892456</v>
      </c>
      <c r="P159" s="140"/>
      <c r="Q159" s="140">
        <f>SUM(O158:O159)</f>
        <v>13.219384967717334</v>
      </c>
      <c r="U159" s="588"/>
      <c r="V159" s="587"/>
      <c r="W159" s="589"/>
      <c r="Y159" s="573"/>
      <c r="Z159" s="573"/>
    </row>
    <row r="160" spans="1:41">
      <c r="A160" s="143"/>
      <c r="B160" s="130"/>
      <c r="C160" s="130" t="s">
        <v>202</v>
      </c>
      <c r="D160" s="130"/>
      <c r="E160" s="143"/>
      <c r="F160" s="143"/>
      <c r="G160" s="130"/>
      <c r="H160" s="130"/>
      <c r="I160" s="130"/>
      <c r="J160" s="130"/>
      <c r="K160" s="579"/>
      <c r="L160" s="130"/>
      <c r="M160" s="140"/>
      <c r="N160" s="140"/>
      <c r="O160" s="140"/>
      <c r="P160" s="140"/>
      <c r="Q160" s="140"/>
      <c r="Y160" s="142"/>
      <c r="AC160" s="142"/>
      <c r="AD160" s="142"/>
      <c r="AE160" s="130"/>
      <c r="AI160" s="593"/>
      <c r="AK160" s="576"/>
      <c r="AL160" s="576"/>
      <c r="AM160" s="576"/>
      <c r="AN160" s="576"/>
      <c r="AO160" s="576"/>
    </row>
    <row r="161" spans="1:41">
      <c r="A161" s="143">
        <f>A159+1</f>
        <v>87</v>
      </c>
      <c r="B161" s="130"/>
      <c r="C161" s="130" t="s">
        <v>224</v>
      </c>
      <c r="D161" s="130"/>
      <c r="E161" s="143" t="s">
        <v>204</v>
      </c>
      <c r="F161" s="143"/>
      <c r="G161" s="573">
        <v>0.59804635914981807</v>
      </c>
      <c r="H161" s="130"/>
      <c r="I161" s="573">
        <v>0.44179835308972665</v>
      </c>
      <c r="J161" s="130"/>
      <c r="K161" s="579">
        <f t="shared" si="34"/>
        <v>-0.15624800606009143</v>
      </c>
      <c r="L161" s="130"/>
      <c r="M161" s="140">
        <v>67267.873000000007</v>
      </c>
      <c r="N161" s="140"/>
      <c r="O161" s="140">
        <f>K161*M161/100</f>
        <v>-105.10471028153461</v>
      </c>
      <c r="P161" s="140"/>
      <c r="Q161" s="140"/>
      <c r="U161" s="588"/>
      <c r="V161" s="587"/>
      <c r="W161" s="589"/>
      <c r="Y161" s="573"/>
      <c r="Z161" s="573"/>
      <c r="AC161" s="142"/>
      <c r="AD161" s="142"/>
      <c r="AE161" s="130"/>
      <c r="AI161" s="593"/>
      <c r="AK161" s="576"/>
      <c r="AL161" s="576"/>
      <c r="AM161" s="576"/>
      <c r="AN161" s="576"/>
      <c r="AO161" s="576"/>
    </row>
    <row r="162" spans="1:41">
      <c r="A162" s="143">
        <f>A161+1</f>
        <v>88</v>
      </c>
      <c r="B162" s="130"/>
      <c r="C162" s="130" t="s">
        <v>225</v>
      </c>
      <c r="D162" s="130"/>
      <c r="E162" s="143" t="s">
        <v>204</v>
      </c>
      <c r="F162" s="143"/>
      <c r="G162" s="573">
        <v>0.39401422289777976</v>
      </c>
      <c r="H162" s="130"/>
      <c r="I162" s="573">
        <v>0.44179873264251834</v>
      </c>
      <c r="J162" s="130"/>
      <c r="K162" s="579">
        <f t="shared" si="34"/>
        <v>4.7784509744738579E-2</v>
      </c>
      <c r="L162" s="130"/>
      <c r="M162" s="581">
        <v>49371.423000000003</v>
      </c>
      <c r="N162" s="140"/>
      <c r="O162" s="581">
        <f>K162*M162/100</f>
        <v>23.591892434551106</v>
      </c>
      <c r="P162" s="140"/>
      <c r="Q162" s="130"/>
      <c r="U162" s="588"/>
      <c r="V162" s="587"/>
      <c r="W162" s="589"/>
      <c r="Y162" s="573"/>
      <c r="Z162" s="573"/>
      <c r="AC162" s="142"/>
      <c r="AD162" s="142"/>
      <c r="AE162" s="130"/>
      <c r="AI162" s="593"/>
      <c r="AK162" s="576"/>
      <c r="AL162" s="576"/>
      <c r="AM162" s="576"/>
      <c r="AN162" s="576"/>
      <c r="AO162" s="576"/>
    </row>
    <row r="163" spans="1:41">
      <c r="A163" s="143">
        <f>A162+1</f>
        <v>89</v>
      </c>
      <c r="B163" s="130"/>
      <c r="C163" s="130" t="s">
        <v>202</v>
      </c>
      <c r="D163" s="130"/>
      <c r="E163" s="143"/>
      <c r="F163" s="143"/>
      <c r="G163" s="573"/>
      <c r="H163" s="130"/>
      <c r="I163" s="573"/>
      <c r="J163" s="130"/>
      <c r="K163" s="582"/>
      <c r="L163" s="130"/>
      <c r="M163" s="140">
        <f>SUM(M161:M162)</f>
        <v>116639.296</v>
      </c>
      <c r="N163" s="140"/>
      <c r="O163" s="140">
        <f>SUM(O161:O162)</f>
        <v>-81.512817846983495</v>
      </c>
      <c r="P163" s="140"/>
      <c r="Q163" s="140">
        <f>SUM(O161:O162)</f>
        <v>-81.512817846983495</v>
      </c>
      <c r="Y163" s="142"/>
      <c r="AC163" s="142"/>
      <c r="AD163" s="142"/>
      <c r="AE163" s="130"/>
      <c r="AI163" s="593"/>
      <c r="AK163" s="576"/>
      <c r="AL163" s="576"/>
      <c r="AM163" s="576"/>
      <c r="AN163" s="576"/>
      <c r="AO163" s="576"/>
    </row>
    <row r="164" spans="1:41">
      <c r="A164" s="143"/>
      <c r="B164" s="130"/>
      <c r="C164" s="130"/>
      <c r="D164" s="130"/>
      <c r="E164" s="143"/>
      <c r="F164" s="143"/>
      <c r="G164" s="130"/>
      <c r="H164" s="130"/>
      <c r="I164" s="130"/>
      <c r="J164" s="130"/>
      <c r="K164" s="579"/>
      <c r="L164" s="130"/>
      <c r="M164" s="140"/>
      <c r="N164" s="140"/>
      <c r="O164" s="140"/>
      <c r="P164" s="140"/>
      <c r="Q164" s="140"/>
      <c r="Y164" s="1302"/>
      <c r="Z164" s="1302"/>
      <c r="AA164" s="1302"/>
      <c r="AB164" s="1302"/>
      <c r="AC164" s="1302"/>
      <c r="AD164" s="1302"/>
      <c r="AE164" s="1302"/>
      <c r="AF164" s="1302"/>
      <c r="AG164" s="1302"/>
      <c r="AH164" s="1302"/>
      <c r="AI164" s="1302"/>
      <c r="AJ164" s="1302"/>
      <c r="AK164" s="1302"/>
      <c r="AL164" s="1302"/>
      <c r="AM164" s="1302"/>
      <c r="AN164" s="1302"/>
      <c r="AO164" s="1302"/>
    </row>
    <row r="165" spans="1:41">
      <c r="A165" s="143">
        <f>A163+1</f>
        <v>90</v>
      </c>
      <c r="B165" s="130"/>
      <c r="C165" s="130" t="s">
        <v>208</v>
      </c>
      <c r="D165" s="130"/>
      <c r="E165" s="143" t="s">
        <v>204</v>
      </c>
      <c r="F165" s="143"/>
      <c r="G165" s="573">
        <v>0.24646816740977195</v>
      </c>
      <c r="H165" s="130"/>
      <c r="I165" s="573">
        <v>0.24816945506360616</v>
      </c>
      <c r="J165" s="130"/>
      <c r="K165" s="579">
        <f t="shared" si="34"/>
        <v>1.7012876538342048E-3</v>
      </c>
      <c r="L165" s="130"/>
      <c r="M165" s="140">
        <v>116639.29599999999</v>
      </c>
      <c r="N165" s="140"/>
      <c r="O165" s="140">
        <f>K165*M165/100</f>
        <v>1.9843699423671333</v>
      </c>
      <c r="P165" s="140"/>
      <c r="Q165" s="140">
        <f>O165</f>
        <v>1.9843699423671333</v>
      </c>
      <c r="U165" s="588"/>
      <c r="V165" s="587"/>
      <c r="W165" s="589"/>
      <c r="Y165" s="573"/>
      <c r="Z165" s="573"/>
    </row>
    <row r="166" spans="1:41">
      <c r="A166" s="143">
        <f>A165+1</f>
        <v>91</v>
      </c>
      <c r="B166" s="130"/>
      <c r="C166" s="130" t="s">
        <v>209</v>
      </c>
      <c r="D166" s="130"/>
      <c r="E166" s="143" t="s">
        <v>204</v>
      </c>
      <c r="F166" s="143"/>
      <c r="G166" s="573">
        <v>3.9267445962601735</v>
      </c>
      <c r="H166" s="130"/>
      <c r="I166" s="573">
        <v>3.9287738315982437</v>
      </c>
      <c r="J166" s="130"/>
      <c r="K166" s="579">
        <f t="shared" si="34"/>
        <v>2.0292353380702011E-3</v>
      </c>
      <c r="L166" s="130"/>
      <c r="M166" s="140">
        <v>1953.5430000000001</v>
      </c>
      <c r="N166" s="140"/>
      <c r="O166" s="140">
        <f t="shared" ref="O166:O167" si="45">K166*M166/100</f>
        <v>3.9641984900396748E-2</v>
      </c>
      <c r="P166" s="140"/>
      <c r="Q166" s="140">
        <f t="shared" ref="Q166:Q167" si="46">O166</f>
        <v>3.9641984900396748E-2</v>
      </c>
      <c r="U166" s="588"/>
      <c r="V166" s="587"/>
      <c r="W166" s="589"/>
      <c r="Y166" s="573"/>
      <c r="Z166" s="573"/>
    </row>
    <row r="167" spans="1:41">
      <c r="A167" s="143">
        <f>A166+1</f>
        <v>92</v>
      </c>
      <c r="B167" s="130"/>
      <c r="C167" s="130" t="s">
        <v>210</v>
      </c>
      <c r="D167" s="130"/>
      <c r="E167" s="143" t="s">
        <v>204</v>
      </c>
      <c r="F167" s="143"/>
      <c r="G167" s="573">
        <v>0.96972043047287659</v>
      </c>
      <c r="H167" s="130"/>
      <c r="I167" s="573">
        <v>0.9858401283895063</v>
      </c>
      <c r="J167" s="130"/>
      <c r="K167" s="579">
        <f t="shared" si="34"/>
        <v>1.6119697916629705E-2</v>
      </c>
      <c r="L167" s="130"/>
      <c r="M167" s="140">
        <v>44138.301999999996</v>
      </c>
      <c r="N167" s="140"/>
      <c r="O167" s="140">
        <f t="shared" si="45"/>
        <v>7.1149609479297276</v>
      </c>
      <c r="P167" s="140"/>
      <c r="Q167" s="140">
        <f t="shared" si="46"/>
        <v>7.1149609479297276</v>
      </c>
      <c r="U167" s="588"/>
      <c r="V167" s="587"/>
      <c r="W167" s="589"/>
      <c r="Y167" s="573"/>
      <c r="Z167" s="573"/>
      <c r="AE167" s="142"/>
      <c r="AF167" s="142"/>
      <c r="AG167" s="142"/>
      <c r="AI167" s="142"/>
      <c r="AK167" s="142"/>
    </row>
    <row r="168" spans="1:41">
      <c r="A168" s="143"/>
      <c r="B168" s="130"/>
      <c r="C168" s="130"/>
      <c r="D168" s="130"/>
      <c r="E168" s="143"/>
      <c r="F168" s="143"/>
      <c r="G168" s="573"/>
      <c r="H168" s="130"/>
      <c r="I168" s="548"/>
      <c r="J168" s="130"/>
      <c r="K168" s="579"/>
      <c r="L168" s="130"/>
      <c r="M168" s="140"/>
      <c r="N168" s="140"/>
      <c r="O168" s="140"/>
      <c r="P168" s="140"/>
      <c r="Q168" s="140"/>
      <c r="Y168" s="142"/>
      <c r="AK168" s="142"/>
      <c r="AM168" s="142"/>
      <c r="AO168" s="142"/>
    </row>
    <row r="169" spans="1:41">
      <c r="A169" s="143">
        <f>A167+1</f>
        <v>93</v>
      </c>
      <c r="B169" s="130"/>
      <c r="C169" s="130" t="s">
        <v>211</v>
      </c>
      <c r="D169" s="130"/>
      <c r="E169" s="143" t="s">
        <v>204</v>
      </c>
      <c r="F169" s="143"/>
      <c r="G169" s="573">
        <v>18.339431198808857</v>
      </c>
      <c r="H169" s="130"/>
      <c r="I169" s="573">
        <v>18.340696442028808</v>
      </c>
      <c r="J169" s="130"/>
      <c r="K169" s="579">
        <f>I169-G169</f>
        <v>1.2652432199509178E-3</v>
      </c>
      <c r="L169" s="130"/>
      <c r="M169" s="140">
        <v>1953.5430000000001</v>
      </c>
      <c r="N169" s="140"/>
      <c r="O169" s="140">
        <f t="shared" ref="O169" si="47">K169*M169/100</f>
        <v>2.4717070356325758E-2</v>
      </c>
      <c r="P169" s="140"/>
      <c r="Q169" s="594">
        <f>O169</f>
        <v>2.4717070356325758E-2</v>
      </c>
      <c r="U169" s="588"/>
      <c r="V169" s="587"/>
      <c r="W169" s="589"/>
      <c r="Y169" s="573"/>
      <c r="Z169" s="573"/>
    </row>
    <row r="170" spans="1:41">
      <c r="A170" s="143"/>
      <c r="B170" s="130"/>
      <c r="C170" s="130"/>
      <c r="D170" s="130"/>
      <c r="E170" s="143"/>
      <c r="F170" s="143"/>
      <c r="G170" s="130"/>
      <c r="H170" s="130"/>
      <c r="I170" s="130"/>
      <c r="J170" s="130"/>
      <c r="K170" s="579"/>
      <c r="L170" s="130"/>
      <c r="M170" s="140"/>
      <c r="N170" s="140"/>
      <c r="O170" s="140"/>
      <c r="P170" s="140"/>
      <c r="Q170" s="140"/>
    </row>
    <row r="171" spans="1:41">
      <c r="A171" s="143">
        <f>A169+1</f>
        <v>94</v>
      </c>
      <c r="B171" s="130"/>
      <c r="C171" s="130" t="s">
        <v>238</v>
      </c>
      <c r="D171" s="130"/>
      <c r="E171" s="143" t="s">
        <v>204</v>
      </c>
      <c r="F171" s="143"/>
      <c r="G171" s="586">
        <v>-110</v>
      </c>
      <c r="H171" s="130"/>
      <c r="I171" s="586">
        <v>-110.00000000000001</v>
      </c>
      <c r="J171" s="130"/>
      <c r="K171" s="579">
        <f>I171-G171</f>
        <v>0</v>
      </c>
      <c r="L171" s="130"/>
      <c r="M171" s="140">
        <v>2656.8799083437111</v>
      </c>
      <c r="N171" s="140"/>
      <c r="O171" s="140">
        <f t="shared" ref="O171" si="48">K171*M171/100</f>
        <v>0</v>
      </c>
      <c r="P171" s="140"/>
      <c r="Q171" s="590">
        <f t="shared" ref="Q171" si="49">O171</f>
        <v>0</v>
      </c>
    </row>
    <row r="172" spans="1:41">
      <c r="A172" s="143"/>
      <c r="B172" s="130"/>
      <c r="C172" s="130"/>
      <c r="D172" s="130"/>
      <c r="E172" s="143"/>
      <c r="F172" s="143"/>
      <c r="G172" s="130"/>
      <c r="H172" s="130"/>
      <c r="I172" s="130"/>
      <c r="J172" s="130"/>
      <c r="K172" s="579"/>
      <c r="L172" s="130"/>
      <c r="M172" s="140"/>
      <c r="N172" s="140"/>
      <c r="O172" s="140"/>
      <c r="P172" s="140"/>
      <c r="Q172" s="140"/>
    </row>
    <row r="173" spans="1:41" ht="13.5" thickBot="1">
      <c r="A173" s="143">
        <f>A171+1</f>
        <v>95</v>
      </c>
      <c r="B173" s="130"/>
      <c r="C173" s="130" t="s">
        <v>244</v>
      </c>
      <c r="D173" s="130"/>
      <c r="E173" s="143"/>
      <c r="F173" s="143"/>
      <c r="G173" s="573"/>
      <c r="H173" s="130"/>
      <c r="I173" s="573"/>
      <c r="J173" s="130"/>
      <c r="K173" s="582"/>
      <c r="L173" s="130"/>
      <c r="M173" s="140"/>
      <c r="N173" s="140"/>
      <c r="O173" s="578">
        <f>O158+O159+O161+O162+O165+O166+O167+O169+O171</f>
        <v>-59.129742933712571</v>
      </c>
      <c r="P173" s="140"/>
      <c r="Q173" s="578">
        <f>Q158+Q159+Q161+Q163+Q165+Q166+Q167+Q169+Q171</f>
        <v>-59.129742933712571</v>
      </c>
    </row>
    <row r="174" spans="1:41" ht="13.5" thickTop="1">
      <c r="A174" s="143"/>
      <c r="B174" s="130"/>
      <c r="C174" s="130"/>
      <c r="D174" s="130"/>
      <c r="E174" s="143"/>
      <c r="F174" s="143"/>
      <c r="G174" s="130"/>
      <c r="H174" s="130"/>
      <c r="I174" s="130"/>
      <c r="J174" s="130"/>
      <c r="K174" s="579"/>
      <c r="L174" s="130"/>
      <c r="M174" s="140"/>
      <c r="N174" s="140"/>
      <c r="O174" s="140"/>
      <c r="P174" s="140"/>
      <c r="Q174" s="140"/>
    </row>
    <row r="175" spans="1:41">
      <c r="A175" s="143"/>
      <c r="B175" s="130"/>
      <c r="C175" s="546" t="s">
        <v>171</v>
      </c>
      <c r="D175" s="130"/>
      <c r="E175" s="143"/>
      <c r="F175" s="143"/>
      <c r="G175" s="130"/>
      <c r="H175" s="130"/>
      <c r="I175" s="130"/>
      <c r="J175" s="130"/>
      <c r="K175" s="579"/>
      <c r="L175" s="130"/>
      <c r="M175" s="140"/>
      <c r="N175" s="140"/>
      <c r="O175" s="140"/>
      <c r="P175" s="140"/>
      <c r="Q175" s="140"/>
    </row>
    <row r="176" spans="1:41">
      <c r="A176" s="143">
        <f>A173+1</f>
        <v>96</v>
      </c>
      <c r="B176" s="130"/>
      <c r="C176" s="130" t="s">
        <v>200</v>
      </c>
      <c r="D176" s="130"/>
      <c r="E176" s="143" t="s">
        <v>201</v>
      </c>
      <c r="F176" s="143"/>
      <c r="G176" s="584">
        <v>0</v>
      </c>
      <c r="H176" s="584"/>
      <c r="I176" s="584">
        <v>0</v>
      </c>
      <c r="J176" s="584"/>
      <c r="K176" s="595">
        <f>I176-G176</f>
        <v>0</v>
      </c>
      <c r="L176" s="130"/>
      <c r="M176" s="140">
        <f>0</f>
        <v>0</v>
      </c>
      <c r="N176" s="140"/>
      <c r="O176" s="140">
        <f t="shared" ref="O176" si="50">K176*M176/1000</f>
        <v>0</v>
      </c>
      <c r="P176" s="140"/>
      <c r="Q176" s="140"/>
      <c r="Y176" s="573"/>
      <c r="Z176" s="573"/>
    </row>
    <row r="177" spans="1:26">
      <c r="A177" s="143">
        <f>A176+1</f>
        <v>97</v>
      </c>
      <c r="B177" s="130"/>
      <c r="C177" s="130" t="s">
        <v>221</v>
      </c>
      <c r="D177" s="130"/>
      <c r="E177" s="143" t="s">
        <v>222</v>
      </c>
      <c r="F177" s="143"/>
      <c r="G177" s="573">
        <v>16.259208437643476</v>
      </c>
      <c r="H177" s="130"/>
      <c r="I177" s="573">
        <v>16.697640862323603</v>
      </c>
      <c r="J177" s="130"/>
      <c r="K177" s="579">
        <f>I177-G177</f>
        <v>0.43843242468012633</v>
      </c>
      <c r="L177" s="130"/>
      <c r="M177" s="140">
        <v>5008.3999999999996</v>
      </c>
      <c r="N177" s="140"/>
      <c r="O177" s="140">
        <f>K177*M177/100</f>
        <v>21.958449557679447</v>
      </c>
      <c r="P177" s="140"/>
      <c r="Q177" s="140">
        <f>O177</f>
        <v>21.958449557679447</v>
      </c>
      <c r="U177" s="588"/>
      <c r="V177" s="587"/>
      <c r="W177" s="589"/>
      <c r="Y177" s="573"/>
      <c r="Z177" s="573"/>
    </row>
    <row r="178" spans="1:26">
      <c r="A178" s="143">
        <f>A177+1</f>
        <v>98</v>
      </c>
      <c r="B178" s="130"/>
      <c r="C178" s="130" t="s">
        <v>202</v>
      </c>
      <c r="D178" s="130"/>
      <c r="E178" s="143" t="s">
        <v>204</v>
      </c>
      <c r="F178" s="143"/>
      <c r="G178" s="573">
        <v>1.3602427937070853</v>
      </c>
      <c r="H178" s="130"/>
      <c r="I178" s="573">
        <v>1.3906457550888685</v>
      </c>
      <c r="J178" s="130"/>
      <c r="K178" s="579">
        <f>I178-G178</f>
        <v>3.0402961381783111E-2</v>
      </c>
      <c r="L178" s="130"/>
      <c r="M178" s="140">
        <v>94501.900000000009</v>
      </c>
      <c r="N178" s="140"/>
      <c r="O178" s="140">
        <f>K178*M178/100</f>
        <v>28.731376162051298</v>
      </c>
      <c r="P178" s="140"/>
      <c r="Q178" s="140">
        <f>O178</f>
        <v>28.731376162051298</v>
      </c>
      <c r="U178" s="588"/>
      <c r="V178" s="587"/>
      <c r="W178" s="589"/>
      <c r="Y178" s="573"/>
      <c r="Z178" s="573"/>
    </row>
    <row r="179" spans="1:26">
      <c r="A179" s="143"/>
      <c r="B179" s="130"/>
      <c r="C179" s="130"/>
      <c r="D179" s="130"/>
      <c r="E179" s="143"/>
      <c r="F179" s="143"/>
      <c r="G179" s="130"/>
      <c r="H179" s="130"/>
      <c r="I179" s="130"/>
      <c r="J179" s="130"/>
      <c r="K179" s="579"/>
      <c r="L179" s="130"/>
      <c r="M179" s="140"/>
      <c r="N179" s="140"/>
      <c r="O179" s="140"/>
      <c r="P179" s="140"/>
      <c r="Q179" s="140"/>
    </row>
    <row r="180" spans="1:26">
      <c r="A180" s="143">
        <f>A178+1</f>
        <v>99</v>
      </c>
      <c r="B180" s="130"/>
      <c r="C180" s="130" t="s">
        <v>208</v>
      </c>
      <c r="D180" s="130"/>
      <c r="E180" s="143" t="s">
        <v>204</v>
      </c>
      <c r="F180" s="143"/>
      <c r="G180" s="573">
        <v>1.1360059253757275</v>
      </c>
      <c r="H180" s="130"/>
      <c r="I180" s="573">
        <v>1.1438630495294149</v>
      </c>
      <c r="J180" s="130"/>
      <c r="K180" s="579">
        <f>I180-G180</f>
        <v>7.8571241536873337E-3</v>
      </c>
      <c r="L180" s="130"/>
      <c r="M180" s="140">
        <v>94501.900000000009</v>
      </c>
      <c r="N180" s="140"/>
      <c r="O180" s="140">
        <f>K180*M180/100</f>
        <v>7.4251316105934508</v>
      </c>
      <c r="P180" s="140"/>
      <c r="Q180" s="140">
        <f>O180</f>
        <v>7.4251316105934508</v>
      </c>
      <c r="U180" s="588"/>
      <c r="V180" s="587"/>
      <c r="W180" s="589"/>
      <c r="Y180" s="573"/>
      <c r="Z180" s="573"/>
    </row>
    <row r="181" spans="1:26">
      <c r="A181" s="143">
        <f>A180+1</f>
        <v>100</v>
      </c>
      <c r="B181" s="130"/>
      <c r="C181" s="130" t="s">
        <v>209</v>
      </c>
      <c r="D181" s="130"/>
      <c r="E181" s="143" t="s">
        <v>204</v>
      </c>
      <c r="F181" s="143"/>
      <c r="G181" s="573">
        <v>3.9267443834816063</v>
      </c>
      <c r="H181" s="130"/>
      <c r="I181" s="573">
        <v>3.9287734553374385</v>
      </c>
      <c r="J181" s="130"/>
      <c r="K181" s="579">
        <f>I181-G181</f>
        <v>2.0290718558322318E-3</v>
      </c>
      <c r="L181" s="130"/>
      <c r="M181" s="140">
        <v>74348.5</v>
      </c>
      <c r="N181" s="140"/>
      <c r="O181" s="140">
        <f t="shared" ref="O181:O182" si="51">K181*M181/100</f>
        <v>1.508584488733427</v>
      </c>
      <c r="P181" s="140"/>
      <c r="Q181" s="140">
        <f t="shared" ref="Q181:Q182" si="52">O181</f>
        <v>1.508584488733427</v>
      </c>
      <c r="U181" s="588"/>
      <c r="V181" s="587"/>
      <c r="W181" s="589"/>
      <c r="Y181" s="573"/>
      <c r="Z181" s="573"/>
    </row>
    <row r="182" spans="1:26">
      <c r="A182" s="143">
        <f>A181+1</f>
        <v>101</v>
      </c>
      <c r="B182" s="130"/>
      <c r="C182" s="130" t="s">
        <v>210</v>
      </c>
      <c r="D182" s="130"/>
      <c r="E182" s="143" t="s">
        <v>204</v>
      </c>
      <c r="F182" s="143"/>
      <c r="G182" s="573">
        <v>0.96972041146112009</v>
      </c>
      <c r="H182" s="130"/>
      <c r="I182" s="573">
        <v>0.98584010340779293</v>
      </c>
      <c r="J182" s="130"/>
      <c r="K182" s="586">
        <f>I182-G182</f>
        <v>1.6119691946672843E-2</v>
      </c>
      <c r="L182" s="130"/>
      <c r="M182" s="219">
        <v>20153.399999999998</v>
      </c>
      <c r="N182" s="219"/>
      <c r="O182" s="219">
        <f t="shared" si="51"/>
        <v>3.2486659967807645</v>
      </c>
      <c r="P182" s="219"/>
      <c r="Q182" s="219">
        <f t="shared" si="52"/>
        <v>3.2486659967807645</v>
      </c>
      <c r="U182" s="588"/>
      <c r="V182" s="587"/>
      <c r="W182" s="589"/>
      <c r="Y182" s="573"/>
      <c r="Z182" s="573"/>
    </row>
    <row r="183" spans="1:26">
      <c r="A183" s="143"/>
      <c r="B183" s="130"/>
      <c r="C183" s="130"/>
      <c r="D183" s="130"/>
      <c r="E183" s="143"/>
      <c r="F183" s="143"/>
      <c r="G183" s="573"/>
      <c r="H183" s="130"/>
      <c r="I183" s="548"/>
      <c r="J183" s="130"/>
      <c r="K183" s="579"/>
      <c r="L183" s="130"/>
      <c r="M183" s="140"/>
      <c r="N183" s="140"/>
      <c r="O183" s="140"/>
      <c r="P183" s="140"/>
      <c r="Q183" s="140"/>
      <c r="V183" s="208"/>
      <c r="Z183" s="573"/>
    </row>
    <row r="184" spans="1:26">
      <c r="A184" s="143">
        <f>A182+1</f>
        <v>102</v>
      </c>
      <c r="B184" s="130"/>
      <c r="C184" s="130" t="s">
        <v>211</v>
      </c>
      <c r="D184" s="130"/>
      <c r="E184" s="143" t="s">
        <v>204</v>
      </c>
      <c r="F184" s="143"/>
      <c r="G184" s="573">
        <v>18.339330746597561</v>
      </c>
      <c r="H184" s="130"/>
      <c r="I184" s="573">
        <v>18.34059584781685</v>
      </c>
      <c r="J184" s="130"/>
      <c r="K184" s="579">
        <f>I184-G184</f>
        <v>1.2651012192890221E-3</v>
      </c>
      <c r="L184" s="130"/>
      <c r="M184" s="140">
        <v>74347.3</v>
      </c>
      <c r="N184" s="140"/>
      <c r="O184" s="140">
        <f t="shared" ref="O184" si="53">K184*M184/100</f>
        <v>0.9405685988084671</v>
      </c>
      <c r="P184" s="140"/>
      <c r="Q184" s="140">
        <f t="shared" ref="Q184:Q186" si="54">O184</f>
        <v>0.9405685988084671</v>
      </c>
      <c r="U184" s="588"/>
      <c r="V184" s="587"/>
      <c r="W184" s="589"/>
      <c r="Y184" s="573"/>
      <c r="Z184" s="573"/>
    </row>
    <row r="185" spans="1:26">
      <c r="A185" s="143"/>
      <c r="B185" s="130"/>
      <c r="C185" s="130"/>
      <c r="D185" s="130"/>
      <c r="E185" s="143"/>
      <c r="F185" s="143"/>
      <c r="G185" s="130"/>
      <c r="H185" s="130"/>
      <c r="I185" s="130"/>
      <c r="J185" s="130"/>
      <c r="K185" s="579"/>
      <c r="L185" s="130"/>
      <c r="M185" s="140"/>
      <c r="N185" s="140"/>
      <c r="O185" s="140"/>
      <c r="P185" s="140"/>
      <c r="Q185" s="140"/>
      <c r="V185" s="208"/>
    </row>
    <row r="186" spans="1:26">
      <c r="A186" s="143">
        <f>A184+1</f>
        <v>103</v>
      </c>
      <c r="B186" s="130"/>
      <c r="C186" s="130" t="s">
        <v>238</v>
      </c>
      <c r="D186" s="130"/>
      <c r="E186" s="143" t="s">
        <v>204</v>
      </c>
      <c r="F186" s="143"/>
      <c r="G186" s="573">
        <v>-110</v>
      </c>
      <c r="H186" s="130"/>
      <c r="I186" s="573">
        <v>-110.00000000000001</v>
      </c>
      <c r="J186" s="130"/>
      <c r="K186" s="579">
        <f>I186-G186</f>
        <v>0</v>
      </c>
      <c r="L186" s="130"/>
      <c r="M186" s="140">
        <v>16.14747545454544</v>
      </c>
      <c r="N186" s="140"/>
      <c r="O186" s="140">
        <f>K186*M186/100</f>
        <v>0</v>
      </c>
      <c r="P186" s="140"/>
      <c r="Q186" s="590">
        <f t="shared" si="54"/>
        <v>0</v>
      </c>
    </row>
    <row r="187" spans="1:26">
      <c r="A187" s="143"/>
      <c r="B187" s="130"/>
      <c r="C187" s="130"/>
      <c r="D187" s="130"/>
      <c r="E187" s="143"/>
      <c r="F187" s="143"/>
      <c r="G187" s="130"/>
      <c r="H187" s="130"/>
      <c r="I187" s="130"/>
      <c r="J187" s="130"/>
      <c r="K187" s="579"/>
      <c r="L187" s="130"/>
      <c r="M187" s="140"/>
      <c r="N187" s="140"/>
      <c r="O187" s="140"/>
      <c r="P187" s="140"/>
      <c r="Q187" s="140"/>
    </row>
    <row r="188" spans="1:26" ht="13.5" thickBot="1">
      <c r="A188" s="143">
        <f>A186+1</f>
        <v>104</v>
      </c>
      <c r="B188" s="130"/>
      <c r="C188" s="130" t="s">
        <v>245</v>
      </c>
      <c r="D188" s="130"/>
      <c r="E188" s="143"/>
      <c r="F188" s="143"/>
      <c r="G188" s="573"/>
      <c r="H188" s="130"/>
      <c r="I188" s="573"/>
      <c r="J188" s="130"/>
      <c r="K188" s="582"/>
      <c r="L188" s="130"/>
      <c r="M188" s="140"/>
      <c r="N188" s="140"/>
      <c r="O188" s="578">
        <f>O176+O177+O178+O180+O181+O182+O184+O186</f>
        <v>63.812776414646862</v>
      </c>
      <c r="P188" s="140"/>
      <c r="Q188" s="578">
        <f>Q176+Q177+Q178+Q180+Q181+Q182+Q184+Q186</f>
        <v>63.812776414646862</v>
      </c>
    </row>
    <row r="189" spans="1:26" ht="13.5" thickTop="1">
      <c r="A189" s="143"/>
      <c r="B189" s="130"/>
      <c r="C189" s="130"/>
      <c r="D189" s="130"/>
      <c r="E189" s="143"/>
      <c r="F189" s="143"/>
      <c r="G189" s="130"/>
      <c r="H189" s="130"/>
      <c r="I189" s="130"/>
      <c r="J189" s="130"/>
      <c r="K189" s="579"/>
      <c r="L189" s="130"/>
      <c r="M189" s="140"/>
      <c r="N189" s="140"/>
      <c r="O189" s="140"/>
      <c r="P189" s="140"/>
      <c r="Q189" s="140"/>
    </row>
    <row r="190" spans="1:26">
      <c r="A190" s="143"/>
      <c r="B190" s="130"/>
      <c r="C190" s="130"/>
      <c r="D190" s="130"/>
      <c r="E190" s="143"/>
      <c r="F190" s="143"/>
      <c r="G190" s="130"/>
      <c r="H190" s="130"/>
      <c r="I190" s="130"/>
      <c r="J190" s="130"/>
      <c r="K190" s="579"/>
      <c r="L190" s="130"/>
      <c r="M190" s="140"/>
      <c r="N190" s="140"/>
      <c r="O190" s="140"/>
      <c r="P190" s="140"/>
      <c r="Q190" s="140"/>
    </row>
    <row r="191" spans="1:26">
      <c r="A191" s="143"/>
      <c r="B191" s="130"/>
      <c r="C191" s="130"/>
      <c r="D191" s="130"/>
      <c r="E191" s="143"/>
      <c r="F191" s="143"/>
      <c r="G191" s="130"/>
      <c r="H191" s="130"/>
      <c r="I191" s="130"/>
      <c r="J191" s="130"/>
      <c r="K191" s="579"/>
      <c r="L191" s="130"/>
      <c r="M191" s="140"/>
      <c r="N191" s="140"/>
      <c r="O191" s="140"/>
      <c r="P191" s="140"/>
      <c r="Q191" s="140"/>
    </row>
    <row r="192" spans="1:26">
      <c r="A192" s="1295" t="s">
        <v>191</v>
      </c>
      <c r="B192" s="1305"/>
      <c r="C192" s="1305"/>
      <c r="D192" s="1305"/>
      <c r="E192" s="1305"/>
      <c r="F192" s="1305"/>
      <c r="G192" s="1305"/>
      <c r="H192" s="1305"/>
      <c r="I192" s="1305"/>
      <c r="J192" s="1305"/>
      <c r="K192" s="1305"/>
      <c r="L192" s="1305"/>
      <c r="M192" s="1305"/>
      <c r="N192" s="1305"/>
      <c r="O192" s="1305"/>
      <c r="P192" s="1305"/>
      <c r="Q192" s="1305"/>
    </row>
    <row r="193" spans="1:26">
      <c r="A193" s="1295" t="s">
        <v>228</v>
      </c>
      <c r="B193" s="1295"/>
      <c r="C193" s="1295"/>
      <c r="D193" s="1295"/>
      <c r="E193" s="1295"/>
      <c r="F193" s="1295"/>
      <c r="G193" s="1295"/>
      <c r="H193" s="1295"/>
      <c r="I193" s="1295"/>
      <c r="J193" s="1295"/>
      <c r="K193" s="1295"/>
      <c r="L193" s="1295"/>
      <c r="M193" s="1295"/>
      <c r="N193" s="1295"/>
      <c r="O193" s="1295"/>
      <c r="P193" s="1295"/>
      <c r="Q193" s="1295"/>
    </row>
    <row r="194" spans="1:26">
      <c r="A194" s="143"/>
      <c r="B194" s="130"/>
      <c r="C194" s="130"/>
      <c r="D194" s="130"/>
      <c r="E194" s="130"/>
      <c r="F194" s="130"/>
      <c r="G194" s="143"/>
      <c r="H194" s="143"/>
      <c r="I194" s="143"/>
      <c r="J194" s="130"/>
      <c r="K194" s="143"/>
      <c r="L194" s="130"/>
      <c r="M194" s="143"/>
      <c r="N194" s="130"/>
      <c r="O194" s="130"/>
      <c r="P194" s="130"/>
      <c r="Q194" s="130"/>
    </row>
    <row r="195" spans="1:26">
      <c r="A195" s="143"/>
      <c r="B195" s="130"/>
      <c r="C195" s="130"/>
      <c r="D195" s="130"/>
      <c r="E195" s="130"/>
      <c r="F195" s="130"/>
      <c r="G195" s="130"/>
      <c r="H195" s="130"/>
      <c r="I195" s="130"/>
      <c r="J195" s="130"/>
      <c r="K195" s="130"/>
      <c r="L195" s="130"/>
      <c r="M195" s="130"/>
      <c r="N195" s="130"/>
      <c r="O195" s="143" t="s">
        <v>192</v>
      </c>
      <c r="P195" s="130"/>
      <c r="Q195" s="143" t="s">
        <v>160</v>
      </c>
    </row>
    <row r="196" spans="1:26">
      <c r="A196" s="143" t="s">
        <v>1</v>
      </c>
      <c r="B196" s="130"/>
      <c r="C196" s="130"/>
      <c r="D196" s="130"/>
      <c r="E196" s="130"/>
      <c r="F196" s="130"/>
      <c r="G196" s="143" t="s">
        <v>5</v>
      </c>
      <c r="H196" s="130"/>
      <c r="I196" s="143" t="s">
        <v>6</v>
      </c>
      <c r="J196" s="130"/>
      <c r="K196" s="143" t="s">
        <v>148</v>
      </c>
      <c r="L196" s="130"/>
      <c r="M196" s="143" t="s">
        <v>193</v>
      </c>
      <c r="N196" s="130"/>
      <c r="O196" s="143" t="s">
        <v>194</v>
      </c>
      <c r="P196" s="130"/>
      <c r="Q196" s="143" t="s">
        <v>195</v>
      </c>
    </row>
    <row r="197" spans="1:26">
      <c r="A197" s="215" t="s">
        <v>2</v>
      </c>
      <c r="B197" s="130"/>
      <c r="C197" s="450" t="s">
        <v>3</v>
      </c>
      <c r="D197" s="130"/>
      <c r="E197" s="215" t="s">
        <v>4</v>
      </c>
      <c r="F197" s="143"/>
      <c r="G197" s="215" t="s">
        <v>196</v>
      </c>
      <c r="H197" s="130"/>
      <c r="I197" s="215" t="s">
        <v>197</v>
      </c>
      <c r="J197" s="130"/>
      <c r="K197" s="215" t="s">
        <v>194</v>
      </c>
      <c r="L197" s="130"/>
      <c r="M197" s="215" t="s">
        <v>198</v>
      </c>
      <c r="N197" s="130"/>
      <c r="O197" s="215" t="s">
        <v>20</v>
      </c>
      <c r="P197" s="130"/>
      <c r="Q197" s="215" t="s">
        <v>20</v>
      </c>
    </row>
    <row r="198" spans="1:26">
      <c r="A198" s="143"/>
      <c r="B198" s="130"/>
      <c r="C198" s="130"/>
      <c r="D198" s="130"/>
      <c r="E198" s="130"/>
      <c r="F198" s="130"/>
      <c r="G198" s="218" t="s">
        <v>8</v>
      </c>
      <c r="H198" s="143"/>
      <c r="I198" s="218" t="s">
        <v>9</v>
      </c>
      <c r="J198" s="143"/>
      <c r="K198" s="218" t="s">
        <v>10</v>
      </c>
      <c r="L198" s="130"/>
      <c r="M198" s="218" t="s">
        <v>79</v>
      </c>
      <c r="N198" s="130"/>
      <c r="O198" s="218" t="s">
        <v>199</v>
      </c>
      <c r="P198" s="130"/>
      <c r="Q198" s="143" t="s">
        <v>81</v>
      </c>
    </row>
    <row r="199" spans="1:26">
      <c r="A199" s="143"/>
      <c r="B199" s="130"/>
      <c r="C199" s="546" t="s">
        <v>246</v>
      </c>
      <c r="D199" s="130"/>
      <c r="E199" s="143"/>
      <c r="F199" s="143"/>
      <c r="G199" s="130"/>
      <c r="H199" s="130"/>
      <c r="I199" s="130"/>
      <c r="J199" s="130"/>
      <c r="K199" s="579"/>
      <c r="L199" s="130"/>
      <c r="M199" s="140"/>
      <c r="N199" s="140"/>
      <c r="O199" s="140"/>
      <c r="P199" s="140"/>
      <c r="Q199" s="140"/>
    </row>
    <row r="200" spans="1:26">
      <c r="A200" s="143">
        <f>A188+1</f>
        <v>105</v>
      </c>
      <c r="B200" s="130"/>
      <c r="C200" s="130" t="s">
        <v>200</v>
      </c>
      <c r="D200" s="130"/>
      <c r="E200" s="143" t="s">
        <v>201</v>
      </c>
      <c r="F200" s="143"/>
      <c r="G200" s="128">
        <v>22.98</v>
      </c>
      <c r="H200" s="584"/>
      <c r="I200" s="128">
        <v>25.852025503389033</v>
      </c>
      <c r="J200" s="584"/>
      <c r="K200" s="128">
        <f t="shared" ref="K200:K214" si="55">I200-G200</f>
        <v>2.8720255033890325</v>
      </c>
      <c r="L200" s="130"/>
      <c r="M200" s="140">
        <v>1475814.0000000002</v>
      </c>
      <c r="N200" s="140"/>
      <c r="O200" s="140">
        <f t="shared" ref="O200" si="56">K200*M200/1000</f>
        <v>4238.5754462585819</v>
      </c>
      <c r="P200" s="140"/>
      <c r="Q200" s="140"/>
      <c r="S200" s="593"/>
      <c r="U200" s="571"/>
      <c r="Y200" s="573"/>
      <c r="Z200" s="573"/>
    </row>
    <row r="201" spans="1:26">
      <c r="A201" s="143"/>
      <c r="B201" s="130"/>
      <c r="C201" s="130" t="s">
        <v>202</v>
      </c>
      <c r="D201" s="130"/>
      <c r="E201" s="143"/>
      <c r="F201" s="143"/>
      <c r="G201" s="130"/>
      <c r="H201" s="130"/>
      <c r="I201" s="572"/>
      <c r="J201" s="130"/>
      <c r="K201" s="579"/>
      <c r="L201" s="130"/>
      <c r="M201" s="140"/>
      <c r="N201" s="140"/>
      <c r="O201" s="140"/>
      <c r="P201" s="140"/>
      <c r="Q201" s="140"/>
    </row>
    <row r="202" spans="1:26">
      <c r="A202" s="143">
        <f>A200+1</f>
        <v>106</v>
      </c>
      <c r="B202" s="130"/>
      <c r="C202" s="547" t="s">
        <v>247</v>
      </c>
      <c r="D202" s="130"/>
      <c r="E202" s="143" t="s">
        <v>204</v>
      </c>
      <c r="F202" s="143"/>
      <c r="G202" s="573">
        <v>11.1409</v>
      </c>
      <c r="H202" s="130"/>
      <c r="I202" s="573">
        <v>10.990997938104181</v>
      </c>
      <c r="J202" s="130"/>
      <c r="K202" s="579">
        <f t="shared" si="55"/>
        <v>-0.14990206189581912</v>
      </c>
      <c r="L202" s="130"/>
      <c r="M202" s="140">
        <v>133852.6729958939</v>
      </c>
      <c r="N202" s="140"/>
      <c r="O202" s="140">
        <f>K202*M202/100</f>
        <v>-200.64791672351322</v>
      </c>
      <c r="P202" s="140"/>
      <c r="Q202" s="140"/>
      <c r="S202" s="593"/>
      <c r="U202" s="588"/>
      <c r="V202" s="587"/>
      <c r="W202" s="589"/>
      <c r="Y202" s="573"/>
      <c r="Z202" s="573"/>
    </row>
    <row r="203" spans="1:26">
      <c r="A203" s="143">
        <f>A202+1</f>
        <v>107</v>
      </c>
      <c r="B203" s="130"/>
      <c r="C203" s="547" t="s">
        <v>248</v>
      </c>
      <c r="D203" s="130"/>
      <c r="E203" s="143" t="s">
        <v>204</v>
      </c>
      <c r="F203" s="143"/>
      <c r="G203" s="573">
        <v>10.862900000000002</v>
      </c>
      <c r="H203" s="130"/>
      <c r="I203" s="573">
        <v>10.721419579282479</v>
      </c>
      <c r="J203" s="130"/>
      <c r="K203" s="579">
        <f t="shared" si="55"/>
        <v>-0.14148042071752265</v>
      </c>
      <c r="L203" s="130"/>
      <c r="M203" s="140">
        <v>206279.73214664368</v>
      </c>
      <c r="N203" s="140"/>
      <c r="O203" s="140">
        <f t="shared" ref="O203:O206" si="57">K203*M203/100</f>
        <v>-291.84543289605028</v>
      </c>
      <c r="P203" s="140"/>
      <c r="Q203" s="140"/>
      <c r="S203" s="593"/>
      <c r="U203" s="588"/>
      <c r="V203" s="587"/>
      <c r="W203" s="589"/>
      <c r="Y203" s="573"/>
      <c r="Z203" s="573"/>
    </row>
    <row r="204" spans="1:26">
      <c r="A204" s="143">
        <f t="shared" ref="A204:A207" si="58">A203+1</f>
        <v>108</v>
      </c>
      <c r="B204" s="130"/>
      <c r="C204" s="547" t="s">
        <v>248</v>
      </c>
      <c r="D204" s="130"/>
      <c r="E204" s="143" t="s">
        <v>204</v>
      </c>
      <c r="F204" s="143"/>
      <c r="G204" s="573">
        <v>10.4222</v>
      </c>
      <c r="H204" s="130"/>
      <c r="I204" s="573">
        <v>10.294099369355955</v>
      </c>
      <c r="J204" s="130"/>
      <c r="K204" s="579">
        <f t="shared" si="55"/>
        <v>-0.12810063064404531</v>
      </c>
      <c r="L204" s="130"/>
      <c r="M204" s="140">
        <v>85599.072418883894</v>
      </c>
      <c r="N204" s="140"/>
      <c r="O204" s="140">
        <f t="shared" si="57"/>
        <v>-109.65295159404332</v>
      </c>
      <c r="P204" s="140"/>
      <c r="Q204" s="140"/>
      <c r="S204" s="593"/>
      <c r="U204" s="588"/>
      <c r="V204" s="587"/>
      <c r="W204" s="589"/>
      <c r="Y204" s="573"/>
      <c r="Z204" s="573"/>
    </row>
    <row r="205" spans="1:26">
      <c r="A205" s="143">
        <f t="shared" si="58"/>
        <v>109</v>
      </c>
      <c r="B205" s="130"/>
      <c r="C205" s="547" t="s">
        <v>249</v>
      </c>
      <c r="D205" s="130"/>
      <c r="E205" s="143" t="s">
        <v>204</v>
      </c>
      <c r="F205" s="143"/>
      <c r="G205" s="573">
        <v>10.017900000000001</v>
      </c>
      <c r="H205" s="130"/>
      <c r="I205" s="573">
        <v>9.9020040649821386</v>
      </c>
      <c r="J205" s="130"/>
      <c r="K205" s="579">
        <f t="shared" si="55"/>
        <v>-0.11589593501786233</v>
      </c>
      <c r="L205" s="130"/>
      <c r="M205" s="140">
        <v>54112.099078318715</v>
      </c>
      <c r="N205" s="140"/>
      <c r="O205" s="140">
        <f t="shared" si="57"/>
        <v>-62.713723184609535</v>
      </c>
      <c r="P205" s="140"/>
      <c r="Q205" s="140"/>
      <c r="S205" s="593"/>
      <c r="U205" s="588"/>
      <c r="V205" s="587"/>
      <c r="W205" s="589"/>
      <c r="Y205" s="573"/>
      <c r="Z205" s="573"/>
    </row>
    <row r="206" spans="1:26">
      <c r="A206" s="143">
        <f t="shared" si="58"/>
        <v>110</v>
      </c>
      <c r="B206" s="130"/>
      <c r="C206" s="547" t="s">
        <v>250</v>
      </c>
      <c r="D206" s="130"/>
      <c r="E206" s="143" t="s">
        <v>204</v>
      </c>
      <c r="F206" s="143"/>
      <c r="G206" s="573">
        <v>9.6836000000000002</v>
      </c>
      <c r="H206" s="130"/>
      <c r="I206" s="573">
        <v>9.5778938552902133</v>
      </c>
      <c r="J206" s="130"/>
      <c r="K206" s="579">
        <f t="shared" si="55"/>
        <v>-0.1057061447097869</v>
      </c>
      <c r="L206" s="130"/>
      <c r="M206" s="140">
        <v>77197.90942841077</v>
      </c>
      <c r="N206" s="140"/>
      <c r="O206" s="140">
        <f t="shared" si="57"/>
        <v>-81.602933853326107</v>
      </c>
      <c r="P206" s="140"/>
      <c r="Q206" s="140"/>
      <c r="S206" s="593"/>
      <c r="U206" s="588"/>
      <c r="V206" s="587"/>
      <c r="W206" s="589"/>
      <c r="Y206" s="573"/>
      <c r="Z206" s="573"/>
    </row>
    <row r="207" spans="1:26">
      <c r="A207" s="143">
        <f t="shared" si="58"/>
        <v>111</v>
      </c>
      <c r="B207" s="130"/>
      <c r="C207" s="130" t="s">
        <v>202</v>
      </c>
      <c r="D207" s="130"/>
      <c r="E207" s="143"/>
      <c r="F207" s="143"/>
      <c r="G207" s="573"/>
      <c r="H207" s="130"/>
      <c r="I207" s="573"/>
      <c r="J207" s="130"/>
      <c r="K207" s="582"/>
      <c r="L207" s="130"/>
      <c r="M207" s="575">
        <f>SUM(M202:M206)</f>
        <v>557041.48606815096</v>
      </c>
      <c r="N207" s="140"/>
      <c r="O207" s="575">
        <f>SUM(O202:O206)</f>
        <v>-746.46295825154255</v>
      </c>
      <c r="P207" s="140"/>
      <c r="Q207" s="140">
        <f>O200+O207</f>
        <v>3492.1124880070392</v>
      </c>
    </row>
    <row r="208" spans="1:26">
      <c r="A208" s="143"/>
      <c r="B208" s="130"/>
      <c r="C208" s="130"/>
      <c r="D208" s="130"/>
      <c r="E208" s="143"/>
      <c r="F208" s="143"/>
      <c r="G208" s="573"/>
      <c r="H208" s="130"/>
      <c r="I208" s="548"/>
      <c r="J208" s="130"/>
      <c r="K208" s="579"/>
      <c r="L208" s="130"/>
      <c r="M208" s="140"/>
      <c r="N208" s="140"/>
      <c r="O208" s="140"/>
      <c r="P208" s="140"/>
      <c r="Q208" s="140"/>
    </row>
    <row r="209" spans="1:26">
      <c r="A209" s="143">
        <f>A207+1</f>
        <v>112</v>
      </c>
      <c r="B209" s="130"/>
      <c r="C209" s="423" t="s">
        <v>251</v>
      </c>
      <c r="D209" s="130"/>
      <c r="E209" s="143" t="s">
        <v>204</v>
      </c>
      <c r="F209" s="143"/>
      <c r="G209" s="573">
        <v>4.4904000000000011</v>
      </c>
      <c r="H209" s="130"/>
      <c r="I209" s="573">
        <v>4.4824021467039357</v>
      </c>
      <c r="J209" s="130"/>
      <c r="K209" s="586">
        <f t="shared" si="55"/>
        <v>-7.9978532960653936E-3</v>
      </c>
      <c r="L209" s="130"/>
      <c r="M209" s="219">
        <v>156680.92915309046</v>
      </c>
      <c r="N209" s="219"/>
      <c r="O209" s="140">
        <f t="shared" ref="O209:O210" si="59">K209*M209/100</f>
        <v>-12.531110856576328</v>
      </c>
      <c r="P209" s="219"/>
      <c r="Q209" s="219">
        <f>O209</f>
        <v>-12.531110856576328</v>
      </c>
      <c r="S209" s="593"/>
      <c r="U209" s="588"/>
      <c r="V209" s="587"/>
      <c r="W209" s="589"/>
      <c r="Y209" s="573"/>
      <c r="Z209" s="573"/>
    </row>
    <row r="210" spans="1:26">
      <c r="A210" s="143">
        <f>A209+1</f>
        <v>113</v>
      </c>
      <c r="B210" s="130"/>
      <c r="C210" s="423" t="s">
        <v>252</v>
      </c>
      <c r="D210" s="130"/>
      <c r="E210" s="143" t="s">
        <v>204</v>
      </c>
      <c r="F210" s="143"/>
      <c r="G210" s="573">
        <v>2.2974999999999999</v>
      </c>
      <c r="H210" s="130"/>
      <c r="I210" s="573">
        <v>2.2978868206852958</v>
      </c>
      <c r="J210" s="130"/>
      <c r="K210" s="586">
        <f t="shared" si="55"/>
        <v>3.8682068529594105E-4</v>
      </c>
      <c r="L210" s="130"/>
      <c r="M210" s="596">
        <v>400360.5569150605</v>
      </c>
      <c r="N210" s="219"/>
      <c r="O210" s="581">
        <f t="shared" si="59"/>
        <v>1.548677449913483</v>
      </c>
      <c r="P210" s="219"/>
      <c r="Q210" s="219">
        <f>O210</f>
        <v>1.548677449913483</v>
      </c>
      <c r="S210" s="593"/>
      <c r="U210" s="588"/>
      <c r="V210" s="587"/>
      <c r="W210" s="589"/>
      <c r="Y210" s="573"/>
      <c r="Z210" s="573"/>
    </row>
    <row r="211" spans="1:26">
      <c r="A211" s="143">
        <f>A210+1</f>
        <v>114</v>
      </c>
      <c r="B211" s="130"/>
      <c r="C211" s="423" t="s">
        <v>209</v>
      </c>
      <c r="D211" s="130"/>
      <c r="E211" s="143"/>
      <c r="F211" s="143"/>
      <c r="G211" s="573"/>
      <c r="H211" s="130"/>
      <c r="I211" s="573"/>
      <c r="J211" s="130"/>
      <c r="K211" s="591"/>
      <c r="L211" s="130"/>
      <c r="M211" s="219">
        <f>SUM(M209:M210)</f>
        <v>557041.48606815096</v>
      </c>
      <c r="N211" s="219"/>
      <c r="O211" s="219">
        <f>SUM(O209:O210)</f>
        <v>-10.982433406662846</v>
      </c>
      <c r="P211" s="219"/>
      <c r="Q211" s="219"/>
    </row>
    <row r="212" spans="1:26">
      <c r="A212" s="143"/>
      <c r="B212" s="130"/>
      <c r="C212" s="130"/>
      <c r="D212" s="130"/>
      <c r="E212" s="143"/>
      <c r="F212" s="143"/>
      <c r="G212" s="573"/>
      <c r="H212" s="130"/>
      <c r="I212" s="548"/>
      <c r="J212" s="130"/>
      <c r="K212" s="586"/>
      <c r="L212" s="130"/>
      <c r="M212" s="219"/>
      <c r="N212" s="219"/>
      <c r="O212" s="219"/>
      <c r="P212" s="219"/>
      <c r="Q212" s="219"/>
    </row>
    <row r="213" spans="1:26">
      <c r="A213" s="143">
        <f>A211+1</f>
        <v>115</v>
      </c>
      <c r="B213" s="130"/>
      <c r="C213" s="423" t="s">
        <v>253</v>
      </c>
      <c r="D213" s="130"/>
      <c r="E213" s="143" t="s">
        <v>204</v>
      </c>
      <c r="F213" s="143"/>
      <c r="G213" s="573">
        <v>2.2812000000000001</v>
      </c>
      <c r="H213" s="130"/>
      <c r="I213" s="573">
        <v>2.3326123262666911</v>
      </c>
      <c r="J213" s="130"/>
      <c r="K213" s="586">
        <f t="shared" si="55"/>
        <v>5.1412326266691011E-2</v>
      </c>
      <c r="L213" s="130"/>
      <c r="M213" s="219">
        <v>156680.92915309046</v>
      </c>
      <c r="N213" s="219"/>
      <c r="O213" s="219">
        <f>K213*M213/100</f>
        <v>80.553310493869859</v>
      </c>
      <c r="P213" s="219"/>
      <c r="Q213" s="219">
        <f>O213</f>
        <v>80.553310493869859</v>
      </c>
      <c r="S213" s="593"/>
      <c r="U213" s="588"/>
      <c r="V213" s="587"/>
      <c r="W213" s="589"/>
      <c r="Y213" s="573"/>
      <c r="Z213" s="573"/>
    </row>
    <row r="214" spans="1:26">
      <c r="A214" s="143">
        <f>A213+1</f>
        <v>116</v>
      </c>
      <c r="B214" s="130"/>
      <c r="C214" s="423" t="s">
        <v>254</v>
      </c>
      <c r="D214" s="130"/>
      <c r="E214" s="143" t="s">
        <v>204</v>
      </c>
      <c r="F214" s="143"/>
      <c r="G214" s="573">
        <v>6.2597999999999994</v>
      </c>
      <c r="H214" s="130"/>
      <c r="I214" s="573">
        <v>6.3236199630364505</v>
      </c>
      <c r="J214" s="130"/>
      <c r="K214" s="586">
        <f t="shared" si="55"/>
        <v>6.3819963036451099E-2</v>
      </c>
      <c r="L214" s="130"/>
      <c r="M214" s="596">
        <v>400360.5569150605</v>
      </c>
      <c r="N214" s="219"/>
      <c r="O214" s="596">
        <f>K214*M214/100</f>
        <v>255.50995943572138</v>
      </c>
      <c r="P214" s="219"/>
      <c r="Q214" s="219">
        <f>O214</f>
        <v>255.50995943572138</v>
      </c>
      <c r="S214" s="593"/>
      <c r="U214" s="588"/>
      <c r="V214" s="587"/>
      <c r="W214" s="589"/>
      <c r="Y214" s="573"/>
      <c r="Z214" s="573"/>
    </row>
    <row r="215" spans="1:26">
      <c r="A215" s="143">
        <f>A214+1</f>
        <v>117</v>
      </c>
      <c r="B215" s="130"/>
      <c r="C215" s="423" t="s">
        <v>255</v>
      </c>
      <c r="D215" s="130"/>
      <c r="E215" s="143"/>
      <c r="F215" s="143"/>
      <c r="G215" s="573"/>
      <c r="H215" s="130"/>
      <c r="I215" s="573"/>
      <c r="J215" s="130"/>
      <c r="K215" s="591"/>
      <c r="L215" s="130"/>
      <c r="M215" s="219">
        <f>SUM(M213:M214)</f>
        <v>557041.48606815096</v>
      </c>
      <c r="N215" s="219"/>
      <c r="O215" s="219">
        <f>SUM(O213:O214)</f>
        <v>336.06326992959123</v>
      </c>
      <c r="P215" s="219"/>
      <c r="Q215" s="219"/>
    </row>
    <row r="216" spans="1:26">
      <c r="A216" s="143"/>
      <c r="B216" s="130"/>
      <c r="C216" s="423"/>
      <c r="D216" s="130"/>
      <c r="E216" s="143"/>
      <c r="F216" s="143"/>
      <c r="G216" s="573"/>
      <c r="H216" s="130"/>
      <c r="I216" s="548"/>
      <c r="J216" s="130"/>
      <c r="K216" s="586"/>
      <c r="L216" s="130"/>
      <c r="M216" s="219"/>
      <c r="N216" s="219"/>
      <c r="O216" s="219"/>
      <c r="P216" s="219"/>
      <c r="Q216" s="219"/>
    </row>
    <row r="217" spans="1:26">
      <c r="A217" s="143">
        <f>A215+1</f>
        <v>118</v>
      </c>
      <c r="B217" s="130"/>
      <c r="C217" s="423" t="s">
        <v>256</v>
      </c>
      <c r="D217" s="130"/>
      <c r="E217" s="143" t="s">
        <v>204</v>
      </c>
      <c r="F217" s="143"/>
      <c r="G217" s="573">
        <v>18.274100000000001</v>
      </c>
      <c r="H217" s="130"/>
      <c r="I217" s="573">
        <v>18.279722239292667</v>
      </c>
      <c r="J217" s="130"/>
      <c r="K217" s="586">
        <f t="shared" ref="K217:K242" si="60">I217-G217</f>
        <v>5.6222392926663645E-3</v>
      </c>
      <c r="L217" s="130"/>
      <c r="M217" s="219">
        <v>149507.6656461863</v>
      </c>
      <c r="N217" s="219"/>
      <c r="O217" s="219">
        <f>K217*M217/100</f>
        <v>8.4056787235081387</v>
      </c>
      <c r="P217" s="219"/>
      <c r="Q217" s="219">
        <f>O217</f>
        <v>8.4056787235081387</v>
      </c>
      <c r="S217" s="593"/>
      <c r="U217" s="588"/>
      <c r="V217" s="587"/>
      <c r="W217" s="589"/>
      <c r="Y217" s="573"/>
      <c r="Z217" s="573"/>
    </row>
    <row r="218" spans="1:26">
      <c r="A218" s="143">
        <f>A217+1</f>
        <v>119</v>
      </c>
      <c r="B218" s="130"/>
      <c r="C218" s="423" t="s">
        <v>257</v>
      </c>
      <c r="D218" s="130"/>
      <c r="E218" s="143" t="s">
        <v>204</v>
      </c>
      <c r="F218" s="143"/>
      <c r="G218" s="573">
        <v>20.820800000000002</v>
      </c>
      <c r="H218" s="130"/>
      <c r="I218" s="573">
        <v>20.826422239292668</v>
      </c>
      <c r="J218" s="130"/>
      <c r="K218" s="586">
        <f t="shared" si="60"/>
        <v>5.6222392926663645E-3</v>
      </c>
      <c r="L218" s="130"/>
      <c r="M218" s="596">
        <v>375246.49091046234</v>
      </c>
      <c r="N218" s="219"/>
      <c r="O218" s="596">
        <f>K218*M218/100</f>
        <v>21.097255656319732</v>
      </c>
      <c r="P218" s="219"/>
      <c r="Q218" s="219">
        <f>O218</f>
        <v>21.097255656319732</v>
      </c>
      <c r="S218" s="593"/>
      <c r="U218" s="588"/>
      <c r="V218" s="587"/>
      <c r="W218" s="589"/>
      <c r="Y218" s="573"/>
      <c r="Z218" s="573"/>
    </row>
    <row r="219" spans="1:26">
      <c r="A219" s="143">
        <f>A218+1</f>
        <v>120</v>
      </c>
      <c r="B219" s="130"/>
      <c r="C219" s="423" t="s">
        <v>258</v>
      </c>
      <c r="D219" s="130"/>
      <c r="E219" s="143"/>
      <c r="F219" s="143"/>
      <c r="G219" s="573"/>
      <c r="H219" s="130"/>
      <c r="I219" s="573"/>
      <c r="J219" s="130"/>
      <c r="K219" s="586"/>
      <c r="L219" s="130"/>
      <c r="M219" s="219">
        <f>SUM(M217:M218)</f>
        <v>524754.15655664867</v>
      </c>
      <c r="N219" s="219"/>
      <c r="O219" s="219">
        <f>SUM(O217:O218)</f>
        <v>29.50293437982787</v>
      </c>
      <c r="P219" s="219"/>
      <c r="Q219" s="219"/>
    </row>
    <row r="220" spans="1:26">
      <c r="A220" s="143"/>
      <c r="B220" s="130"/>
      <c r="C220" s="130"/>
      <c r="D220" s="130"/>
      <c r="E220" s="143"/>
      <c r="F220" s="143"/>
      <c r="G220" s="573"/>
      <c r="H220" s="130"/>
      <c r="I220" s="548"/>
      <c r="J220" s="130"/>
      <c r="K220" s="586"/>
      <c r="L220" s="130"/>
      <c r="M220" s="219"/>
      <c r="N220" s="219"/>
      <c r="O220" s="219"/>
      <c r="P220" s="219"/>
      <c r="Q220" s="219"/>
    </row>
    <row r="221" spans="1:26" ht="13.5" thickBot="1">
      <c r="A221" s="143">
        <f>A219+1</f>
        <v>121</v>
      </c>
      <c r="B221" s="130"/>
      <c r="C221" s="130" t="s">
        <v>259</v>
      </c>
      <c r="D221" s="130"/>
      <c r="E221" s="143"/>
      <c r="F221" s="143"/>
      <c r="G221" s="573"/>
      <c r="H221" s="130"/>
      <c r="I221" s="573"/>
      <c r="J221" s="130"/>
      <c r="K221" s="591"/>
      <c r="L221" s="130"/>
      <c r="M221" s="219"/>
      <c r="N221" s="219"/>
      <c r="O221" s="592">
        <f>O200+O207+O209+O210+O213+O214+O217+O218</f>
        <v>3846.6962589097957</v>
      </c>
      <c r="P221" s="219"/>
      <c r="Q221" s="592">
        <f>SUM(Q200:Q218)</f>
        <v>3846.6962589097957</v>
      </c>
    </row>
    <row r="222" spans="1:26" ht="13.5" thickTop="1">
      <c r="A222" s="143"/>
      <c r="B222" s="130"/>
      <c r="C222" s="130"/>
      <c r="D222" s="130"/>
      <c r="E222" s="143"/>
      <c r="F222" s="143"/>
      <c r="G222" s="130"/>
      <c r="H222" s="130"/>
      <c r="I222" s="130"/>
      <c r="J222" s="130"/>
      <c r="K222" s="579"/>
      <c r="L222" s="130"/>
      <c r="M222" s="140"/>
      <c r="N222" s="140"/>
      <c r="O222" s="140"/>
      <c r="P222" s="140"/>
      <c r="Q222" s="140"/>
    </row>
    <row r="223" spans="1:26">
      <c r="A223" s="143"/>
      <c r="B223" s="130"/>
      <c r="C223" s="546" t="s">
        <v>260</v>
      </c>
      <c r="D223" s="130"/>
      <c r="E223" s="143"/>
      <c r="F223" s="143"/>
      <c r="G223" s="130"/>
      <c r="H223" s="130"/>
      <c r="I223" s="130"/>
      <c r="J223" s="130"/>
      <c r="K223" s="579"/>
      <c r="L223" s="130"/>
      <c r="M223" s="140"/>
      <c r="N223" s="140"/>
      <c r="O223" s="140"/>
      <c r="P223" s="140"/>
      <c r="Q223" s="140"/>
    </row>
    <row r="224" spans="1:26">
      <c r="A224" s="143">
        <f>A221+1</f>
        <v>122</v>
      </c>
      <c r="B224" s="130"/>
      <c r="C224" s="130" t="s">
        <v>200</v>
      </c>
      <c r="D224" s="130"/>
      <c r="E224" s="143" t="s">
        <v>201</v>
      </c>
      <c r="F224" s="143"/>
      <c r="G224" s="128">
        <v>76.58</v>
      </c>
      <c r="H224" s="584"/>
      <c r="I224" s="128">
        <v>78.644993213585394</v>
      </c>
      <c r="J224" s="584"/>
      <c r="K224" s="128">
        <f t="shared" si="60"/>
        <v>2.0649932135853959</v>
      </c>
      <c r="L224" s="130"/>
      <c r="M224" s="140">
        <v>8855</v>
      </c>
      <c r="N224" s="140"/>
      <c r="O224" s="140">
        <f t="shared" ref="O224" si="61">K224*M224/1000</f>
        <v>18.285514906298683</v>
      </c>
      <c r="P224" s="140"/>
      <c r="Q224" s="140"/>
      <c r="S224" s="593"/>
      <c r="U224" s="571"/>
      <c r="Y224" s="573"/>
      <c r="Z224" s="573"/>
    </row>
    <row r="225" spans="1:26">
      <c r="A225" s="143"/>
      <c r="B225" s="130"/>
      <c r="C225" s="130" t="s">
        <v>202</v>
      </c>
      <c r="D225" s="130"/>
      <c r="E225" s="143"/>
      <c r="F225" s="143"/>
      <c r="G225" s="130"/>
      <c r="H225" s="130"/>
      <c r="I225" s="572"/>
      <c r="J225" s="130"/>
      <c r="K225" s="579"/>
      <c r="L225" s="130"/>
      <c r="M225" s="140"/>
      <c r="N225" s="140"/>
      <c r="O225" s="140"/>
      <c r="P225" s="140"/>
      <c r="Q225" s="140"/>
    </row>
    <row r="226" spans="1:26">
      <c r="A226" s="143">
        <f>A224+1</f>
        <v>123</v>
      </c>
      <c r="B226" s="130"/>
      <c r="C226" s="547" t="s">
        <v>261</v>
      </c>
      <c r="D226" s="130"/>
      <c r="E226" s="143" t="s">
        <v>204</v>
      </c>
      <c r="F226" s="143"/>
      <c r="G226" s="573">
        <v>10.1913</v>
      </c>
      <c r="H226" s="130"/>
      <c r="I226" s="573">
        <v>9.8210820753898709</v>
      </c>
      <c r="J226" s="130"/>
      <c r="K226" s="579">
        <f t="shared" si="60"/>
        <v>-0.37021792461012915</v>
      </c>
      <c r="L226" s="130"/>
      <c r="M226" s="140">
        <v>8204.8177430611595</v>
      </c>
      <c r="N226" s="140"/>
      <c r="O226" s="140">
        <f>K226*M226/100</f>
        <v>-30.375705966404663</v>
      </c>
      <c r="P226" s="140"/>
      <c r="Q226" s="140"/>
      <c r="S226" s="593"/>
      <c r="U226" s="588"/>
      <c r="V226" s="587"/>
      <c r="W226" s="589"/>
      <c r="Y226" s="573"/>
      <c r="Z226" s="573"/>
    </row>
    <row r="227" spans="1:26">
      <c r="A227" s="143">
        <f>A226+1</f>
        <v>124</v>
      </c>
      <c r="B227" s="130"/>
      <c r="C227" s="547" t="s">
        <v>262</v>
      </c>
      <c r="D227" s="130"/>
      <c r="E227" s="143" t="s">
        <v>204</v>
      </c>
      <c r="F227" s="143"/>
      <c r="G227" s="573">
        <v>8.3182000000000009</v>
      </c>
      <c r="H227" s="130"/>
      <c r="I227" s="573">
        <v>8.0133380597293602</v>
      </c>
      <c r="J227" s="130"/>
      <c r="K227" s="579">
        <f t="shared" si="60"/>
        <v>-0.30486194027064073</v>
      </c>
      <c r="L227" s="130"/>
      <c r="M227" s="140">
        <v>62336.815604183088</v>
      </c>
      <c r="N227" s="140"/>
      <c r="O227" s="140">
        <f t="shared" ref="O227:O230" si="62">K227*M227/100</f>
        <v>-190.0412255538441</v>
      </c>
      <c r="P227" s="140"/>
      <c r="Q227" s="140"/>
      <c r="S227" s="593"/>
      <c r="U227" s="588"/>
      <c r="V227" s="587"/>
      <c r="W227" s="589"/>
      <c r="Y227" s="573"/>
      <c r="Z227" s="573"/>
    </row>
    <row r="228" spans="1:26">
      <c r="A228" s="143">
        <f t="shared" ref="A228:A231" si="63">A227+1</f>
        <v>125</v>
      </c>
      <c r="B228" s="130"/>
      <c r="C228" s="547" t="s">
        <v>263</v>
      </c>
      <c r="D228" s="130"/>
      <c r="E228" s="143" t="s">
        <v>204</v>
      </c>
      <c r="F228" s="143"/>
      <c r="G228" s="573">
        <v>7.2328000000000001</v>
      </c>
      <c r="H228" s="130"/>
      <c r="I228" s="573">
        <v>6.9639333300623658</v>
      </c>
      <c r="J228" s="130"/>
      <c r="K228" s="579">
        <f t="shared" si="60"/>
        <v>-0.26886666993763431</v>
      </c>
      <c r="L228" s="130"/>
      <c r="M228" s="140">
        <v>47575.863853310104</v>
      </c>
      <c r="N228" s="140"/>
      <c r="O228" s="140">
        <f t="shared" si="62"/>
        <v>-127.91564083645756</v>
      </c>
      <c r="P228" s="140"/>
      <c r="Q228" s="140"/>
      <c r="S228" s="593"/>
      <c r="U228" s="588"/>
      <c r="V228" s="587"/>
      <c r="W228" s="589"/>
      <c r="Y228" s="573"/>
      <c r="Z228" s="573"/>
    </row>
    <row r="229" spans="1:26">
      <c r="A229" s="143">
        <f t="shared" si="63"/>
        <v>126</v>
      </c>
      <c r="B229" s="130"/>
      <c r="C229" s="547" t="s">
        <v>264</v>
      </c>
      <c r="D229" s="130"/>
      <c r="E229" s="143" t="s">
        <v>204</v>
      </c>
      <c r="F229" s="143"/>
      <c r="G229" s="573">
        <v>6.5511999999999997</v>
      </c>
      <c r="H229" s="130"/>
      <c r="I229" s="573">
        <v>6.3063256299171702</v>
      </c>
      <c r="J229" s="130"/>
      <c r="K229" s="579">
        <f t="shared" si="60"/>
        <v>-0.24487437008282953</v>
      </c>
      <c r="L229" s="130"/>
      <c r="M229" s="140">
        <v>31751.318427315069</v>
      </c>
      <c r="N229" s="140"/>
      <c r="O229" s="140">
        <f t="shared" si="62"/>
        <v>-77.750840991881148</v>
      </c>
      <c r="P229" s="140"/>
      <c r="Q229" s="140"/>
      <c r="S229" s="593"/>
      <c r="U229" s="588"/>
      <c r="V229" s="587"/>
      <c r="W229" s="589"/>
      <c r="Y229" s="573"/>
      <c r="Z229" s="573"/>
    </row>
    <row r="230" spans="1:26">
      <c r="A230" s="143">
        <f t="shared" si="63"/>
        <v>127</v>
      </c>
      <c r="B230" s="130"/>
      <c r="C230" s="547" t="s">
        <v>265</v>
      </c>
      <c r="D230" s="130"/>
      <c r="E230" s="143" t="s">
        <v>204</v>
      </c>
      <c r="F230" s="143"/>
      <c r="G230" s="573">
        <v>3.9687000000000001</v>
      </c>
      <c r="H230" s="130"/>
      <c r="I230" s="573">
        <v>3.8147817606659871</v>
      </c>
      <c r="J230" s="130"/>
      <c r="K230" s="579">
        <f t="shared" si="60"/>
        <v>-0.15391823933401305</v>
      </c>
      <c r="L230" s="130"/>
      <c r="M230" s="140">
        <v>24989.884413778425</v>
      </c>
      <c r="N230" s="140"/>
      <c r="O230" s="140">
        <f t="shared" si="62"/>
        <v>-38.463990101292701</v>
      </c>
      <c r="P230" s="140"/>
      <c r="Q230" s="140"/>
      <c r="S230" s="593"/>
      <c r="U230" s="588"/>
      <c r="V230" s="587"/>
      <c r="W230" s="589"/>
      <c r="Y230" s="573"/>
      <c r="Z230" s="573"/>
    </row>
    <row r="231" spans="1:26">
      <c r="A231" s="143">
        <f t="shared" si="63"/>
        <v>128</v>
      </c>
      <c r="B231" s="130"/>
      <c r="C231" s="130" t="s">
        <v>202</v>
      </c>
      <c r="D231" s="130"/>
      <c r="E231" s="143"/>
      <c r="F231" s="143"/>
      <c r="G231" s="573"/>
      <c r="H231" s="130"/>
      <c r="I231" s="573"/>
      <c r="J231" s="130"/>
      <c r="K231" s="582"/>
      <c r="L231" s="130"/>
      <c r="M231" s="575">
        <f>SUM(M226:M230)</f>
        <v>174858.70004164785</v>
      </c>
      <c r="N231" s="140"/>
      <c r="O231" s="575">
        <f>SUM(O226:O230)</f>
        <v>-464.54740344988022</v>
      </c>
      <c r="P231" s="140"/>
      <c r="Q231" s="140">
        <f>O224+O231</f>
        <v>-446.26188854358156</v>
      </c>
    </row>
    <row r="232" spans="1:26">
      <c r="A232" s="143"/>
      <c r="B232" s="130"/>
      <c r="C232" s="130"/>
      <c r="D232" s="130"/>
      <c r="E232" s="143"/>
      <c r="F232" s="143"/>
      <c r="G232" s="573"/>
      <c r="H232" s="130"/>
      <c r="I232" s="548"/>
      <c r="J232" s="130"/>
      <c r="K232" s="579"/>
      <c r="L232" s="130"/>
      <c r="M232" s="140"/>
      <c r="N232" s="140"/>
      <c r="O232" s="140"/>
      <c r="P232" s="140"/>
      <c r="Q232" s="140"/>
    </row>
    <row r="233" spans="1:26">
      <c r="A233" s="143">
        <f>A231+1</f>
        <v>129</v>
      </c>
      <c r="B233" s="130"/>
      <c r="C233" s="423" t="s">
        <v>251</v>
      </c>
      <c r="D233" s="130"/>
      <c r="E233" s="143" t="s">
        <v>204</v>
      </c>
      <c r="F233" s="143"/>
      <c r="G233" s="573">
        <v>3.9398999999999997</v>
      </c>
      <c r="H233" s="130"/>
      <c r="I233" s="573">
        <v>3.9299053840543086</v>
      </c>
      <c r="J233" s="130"/>
      <c r="K233" s="579">
        <f t="shared" si="60"/>
        <v>-9.9946159456911765E-3</v>
      </c>
      <c r="L233" s="130"/>
      <c r="M233" s="140">
        <v>39310.024878601587</v>
      </c>
      <c r="N233" s="140"/>
      <c r="O233" s="140">
        <f t="shared" ref="O233:O234" si="64">K233*M233/100</f>
        <v>-3.9288860147718827</v>
      </c>
      <c r="P233" s="140"/>
      <c r="Q233" s="140">
        <f>O233</f>
        <v>-3.9288860147718827</v>
      </c>
      <c r="S233" s="593"/>
      <c r="U233" s="588"/>
      <c r="V233" s="587"/>
      <c r="W233" s="589"/>
      <c r="Y233" s="573"/>
      <c r="Z233" s="573"/>
    </row>
    <row r="234" spans="1:26">
      <c r="A234" s="143">
        <f>A233+1</f>
        <v>130</v>
      </c>
      <c r="B234" s="130"/>
      <c r="C234" s="423" t="s">
        <v>252</v>
      </c>
      <c r="D234" s="130"/>
      <c r="E234" s="143" t="s">
        <v>204</v>
      </c>
      <c r="F234" s="143"/>
      <c r="G234" s="573">
        <v>2.1114999999999999</v>
      </c>
      <c r="H234" s="130"/>
      <c r="I234" s="573">
        <v>2.1118642469860052</v>
      </c>
      <c r="J234" s="130"/>
      <c r="K234" s="579">
        <f t="shared" si="60"/>
        <v>3.6424698600523442E-4</v>
      </c>
      <c r="L234" s="130"/>
      <c r="M234" s="581">
        <v>133649.93951419782</v>
      </c>
      <c r="N234" s="140"/>
      <c r="O234" s="140">
        <f t="shared" si="64"/>
        <v>0.48681587647828439</v>
      </c>
      <c r="P234" s="140"/>
      <c r="Q234" s="140">
        <f>O234</f>
        <v>0.48681587647828439</v>
      </c>
      <c r="S234" s="593"/>
      <c r="U234" s="588"/>
      <c r="V234" s="587"/>
      <c r="W234" s="589"/>
      <c r="Y234" s="573"/>
      <c r="Z234" s="573"/>
    </row>
    <row r="235" spans="1:26">
      <c r="A235" s="143">
        <f>A234+1</f>
        <v>131</v>
      </c>
      <c r="B235" s="130"/>
      <c r="C235" s="423" t="s">
        <v>266</v>
      </c>
      <c r="D235" s="130"/>
      <c r="E235" s="143"/>
      <c r="F235" s="143"/>
      <c r="G235" s="573"/>
      <c r="H235" s="130"/>
      <c r="I235" s="573"/>
      <c r="J235" s="130"/>
      <c r="K235" s="582"/>
      <c r="L235" s="130"/>
      <c r="M235" s="140">
        <f>SUM(M233:M234)</f>
        <v>172959.96439279942</v>
      </c>
      <c r="N235" s="140"/>
      <c r="O235" s="140">
        <f>SUM(O233:O234)</f>
        <v>-3.4420701382935981</v>
      </c>
      <c r="P235" s="140"/>
      <c r="Q235" s="140"/>
    </row>
    <row r="236" spans="1:26">
      <c r="A236" s="143"/>
      <c r="B236" s="130"/>
      <c r="C236" s="130"/>
      <c r="D236" s="130"/>
      <c r="E236" s="143"/>
      <c r="F236" s="143"/>
      <c r="G236" s="573"/>
      <c r="H236" s="130"/>
      <c r="I236" s="548"/>
      <c r="J236" s="130"/>
      <c r="K236" s="579"/>
      <c r="L236" s="130"/>
      <c r="M236" s="140"/>
      <c r="N236" s="140"/>
      <c r="O236" s="140"/>
      <c r="P236" s="140"/>
      <c r="Q236" s="140"/>
    </row>
    <row r="237" spans="1:26">
      <c r="A237" s="143">
        <f>A235+1</f>
        <v>132</v>
      </c>
      <c r="B237" s="130"/>
      <c r="C237" s="423" t="s">
        <v>253</v>
      </c>
      <c r="D237" s="130"/>
      <c r="E237" s="143" t="s">
        <v>204</v>
      </c>
      <c r="F237" s="143"/>
      <c r="G237" s="573">
        <v>1.8104</v>
      </c>
      <c r="H237" s="130"/>
      <c r="I237" s="573">
        <v>1.8501527469187939</v>
      </c>
      <c r="J237" s="130"/>
      <c r="K237" s="579">
        <f t="shared" si="60"/>
        <v>3.9752746918793935E-2</v>
      </c>
      <c r="L237" s="130"/>
      <c r="M237" s="140">
        <v>39310.024878601587</v>
      </c>
      <c r="N237" s="140"/>
      <c r="O237" s="140">
        <f t="shared" ref="O237:O238" si="65">K237*M237/100</f>
        <v>15.626814703705422</v>
      </c>
      <c r="P237" s="140"/>
      <c r="Q237" s="140">
        <f>O237</f>
        <v>15.626814703705422</v>
      </c>
      <c r="S237" s="593"/>
      <c r="U237" s="588"/>
      <c r="V237" s="587"/>
      <c r="W237" s="589"/>
      <c r="Y237" s="573"/>
      <c r="Z237" s="573"/>
    </row>
    <row r="238" spans="1:26">
      <c r="A238" s="143">
        <f>A237+1</f>
        <v>133</v>
      </c>
      <c r="B238" s="130"/>
      <c r="C238" s="423" t="s">
        <v>254</v>
      </c>
      <c r="D238" s="130"/>
      <c r="E238" s="143" t="s">
        <v>204</v>
      </c>
      <c r="F238" s="143"/>
      <c r="G238" s="573">
        <v>4.6779999999999999</v>
      </c>
      <c r="H238" s="130"/>
      <c r="I238" s="573">
        <v>4.726935472652019</v>
      </c>
      <c r="J238" s="130"/>
      <c r="K238" s="579">
        <f t="shared" si="60"/>
        <v>4.893547265201903E-2</v>
      </c>
      <c r="L238" s="130"/>
      <c r="M238" s="581">
        <v>133649.93951419782</v>
      </c>
      <c r="N238" s="140"/>
      <c r="O238" s="140">
        <f t="shared" si="65"/>
        <v>65.402229600410251</v>
      </c>
      <c r="P238" s="140"/>
      <c r="Q238" s="140">
        <f>O238</f>
        <v>65.402229600410251</v>
      </c>
      <c r="S238" s="593"/>
      <c r="U238" s="588"/>
      <c r="V238" s="587"/>
      <c r="W238" s="589"/>
      <c r="Y238" s="573"/>
      <c r="Z238" s="573"/>
    </row>
    <row r="239" spans="1:26">
      <c r="A239" s="143">
        <f>A238+1</f>
        <v>134</v>
      </c>
      <c r="B239" s="130"/>
      <c r="C239" s="423" t="s">
        <v>255</v>
      </c>
      <c r="D239" s="130"/>
      <c r="E239" s="143"/>
      <c r="F239" s="143"/>
      <c r="G239" s="573"/>
      <c r="H239" s="130"/>
      <c r="I239" s="573"/>
      <c r="J239" s="130"/>
      <c r="K239" s="582"/>
      <c r="L239" s="130"/>
      <c r="M239" s="140">
        <f>SUM(M237:M238)</f>
        <v>172959.96439279942</v>
      </c>
      <c r="N239" s="140"/>
      <c r="O239" s="140">
        <f>SUM(O237:O238)</f>
        <v>81.029044304115672</v>
      </c>
      <c r="P239" s="140"/>
      <c r="Q239" s="140"/>
    </row>
    <row r="240" spans="1:26">
      <c r="A240" s="143"/>
      <c r="B240" s="130"/>
      <c r="C240" s="423"/>
      <c r="D240" s="130"/>
      <c r="E240" s="143"/>
      <c r="F240" s="143"/>
      <c r="G240" s="573"/>
      <c r="H240" s="130"/>
      <c r="I240" s="548"/>
      <c r="J240" s="130"/>
      <c r="K240" s="579"/>
      <c r="L240" s="130"/>
      <c r="M240" s="140"/>
      <c r="N240" s="140"/>
      <c r="O240" s="140"/>
      <c r="P240" s="140"/>
      <c r="Q240" s="140"/>
    </row>
    <row r="241" spans="1:26">
      <c r="A241" s="143">
        <f>A239+1</f>
        <v>135</v>
      </c>
      <c r="B241" s="130"/>
      <c r="C241" s="423" t="s">
        <v>256</v>
      </c>
      <c r="D241" s="130"/>
      <c r="E241" s="143" t="s">
        <v>204</v>
      </c>
      <c r="F241" s="143"/>
      <c r="G241" s="573">
        <v>18.274100000000001</v>
      </c>
      <c r="H241" s="130"/>
      <c r="I241" s="573">
        <v>18.279722239292671</v>
      </c>
      <c r="J241" s="130"/>
      <c r="K241" s="579">
        <f t="shared" si="60"/>
        <v>5.6222392926699172E-3</v>
      </c>
      <c r="L241" s="130"/>
      <c r="M241" s="140">
        <v>21499.26143811932</v>
      </c>
      <c r="N241" s="140"/>
      <c r="O241" s="140">
        <f t="shared" ref="O241:O242" si="66">K241*M241/100</f>
        <v>1.2087399242077759</v>
      </c>
      <c r="P241" s="140"/>
      <c r="Q241" s="140">
        <f>O241</f>
        <v>1.2087399242077759</v>
      </c>
      <c r="S241" s="593"/>
      <c r="U241" s="588"/>
      <c r="V241" s="587"/>
      <c r="W241" s="589"/>
      <c r="Y241" s="573"/>
      <c r="Z241" s="573"/>
    </row>
    <row r="242" spans="1:26">
      <c r="A242" s="143">
        <f>A241+1</f>
        <v>136</v>
      </c>
      <c r="B242" s="130"/>
      <c r="C242" s="423" t="s">
        <v>257</v>
      </c>
      <c r="D242" s="130"/>
      <c r="E242" s="143" t="s">
        <v>204</v>
      </c>
      <c r="F242" s="143"/>
      <c r="G242" s="573">
        <v>20.820800000000002</v>
      </c>
      <c r="H242" s="130"/>
      <c r="I242" s="573">
        <v>20.826422239292672</v>
      </c>
      <c r="J242" s="130"/>
      <c r="K242" s="579">
        <f t="shared" si="60"/>
        <v>5.6222392926699172E-3</v>
      </c>
      <c r="L242" s="130"/>
      <c r="M242" s="581">
        <v>69376.278008859066</v>
      </c>
      <c r="N242" s="140"/>
      <c r="O242" s="140">
        <f t="shared" si="66"/>
        <v>3.9005003620059933</v>
      </c>
      <c r="P242" s="140"/>
      <c r="Q242" s="140">
        <f>O242</f>
        <v>3.9005003620059933</v>
      </c>
      <c r="S242" s="593"/>
      <c r="U242" s="588"/>
      <c r="V242" s="587"/>
      <c r="W242" s="589"/>
      <c r="Y242" s="573"/>
      <c r="Z242" s="573"/>
    </row>
    <row r="243" spans="1:26">
      <c r="A243" s="143">
        <f>A242+1</f>
        <v>137</v>
      </c>
      <c r="B243" s="130"/>
      <c r="C243" s="423" t="s">
        <v>211</v>
      </c>
      <c r="D243" s="130"/>
      <c r="E243" s="143"/>
      <c r="F243" s="143"/>
      <c r="G243" s="573"/>
      <c r="H243" s="130"/>
      <c r="I243" s="573"/>
      <c r="J243" s="130"/>
      <c r="K243" s="582"/>
      <c r="L243" s="130"/>
      <c r="M243" s="140">
        <f>SUM(M241:M242)</f>
        <v>90875.539446978393</v>
      </c>
      <c r="N243" s="140"/>
      <c r="O243" s="140">
        <f>SUM(O241:O242)</f>
        <v>5.1092402862137689</v>
      </c>
      <c r="P243" s="140"/>
      <c r="Q243" s="140"/>
    </row>
    <row r="244" spans="1:26">
      <c r="A244" s="143"/>
      <c r="B244" s="130"/>
      <c r="C244" s="130"/>
      <c r="D244" s="130"/>
      <c r="E244" s="143"/>
      <c r="F244" s="143"/>
      <c r="G244" s="573"/>
      <c r="H244" s="130"/>
      <c r="I244" s="548"/>
      <c r="J244" s="130"/>
      <c r="K244" s="579"/>
      <c r="L244" s="130"/>
      <c r="M244" s="140"/>
      <c r="N244" s="140"/>
      <c r="O244" s="140"/>
      <c r="P244" s="140"/>
      <c r="Q244" s="140"/>
    </row>
    <row r="245" spans="1:26" ht="13.5" thickBot="1">
      <c r="A245" s="143">
        <f>A243+1</f>
        <v>138</v>
      </c>
      <c r="B245" s="130"/>
      <c r="C245" s="130" t="s">
        <v>267</v>
      </c>
      <c r="D245" s="130"/>
      <c r="E245" s="143"/>
      <c r="F245" s="143"/>
      <c r="G245" s="573"/>
      <c r="H245" s="130"/>
      <c r="I245" s="573"/>
      <c r="J245" s="130"/>
      <c r="K245" s="582"/>
      <c r="L245" s="130"/>
      <c r="M245" s="140"/>
      <c r="N245" s="140"/>
      <c r="O245" s="578">
        <f>O224+O231+O233+O234+O237+O238+O241+O242</f>
        <v>-363.56567409154582</v>
      </c>
      <c r="P245" s="140"/>
      <c r="Q245" s="578">
        <f>SUM(Q224:Q242)</f>
        <v>-363.56567409154582</v>
      </c>
    </row>
    <row r="246" spans="1:26" ht="13.5" thickTop="1">
      <c r="A246" s="143"/>
      <c r="B246" s="130"/>
      <c r="C246" s="130"/>
      <c r="D246" s="130"/>
      <c r="E246" s="143"/>
      <c r="F246" s="143"/>
      <c r="G246" s="573"/>
      <c r="H246" s="130"/>
      <c r="I246" s="583"/>
      <c r="J246" s="130"/>
      <c r="K246" s="579"/>
      <c r="L246" s="130"/>
      <c r="M246" s="140"/>
      <c r="N246" s="140"/>
      <c r="O246" s="140"/>
      <c r="P246" s="140"/>
      <c r="Q246" s="140"/>
    </row>
    <row r="247" spans="1:26">
      <c r="A247" s="143"/>
      <c r="B247" s="130"/>
      <c r="C247" s="546" t="s">
        <v>268</v>
      </c>
      <c r="D247" s="130"/>
      <c r="E247" s="143"/>
      <c r="F247" s="143"/>
      <c r="G247" s="130"/>
      <c r="H247" s="130"/>
      <c r="I247" s="130"/>
      <c r="J247" s="130"/>
      <c r="K247" s="579"/>
      <c r="L247" s="130"/>
      <c r="M247" s="140"/>
      <c r="N247" s="140"/>
      <c r="O247" s="140"/>
      <c r="P247" s="140"/>
      <c r="Q247" s="140"/>
    </row>
    <row r="248" spans="1:26">
      <c r="A248" s="143">
        <f>A245+1</f>
        <v>139</v>
      </c>
      <c r="B248" s="130"/>
      <c r="C248" s="130" t="s">
        <v>200</v>
      </c>
      <c r="D248" s="130"/>
      <c r="E248" s="143" t="s">
        <v>201</v>
      </c>
      <c r="F248" s="143"/>
      <c r="G248" s="128">
        <v>1090.76</v>
      </c>
      <c r="H248" s="584"/>
      <c r="I248" s="128">
        <v>1120.1725358794777</v>
      </c>
      <c r="J248" s="584"/>
      <c r="K248" s="128">
        <f>I248-G248</f>
        <v>29.412535879477673</v>
      </c>
      <c r="L248" s="130"/>
      <c r="M248" s="140">
        <v>252</v>
      </c>
      <c r="N248" s="140"/>
      <c r="O248" s="140">
        <f t="shared" ref="O248" si="67">K248*M248/1000</f>
        <v>7.4119590416283732</v>
      </c>
      <c r="P248" s="140"/>
      <c r="Q248" s="140"/>
      <c r="S248" s="593"/>
      <c r="U248" s="571"/>
      <c r="Y248" s="573"/>
      <c r="Z248" s="573"/>
    </row>
    <row r="249" spans="1:26">
      <c r="A249" s="143"/>
      <c r="B249" s="130"/>
      <c r="C249" s="130" t="s">
        <v>221</v>
      </c>
      <c r="D249" s="130"/>
      <c r="E249" s="143"/>
      <c r="F249" s="143"/>
      <c r="G249" s="573"/>
      <c r="H249" s="130"/>
      <c r="I249" s="583"/>
      <c r="J249" s="130"/>
      <c r="K249" s="579"/>
      <c r="L249" s="130"/>
      <c r="M249" s="140"/>
      <c r="N249" s="140"/>
      <c r="O249" s="140"/>
      <c r="P249" s="140"/>
      <c r="Q249" s="140"/>
    </row>
    <row r="250" spans="1:26">
      <c r="A250" s="143">
        <f>A248+1</f>
        <v>140</v>
      </c>
      <c r="B250" s="130"/>
      <c r="C250" s="547" t="s">
        <v>269</v>
      </c>
      <c r="D250" s="130"/>
      <c r="E250" s="143" t="s">
        <v>222</v>
      </c>
      <c r="F250" s="143"/>
      <c r="G250" s="573">
        <v>34.796800000000005</v>
      </c>
      <c r="H250" s="130"/>
      <c r="I250" s="573">
        <v>35.142596663971247</v>
      </c>
      <c r="J250" s="130"/>
      <c r="K250" s="579">
        <f>I250-G250</f>
        <v>0.34579666397124242</v>
      </c>
      <c r="L250" s="130"/>
      <c r="M250" s="140">
        <v>8502.0560000000005</v>
      </c>
      <c r="N250" s="140"/>
      <c r="O250" s="140">
        <f>K250*M250/100</f>
        <v>29.399826016966859</v>
      </c>
      <c r="P250" s="140"/>
      <c r="Q250" s="140"/>
      <c r="S250" s="593"/>
      <c r="U250" s="588"/>
      <c r="V250" s="587"/>
      <c r="W250" s="589"/>
      <c r="Y250" s="573"/>
      <c r="Z250" s="573"/>
    </row>
    <row r="251" spans="1:26">
      <c r="A251" s="143">
        <f>A250+1</f>
        <v>141</v>
      </c>
      <c r="B251" s="130"/>
      <c r="C251" s="547" t="s">
        <v>270</v>
      </c>
      <c r="D251" s="130"/>
      <c r="E251" s="143" t="s">
        <v>222</v>
      </c>
      <c r="F251" s="143"/>
      <c r="G251" s="573">
        <v>20.462300000000003</v>
      </c>
      <c r="H251" s="130"/>
      <c r="I251" s="573">
        <v>20.66560715098305</v>
      </c>
      <c r="J251" s="130"/>
      <c r="K251" s="579">
        <f>I251-G251</f>
        <v>0.20330715098304708</v>
      </c>
      <c r="L251" s="130"/>
      <c r="M251" s="581">
        <v>22075.200000000001</v>
      </c>
      <c r="N251" s="140"/>
      <c r="O251" s="581">
        <f>K251*M251/100</f>
        <v>44.880460193809611</v>
      </c>
      <c r="P251" s="140"/>
      <c r="Q251" s="130"/>
      <c r="S251" s="593"/>
      <c r="U251" s="588"/>
      <c r="V251" s="587"/>
      <c r="W251" s="589"/>
      <c r="Y251" s="573"/>
      <c r="Z251" s="573"/>
    </row>
    <row r="252" spans="1:26">
      <c r="A252" s="143">
        <f>A251+1</f>
        <v>142</v>
      </c>
      <c r="B252" s="130"/>
      <c r="C252" s="130" t="s">
        <v>221</v>
      </c>
      <c r="D252" s="130"/>
      <c r="E252" s="143"/>
      <c r="F252" s="143"/>
      <c r="G252" s="573"/>
      <c r="H252" s="130"/>
      <c r="I252" s="573"/>
      <c r="J252" s="130"/>
      <c r="K252" s="582"/>
      <c r="L252" s="130"/>
      <c r="M252" s="140">
        <f>SUM(M250:M251)</f>
        <v>30577.256000000001</v>
      </c>
      <c r="N252" s="140"/>
      <c r="O252" s="140">
        <f>SUM(O250:O251)</f>
        <v>74.280286210776467</v>
      </c>
      <c r="P252" s="140"/>
      <c r="Q252" s="140">
        <f>SUM(O248:O251)</f>
        <v>81.692245252404845</v>
      </c>
      <c r="Y252" s="573"/>
      <c r="Z252" s="573"/>
    </row>
    <row r="253" spans="1:26">
      <c r="A253" s="143"/>
      <c r="B253" s="130"/>
      <c r="C253" s="130" t="s">
        <v>202</v>
      </c>
      <c r="D253" s="130"/>
      <c r="E253" s="143"/>
      <c r="F253" s="143"/>
      <c r="G253" s="573"/>
      <c r="H253" s="130"/>
      <c r="I253" s="583"/>
      <c r="J253" s="130"/>
      <c r="K253" s="579"/>
      <c r="L253" s="130"/>
      <c r="M253" s="140"/>
      <c r="N253" s="140"/>
      <c r="O253" s="140"/>
      <c r="P253" s="140"/>
      <c r="Q253" s="140"/>
    </row>
    <row r="254" spans="1:26">
      <c r="A254" s="143">
        <f>A252+1</f>
        <v>143</v>
      </c>
      <c r="B254" s="130"/>
      <c r="C254" s="547" t="s">
        <v>271</v>
      </c>
      <c r="D254" s="130"/>
      <c r="E254" s="143" t="s">
        <v>204</v>
      </c>
      <c r="F254" s="143"/>
      <c r="G254" s="573">
        <v>0.77600000000000002</v>
      </c>
      <c r="H254" s="130"/>
      <c r="I254" s="573">
        <v>0.75902892200693561</v>
      </c>
      <c r="J254" s="130"/>
      <c r="K254" s="579">
        <f>I254-G254</f>
        <v>-1.697107799306441E-2</v>
      </c>
      <c r="L254" s="130"/>
      <c r="M254" s="140">
        <v>127067.21400000002</v>
      </c>
      <c r="N254" s="140"/>
      <c r="O254" s="140">
        <f>K254*M254/100</f>
        <v>-21.564675991554065</v>
      </c>
      <c r="P254" s="140"/>
      <c r="Q254" s="140"/>
      <c r="S254" s="593"/>
      <c r="U254" s="588"/>
      <c r="V254" s="587"/>
      <c r="W254" s="589"/>
      <c r="Y254" s="573"/>
      <c r="Z254" s="573"/>
    </row>
    <row r="255" spans="1:26">
      <c r="A255" s="143">
        <f>A254+1</f>
        <v>144</v>
      </c>
      <c r="B255" s="130"/>
      <c r="C255" s="547" t="s">
        <v>272</v>
      </c>
      <c r="D255" s="130"/>
      <c r="E255" s="143" t="s">
        <v>204</v>
      </c>
      <c r="F255" s="143"/>
      <c r="G255" s="573">
        <v>0.5645</v>
      </c>
      <c r="H255" s="130"/>
      <c r="I255" s="573">
        <v>0.55209564326214378</v>
      </c>
      <c r="J255" s="130"/>
      <c r="K255" s="579">
        <f>I255-G255</f>
        <v>-1.2404356737856226E-2</v>
      </c>
      <c r="L255" s="130"/>
      <c r="M255" s="581">
        <v>117212.73378</v>
      </c>
      <c r="N255" s="140"/>
      <c r="O255" s="581">
        <f>K255*M255/100</f>
        <v>-14.539485640264909</v>
      </c>
      <c r="P255" s="140"/>
      <c r="Q255" s="130"/>
      <c r="S255" s="593"/>
      <c r="U255" s="588"/>
      <c r="V255" s="587"/>
      <c r="W255" s="589"/>
      <c r="Y255" s="573"/>
      <c r="Z255" s="573"/>
    </row>
    <row r="256" spans="1:26">
      <c r="A256" s="143">
        <f>A255+1</f>
        <v>145</v>
      </c>
      <c r="B256" s="130"/>
      <c r="C256" s="130" t="s">
        <v>202</v>
      </c>
      <c r="D256" s="130"/>
      <c r="E256" s="143"/>
      <c r="F256" s="143"/>
      <c r="G256" s="573"/>
      <c r="H256" s="130"/>
      <c r="I256" s="573"/>
      <c r="J256" s="130"/>
      <c r="K256" s="582"/>
      <c r="L256" s="130"/>
      <c r="M256" s="140">
        <f>SUM(M254:M255)</f>
        <v>244279.94778000002</v>
      </c>
      <c r="N256" s="140"/>
      <c r="O256" s="140">
        <f>SUM(O254:O255)</f>
        <v>-36.104161631818975</v>
      </c>
      <c r="P256" s="140"/>
      <c r="Q256" s="140">
        <f>SUM(O254:O255)</f>
        <v>-36.104161631818975</v>
      </c>
    </row>
    <row r="257" spans="1:26">
      <c r="A257" s="143"/>
      <c r="B257" s="130"/>
      <c r="C257" s="130"/>
      <c r="D257" s="130"/>
      <c r="E257" s="143"/>
      <c r="F257" s="143"/>
      <c r="G257" s="573"/>
      <c r="H257" s="130"/>
      <c r="I257" s="548"/>
      <c r="J257" s="130"/>
      <c r="K257" s="579"/>
      <c r="L257" s="130"/>
      <c r="M257" s="140"/>
      <c r="N257" s="140"/>
      <c r="O257" s="140"/>
      <c r="P257" s="140"/>
      <c r="Q257" s="140"/>
    </row>
    <row r="258" spans="1:26">
      <c r="A258" s="143">
        <f>A256+1</f>
        <v>146</v>
      </c>
      <c r="B258" s="130"/>
      <c r="C258" s="130" t="s">
        <v>273</v>
      </c>
      <c r="D258" s="130"/>
      <c r="E258" s="143" t="s">
        <v>204</v>
      </c>
      <c r="F258" s="143"/>
      <c r="G258" s="573">
        <v>0.5645</v>
      </c>
      <c r="H258" s="130"/>
      <c r="I258" s="573">
        <v>0.54298475310125394</v>
      </c>
      <c r="J258" s="130"/>
      <c r="K258" s="586">
        <f>I258-G258</f>
        <v>-2.1515246898746065E-2</v>
      </c>
      <c r="L258" s="130"/>
      <c r="M258" s="219">
        <v>0</v>
      </c>
      <c r="N258" s="219"/>
      <c r="O258" s="219">
        <f>K258*M258/100</f>
        <v>0</v>
      </c>
      <c r="P258" s="219"/>
      <c r="Q258" s="219">
        <f>O258</f>
        <v>0</v>
      </c>
      <c r="S258" s="593"/>
      <c r="U258" s="588"/>
      <c r="V258" s="587"/>
      <c r="W258" s="589"/>
    </row>
    <row r="259" spans="1:26">
      <c r="A259" s="143"/>
      <c r="B259" s="130"/>
      <c r="C259" s="130"/>
      <c r="D259" s="130"/>
      <c r="E259" s="143"/>
      <c r="F259" s="143"/>
      <c r="G259" s="573"/>
      <c r="H259" s="130"/>
      <c r="I259" s="548"/>
      <c r="J259" s="130"/>
      <c r="K259" s="586"/>
      <c r="L259" s="130"/>
      <c r="M259" s="140"/>
      <c r="N259" s="140"/>
      <c r="O259" s="140"/>
      <c r="P259" s="140"/>
      <c r="Q259" s="140"/>
    </row>
    <row r="260" spans="1:26">
      <c r="A260" s="143">
        <f>A258+1</f>
        <v>147</v>
      </c>
      <c r="B260" s="130"/>
      <c r="C260" s="130" t="s">
        <v>274</v>
      </c>
      <c r="D260" s="130"/>
      <c r="E260" s="143" t="s">
        <v>201</v>
      </c>
      <c r="F260" s="143"/>
      <c r="G260" s="128">
        <v>248.07</v>
      </c>
      <c r="H260" s="584"/>
      <c r="I260" s="128">
        <v>254.75925132533462</v>
      </c>
      <c r="J260" s="584"/>
      <c r="K260" s="128">
        <f>I260-G260</f>
        <v>6.6892513253346237</v>
      </c>
      <c r="L260" s="130"/>
      <c r="M260" s="140">
        <v>151.99999999999994</v>
      </c>
      <c r="N260" s="140"/>
      <c r="O260" s="140">
        <f>K260*M260/1000</f>
        <v>1.0167662014508625</v>
      </c>
      <c r="P260" s="140"/>
      <c r="Q260" s="140">
        <f>O260</f>
        <v>1.0167662014508625</v>
      </c>
      <c r="S260" s="593"/>
      <c r="U260" s="588"/>
      <c r="V260" s="587"/>
      <c r="W260" s="589"/>
    </row>
    <row r="261" spans="1:26">
      <c r="A261" s="143"/>
      <c r="B261" s="130"/>
      <c r="C261" s="130"/>
      <c r="D261" s="130"/>
      <c r="E261" s="143"/>
      <c r="F261" s="143"/>
      <c r="G261" s="573"/>
      <c r="H261" s="130"/>
      <c r="I261" s="548"/>
      <c r="J261" s="130"/>
      <c r="K261" s="579"/>
      <c r="L261" s="130"/>
      <c r="M261" s="140"/>
      <c r="N261" s="140"/>
      <c r="O261" s="140"/>
      <c r="P261" s="140"/>
      <c r="Q261" s="140"/>
    </row>
    <row r="262" spans="1:26">
      <c r="A262" s="143"/>
      <c r="B262" s="130"/>
      <c r="C262" s="130" t="s">
        <v>275</v>
      </c>
      <c r="D262" s="130"/>
      <c r="E262" s="143"/>
      <c r="F262" s="143"/>
      <c r="G262" s="573"/>
      <c r="H262" s="130"/>
      <c r="I262" s="548"/>
      <c r="J262" s="130"/>
      <c r="K262" s="579"/>
      <c r="L262" s="130"/>
      <c r="M262" s="140"/>
      <c r="N262" s="140"/>
      <c r="O262" s="140"/>
      <c r="P262" s="140"/>
      <c r="Q262" s="140"/>
    </row>
    <row r="263" spans="1:26">
      <c r="A263" s="143">
        <f>A260+1</f>
        <v>148</v>
      </c>
      <c r="B263" s="130"/>
      <c r="C263" s="547" t="s">
        <v>276</v>
      </c>
      <c r="D263" s="130"/>
      <c r="E263" s="143" t="s">
        <v>222</v>
      </c>
      <c r="F263" s="143"/>
      <c r="G263" s="573">
        <v>41.884799999999998</v>
      </c>
      <c r="H263" s="130"/>
      <c r="I263" s="573">
        <v>42.042995576098406</v>
      </c>
      <c r="J263" s="130"/>
      <c r="K263" s="579">
        <f>I263-G263</f>
        <v>0.15819557609840729</v>
      </c>
      <c r="L263" s="130"/>
      <c r="M263" s="140">
        <v>588.01199999999994</v>
      </c>
      <c r="N263" s="140"/>
      <c r="O263" s="140">
        <f>K263*M263/100</f>
        <v>0.93020897092776655</v>
      </c>
      <c r="P263" s="140"/>
      <c r="Q263" s="140">
        <f>O263</f>
        <v>0.93020897092776655</v>
      </c>
      <c r="S263" s="593"/>
      <c r="U263" s="588"/>
      <c r="V263" s="587"/>
      <c r="W263" s="589"/>
      <c r="Y263" s="573"/>
      <c r="Z263" s="573"/>
    </row>
    <row r="264" spans="1:26">
      <c r="A264" s="143">
        <f>A263+1</f>
        <v>149</v>
      </c>
      <c r="B264" s="130"/>
      <c r="C264" s="547" t="s">
        <v>277</v>
      </c>
      <c r="D264" s="130"/>
      <c r="E264" s="143" t="s">
        <v>222</v>
      </c>
      <c r="F264" s="143"/>
      <c r="G264" s="573">
        <v>43.368399999999994</v>
      </c>
      <c r="H264" s="130"/>
      <c r="I264" s="573">
        <v>43.485700189473654</v>
      </c>
      <c r="J264" s="130"/>
      <c r="K264" s="579">
        <f>I264-G264</f>
        <v>0.11730018947366005</v>
      </c>
      <c r="L264" s="130"/>
      <c r="M264" s="581">
        <v>2263.884</v>
      </c>
      <c r="N264" s="140"/>
      <c r="O264" s="581">
        <f>K264*M264/100</f>
        <v>2.6555402214638741</v>
      </c>
      <c r="P264" s="140"/>
      <c r="Q264" s="140">
        <f>O264</f>
        <v>2.6555402214638741</v>
      </c>
      <c r="S264" s="593"/>
      <c r="U264" s="588"/>
      <c r="V264" s="587"/>
      <c r="W264" s="589"/>
      <c r="Y264" s="573"/>
      <c r="Z264" s="573"/>
    </row>
    <row r="265" spans="1:26">
      <c r="A265" s="143">
        <f>A264+1</f>
        <v>150</v>
      </c>
      <c r="B265" s="130"/>
      <c r="C265" s="130" t="s">
        <v>275</v>
      </c>
      <c r="D265" s="130"/>
      <c r="E265" s="143"/>
      <c r="F265" s="143"/>
      <c r="G265" s="573"/>
      <c r="H265" s="130"/>
      <c r="I265" s="573"/>
      <c r="J265" s="130"/>
      <c r="K265" s="579"/>
      <c r="L265" s="130"/>
      <c r="M265" s="140">
        <f>SUM(M263:M264)</f>
        <v>2851.8959999999997</v>
      </c>
      <c r="N265" s="140"/>
      <c r="O265" s="140">
        <f>SUM(O263:O264)</f>
        <v>3.5857491923916407</v>
      </c>
      <c r="P265" s="140"/>
      <c r="Q265" s="140"/>
    </row>
    <row r="266" spans="1:26">
      <c r="A266" s="143"/>
      <c r="B266" s="130"/>
      <c r="C266" s="130" t="s">
        <v>278</v>
      </c>
      <c r="D266" s="130"/>
      <c r="E266" s="143"/>
      <c r="F266" s="143"/>
      <c r="G266" s="573"/>
      <c r="H266" s="130"/>
      <c r="I266" s="583"/>
      <c r="J266" s="130"/>
      <c r="K266" s="579"/>
      <c r="L266" s="130"/>
      <c r="M266" s="130"/>
      <c r="N266" s="130"/>
      <c r="O266" s="130"/>
      <c r="P266" s="140"/>
      <c r="Q266" s="140"/>
    </row>
    <row r="267" spans="1:26">
      <c r="A267" s="143"/>
      <c r="B267" s="130"/>
      <c r="C267" s="130" t="s">
        <v>279</v>
      </c>
      <c r="D267" s="130"/>
      <c r="E267" s="143"/>
      <c r="F267" s="143"/>
      <c r="G267" s="573"/>
      <c r="H267" s="130"/>
      <c r="I267" s="583"/>
      <c r="J267" s="130"/>
      <c r="K267" s="579"/>
      <c r="L267" s="130"/>
      <c r="M267" s="140"/>
      <c r="N267" s="140"/>
      <c r="O267" s="140"/>
      <c r="P267" s="140"/>
      <c r="Q267" s="597"/>
    </row>
    <row r="268" spans="1:26">
      <c r="A268" s="143">
        <f>A265+1</f>
        <v>151</v>
      </c>
      <c r="B268" s="130"/>
      <c r="C268" s="547" t="s">
        <v>276</v>
      </c>
      <c r="D268" s="130"/>
      <c r="E268" s="143" t="s">
        <v>204</v>
      </c>
      <c r="F268" s="143"/>
      <c r="G268" s="573">
        <v>2.5133000000000001</v>
      </c>
      <c r="H268" s="130"/>
      <c r="I268" s="573">
        <v>2.5197231057373659</v>
      </c>
      <c r="J268" s="130"/>
      <c r="K268" s="579">
        <f>I268-G268</f>
        <v>6.4231057373658196E-3</v>
      </c>
      <c r="L268" s="130"/>
      <c r="M268" s="140">
        <v>6950.5525499999994</v>
      </c>
      <c r="N268" s="140"/>
      <c r="O268" s="140">
        <f>K268*M268/100</f>
        <v>0.44644133961767624</v>
      </c>
      <c r="P268" s="140"/>
      <c r="Q268" s="140">
        <f>O268</f>
        <v>0.44644133961767624</v>
      </c>
      <c r="S268" s="593"/>
      <c r="U268" s="588"/>
      <c r="V268" s="587"/>
      <c r="W268" s="589"/>
      <c r="Y268" s="573"/>
      <c r="Z268" s="573"/>
    </row>
    <row r="269" spans="1:26">
      <c r="A269" s="143">
        <f>A268+1</f>
        <v>152</v>
      </c>
      <c r="B269" s="130"/>
      <c r="C269" s="547" t="s">
        <v>277</v>
      </c>
      <c r="D269" s="130"/>
      <c r="E269" s="143" t="s">
        <v>204</v>
      </c>
      <c r="F269" s="143"/>
      <c r="G269" s="573">
        <v>1.7764000000000002</v>
      </c>
      <c r="H269" s="130"/>
      <c r="I269" s="573">
        <v>1.781556028848164</v>
      </c>
      <c r="J269" s="130"/>
      <c r="K269" s="579">
        <f>I269-G269</f>
        <v>5.1560288481637961E-3</v>
      </c>
      <c r="L269" s="130"/>
      <c r="M269" s="581">
        <v>20167.675869999999</v>
      </c>
      <c r="N269" s="140"/>
      <c r="O269" s="581">
        <f>K269*M269/100</f>
        <v>1.0398511858613688</v>
      </c>
      <c r="P269" s="140"/>
      <c r="Q269" s="140">
        <f>O269</f>
        <v>1.0398511858613688</v>
      </c>
      <c r="S269" s="593"/>
      <c r="U269" s="588"/>
      <c r="V269" s="587"/>
      <c r="W269" s="589"/>
      <c r="Y269" s="573"/>
      <c r="Z269" s="573"/>
    </row>
    <row r="270" spans="1:26">
      <c r="A270" s="143">
        <f>A269+1</f>
        <v>153</v>
      </c>
      <c r="B270" s="130"/>
      <c r="C270" s="130" t="s">
        <v>280</v>
      </c>
      <c r="D270" s="130"/>
      <c r="E270" s="143"/>
      <c r="F270" s="143"/>
      <c r="G270" s="573"/>
      <c r="H270" s="130"/>
      <c r="I270" s="583"/>
      <c r="J270" s="130"/>
      <c r="K270" s="579"/>
      <c r="L270" s="130"/>
      <c r="M270" s="140">
        <f>SUM(M268:M269)</f>
        <v>27118.228419999999</v>
      </c>
      <c r="N270" s="140"/>
      <c r="O270" s="140">
        <f>SUM(O268:O269)</f>
        <v>1.4862925254790451</v>
      </c>
      <c r="P270" s="140"/>
      <c r="Q270" s="140"/>
    </row>
    <row r="271" spans="1:26">
      <c r="A271" s="143"/>
      <c r="B271" s="130"/>
      <c r="C271" s="130" t="s">
        <v>281</v>
      </c>
      <c r="D271" s="130"/>
      <c r="E271" s="143"/>
      <c r="F271" s="143"/>
      <c r="G271" s="573"/>
      <c r="H271" s="130"/>
      <c r="I271" s="583"/>
      <c r="J271" s="130"/>
      <c r="K271" s="579"/>
      <c r="L271" s="130"/>
      <c r="M271" s="140"/>
      <c r="N271" s="140"/>
      <c r="O271" s="140"/>
      <c r="P271" s="140"/>
      <c r="Q271" s="140"/>
    </row>
    <row r="272" spans="1:26">
      <c r="A272" s="143">
        <f>A270+1</f>
        <v>154</v>
      </c>
      <c r="B272" s="130"/>
      <c r="C272" s="547" t="s">
        <v>276</v>
      </c>
      <c r="D272" s="130"/>
      <c r="E272" s="143" t="s">
        <v>204</v>
      </c>
      <c r="F272" s="143"/>
      <c r="G272" s="573">
        <v>0</v>
      </c>
      <c r="H272" s="130"/>
      <c r="I272" s="573">
        <v>0</v>
      </c>
      <c r="J272" s="130"/>
      <c r="K272" s="579">
        <f>I272-G272</f>
        <v>0</v>
      </c>
      <c r="L272" s="130"/>
      <c r="M272" s="140">
        <v>6471.2061699999995</v>
      </c>
      <c r="N272" s="140"/>
      <c r="O272" s="140">
        <f>K272*M272/100</f>
        <v>0</v>
      </c>
      <c r="P272" s="140"/>
      <c r="Q272" s="590">
        <f>O272</f>
        <v>0</v>
      </c>
      <c r="S272" s="593"/>
      <c r="U272" s="588"/>
      <c r="V272" s="587"/>
      <c r="W272" s="589"/>
      <c r="Y272" s="573"/>
      <c r="Z272" s="573"/>
    </row>
    <row r="273" spans="1:26">
      <c r="A273" s="143">
        <f>A272+1</f>
        <v>155</v>
      </c>
      <c r="B273" s="130"/>
      <c r="C273" s="547" t="s">
        <v>277</v>
      </c>
      <c r="D273" s="130"/>
      <c r="E273" s="143" t="s">
        <v>204</v>
      </c>
      <c r="F273" s="143"/>
      <c r="G273" s="573">
        <v>0</v>
      </c>
      <c r="H273" s="130"/>
      <c r="I273" s="573">
        <v>0</v>
      </c>
      <c r="J273" s="130"/>
      <c r="K273" s="579">
        <f>I273-G273</f>
        <v>0</v>
      </c>
      <c r="L273" s="130"/>
      <c r="M273" s="581">
        <v>17052.309580000001</v>
      </c>
      <c r="N273" s="140"/>
      <c r="O273" s="581">
        <f>K273*M273/100</f>
        <v>0</v>
      </c>
      <c r="P273" s="140"/>
      <c r="Q273" s="590">
        <f>O273</f>
        <v>0</v>
      </c>
      <c r="S273" s="593"/>
      <c r="U273" s="588"/>
      <c r="V273" s="587"/>
      <c r="W273" s="589"/>
      <c r="Y273" s="573"/>
      <c r="Z273" s="573"/>
    </row>
    <row r="274" spans="1:26">
      <c r="A274" s="143">
        <f>A273+1</f>
        <v>156</v>
      </c>
      <c r="B274" s="130"/>
      <c r="C274" s="423" t="s">
        <v>281</v>
      </c>
      <c r="D274" s="130"/>
      <c r="E274" s="143"/>
      <c r="F274" s="143"/>
      <c r="G274" s="573"/>
      <c r="H274" s="130"/>
      <c r="I274" s="583"/>
      <c r="J274" s="130"/>
      <c r="K274" s="579"/>
      <c r="L274" s="130"/>
      <c r="M274" s="140">
        <f>SUM(M272:M273)</f>
        <v>23523.515749999999</v>
      </c>
      <c r="N274" s="140"/>
      <c r="O274" s="140">
        <f>SUM(O272:O273)</f>
        <v>0</v>
      </c>
      <c r="P274" s="140"/>
      <c r="Q274" s="140"/>
    </row>
    <row r="275" spans="1:26">
      <c r="A275" s="143"/>
      <c r="B275" s="130"/>
      <c r="C275" s="130"/>
      <c r="D275" s="130"/>
      <c r="E275" s="143"/>
      <c r="F275" s="143"/>
      <c r="G275" s="573"/>
      <c r="H275" s="130"/>
      <c r="I275" s="573"/>
      <c r="J275" s="130"/>
      <c r="K275" s="582"/>
      <c r="L275" s="130"/>
      <c r="M275" s="140"/>
      <c r="N275" s="140"/>
      <c r="O275" s="130"/>
      <c r="P275" s="130"/>
      <c r="Q275" s="130"/>
    </row>
    <row r="276" spans="1:26">
      <c r="A276" s="143"/>
      <c r="B276" s="130"/>
      <c r="C276" s="130" t="s">
        <v>282</v>
      </c>
      <c r="D276" s="130"/>
      <c r="E276" s="143"/>
      <c r="F276" s="143"/>
      <c r="G276" s="573"/>
      <c r="H276" s="130"/>
      <c r="I276" s="583"/>
      <c r="J276" s="130"/>
      <c r="K276" s="579"/>
      <c r="L276" s="130"/>
      <c r="M276" s="140"/>
      <c r="N276" s="140"/>
      <c r="O276" s="140"/>
      <c r="P276" s="140"/>
      <c r="Q276" s="140"/>
    </row>
    <row r="277" spans="1:26">
      <c r="A277" s="143">
        <f>A274+1</f>
        <v>157</v>
      </c>
      <c r="B277" s="130"/>
      <c r="C277" s="547" t="s">
        <v>283</v>
      </c>
      <c r="D277" s="130"/>
      <c r="E277" s="143" t="s">
        <v>284</v>
      </c>
      <c r="F277" s="143"/>
      <c r="G277" s="598">
        <v>18.835000000000001</v>
      </c>
      <c r="H277" s="130"/>
      <c r="I277" s="598">
        <v>19.047647381592249</v>
      </c>
      <c r="J277" s="598"/>
      <c r="K277" s="599">
        <f>I277-G277</f>
        <v>0.21264738159224805</v>
      </c>
      <c r="L277" s="130"/>
      <c r="M277" s="140">
        <v>47168</v>
      </c>
      <c r="N277" s="140"/>
      <c r="O277" s="140">
        <f>K277*M277/1000</f>
        <v>10.030151694943157</v>
      </c>
      <c r="P277" s="140"/>
      <c r="Q277" s="140">
        <f>O277</f>
        <v>10.030151694943157</v>
      </c>
      <c r="S277" s="593"/>
      <c r="U277" s="588"/>
      <c r="V277" s="587"/>
      <c r="W277" s="589"/>
      <c r="Y277" s="573"/>
      <c r="Z277" s="573"/>
    </row>
    <row r="278" spans="1:26">
      <c r="A278" s="143">
        <f>A277+1</f>
        <v>158</v>
      </c>
      <c r="B278" s="130"/>
      <c r="C278" s="547" t="s">
        <v>285</v>
      </c>
      <c r="D278" s="130"/>
      <c r="E278" s="143" t="s">
        <v>286</v>
      </c>
      <c r="F278" s="143"/>
      <c r="G278" s="598">
        <v>0.24</v>
      </c>
      <c r="H278" s="130"/>
      <c r="I278" s="598">
        <v>0.24561759595368146</v>
      </c>
      <c r="J278" s="598"/>
      <c r="K278" s="599">
        <f>I278-G278</f>
        <v>5.6175959536814701E-3</v>
      </c>
      <c r="L278" s="130"/>
      <c r="M278" s="581">
        <v>264023</v>
      </c>
      <c r="N278" s="140"/>
      <c r="O278" s="581">
        <f>K278*M278/1000</f>
        <v>1.4831745364788429</v>
      </c>
      <c r="P278" s="140"/>
      <c r="Q278" s="140">
        <f>O278</f>
        <v>1.4831745364788429</v>
      </c>
      <c r="S278" s="593"/>
      <c r="U278" s="588"/>
      <c r="V278" s="587"/>
      <c r="W278" s="589"/>
      <c r="Y278" s="573"/>
      <c r="Z278" s="573"/>
    </row>
    <row r="279" spans="1:26">
      <c r="A279" s="143">
        <f>A278+1</f>
        <v>159</v>
      </c>
      <c r="B279" s="130"/>
      <c r="C279" s="130" t="s">
        <v>282</v>
      </c>
      <c r="D279" s="130"/>
      <c r="E279" s="143"/>
      <c r="F279" s="143"/>
      <c r="G279" s="573"/>
      <c r="H279" s="130"/>
      <c r="I279" s="573"/>
      <c r="J279" s="130"/>
      <c r="K279" s="582"/>
      <c r="L279" s="130"/>
      <c r="M279" s="140">
        <f>SUM(M277:M278)</f>
        <v>311191</v>
      </c>
      <c r="N279" s="140"/>
      <c r="O279" s="140">
        <f>SUM(O277:O278)</f>
        <v>11.513326231422001</v>
      </c>
      <c r="P279" s="140"/>
      <c r="Q279" s="140"/>
    </row>
    <row r="280" spans="1:26">
      <c r="A280" s="143"/>
      <c r="B280" s="130"/>
      <c r="C280" s="130"/>
      <c r="D280" s="130"/>
      <c r="E280" s="143"/>
      <c r="F280" s="143"/>
      <c r="G280" s="573"/>
      <c r="H280" s="130"/>
      <c r="I280" s="548"/>
      <c r="J280" s="130"/>
      <c r="K280" s="579"/>
      <c r="L280" s="130"/>
      <c r="M280" s="140"/>
      <c r="N280" s="140"/>
      <c r="O280" s="140"/>
      <c r="P280" s="140"/>
      <c r="Q280" s="140"/>
    </row>
    <row r="281" spans="1:26">
      <c r="A281" s="143">
        <f>A279+1</f>
        <v>160</v>
      </c>
      <c r="B281" s="130"/>
      <c r="C281" s="423" t="s">
        <v>256</v>
      </c>
      <c r="D281" s="130"/>
      <c r="E281" s="143" t="s">
        <v>204</v>
      </c>
      <c r="F281" s="143"/>
      <c r="G281" s="573">
        <v>17.706099999999999</v>
      </c>
      <c r="H281" s="130"/>
      <c r="I281" s="573">
        <v>17.711722239292669</v>
      </c>
      <c r="J281" s="130"/>
      <c r="K281" s="579">
        <f>I281-G281</f>
        <v>5.6222392926699172E-3</v>
      </c>
      <c r="L281" s="130"/>
      <c r="M281" s="140">
        <v>1867.4519</v>
      </c>
      <c r="N281" s="140"/>
      <c r="O281" s="140">
        <f>K281*M281/100</f>
        <v>0.10499261449351094</v>
      </c>
      <c r="P281" s="140"/>
      <c r="Q281" s="140">
        <f>O281</f>
        <v>0.10499261449351094</v>
      </c>
      <c r="S281" s="593"/>
      <c r="U281" s="588"/>
      <c r="V281" s="587"/>
      <c r="W281" s="589"/>
      <c r="Y281" s="573"/>
      <c r="Z281" s="573"/>
    </row>
    <row r="282" spans="1:26">
      <c r="A282" s="143">
        <f>A281+1</f>
        <v>161</v>
      </c>
      <c r="B282" s="130"/>
      <c r="C282" s="423" t="s">
        <v>257</v>
      </c>
      <c r="D282" s="130"/>
      <c r="E282" s="143" t="s">
        <v>204</v>
      </c>
      <c r="F282" s="143"/>
      <c r="G282" s="573">
        <v>20.172700000000003</v>
      </c>
      <c r="H282" s="130"/>
      <c r="I282" s="573">
        <v>20.178322239292669</v>
      </c>
      <c r="J282" s="130"/>
      <c r="K282" s="579">
        <f>I282-G282</f>
        <v>5.6222392926663645E-3</v>
      </c>
      <c r="L282" s="130"/>
      <c r="M282" s="581">
        <v>2168.2229000000002</v>
      </c>
      <c r="N282" s="140"/>
      <c r="O282" s="581">
        <f>K282*M282/100</f>
        <v>0.12190267983639014</v>
      </c>
      <c r="P282" s="140"/>
      <c r="Q282" s="140">
        <f>O282</f>
        <v>0.12190267983639014</v>
      </c>
      <c r="S282" s="593"/>
      <c r="U282" s="588"/>
      <c r="V282" s="587"/>
      <c r="W282" s="589"/>
      <c r="Y282" s="573"/>
      <c r="Z282" s="573"/>
    </row>
    <row r="283" spans="1:26">
      <c r="A283" s="143">
        <f>A282+1</f>
        <v>162</v>
      </c>
      <c r="B283" s="130"/>
      <c r="C283" s="130" t="s">
        <v>211</v>
      </c>
      <c r="D283" s="130"/>
      <c r="E283" s="143"/>
      <c r="F283" s="143"/>
      <c r="G283" s="573"/>
      <c r="H283" s="130"/>
      <c r="I283" s="573"/>
      <c r="J283" s="130"/>
      <c r="K283" s="582"/>
      <c r="L283" s="130"/>
      <c r="M283" s="140">
        <f>SUM(M281:M282)</f>
        <v>4035.6748000000002</v>
      </c>
      <c r="N283" s="140"/>
      <c r="O283" s="140">
        <f>SUM(O281:O282)</f>
        <v>0.22689529432990108</v>
      </c>
      <c r="P283" s="140"/>
      <c r="Q283" s="140"/>
    </row>
    <row r="284" spans="1:26">
      <c r="A284" s="143"/>
      <c r="B284" s="130"/>
      <c r="C284" s="547"/>
      <c r="D284" s="130"/>
      <c r="E284" s="130"/>
      <c r="F284" s="130"/>
      <c r="G284" s="598"/>
      <c r="H284" s="130"/>
      <c r="I284" s="583"/>
      <c r="J284" s="130"/>
      <c r="K284" s="579"/>
      <c r="L284" s="130"/>
      <c r="M284" s="140"/>
      <c r="N284" s="140"/>
      <c r="O284" s="140"/>
      <c r="P284" s="140"/>
      <c r="Q284" s="140"/>
    </row>
    <row r="285" spans="1:26" ht="13.5" thickBot="1">
      <c r="A285" s="143">
        <f>A283+1</f>
        <v>163</v>
      </c>
      <c r="B285" s="130"/>
      <c r="C285" s="130" t="s">
        <v>287</v>
      </c>
      <c r="D285" s="130"/>
      <c r="E285" s="143"/>
      <c r="F285" s="143"/>
      <c r="G285" s="573"/>
      <c r="H285" s="130"/>
      <c r="I285" s="573"/>
      <c r="J285" s="130"/>
      <c r="K285" s="582"/>
      <c r="L285" s="130"/>
      <c r="M285" s="140"/>
      <c r="N285" s="140"/>
      <c r="O285" s="578">
        <f>O248+O250+O251+O254+O255+O258+O260+O263+O264+O268+O269+O272+O273+O277+O278+O281+O282</f>
        <v>63.417113065659315</v>
      </c>
      <c r="P285" s="140"/>
      <c r="Q285" s="578">
        <f>SUM(Q248:Q282)</f>
        <v>63.417113065659315</v>
      </c>
    </row>
    <row r="286" spans="1:26" ht="13.5" thickTop="1">
      <c r="A286" s="143"/>
      <c r="B286" s="130"/>
      <c r="C286" s="130"/>
      <c r="D286" s="130"/>
      <c r="E286" s="143"/>
      <c r="F286" s="143"/>
      <c r="G286" s="573"/>
      <c r="H286" s="130"/>
      <c r="I286" s="573"/>
      <c r="J286" s="130"/>
      <c r="K286" s="582"/>
      <c r="L286" s="130"/>
      <c r="M286" s="140"/>
      <c r="N286" s="140"/>
      <c r="O286" s="577"/>
      <c r="P286" s="140"/>
      <c r="Q286" s="577"/>
    </row>
    <row r="287" spans="1:26">
      <c r="A287" s="143"/>
      <c r="B287" s="130"/>
      <c r="C287" s="130"/>
      <c r="D287" s="130"/>
      <c r="E287" s="143"/>
      <c r="F287" s="143"/>
      <c r="G287" s="573"/>
      <c r="H287" s="130"/>
      <c r="I287" s="573"/>
      <c r="J287" s="130"/>
      <c r="K287" s="582"/>
      <c r="L287" s="130"/>
      <c r="M287" s="140"/>
      <c r="N287" s="140"/>
      <c r="O287" s="577"/>
      <c r="P287" s="140"/>
      <c r="Q287" s="577"/>
    </row>
    <row r="288" spans="1:26">
      <c r="A288" s="143"/>
      <c r="B288" s="130"/>
      <c r="C288" s="130"/>
      <c r="D288" s="130"/>
      <c r="E288" s="143"/>
      <c r="F288" s="143"/>
      <c r="G288" s="130"/>
      <c r="H288" s="130"/>
      <c r="I288" s="130"/>
      <c r="J288" s="130"/>
      <c r="K288" s="579"/>
      <c r="L288" s="130"/>
      <c r="M288" s="140"/>
      <c r="N288" s="140"/>
      <c r="O288" s="140"/>
      <c r="P288" s="140"/>
      <c r="Q288" s="140"/>
    </row>
    <row r="289" spans="1:26" ht="13.5" thickTop="1">
      <c r="A289" s="1295" t="s">
        <v>191</v>
      </c>
      <c r="B289" s="1305"/>
      <c r="C289" s="1305"/>
      <c r="D289" s="1305"/>
      <c r="E289" s="1305"/>
      <c r="F289" s="1305"/>
      <c r="G289" s="1305"/>
      <c r="H289" s="1305"/>
      <c r="I289" s="1305"/>
      <c r="J289" s="1305"/>
      <c r="K289" s="1305"/>
      <c r="L289" s="1305"/>
      <c r="M289" s="1305"/>
      <c r="N289" s="1305"/>
      <c r="O289" s="1305"/>
      <c r="P289" s="1305"/>
      <c r="Q289" s="1305"/>
    </row>
    <row r="290" spans="1:26">
      <c r="A290" s="1295" t="s">
        <v>228</v>
      </c>
      <c r="B290" s="1295"/>
      <c r="C290" s="1295"/>
      <c r="D290" s="1295"/>
      <c r="E290" s="1295"/>
      <c r="F290" s="1295"/>
      <c r="G290" s="1295"/>
      <c r="H290" s="1295"/>
      <c r="I290" s="1295"/>
      <c r="J290" s="1295"/>
      <c r="K290" s="1295"/>
      <c r="L290" s="1295"/>
      <c r="M290" s="1295"/>
      <c r="N290" s="1295"/>
      <c r="O290" s="1295"/>
      <c r="P290" s="1295"/>
      <c r="Q290" s="1295"/>
    </row>
    <row r="291" spans="1:26">
      <c r="A291" s="143"/>
      <c r="B291" s="130"/>
      <c r="C291" s="130"/>
      <c r="D291" s="130"/>
      <c r="E291" s="130"/>
      <c r="F291" s="130"/>
      <c r="G291" s="143"/>
      <c r="H291" s="143"/>
      <c r="I291" s="143"/>
      <c r="J291" s="130"/>
      <c r="K291" s="143"/>
      <c r="L291" s="130"/>
      <c r="M291" s="143"/>
      <c r="N291" s="130"/>
      <c r="O291" s="130"/>
      <c r="P291" s="130"/>
      <c r="Q291" s="130"/>
    </row>
    <row r="292" spans="1:26">
      <c r="A292" s="143"/>
      <c r="B292" s="130"/>
      <c r="C292" s="130"/>
      <c r="D292" s="130"/>
      <c r="E292" s="130"/>
      <c r="F292" s="130"/>
      <c r="G292" s="130"/>
      <c r="H292" s="130"/>
      <c r="I292" s="130"/>
      <c r="J292" s="130"/>
      <c r="K292" s="130"/>
      <c r="L292" s="130"/>
      <c r="M292" s="130"/>
      <c r="N292" s="130"/>
      <c r="O292" s="143" t="s">
        <v>192</v>
      </c>
      <c r="P292" s="130"/>
      <c r="Q292" s="143" t="s">
        <v>160</v>
      </c>
    </row>
    <row r="293" spans="1:26">
      <c r="A293" s="143" t="s">
        <v>1</v>
      </c>
      <c r="B293" s="130"/>
      <c r="C293" s="130"/>
      <c r="D293" s="130"/>
      <c r="E293" s="130"/>
      <c r="F293" s="130"/>
      <c r="G293" s="143" t="s">
        <v>5</v>
      </c>
      <c r="H293" s="130"/>
      <c r="I293" s="143" t="s">
        <v>6</v>
      </c>
      <c r="J293" s="130"/>
      <c r="K293" s="143" t="s">
        <v>148</v>
      </c>
      <c r="L293" s="130"/>
      <c r="M293" s="143" t="s">
        <v>193</v>
      </c>
      <c r="N293" s="130"/>
      <c r="O293" s="143" t="s">
        <v>194</v>
      </c>
      <c r="P293" s="130"/>
      <c r="Q293" s="143" t="s">
        <v>195</v>
      </c>
    </row>
    <row r="294" spans="1:26">
      <c r="A294" s="215" t="s">
        <v>2</v>
      </c>
      <c r="B294" s="130"/>
      <c r="C294" s="450" t="s">
        <v>3</v>
      </c>
      <c r="D294" s="130"/>
      <c r="E294" s="215" t="s">
        <v>4</v>
      </c>
      <c r="F294" s="143"/>
      <c r="G294" s="215" t="s">
        <v>196</v>
      </c>
      <c r="H294" s="130"/>
      <c r="I294" s="215" t="s">
        <v>197</v>
      </c>
      <c r="J294" s="130"/>
      <c r="K294" s="215" t="s">
        <v>194</v>
      </c>
      <c r="L294" s="130"/>
      <c r="M294" s="215" t="s">
        <v>198</v>
      </c>
      <c r="N294" s="130"/>
      <c r="O294" s="215" t="s">
        <v>20</v>
      </c>
      <c r="P294" s="130"/>
      <c r="Q294" s="215" t="s">
        <v>20</v>
      </c>
    </row>
    <row r="295" spans="1:26">
      <c r="A295" s="143"/>
      <c r="B295" s="130"/>
      <c r="C295" s="130"/>
      <c r="D295" s="130"/>
      <c r="E295" s="130"/>
      <c r="F295" s="130"/>
      <c r="G295" s="218" t="s">
        <v>8</v>
      </c>
      <c r="H295" s="143"/>
      <c r="I295" s="218" t="s">
        <v>9</v>
      </c>
      <c r="J295" s="143"/>
      <c r="K295" s="218" t="s">
        <v>10</v>
      </c>
      <c r="L295" s="130"/>
      <c r="M295" s="218" t="s">
        <v>79</v>
      </c>
      <c r="N295" s="130"/>
      <c r="O295" s="218" t="s">
        <v>199</v>
      </c>
      <c r="P295" s="130"/>
      <c r="Q295" s="143" t="s">
        <v>81</v>
      </c>
    </row>
    <row r="296" spans="1:26">
      <c r="A296" s="143"/>
      <c r="B296" s="130"/>
      <c r="C296" s="546" t="s">
        <v>288</v>
      </c>
      <c r="D296" s="130"/>
      <c r="E296" s="143"/>
      <c r="F296" s="143"/>
      <c r="G296" s="600"/>
      <c r="H296" s="130"/>
      <c r="I296" s="601"/>
      <c r="J296" s="130"/>
      <c r="K296" s="579"/>
      <c r="L296" s="130"/>
      <c r="M296" s="140"/>
      <c r="N296" s="140"/>
      <c r="O296" s="140"/>
      <c r="P296" s="140"/>
      <c r="Q296" s="140"/>
    </row>
    <row r="297" spans="1:26">
      <c r="A297" s="143">
        <f>A285+1</f>
        <v>164</v>
      </c>
      <c r="B297" s="130"/>
      <c r="C297" s="130" t="s">
        <v>200</v>
      </c>
      <c r="D297" s="130"/>
      <c r="E297" s="143" t="s">
        <v>201</v>
      </c>
      <c r="F297" s="143"/>
      <c r="G297" s="128">
        <v>368.56</v>
      </c>
      <c r="H297" s="584"/>
      <c r="I297" s="128">
        <v>378.49828543743831</v>
      </c>
      <c r="J297" s="584"/>
      <c r="K297" s="128">
        <f>I297-G297</f>
        <v>9.9382854374383101</v>
      </c>
      <c r="L297" s="130"/>
      <c r="M297" s="140">
        <v>288</v>
      </c>
      <c r="N297" s="140"/>
      <c r="O297" s="140">
        <f t="shared" ref="O297" si="68">K297*M297/1000</f>
        <v>2.8622262059822332</v>
      </c>
      <c r="P297" s="140"/>
      <c r="Q297" s="140"/>
      <c r="S297" s="593"/>
      <c r="U297" s="571"/>
      <c r="Y297" s="573"/>
      <c r="Z297" s="573"/>
    </row>
    <row r="298" spans="1:26">
      <c r="A298" s="143">
        <f>A297+1</f>
        <v>165</v>
      </c>
      <c r="B298" s="130"/>
      <c r="C298" s="130" t="s">
        <v>289</v>
      </c>
      <c r="D298" s="130"/>
      <c r="E298" s="143" t="s">
        <v>204</v>
      </c>
      <c r="F298" s="143"/>
      <c r="G298" s="573">
        <v>3.2303027215464297</v>
      </c>
      <c r="H298" s="130"/>
      <c r="I298" s="573">
        <v>3.3435979973994971</v>
      </c>
      <c r="J298" s="130"/>
      <c r="K298" s="586">
        <f>I298-G298</f>
        <v>0.11329527585306742</v>
      </c>
      <c r="L298" s="130"/>
      <c r="M298" s="219">
        <v>33335.395989999997</v>
      </c>
      <c r="N298" s="219"/>
      <c r="O298" s="219">
        <f>K298*M298/100</f>
        <v>37.767428843582877</v>
      </c>
      <c r="P298" s="219"/>
      <c r="Q298" s="219">
        <f>O298+O297</f>
        <v>40.629655049565109</v>
      </c>
      <c r="S298" s="593"/>
      <c r="U298" s="588"/>
      <c r="V298" s="587"/>
      <c r="W298" s="589"/>
      <c r="Y298" s="573"/>
      <c r="Z298" s="573"/>
    </row>
    <row r="299" spans="1:26">
      <c r="A299" s="143"/>
      <c r="B299" s="130"/>
      <c r="C299" s="130"/>
      <c r="D299" s="130"/>
      <c r="E299" s="143"/>
      <c r="F299" s="143"/>
      <c r="G299" s="573"/>
      <c r="H299" s="130"/>
      <c r="I299" s="548"/>
      <c r="J299" s="130"/>
      <c r="K299" s="586"/>
      <c r="L299" s="130"/>
      <c r="M299" s="140"/>
      <c r="N299" s="140"/>
      <c r="O299" s="140"/>
      <c r="P299" s="140"/>
      <c r="Q299" s="140"/>
    </row>
    <row r="300" spans="1:26">
      <c r="A300" s="143">
        <f>A298+1</f>
        <v>166</v>
      </c>
      <c r="B300" s="130"/>
      <c r="C300" s="130" t="s">
        <v>273</v>
      </c>
      <c r="D300" s="130"/>
      <c r="E300" s="143" t="s">
        <v>204</v>
      </c>
      <c r="F300" s="143"/>
      <c r="G300" s="573">
        <v>3.4721432355431703</v>
      </c>
      <c r="H300" s="130"/>
      <c r="I300" s="573">
        <v>3.591959783532217</v>
      </c>
      <c r="J300" s="130"/>
      <c r="K300" s="586">
        <f>I300-G300</f>
        <v>0.11981654798904673</v>
      </c>
      <c r="L300" s="130"/>
      <c r="M300" s="219">
        <v>1830.635</v>
      </c>
      <c r="N300" s="219"/>
      <c r="O300" s="219">
        <f>K300*M300/100</f>
        <v>2.1934036632792857</v>
      </c>
      <c r="P300" s="219"/>
      <c r="Q300" s="219">
        <f>O300</f>
        <v>2.1934036632792857</v>
      </c>
      <c r="S300" s="593"/>
      <c r="U300" s="588"/>
      <c r="V300" s="587"/>
      <c r="W300" s="589"/>
    </row>
    <row r="301" spans="1:26">
      <c r="A301" s="143">
        <f>A300+1</f>
        <v>167</v>
      </c>
      <c r="B301" s="130"/>
      <c r="C301" s="130" t="s">
        <v>274</v>
      </c>
      <c r="D301" s="130"/>
      <c r="E301" s="143" t="s">
        <v>201</v>
      </c>
      <c r="F301" s="143"/>
      <c r="G301" s="128">
        <v>248.07</v>
      </c>
      <c r="H301" s="584"/>
      <c r="I301" s="128">
        <v>254.75925132533467</v>
      </c>
      <c r="J301" s="584"/>
      <c r="K301" s="128">
        <f>I301-G301</f>
        <v>6.6892513253346806</v>
      </c>
      <c r="L301" s="130"/>
      <c r="M301" s="140">
        <v>55.999999999999993</v>
      </c>
      <c r="N301" s="140"/>
      <c r="O301" s="140">
        <f t="shared" ref="O301" si="69">K301*M301/1000</f>
        <v>0.37459807421874208</v>
      </c>
      <c r="P301" s="140"/>
      <c r="Q301" s="140">
        <f>O301</f>
        <v>0.37459807421874208</v>
      </c>
      <c r="S301" s="593"/>
    </row>
    <row r="302" spans="1:26">
      <c r="A302" s="143"/>
      <c r="B302" s="130"/>
      <c r="C302" s="130"/>
      <c r="D302" s="130"/>
      <c r="E302" s="143"/>
      <c r="F302" s="143"/>
      <c r="G302" s="573"/>
      <c r="H302" s="130"/>
      <c r="I302" s="583"/>
      <c r="J302" s="130"/>
      <c r="K302" s="579"/>
      <c r="L302" s="130"/>
      <c r="M302" s="140"/>
      <c r="N302" s="140"/>
      <c r="O302" s="140"/>
      <c r="P302" s="140"/>
      <c r="Q302" s="140"/>
    </row>
    <row r="303" spans="1:26">
      <c r="A303" s="143">
        <f>A301+1</f>
        <v>168</v>
      </c>
      <c r="B303" s="130"/>
      <c r="C303" s="130" t="s">
        <v>266</v>
      </c>
      <c r="D303" s="130"/>
      <c r="E303" s="143" t="s">
        <v>204</v>
      </c>
      <c r="F303" s="143"/>
      <c r="G303" s="573">
        <v>1.1345000000000001</v>
      </c>
      <c r="H303" s="130"/>
      <c r="I303" s="573">
        <v>1.1282822900734173</v>
      </c>
      <c r="J303" s="130"/>
      <c r="K303" s="579">
        <f>I303-G303</f>
        <v>-6.2177099265827707E-3</v>
      </c>
      <c r="L303" s="130"/>
      <c r="M303" s="140">
        <v>877.16987999999992</v>
      </c>
      <c r="N303" s="140"/>
      <c r="O303" s="140">
        <f>K303*M303/100</f>
        <v>-5.4539878701754176E-2</v>
      </c>
      <c r="P303" s="140"/>
      <c r="Q303" s="140">
        <f>O303</f>
        <v>-5.4539878701754176E-2</v>
      </c>
      <c r="S303" s="593"/>
      <c r="U303" s="588"/>
      <c r="V303" s="587"/>
      <c r="W303" s="589"/>
    </row>
    <row r="304" spans="1:26">
      <c r="A304" s="143"/>
      <c r="B304" s="130"/>
      <c r="C304" s="130"/>
      <c r="D304" s="130"/>
      <c r="E304" s="143"/>
      <c r="F304" s="143"/>
      <c r="G304" s="573"/>
      <c r="H304" s="130"/>
      <c r="I304" s="548"/>
      <c r="J304" s="130"/>
      <c r="K304" s="579"/>
      <c r="L304" s="130"/>
      <c r="M304" s="140"/>
      <c r="N304" s="140"/>
      <c r="O304" s="140"/>
      <c r="P304" s="140"/>
      <c r="Q304" s="140"/>
    </row>
    <row r="305" spans="1:26">
      <c r="A305" s="143">
        <f>A303+1</f>
        <v>169</v>
      </c>
      <c r="B305" s="130"/>
      <c r="C305" s="423" t="s">
        <v>256</v>
      </c>
      <c r="D305" s="130"/>
      <c r="E305" s="143" t="s">
        <v>204</v>
      </c>
      <c r="F305" s="143"/>
      <c r="G305" s="573">
        <v>21.412978924585243</v>
      </c>
      <c r="H305" s="130"/>
      <c r="I305" s="573">
        <v>21.418601163877909</v>
      </c>
      <c r="J305" s="130"/>
      <c r="K305" s="579">
        <f>I305-G305</f>
        <v>5.6222392926663645E-3</v>
      </c>
      <c r="L305" s="130"/>
      <c r="M305" s="140">
        <v>389.47527000000002</v>
      </c>
      <c r="N305" s="140"/>
      <c r="O305" s="140">
        <f>K305*M305/100</f>
        <v>2.1897231665158414E-2</v>
      </c>
      <c r="P305" s="140"/>
      <c r="Q305" s="140">
        <f>O305</f>
        <v>2.1897231665158414E-2</v>
      </c>
      <c r="S305" s="593"/>
      <c r="U305" s="588"/>
      <c r="V305" s="587"/>
      <c r="W305" s="589"/>
    </row>
    <row r="306" spans="1:26">
      <c r="A306" s="143">
        <f>A305+1</f>
        <v>170</v>
      </c>
      <c r="B306" s="130"/>
      <c r="C306" s="423" t="s">
        <v>257</v>
      </c>
      <c r="D306" s="130"/>
      <c r="E306" s="143" t="s">
        <v>204</v>
      </c>
      <c r="F306" s="143"/>
      <c r="G306" s="573">
        <v>24.261380223452743</v>
      </c>
      <c r="H306" s="130"/>
      <c r="I306" s="573">
        <v>24.267002462745413</v>
      </c>
      <c r="J306" s="130"/>
      <c r="K306" s="579">
        <f>I306-G306</f>
        <v>5.6222392926699172E-3</v>
      </c>
      <c r="L306" s="130"/>
      <c r="M306" s="581">
        <v>487.69461000000001</v>
      </c>
      <c r="N306" s="140"/>
      <c r="O306" s="581">
        <f>K306*M306/100</f>
        <v>2.741935799165331E-2</v>
      </c>
      <c r="P306" s="140"/>
      <c r="Q306" s="140">
        <f>O306</f>
        <v>2.741935799165331E-2</v>
      </c>
      <c r="S306" s="593"/>
      <c r="U306" s="588"/>
      <c r="V306" s="587"/>
      <c r="W306" s="589"/>
    </row>
    <row r="307" spans="1:26">
      <c r="A307" s="143">
        <f>A306+1</f>
        <v>171</v>
      </c>
      <c r="B307" s="130"/>
      <c r="C307" s="130" t="s">
        <v>211</v>
      </c>
      <c r="D307" s="130"/>
      <c r="E307" s="143" t="s">
        <v>204</v>
      </c>
      <c r="F307" s="143"/>
      <c r="G307" s="573"/>
      <c r="H307" s="130"/>
      <c r="I307" s="573"/>
      <c r="J307" s="130"/>
      <c r="K307" s="582"/>
      <c r="L307" s="130"/>
      <c r="M307" s="140">
        <f>SUM(M305:M306)</f>
        <v>877.16988000000003</v>
      </c>
      <c r="N307" s="140"/>
      <c r="O307" s="140">
        <f>SUM(O305:O306)</f>
        <v>4.9316589656811724E-2</v>
      </c>
      <c r="P307" s="140"/>
      <c r="Q307" s="140"/>
    </row>
    <row r="308" spans="1:26">
      <c r="A308" s="143"/>
      <c r="B308" s="130"/>
      <c r="C308" s="130"/>
      <c r="D308" s="130"/>
      <c r="E308" s="143"/>
      <c r="F308" s="143"/>
      <c r="G308" s="573"/>
      <c r="H308" s="130"/>
      <c r="I308" s="583"/>
      <c r="J308" s="130"/>
      <c r="K308" s="579"/>
      <c r="L308" s="130"/>
      <c r="M308" s="140"/>
      <c r="N308" s="140"/>
      <c r="O308" s="140"/>
      <c r="P308" s="140"/>
      <c r="Q308" s="140"/>
    </row>
    <row r="309" spans="1:26" ht="13.5" thickBot="1">
      <c r="A309" s="143">
        <f>A307+1</f>
        <v>172</v>
      </c>
      <c r="B309" s="130"/>
      <c r="C309" s="130" t="s">
        <v>290</v>
      </c>
      <c r="D309" s="130"/>
      <c r="E309" s="143"/>
      <c r="F309" s="143"/>
      <c r="G309" s="573"/>
      <c r="H309" s="130"/>
      <c r="I309" s="573"/>
      <c r="J309" s="130"/>
      <c r="K309" s="582"/>
      <c r="L309" s="130"/>
      <c r="M309" s="140"/>
      <c r="N309" s="140"/>
      <c r="O309" s="578">
        <f>O297+O298+O300+O301+O303+O305+O306</f>
        <v>43.192433498018197</v>
      </c>
      <c r="P309" s="140"/>
      <c r="Q309" s="578">
        <f>SUM(Q297:Q306)</f>
        <v>43.192433498018197</v>
      </c>
    </row>
    <row r="310" spans="1:26" ht="13.5" thickTop="1">
      <c r="A310" s="143"/>
      <c r="B310" s="130"/>
      <c r="C310" s="130"/>
      <c r="D310" s="130"/>
      <c r="E310" s="143"/>
      <c r="F310" s="143"/>
      <c r="G310" s="573"/>
      <c r="H310" s="130"/>
      <c r="I310" s="583"/>
      <c r="J310" s="130"/>
      <c r="K310" s="579"/>
      <c r="L310" s="130"/>
      <c r="M310" s="140"/>
      <c r="N310" s="140"/>
      <c r="O310" s="140"/>
      <c r="P310" s="140"/>
      <c r="Q310" s="140"/>
    </row>
    <row r="311" spans="1:26">
      <c r="A311" s="143"/>
      <c r="B311" s="130"/>
      <c r="C311" s="546" t="s">
        <v>291</v>
      </c>
      <c r="D311" s="130"/>
      <c r="E311" s="143"/>
      <c r="F311" s="143"/>
      <c r="G311" s="573"/>
      <c r="H311" s="130"/>
      <c r="I311" s="583"/>
      <c r="J311" s="130"/>
      <c r="K311" s="579"/>
      <c r="L311" s="130"/>
      <c r="M311" s="140"/>
      <c r="N311" s="140"/>
      <c r="O311" s="140"/>
      <c r="P311" s="140"/>
      <c r="Q311" s="140"/>
    </row>
    <row r="312" spans="1:26">
      <c r="A312" s="143">
        <f>A309+1</f>
        <v>173</v>
      </c>
      <c r="B312" s="130"/>
      <c r="C312" s="130" t="s">
        <v>200</v>
      </c>
      <c r="D312" s="130"/>
      <c r="E312" s="143" t="s">
        <v>201</v>
      </c>
      <c r="F312" s="143"/>
      <c r="G312" s="128">
        <v>1620.86</v>
      </c>
      <c r="H312" s="584"/>
      <c r="I312" s="128">
        <v>1664.5667759228518</v>
      </c>
      <c r="J312" s="584"/>
      <c r="K312" s="128">
        <f>I312-G312</f>
        <v>43.706775922851875</v>
      </c>
      <c r="L312" s="130"/>
      <c r="M312" s="140">
        <v>48.000000000000007</v>
      </c>
      <c r="N312" s="140"/>
      <c r="O312" s="140">
        <f t="shared" ref="O312" si="70">K312*M312/1000</f>
        <v>2.0979252442968903</v>
      </c>
      <c r="P312" s="140"/>
      <c r="Q312" s="140"/>
      <c r="S312" s="593"/>
      <c r="U312" s="602"/>
      <c r="Y312" s="573"/>
      <c r="Z312" s="573"/>
    </row>
    <row r="313" spans="1:26">
      <c r="A313" s="143">
        <f>A312+1</f>
        <v>174</v>
      </c>
      <c r="B313" s="130"/>
      <c r="C313" s="130" t="s">
        <v>221</v>
      </c>
      <c r="D313" s="130"/>
      <c r="E313" s="143" t="s">
        <v>222</v>
      </c>
      <c r="F313" s="143"/>
      <c r="G313" s="573">
        <v>19.945999999999998</v>
      </c>
      <c r="H313" s="130"/>
      <c r="I313" s="573">
        <v>19.878717833610953</v>
      </c>
      <c r="J313" s="130"/>
      <c r="K313" s="579">
        <f>I313-G313</f>
        <v>-6.7282166389045273E-2</v>
      </c>
      <c r="L313" s="130"/>
      <c r="M313" s="140">
        <v>14016.68</v>
      </c>
      <c r="N313" s="140"/>
      <c r="O313" s="140">
        <f>K313*M313/100</f>
        <v>-9.4307259598200304</v>
      </c>
      <c r="P313" s="140"/>
      <c r="Q313" s="140">
        <f>SUM(O312:O313)</f>
        <v>-7.3328007155231401</v>
      </c>
      <c r="S313" s="593"/>
      <c r="U313" s="588"/>
      <c r="V313" s="587"/>
      <c r="W313" s="589"/>
      <c r="Y313" s="573"/>
      <c r="Z313" s="573"/>
    </row>
    <row r="314" spans="1:26">
      <c r="A314" s="143">
        <f>A313+1</f>
        <v>175</v>
      </c>
      <c r="B314" s="130"/>
      <c r="C314" s="130" t="s">
        <v>202</v>
      </c>
      <c r="D314" s="130"/>
      <c r="E314" s="143" t="s">
        <v>204</v>
      </c>
      <c r="F314" s="143"/>
      <c r="G314" s="573">
        <v>0.28710000000000002</v>
      </c>
      <c r="H314" s="130"/>
      <c r="I314" s="573">
        <v>0.28570758708539651</v>
      </c>
      <c r="J314" s="130"/>
      <c r="K314" s="579">
        <f>I314-G314</f>
        <v>-1.3924129146035136E-3</v>
      </c>
      <c r="L314" s="130"/>
      <c r="M314" s="140">
        <v>366344.48666</v>
      </c>
      <c r="N314" s="140"/>
      <c r="O314" s="140">
        <f>K314*M314/100</f>
        <v>-5.1010279441917854</v>
      </c>
      <c r="P314" s="140"/>
      <c r="Q314" s="140">
        <f>O314</f>
        <v>-5.1010279441917854</v>
      </c>
      <c r="S314" s="593"/>
      <c r="U314" s="588"/>
      <c r="V314" s="587"/>
      <c r="W314" s="589"/>
      <c r="Y314" s="573"/>
      <c r="Z314" s="573"/>
    </row>
    <row r="315" spans="1:26">
      <c r="A315" s="143"/>
      <c r="B315" s="130"/>
      <c r="C315" s="130"/>
      <c r="D315" s="130"/>
      <c r="E315" s="143"/>
      <c r="F315" s="143"/>
      <c r="G315" s="573"/>
      <c r="H315" s="130"/>
      <c r="I315" s="583"/>
      <c r="J315" s="130"/>
      <c r="K315" s="579"/>
      <c r="L315" s="130"/>
      <c r="M315" s="140"/>
      <c r="N315" s="140"/>
      <c r="O315" s="140"/>
      <c r="P315" s="140"/>
      <c r="Q315" s="140"/>
    </row>
    <row r="316" spans="1:26">
      <c r="A316" s="143">
        <f>A314+1</f>
        <v>176</v>
      </c>
      <c r="B316" s="130"/>
      <c r="C316" s="130" t="s">
        <v>273</v>
      </c>
      <c r="D316" s="130"/>
      <c r="E316" s="143" t="s">
        <v>204</v>
      </c>
      <c r="F316" s="143"/>
      <c r="G316" s="573">
        <v>0.28710000000000002</v>
      </c>
      <c r="H316" s="130"/>
      <c r="I316" s="573">
        <v>0.2857774997803707</v>
      </c>
      <c r="J316" s="130"/>
      <c r="K316" s="579">
        <f>I316-G316</f>
        <v>-1.322500219629319E-3</v>
      </c>
      <c r="L316" s="130"/>
      <c r="M316" s="140">
        <v>0</v>
      </c>
      <c r="N316" s="140"/>
      <c r="O316" s="140">
        <f>K316*M316/100</f>
        <v>0</v>
      </c>
      <c r="P316" s="140"/>
      <c r="Q316" s="140">
        <f>O316</f>
        <v>0</v>
      </c>
      <c r="U316" s="588"/>
      <c r="V316" s="587"/>
      <c r="W316" s="589"/>
    </row>
    <row r="317" spans="1:26">
      <c r="A317" s="143">
        <f>A316+1</f>
        <v>177</v>
      </c>
      <c r="B317" s="130"/>
      <c r="C317" s="130" t="s">
        <v>274</v>
      </c>
      <c r="D317" s="130"/>
      <c r="E317" s="143" t="s">
        <v>201</v>
      </c>
      <c r="F317" s="143"/>
      <c r="G317" s="128">
        <v>248.07</v>
      </c>
      <c r="H317" s="584"/>
      <c r="I317" s="128">
        <v>254.75925132533462</v>
      </c>
      <c r="J317" s="584"/>
      <c r="K317" s="128">
        <f>I317-G317</f>
        <v>6.6892513253346237</v>
      </c>
      <c r="L317" s="130"/>
      <c r="M317" s="140">
        <v>47.999999999999993</v>
      </c>
      <c r="N317" s="140"/>
      <c r="O317" s="140">
        <f>K317*M317/1000</f>
        <v>0.3210840636160619</v>
      </c>
      <c r="P317" s="140"/>
      <c r="Q317" s="140">
        <f>O317</f>
        <v>0.3210840636160619</v>
      </c>
      <c r="S317" s="593"/>
    </row>
    <row r="318" spans="1:26">
      <c r="A318" s="143"/>
      <c r="B318" s="130"/>
      <c r="C318" s="547"/>
      <c r="D318" s="130"/>
      <c r="E318" s="143"/>
      <c r="F318" s="143"/>
      <c r="G318" s="598"/>
      <c r="H318" s="130"/>
      <c r="I318" s="583"/>
      <c r="J318" s="130"/>
      <c r="K318" s="579"/>
      <c r="L318" s="130"/>
      <c r="M318" s="140"/>
      <c r="N318" s="140"/>
      <c r="O318" s="140"/>
      <c r="P318" s="140"/>
      <c r="Q318" s="140"/>
    </row>
    <row r="319" spans="1:26">
      <c r="A319" s="143"/>
      <c r="B319" s="130"/>
      <c r="C319" s="130" t="s">
        <v>275</v>
      </c>
      <c r="D319" s="130"/>
      <c r="E319" s="143"/>
      <c r="F319" s="143"/>
      <c r="G319" s="573"/>
      <c r="H319" s="130"/>
      <c r="I319" s="583"/>
      <c r="J319" s="130"/>
      <c r="K319" s="579"/>
      <c r="L319" s="130"/>
      <c r="M319" s="140"/>
      <c r="N319" s="140"/>
      <c r="O319" s="140"/>
      <c r="P319" s="140"/>
      <c r="Q319" s="140"/>
    </row>
    <row r="320" spans="1:26">
      <c r="A320" s="143">
        <f>A317+1</f>
        <v>178</v>
      </c>
      <c r="B320" s="130"/>
      <c r="C320" s="547" t="s">
        <v>276</v>
      </c>
      <c r="D320" s="130"/>
      <c r="E320" s="143" t="s">
        <v>222</v>
      </c>
      <c r="F320" s="143"/>
      <c r="G320" s="573">
        <v>75.2744</v>
      </c>
      <c r="H320" s="130"/>
      <c r="I320" s="573">
        <v>75.544413098000987</v>
      </c>
      <c r="J320" s="130"/>
      <c r="K320" s="579">
        <f>I320-G320</f>
        <v>0.27001309800098738</v>
      </c>
      <c r="L320" s="130"/>
      <c r="M320" s="140">
        <v>0</v>
      </c>
      <c r="N320" s="140"/>
      <c r="O320" s="140">
        <f>K320*M320/100</f>
        <v>0</v>
      </c>
      <c r="P320" s="140"/>
      <c r="Q320" s="140">
        <f>O320</f>
        <v>0</v>
      </c>
      <c r="U320" s="588"/>
      <c r="V320" s="587"/>
      <c r="W320" s="589"/>
      <c r="Y320" s="573"/>
      <c r="Z320" s="573"/>
    </row>
    <row r="321" spans="1:26">
      <c r="A321" s="143">
        <f>A320+1</f>
        <v>179</v>
      </c>
      <c r="B321" s="130"/>
      <c r="C321" s="547" t="s">
        <v>277</v>
      </c>
      <c r="D321" s="130"/>
      <c r="E321" s="143" t="s">
        <v>222</v>
      </c>
      <c r="F321" s="143"/>
      <c r="G321" s="573">
        <v>114.0459</v>
      </c>
      <c r="H321" s="130"/>
      <c r="I321" s="573">
        <v>114.27500153227037</v>
      </c>
      <c r="J321" s="130"/>
      <c r="K321" s="579">
        <f>I321-G321</f>
        <v>0.2291015322703629</v>
      </c>
      <c r="L321" s="130"/>
      <c r="M321" s="140">
        <v>0</v>
      </c>
      <c r="N321" s="140"/>
      <c r="O321" s="140">
        <f>K321*M321/100</f>
        <v>0</v>
      </c>
      <c r="P321" s="140"/>
      <c r="Q321" s="140">
        <f>O321</f>
        <v>0</v>
      </c>
      <c r="Y321" s="573"/>
      <c r="Z321" s="573"/>
    </row>
    <row r="322" spans="1:26">
      <c r="A322" s="130"/>
      <c r="B322" s="130"/>
      <c r="C322" s="130" t="s">
        <v>278</v>
      </c>
      <c r="D322" s="130"/>
      <c r="E322" s="130"/>
      <c r="F322" s="130"/>
      <c r="G322" s="130"/>
      <c r="H322" s="130"/>
      <c r="I322" s="130"/>
      <c r="J322" s="130"/>
      <c r="K322" s="130"/>
      <c r="L322" s="130"/>
      <c r="M322" s="130"/>
      <c r="N322" s="130"/>
      <c r="O322" s="130"/>
      <c r="P322" s="130"/>
      <c r="Q322" s="130"/>
    </row>
    <row r="323" spans="1:26">
      <c r="A323" s="143"/>
      <c r="B323" s="130"/>
      <c r="C323" s="130" t="s">
        <v>280</v>
      </c>
      <c r="D323" s="130"/>
      <c r="E323" s="143"/>
      <c r="F323" s="143"/>
      <c r="G323" s="573"/>
      <c r="H323" s="130"/>
      <c r="I323" s="583"/>
      <c r="J323" s="130"/>
      <c r="K323" s="579"/>
      <c r="L323" s="130"/>
      <c r="M323" s="140"/>
      <c r="N323" s="140"/>
      <c r="O323" s="140"/>
      <c r="P323" s="140"/>
      <c r="Q323" s="140"/>
    </row>
    <row r="324" spans="1:26">
      <c r="A324" s="143">
        <f>A321+1</f>
        <v>180</v>
      </c>
      <c r="B324" s="130"/>
      <c r="C324" s="547" t="s">
        <v>276</v>
      </c>
      <c r="D324" s="130"/>
      <c r="E324" s="143" t="s">
        <v>204</v>
      </c>
      <c r="F324" s="143"/>
      <c r="G324" s="573">
        <v>4.2342000000000004</v>
      </c>
      <c r="H324" s="130"/>
      <c r="I324" s="573">
        <v>4.2431874933153306</v>
      </c>
      <c r="J324" s="130"/>
      <c r="K324" s="579">
        <f>I324-G324</f>
        <v>8.9874933153302194E-3</v>
      </c>
      <c r="L324" s="130"/>
      <c r="M324" s="140">
        <v>0</v>
      </c>
      <c r="N324" s="140"/>
      <c r="O324" s="140">
        <f>K324*M324/100</f>
        <v>0</v>
      </c>
      <c r="P324" s="140"/>
      <c r="Q324" s="140">
        <f>O324</f>
        <v>0</v>
      </c>
      <c r="Y324" s="573"/>
      <c r="Z324" s="573"/>
    </row>
    <row r="325" spans="1:26">
      <c r="A325" s="143">
        <f>A324+1</f>
        <v>181</v>
      </c>
      <c r="B325" s="130"/>
      <c r="C325" s="547" t="s">
        <v>277</v>
      </c>
      <c r="D325" s="130"/>
      <c r="E325" s="143" t="s">
        <v>204</v>
      </c>
      <c r="F325" s="143"/>
      <c r="G325" s="573">
        <v>6.54</v>
      </c>
      <c r="H325" s="130"/>
      <c r="I325" s="573">
        <v>6.5473210454098778</v>
      </c>
      <c r="J325" s="130"/>
      <c r="K325" s="579">
        <f>I325-G325</f>
        <v>7.3210454098777689E-3</v>
      </c>
      <c r="L325" s="130"/>
      <c r="M325" s="140">
        <v>0</v>
      </c>
      <c r="N325" s="140"/>
      <c r="O325" s="140">
        <f>K325*M325/100</f>
        <v>0</v>
      </c>
      <c r="P325" s="140"/>
      <c r="Q325" s="140">
        <f>O325</f>
        <v>0</v>
      </c>
      <c r="Y325" s="573"/>
      <c r="Z325" s="573"/>
    </row>
    <row r="326" spans="1:26">
      <c r="A326" s="143"/>
      <c r="B326" s="130"/>
      <c r="C326" s="130"/>
      <c r="D326" s="130"/>
      <c r="E326" s="143"/>
      <c r="F326" s="143"/>
      <c r="G326" s="573"/>
      <c r="H326" s="130"/>
      <c r="I326" s="583"/>
      <c r="J326" s="130"/>
      <c r="K326" s="582"/>
      <c r="L326" s="130"/>
      <c r="M326" s="140"/>
      <c r="N326" s="140"/>
      <c r="O326" s="140"/>
      <c r="P326" s="140"/>
      <c r="Q326" s="140"/>
    </row>
    <row r="327" spans="1:26">
      <c r="A327" s="143"/>
      <c r="B327" s="130"/>
      <c r="C327" s="130" t="s">
        <v>282</v>
      </c>
      <c r="D327" s="130"/>
      <c r="E327" s="143"/>
      <c r="F327" s="143"/>
      <c r="G327" s="573"/>
      <c r="H327" s="130"/>
      <c r="I327" s="583"/>
      <c r="J327" s="130"/>
      <c r="K327" s="579"/>
      <c r="L327" s="130"/>
      <c r="M327" s="140"/>
      <c r="N327" s="140"/>
      <c r="O327" s="140"/>
      <c r="P327" s="140"/>
      <c r="Q327" s="140"/>
    </row>
    <row r="328" spans="1:26">
      <c r="A328" s="143">
        <f>A325+1</f>
        <v>182</v>
      </c>
      <c r="B328" s="130"/>
      <c r="C328" s="547" t="s">
        <v>283</v>
      </c>
      <c r="D328" s="130"/>
      <c r="E328" s="143" t="s">
        <v>284</v>
      </c>
      <c r="F328" s="143"/>
      <c r="G328" s="598">
        <v>18.835000000000001</v>
      </c>
      <c r="H328" s="130"/>
      <c r="I328" s="583">
        <v>19.047647381592249</v>
      </c>
      <c r="J328" s="130"/>
      <c r="K328" s="343">
        <f>I328-G328</f>
        <v>0.21264738159224805</v>
      </c>
      <c r="L328" s="130"/>
      <c r="M328" s="140">
        <v>0</v>
      </c>
      <c r="N328" s="140"/>
      <c r="O328" s="140">
        <f t="shared" ref="O328:O329" si="71">K328*M328/1000</f>
        <v>0</v>
      </c>
      <c r="P328" s="140"/>
      <c r="Q328" s="140">
        <f>O328</f>
        <v>0</v>
      </c>
      <c r="S328" s="593"/>
      <c r="Y328" s="573"/>
      <c r="Z328" s="573"/>
    </row>
    <row r="329" spans="1:26">
      <c r="A329" s="143">
        <f>A328+1</f>
        <v>183</v>
      </c>
      <c r="B329" s="130"/>
      <c r="C329" s="547" t="s">
        <v>285</v>
      </c>
      <c r="D329" s="130"/>
      <c r="E329" s="143" t="s">
        <v>286</v>
      </c>
      <c r="F329" s="143"/>
      <c r="G329" s="598">
        <v>0.24</v>
      </c>
      <c r="H329" s="130"/>
      <c r="I329" s="583">
        <v>0.24561759595368146</v>
      </c>
      <c r="J329" s="130"/>
      <c r="K329" s="343">
        <f>I329-G329</f>
        <v>5.6175959536814701E-3</v>
      </c>
      <c r="L329" s="130"/>
      <c r="M329" s="140">
        <v>0</v>
      </c>
      <c r="N329" s="140"/>
      <c r="O329" s="140">
        <f t="shared" si="71"/>
        <v>0</v>
      </c>
      <c r="P329" s="140"/>
      <c r="Q329" s="140">
        <f>O329</f>
        <v>0</v>
      </c>
      <c r="S329" s="593"/>
      <c r="Y329" s="573"/>
      <c r="Z329" s="573"/>
    </row>
    <row r="330" spans="1:26">
      <c r="A330" s="143"/>
      <c r="B330" s="130"/>
      <c r="C330" s="547"/>
      <c r="D330" s="130"/>
      <c r="E330" s="143"/>
      <c r="F330" s="143"/>
      <c r="G330" s="598"/>
      <c r="H330" s="130"/>
      <c r="I330" s="583"/>
      <c r="J330" s="130"/>
      <c r="K330" s="579"/>
      <c r="L330" s="130"/>
      <c r="M330" s="140"/>
      <c r="N330" s="140"/>
      <c r="O330" s="140"/>
      <c r="P330" s="140"/>
      <c r="Q330" s="140"/>
    </row>
    <row r="331" spans="1:26" ht="13.5" thickBot="1">
      <c r="A331" s="143">
        <f>A329+1</f>
        <v>184</v>
      </c>
      <c r="B331" s="130"/>
      <c r="C331" s="130" t="s">
        <v>223</v>
      </c>
      <c r="D331" s="130"/>
      <c r="E331" s="143"/>
      <c r="F331" s="143"/>
      <c r="G331" s="573"/>
      <c r="H331" s="130"/>
      <c r="I331" s="573"/>
      <c r="J331" s="130"/>
      <c r="K331" s="582"/>
      <c r="L331" s="130"/>
      <c r="M331" s="140"/>
      <c r="N331" s="140"/>
      <c r="O331" s="578">
        <f>SUM(O312:O329)</f>
        <v>-12.112744596098864</v>
      </c>
      <c r="P331" s="140"/>
      <c r="Q331" s="578">
        <f>SUM(Q312:Q329)</f>
        <v>-12.112744596098864</v>
      </c>
    </row>
    <row r="332" spans="1:26" ht="13.5" thickTop="1">
      <c r="A332" s="143"/>
      <c r="B332" s="130"/>
      <c r="C332" s="130"/>
      <c r="D332" s="130"/>
      <c r="E332" s="143"/>
      <c r="F332" s="143"/>
      <c r="G332" s="130"/>
      <c r="H332" s="130"/>
      <c r="I332" s="130"/>
      <c r="J332" s="130"/>
      <c r="K332" s="579"/>
      <c r="L332" s="130"/>
      <c r="M332" s="140"/>
      <c r="N332" s="140"/>
      <c r="O332" s="140"/>
      <c r="P332" s="140"/>
      <c r="Q332" s="140"/>
    </row>
    <row r="333" spans="1:26">
      <c r="A333" s="143"/>
      <c r="B333" s="130"/>
      <c r="C333" s="546" t="s">
        <v>292</v>
      </c>
      <c r="D333" s="130"/>
      <c r="E333" s="143"/>
      <c r="F333" s="143"/>
      <c r="G333" s="130"/>
      <c r="H333" s="130"/>
      <c r="I333" s="130"/>
      <c r="J333" s="130"/>
      <c r="K333" s="579"/>
      <c r="L333" s="130"/>
      <c r="M333" s="140"/>
      <c r="N333" s="140"/>
      <c r="O333" s="140"/>
      <c r="P333" s="140"/>
      <c r="Q333" s="140"/>
    </row>
    <row r="334" spans="1:26">
      <c r="A334" s="143">
        <f>A331+1</f>
        <v>185</v>
      </c>
      <c r="B334" s="130"/>
      <c r="C334" s="130" t="s">
        <v>200</v>
      </c>
      <c r="D334" s="130"/>
      <c r="E334" s="143" t="s">
        <v>201</v>
      </c>
      <c r="F334" s="143"/>
      <c r="G334" s="128">
        <v>22.98</v>
      </c>
      <c r="H334" s="584"/>
      <c r="I334" s="128">
        <v>25.852025503389029</v>
      </c>
      <c r="J334" s="584"/>
      <c r="K334" s="128">
        <f>I334-G334</f>
        <v>2.872025503389029</v>
      </c>
      <c r="L334" s="130"/>
      <c r="M334" s="140">
        <v>4806684</v>
      </c>
      <c r="N334" s="140"/>
      <c r="O334" s="140">
        <f t="shared" ref="O334" si="72">K334*M334/1000</f>
        <v>13804.919034731991</v>
      </c>
      <c r="P334" s="140"/>
      <c r="Q334" s="140"/>
      <c r="S334" s="593"/>
      <c r="U334" s="571"/>
      <c r="Y334" s="573"/>
      <c r="Z334" s="573"/>
    </row>
    <row r="335" spans="1:26">
      <c r="A335" s="143"/>
      <c r="B335" s="130"/>
      <c r="C335" s="130" t="s">
        <v>202</v>
      </c>
      <c r="D335" s="130"/>
      <c r="E335" s="143"/>
      <c r="F335" s="143"/>
      <c r="G335" s="130"/>
      <c r="H335" s="130"/>
      <c r="I335" s="583"/>
      <c r="J335" s="130"/>
      <c r="K335" s="579"/>
      <c r="L335" s="130"/>
      <c r="M335" s="140"/>
      <c r="N335" s="140"/>
      <c r="O335" s="140"/>
      <c r="P335" s="140"/>
      <c r="Q335" s="140"/>
    </row>
    <row r="336" spans="1:26">
      <c r="A336" s="143">
        <f>A334+1</f>
        <v>186</v>
      </c>
      <c r="B336" s="130"/>
      <c r="C336" s="547" t="s">
        <v>293</v>
      </c>
      <c r="D336" s="130"/>
      <c r="E336" s="143" t="s">
        <v>204</v>
      </c>
      <c r="F336" s="143"/>
      <c r="G336" s="573">
        <v>6.5343999999999998</v>
      </c>
      <c r="H336" s="130"/>
      <c r="I336" s="573">
        <v>5.9085227076981033</v>
      </c>
      <c r="J336" s="130"/>
      <c r="K336" s="579">
        <f>I336-G336</f>
        <v>-0.62587729230189648</v>
      </c>
      <c r="L336" s="130"/>
      <c r="M336" s="140">
        <v>456709.25795298925</v>
      </c>
      <c r="N336" s="140"/>
      <c r="O336" s="140">
        <f>K336*M336/100</f>
        <v>-2858.4395373682532</v>
      </c>
      <c r="P336" s="140"/>
      <c r="Q336" s="140"/>
      <c r="S336" s="593"/>
      <c r="U336" s="588"/>
      <c r="V336" s="587"/>
      <c r="W336" s="589"/>
      <c r="Y336" s="573"/>
      <c r="Z336" s="573"/>
    </row>
    <row r="337" spans="1:26">
      <c r="A337" s="143">
        <f>A336+1</f>
        <v>187</v>
      </c>
      <c r="B337" s="130"/>
      <c r="C337" s="547" t="s">
        <v>294</v>
      </c>
      <c r="D337" s="130"/>
      <c r="E337" s="143" t="s">
        <v>204</v>
      </c>
      <c r="F337" s="143"/>
      <c r="G337" s="573">
        <v>6.2202999999999999</v>
      </c>
      <c r="H337" s="130"/>
      <c r="I337" s="573">
        <v>5.6365823289705306</v>
      </c>
      <c r="J337" s="130"/>
      <c r="K337" s="579">
        <f>I337-G337</f>
        <v>-0.58371767102946936</v>
      </c>
      <c r="L337" s="130"/>
      <c r="M337" s="140">
        <v>559862.29491743655</v>
      </c>
      <c r="N337" s="140"/>
      <c r="O337" s="140">
        <f>K337*M337/100</f>
        <v>-3268.0151488642</v>
      </c>
      <c r="P337" s="140"/>
      <c r="Q337" s="140"/>
      <c r="S337" s="593"/>
      <c r="U337" s="588"/>
      <c r="V337" s="587"/>
      <c r="W337" s="589"/>
      <c r="Y337" s="573"/>
      <c r="Z337" s="573"/>
    </row>
    <row r="338" spans="1:26">
      <c r="A338" s="143">
        <f t="shared" ref="A338:A339" si="73">A337+1</f>
        <v>188</v>
      </c>
      <c r="B338" s="130"/>
      <c r="C338" s="547" t="s">
        <v>295</v>
      </c>
      <c r="D338" s="130"/>
      <c r="E338" s="143" t="s">
        <v>204</v>
      </c>
      <c r="F338" s="143"/>
      <c r="G338" s="573">
        <v>5.4088000000000003</v>
      </c>
      <c r="H338" s="130"/>
      <c r="I338" s="573">
        <v>4.9340354517517584</v>
      </c>
      <c r="J338" s="130"/>
      <c r="K338" s="579">
        <f>I338-G338</f>
        <v>-0.47476454824824188</v>
      </c>
      <c r="L338" s="130"/>
      <c r="M338" s="140">
        <v>804072.99062450672</v>
      </c>
      <c r="N338" s="140"/>
      <c r="O338" s="140">
        <f>K338*M338/100</f>
        <v>-3817.4535015245679</v>
      </c>
      <c r="P338" s="140"/>
      <c r="Q338" s="140"/>
      <c r="S338" s="593"/>
      <c r="U338" s="588"/>
      <c r="V338" s="587"/>
      <c r="W338" s="589"/>
      <c r="Y338" s="573"/>
      <c r="Z338" s="573"/>
    </row>
    <row r="339" spans="1:26">
      <c r="A339" s="143">
        <f t="shared" si="73"/>
        <v>189</v>
      </c>
      <c r="B339" s="130"/>
      <c r="C339" s="130" t="s">
        <v>202</v>
      </c>
      <c r="D339" s="130"/>
      <c r="E339" s="143"/>
      <c r="F339" s="143"/>
      <c r="G339" s="573"/>
      <c r="H339" s="130"/>
      <c r="I339" s="573"/>
      <c r="J339" s="130"/>
      <c r="K339" s="582"/>
      <c r="L339" s="130"/>
      <c r="M339" s="575">
        <f>SUM(M336:M338)</f>
        <v>1820644.5434949326</v>
      </c>
      <c r="N339" s="140"/>
      <c r="O339" s="575">
        <f>SUM(O336:O338)</f>
        <v>-9943.9081877570206</v>
      </c>
      <c r="P339" s="140"/>
      <c r="Q339" s="140">
        <f>O334+O339</f>
        <v>3861.0108469749703</v>
      </c>
    </row>
    <row r="340" spans="1:26">
      <c r="A340" s="143"/>
      <c r="B340" s="130"/>
      <c r="C340" s="130"/>
      <c r="D340" s="130"/>
      <c r="E340" s="143"/>
      <c r="F340" s="143"/>
      <c r="G340" s="573"/>
      <c r="H340" s="130"/>
      <c r="I340" s="583"/>
      <c r="J340" s="130"/>
      <c r="K340" s="579"/>
      <c r="L340" s="130"/>
      <c r="M340" s="140"/>
      <c r="N340" s="140"/>
      <c r="O340" s="140"/>
      <c r="P340" s="140"/>
      <c r="Q340" s="140"/>
    </row>
    <row r="341" spans="1:26">
      <c r="A341" s="143">
        <f>A339+1</f>
        <v>190</v>
      </c>
      <c r="B341" s="130"/>
      <c r="C341" s="130" t="s">
        <v>296</v>
      </c>
      <c r="D341" s="130"/>
      <c r="E341" s="143" t="s">
        <v>204</v>
      </c>
      <c r="F341" s="143"/>
      <c r="G341" s="573">
        <v>0.90249999999999997</v>
      </c>
      <c r="H341" s="130"/>
      <c r="I341" s="573">
        <v>0.92997784334071742</v>
      </c>
      <c r="J341" s="130"/>
      <c r="K341" s="579">
        <f>I341-G341</f>
        <v>2.7477843340717456E-2</v>
      </c>
      <c r="L341" s="130"/>
      <c r="M341" s="140">
        <v>1820644.5434949326</v>
      </c>
      <c r="N341" s="140"/>
      <c r="O341" s="140">
        <f>K341*M341/100</f>
        <v>500.27385545285802</v>
      </c>
      <c r="P341" s="140"/>
      <c r="Q341" s="140">
        <f>O341</f>
        <v>500.27385545285802</v>
      </c>
      <c r="U341" s="588"/>
      <c r="V341" s="587"/>
      <c r="W341" s="589"/>
      <c r="Y341" s="573"/>
      <c r="Z341" s="573"/>
    </row>
    <row r="342" spans="1:26">
      <c r="A342" s="143">
        <f>A341+1</f>
        <v>191</v>
      </c>
      <c r="B342" s="130"/>
      <c r="C342" s="130" t="s">
        <v>211</v>
      </c>
      <c r="D342" s="130"/>
      <c r="E342" s="143" t="s">
        <v>204</v>
      </c>
      <c r="F342" s="143"/>
      <c r="G342" s="573">
        <v>20.538400000000003</v>
      </c>
      <c r="H342" s="130"/>
      <c r="I342" s="573">
        <v>20.536407273459339</v>
      </c>
      <c r="J342" s="130"/>
      <c r="K342" s="579">
        <f>I342-G342</f>
        <v>-1.9927265406636252E-3</v>
      </c>
      <c r="L342" s="130"/>
      <c r="M342" s="140">
        <v>1716178.8701904409</v>
      </c>
      <c r="N342" s="140"/>
      <c r="O342" s="140">
        <f>K342*M342/100</f>
        <v>-34.198751831546062</v>
      </c>
      <c r="P342" s="140"/>
      <c r="Q342" s="140">
        <f>O342</f>
        <v>-34.198751831546062</v>
      </c>
      <c r="U342" s="588"/>
      <c r="V342" s="587"/>
      <c r="W342" s="589"/>
      <c r="Y342" s="573"/>
      <c r="Z342" s="573"/>
    </row>
    <row r="343" spans="1:26">
      <c r="A343" s="143"/>
      <c r="B343" s="130"/>
      <c r="C343" s="130"/>
      <c r="D343" s="130"/>
      <c r="E343" s="143"/>
      <c r="F343" s="143"/>
      <c r="G343" s="573"/>
      <c r="H343" s="130"/>
      <c r="I343" s="583"/>
      <c r="J343" s="130"/>
      <c r="K343" s="579"/>
      <c r="L343" s="130"/>
      <c r="M343" s="140"/>
      <c r="N343" s="140"/>
      <c r="O343" s="140"/>
      <c r="P343" s="140"/>
      <c r="Q343" s="140"/>
    </row>
    <row r="344" spans="1:26" ht="13.5" thickBot="1">
      <c r="A344" s="143">
        <f>A342+1</f>
        <v>192</v>
      </c>
      <c r="B344" s="130"/>
      <c r="C344" s="130" t="s">
        <v>297</v>
      </c>
      <c r="D344" s="130"/>
      <c r="E344" s="143"/>
      <c r="F344" s="143"/>
      <c r="G344" s="573"/>
      <c r="H344" s="130"/>
      <c r="I344" s="573"/>
      <c r="J344" s="130"/>
      <c r="K344" s="582"/>
      <c r="L344" s="130"/>
      <c r="M344" s="140"/>
      <c r="N344" s="140"/>
      <c r="O344" s="578">
        <f>O334+O339+O341+O342</f>
        <v>4327.0859505962817</v>
      </c>
      <c r="P344" s="140"/>
      <c r="Q344" s="578">
        <f>SUM(Q339:Q342)</f>
        <v>4327.0859505962817</v>
      </c>
    </row>
    <row r="345" spans="1:26" ht="13.5" thickTop="1">
      <c r="A345" s="143"/>
      <c r="B345" s="130"/>
      <c r="C345" s="130"/>
      <c r="D345" s="130"/>
      <c r="E345" s="143"/>
      <c r="F345" s="143"/>
      <c r="G345" s="573"/>
      <c r="H345" s="130"/>
      <c r="I345" s="583"/>
      <c r="J345" s="130"/>
      <c r="K345" s="579"/>
      <c r="L345" s="130"/>
      <c r="M345" s="140"/>
      <c r="N345" s="140"/>
      <c r="O345" s="140"/>
      <c r="P345" s="140"/>
      <c r="Q345" s="140"/>
    </row>
    <row r="346" spans="1:26">
      <c r="A346" s="143"/>
      <c r="B346" s="130"/>
      <c r="C346" s="546" t="s">
        <v>298</v>
      </c>
      <c r="D346" s="130"/>
      <c r="E346" s="143"/>
      <c r="F346" s="143"/>
      <c r="G346" s="573"/>
      <c r="H346" s="130"/>
      <c r="I346" s="583"/>
      <c r="J346" s="130"/>
      <c r="K346" s="579"/>
      <c r="L346" s="130"/>
      <c r="M346" s="140"/>
      <c r="N346" s="140"/>
      <c r="O346" s="140"/>
      <c r="P346" s="140"/>
      <c r="Q346" s="140"/>
    </row>
    <row r="347" spans="1:26">
      <c r="A347" s="143">
        <f>A344+1</f>
        <v>193</v>
      </c>
      <c r="B347" s="130"/>
      <c r="C347" s="130" t="s">
        <v>200</v>
      </c>
      <c r="D347" s="130"/>
      <c r="E347" s="143" t="s">
        <v>201</v>
      </c>
      <c r="F347" s="143"/>
      <c r="G347" s="128">
        <v>76.58</v>
      </c>
      <c r="H347" s="584"/>
      <c r="I347" s="128">
        <v>78.64499321358538</v>
      </c>
      <c r="J347" s="584"/>
      <c r="K347" s="128">
        <f>I347-G347</f>
        <v>2.0649932135853817</v>
      </c>
      <c r="L347" s="130"/>
      <c r="M347" s="140">
        <v>32236.000000000004</v>
      </c>
      <c r="N347" s="140"/>
      <c r="O347" s="140">
        <f t="shared" ref="O347" si="74">K347*M347/1000</f>
        <v>66.567121233138366</v>
      </c>
      <c r="P347" s="140"/>
      <c r="Q347" s="140"/>
      <c r="S347" s="593"/>
      <c r="U347" s="571"/>
      <c r="Y347" s="573"/>
      <c r="Z347" s="573"/>
    </row>
    <row r="348" spans="1:26">
      <c r="A348" s="143"/>
      <c r="B348" s="130"/>
      <c r="C348" s="130" t="s">
        <v>202</v>
      </c>
      <c r="D348" s="130"/>
      <c r="E348" s="143"/>
      <c r="F348" s="143"/>
      <c r="G348" s="573"/>
      <c r="H348" s="130"/>
      <c r="I348" s="583"/>
      <c r="J348" s="130"/>
      <c r="K348" s="579"/>
      <c r="L348" s="130"/>
      <c r="M348" s="140"/>
      <c r="N348" s="140"/>
      <c r="O348" s="140"/>
      <c r="P348" s="140"/>
      <c r="Q348" s="140"/>
    </row>
    <row r="349" spans="1:26">
      <c r="A349" s="143">
        <f>A347+1</f>
        <v>194</v>
      </c>
      <c r="B349" s="130"/>
      <c r="C349" s="547" t="s">
        <v>299</v>
      </c>
      <c r="D349" s="130"/>
      <c r="E349" s="143" t="s">
        <v>204</v>
      </c>
      <c r="F349" s="143"/>
      <c r="G349" s="573">
        <v>6.2404000000000002</v>
      </c>
      <c r="H349" s="130"/>
      <c r="I349" s="573">
        <v>5.9705284288366762</v>
      </c>
      <c r="J349" s="130"/>
      <c r="K349" s="579">
        <f>I349-G349</f>
        <v>-0.26987157116332394</v>
      </c>
      <c r="L349" s="130"/>
      <c r="M349" s="140">
        <v>30915.563207082523</v>
      </c>
      <c r="N349" s="140"/>
      <c r="O349" s="140">
        <f>K349*M349/100</f>
        <v>-83.432316160944097</v>
      </c>
      <c r="P349" s="140"/>
      <c r="Q349" s="140"/>
      <c r="S349" s="593"/>
      <c r="U349" s="588"/>
      <c r="V349" s="587"/>
      <c r="W349" s="589"/>
      <c r="Y349" s="573"/>
      <c r="Z349" s="573"/>
    </row>
    <row r="350" spans="1:26">
      <c r="A350" s="143">
        <f>A349+1</f>
        <v>195</v>
      </c>
      <c r="B350" s="130"/>
      <c r="C350" s="547" t="s">
        <v>300</v>
      </c>
      <c r="D350" s="130"/>
      <c r="E350" s="143" t="s">
        <v>204</v>
      </c>
      <c r="F350" s="143"/>
      <c r="G350" s="573">
        <v>6.1308000000000007</v>
      </c>
      <c r="H350" s="130"/>
      <c r="I350" s="573">
        <v>5.8662850708670167</v>
      </c>
      <c r="J350" s="130"/>
      <c r="K350" s="579">
        <f>I350-G350</f>
        <v>-0.26451492913298402</v>
      </c>
      <c r="L350" s="130"/>
      <c r="M350" s="140">
        <v>172997.0260513431</v>
      </c>
      <c r="N350" s="140"/>
      <c r="O350" s="140">
        <f>K350*M350/100</f>
        <v>-457.60296086188015</v>
      </c>
      <c r="P350" s="140"/>
      <c r="Q350" s="140"/>
      <c r="S350" s="593"/>
      <c r="U350" s="588"/>
      <c r="V350" s="587"/>
      <c r="W350" s="589"/>
      <c r="Y350" s="573"/>
      <c r="Z350" s="573"/>
    </row>
    <row r="351" spans="1:26">
      <c r="A351" s="143">
        <f t="shared" ref="A351:A353" si="75">A350+1</f>
        <v>196</v>
      </c>
      <c r="B351" s="130"/>
      <c r="C351" s="547" t="s">
        <v>301</v>
      </c>
      <c r="D351" s="130"/>
      <c r="E351" s="143" t="s">
        <v>204</v>
      </c>
      <c r="F351" s="143"/>
      <c r="G351" s="573">
        <v>5.7571000000000003</v>
      </c>
      <c r="H351" s="130"/>
      <c r="I351" s="573">
        <v>5.5089248380156688</v>
      </c>
      <c r="J351" s="130"/>
      <c r="K351" s="579">
        <f>I351-G351</f>
        <v>-0.24817516198433154</v>
      </c>
      <c r="L351" s="130"/>
      <c r="M351" s="140">
        <v>205833.04896033043</v>
      </c>
      <c r="N351" s="140"/>
      <c r="O351" s="140">
        <f>K351*M351/100</f>
        <v>-510.82650267458848</v>
      </c>
      <c r="P351" s="140"/>
      <c r="Q351" s="140"/>
      <c r="S351" s="593"/>
      <c r="U351" s="588"/>
      <c r="V351" s="587"/>
      <c r="W351" s="589"/>
      <c r="Y351" s="573"/>
      <c r="Z351" s="573"/>
    </row>
    <row r="352" spans="1:26">
      <c r="A352" s="143">
        <f t="shared" si="75"/>
        <v>197</v>
      </c>
      <c r="B352" s="130"/>
      <c r="C352" s="547" t="s">
        <v>302</v>
      </c>
      <c r="D352" s="130"/>
      <c r="E352" s="143" t="s">
        <v>204</v>
      </c>
      <c r="F352" s="143"/>
      <c r="G352" s="573">
        <v>5.3672000000000004</v>
      </c>
      <c r="H352" s="130"/>
      <c r="I352" s="573">
        <v>5.1381480843504548</v>
      </c>
      <c r="J352" s="130"/>
      <c r="K352" s="579">
        <f>I352-G352</f>
        <v>-0.22905191564954563</v>
      </c>
      <c r="L352" s="130"/>
      <c r="M352" s="140">
        <v>261526.4696396488</v>
      </c>
      <c r="N352" s="140"/>
      <c r="O352" s="140">
        <f>K352*M352/100</f>
        <v>-599.03138864024299</v>
      </c>
      <c r="P352" s="140"/>
      <c r="Q352" s="140"/>
      <c r="S352" s="593"/>
      <c r="U352" s="588"/>
      <c r="V352" s="587"/>
      <c r="W352" s="589"/>
      <c r="Y352" s="573"/>
      <c r="Z352" s="573"/>
    </row>
    <row r="353" spans="1:26">
      <c r="A353" s="143">
        <f t="shared" si="75"/>
        <v>198</v>
      </c>
      <c r="B353" s="130"/>
      <c r="C353" s="130" t="s">
        <v>202</v>
      </c>
      <c r="D353" s="130"/>
      <c r="E353" s="143"/>
      <c r="F353" s="143"/>
      <c r="G353" s="573"/>
      <c r="H353" s="130"/>
      <c r="I353" s="573"/>
      <c r="J353" s="130"/>
      <c r="K353" s="582"/>
      <c r="L353" s="130"/>
      <c r="M353" s="575">
        <f>SUM(M349:M352)</f>
        <v>671272.10785840487</v>
      </c>
      <c r="N353" s="140"/>
      <c r="O353" s="575">
        <f>SUM(O349:O352)</f>
        <v>-1650.8931683376557</v>
      </c>
      <c r="P353" s="140"/>
      <c r="Q353" s="140">
        <f>O353+O347</f>
        <v>-1584.3260471045173</v>
      </c>
    </row>
    <row r="354" spans="1:26">
      <c r="A354" s="143"/>
      <c r="B354" s="130"/>
      <c r="C354" s="130"/>
      <c r="D354" s="130"/>
      <c r="E354" s="143"/>
      <c r="F354" s="143"/>
      <c r="G354" s="573"/>
      <c r="H354" s="130"/>
      <c r="I354" s="583"/>
      <c r="J354" s="130"/>
      <c r="K354" s="579"/>
      <c r="L354" s="130"/>
      <c r="M354" s="140"/>
      <c r="N354" s="140"/>
      <c r="O354" s="140"/>
      <c r="P354" s="140"/>
      <c r="Q354" s="140"/>
    </row>
    <row r="355" spans="1:26">
      <c r="A355" s="143">
        <f>A353+1</f>
        <v>199</v>
      </c>
      <c r="B355" s="130"/>
      <c r="C355" s="130" t="s">
        <v>296</v>
      </c>
      <c r="D355" s="130"/>
      <c r="E355" s="143" t="s">
        <v>204</v>
      </c>
      <c r="F355" s="143"/>
      <c r="G355" s="573">
        <v>0.85109999999999997</v>
      </c>
      <c r="H355" s="130"/>
      <c r="I355" s="573">
        <v>0.87694284865901073</v>
      </c>
      <c r="J355" s="130"/>
      <c r="K355" s="579">
        <f>I355-G355</f>
        <v>2.5842848659010764E-2</v>
      </c>
      <c r="L355" s="130"/>
      <c r="M355" s="140">
        <v>671272.10785840475</v>
      </c>
      <c r="N355" s="140"/>
      <c r="O355" s="140">
        <f>K355*M355/100</f>
        <v>173.47583492399903</v>
      </c>
      <c r="P355" s="140"/>
      <c r="Q355" s="140">
        <f>O355</f>
        <v>173.47583492399903</v>
      </c>
      <c r="S355" s="593"/>
      <c r="U355" s="588"/>
      <c r="V355" s="587"/>
      <c r="W355" s="589"/>
      <c r="Y355" s="573"/>
      <c r="Z355" s="573"/>
    </row>
    <row r="356" spans="1:26">
      <c r="A356" s="143">
        <f>A355+1</f>
        <v>200</v>
      </c>
      <c r="B356" s="130"/>
      <c r="C356" s="130" t="s">
        <v>211</v>
      </c>
      <c r="D356" s="130"/>
      <c r="E356" s="143" t="s">
        <v>204</v>
      </c>
      <c r="F356" s="143"/>
      <c r="G356" s="573">
        <v>20.538400000000003</v>
      </c>
      <c r="H356" s="130"/>
      <c r="I356" s="573">
        <v>20.536407273459343</v>
      </c>
      <c r="J356" s="130"/>
      <c r="K356" s="579">
        <f>I356-G356</f>
        <v>-1.9927265406600725E-3</v>
      </c>
      <c r="L356" s="130"/>
      <c r="M356" s="140">
        <v>337788.42871520738</v>
      </c>
      <c r="N356" s="140"/>
      <c r="O356" s="140">
        <f>K356*M356/100</f>
        <v>-6.7311996702865668</v>
      </c>
      <c r="P356" s="140"/>
      <c r="Q356" s="140">
        <f>O356</f>
        <v>-6.7311996702865668</v>
      </c>
      <c r="S356" s="593"/>
      <c r="U356" s="588"/>
      <c r="V356" s="587"/>
      <c r="W356" s="589"/>
      <c r="Y356" s="573"/>
      <c r="Z356" s="573"/>
    </row>
    <row r="357" spans="1:26">
      <c r="A357" s="143"/>
      <c r="B357" s="130"/>
      <c r="C357" s="130"/>
      <c r="D357" s="130"/>
      <c r="E357" s="143"/>
      <c r="F357" s="143"/>
      <c r="G357" s="573"/>
      <c r="H357" s="130"/>
      <c r="I357" s="583"/>
      <c r="J357" s="130"/>
      <c r="K357" s="579"/>
      <c r="L357" s="130"/>
      <c r="M357" s="140"/>
      <c r="N357" s="140"/>
      <c r="O357" s="140"/>
      <c r="P357" s="140"/>
      <c r="Q357" s="140"/>
    </row>
    <row r="358" spans="1:26" ht="13.5" thickBot="1">
      <c r="A358" s="143">
        <f>A356+1</f>
        <v>201</v>
      </c>
      <c r="B358" s="130"/>
      <c r="C358" s="130" t="s">
        <v>303</v>
      </c>
      <c r="D358" s="130"/>
      <c r="E358" s="143"/>
      <c r="F358" s="143"/>
      <c r="G358" s="573"/>
      <c r="H358" s="130"/>
      <c r="I358" s="573"/>
      <c r="J358" s="130"/>
      <c r="K358" s="582"/>
      <c r="L358" s="130"/>
      <c r="M358" s="140"/>
      <c r="N358" s="140"/>
      <c r="O358" s="578">
        <f>O347+O353+O355+O356</f>
        <v>-1417.5814118508049</v>
      </c>
      <c r="P358" s="140"/>
      <c r="Q358" s="578">
        <f>SUM(Q347:Q356)</f>
        <v>-1417.5814118508049</v>
      </c>
    </row>
    <row r="359" spans="1:26" ht="13.5" thickTop="1">
      <c r="A359" s="130"/>
      <c r="B359" s="130"/>
      <c r="C359" s="130"/>
      <c r="D359" s="130"/>
      <c r="E359" s="130"/>
      <c r="F359" s="130"/>
      <c r="G359" s="130"/>
      <c r="H359" s="130"/>
      <c r="I359" s="130"/>
      <c r="J359" s="130"/>
      <c r="K359" s="130"/>
      <c r="L359" s="130"/>
      <c r="M359" s="130"/>
      <c r="N359" s="130"/>
      <c r="O359" s="130"/>
      <c r="P359" s="130"/>
      <c r="Q359" s="130"/>
      <c r="T359" s="141"/>
      <c r="U359" s="141"/>
    </row>
    <row r="360" spans="1:26">
      <c r="A360" s="130"/>
      <c r="B360" s="130"/>
      <c r="C360" s="546" t="s">
        <v>180</v>
      </c>
      <c r="D360" s="130"/>
      <c r="E360" s="143"/>
      <c r="F360" s="143"/>
      <c r="G360" s="130"/>
      <c r="H360" s="130"/>
      <c r="I360" s="583"/>
      <c r="J360" s="130"/>
      <c r="K360" s="579"/>
      <c r="L360" s="130"/>
      <c r="M360" s="140"/>
      <c r="N360" s="140"/>
      <c r="O360" s="140"/>
      <c r="P360" s="140"/>
      <c r="Q360" s="140"/>
    </row>
    <row r="361" spans="1:26">
      <c r="A361" s="130"/>
      <c r="B361" s="130"/>
      <c r="C361" s="130" t="s">
        <v>221</v>
      </c>
      <c r="D361" s="130"/>
      <c r="E361" s="143"/>
      <c r="F361" s="143"/>
      <c r="G361" s="130"/>
      <c r="H361" s="130"/>
      <c r="I361" s="583"/>
      <c r="J361" s="130"/>
      <c r="K361" s="579"/>
      <c r="L361" s="130"/>
      <c r="M361" s="140"/>
      <c r="N361" s="140"/>
      <c r="O361" s="140"/>
      <c r="P361" s="140"/>
      <c r="Q361" s="140"/>
    </row>
    <row r="362" spans="1:26">
      <c r="A362" s="143">
        <f>A358+1</f>
        <v>202</v>
      </c>
      <c r="B362" s="130"/>
      <c r="C362" s="547" t="s">
        <v>304</v>
      </c>
      <c r="D362" s="130"/>
      <c r="E362" s="143" t="s">
        <v>222</v>
      </c>
      <c r="F362" s="143"/>
      <c r="G362" s="573">
        <v>69.394599999999997</v>
      </c>
      <c r="H362" s="130"/>
      <c r="I362" s="573">
        <v>71.536380244734517</v>
      </c>
      <c r="J362" s="130"/>
      <c r="K362" s="579">
        <f t="shared" ref="K362:K372" si="76">I362-G362</f>
        <v>2.1417802447345196</v>
      </c>
      <c r="L362" s="130"/>
      <c r="M362" s="140">
        <v>6959.78</v>
      </c>
      <c r="N362" s="140"/>
      <c r="O362" s="140">
        <f>K362*M362/100</f>
        <v>149.06319311698414</v>
      </c>
      <c r="P362" s="140"/>
      <c r="Q362" s="140"/>
      <c r="S362" s="593"/>
      <c r="U362" s="588"/>
      <c r="V362" s="587"/>
      <c r="W362" s="589"/>
      <c r="Y362" s="573"/>
      <c r="Z362" s="573"/>
    </row>
    <row r="363" spans="1:26">
      <c r="A363" s="143">
        <f>A362+1</f>
        <v>203</v>
      </c>
      <c r="B363" s="130"/>
      <c r="C363" s="547" t="s">
        <v>305</v>
      </c>
      <c r="D363" s="130"/>
      <c r="E363" s="143" t="s">
        <v>222</v>
      </c>
      <c r="F363" s="143"/>
      <c r="G363" s="573">
        <v>33.057699999999997</v>
      </c>
      <c r="H363" s="130"/>
      <c r="I363" s="573">
        <v>34.352742685463546</v>
      </c>
      <c r="J363" s="130"/>
      <c r="K363" s="579">
        <f t="shared" si="76"/>
        <v>1.2950426854635495</v>
      </c>
      <c r="L363" s="130"/>
      <c r="M363" s="140">
        <v>6721.2240000000002</v>
      </c>
      <c r="N363" s="140"/>
      <c r="O363" s="140">
        <f>K363*M363/100</f>
        <v>87.042719785620605</v>
      </c>
      <c r="P363" s="140"/>
      <c r="Q363" s="140"/>
      <c r="S363" s="593"/>
      <c r="U363" s="588"/>
      <c r="V363" s="587"/>
      <c r="W363" s="589"/>
      <c r="Y363" s="573"/>
      <c r="Z363" s="573"/>
    </row>
    <row r="364" spans="1:26">
      <c r="A364" s="143">
        <f t="shared" ref="A364:A365" si="77">A363+1</f>
        <v>204</v>
      </c>
      <c r="B364" s="130"/>
      <c r="C364" s="547" t="s">
        <v>306</v>
      </c>
      <c r="D364" s="130"/>
      <c r="E364" s="143" t="s">
        <v>222</v>
      </c>
      <c r="F364" s="143"/>
      <c r="G364" s="573">
        <v>28.335999999999999</v>
      </c>
      <c r="H364" s="130"/>
      <c r="I364" s="573">
        <v>29.521074452424372</v>
      </c>
      <c r="J364" s="130"/>
      <c r="K364" s="579">
        <f t="shared" si="76"/>
        <v>1.1850744524243737</v>
      </c>
      <c r="L364" s="130"/>
      <c r="M364" s="581">
        <v>1853.944</v>
      </c>
      <c r="N364" s="140"/>
      <c r="O364" s="581">
        <f>K364*M364/100</f>
        <v>21.970616706254532</v>
      </c>
      <c r="P364" s="140"/>
      <c r="Q364" s="140"/>
      <c r="S364" s="593"/>
      <c r="U364" s="588"/>
      <c r="V364" s="587"/>
      <c r="W364" s="589"/>
      <c r="Y364" s="573"/>
      <c r="Z364" s="573"/>
    </row>
    <row r="365" spans="1:26">
      <c r="A365" s="143">
        <f t="shared" si="77"/>
        <v>205</v>
      </c>
      <c r="B365" s="130"/>
      <c r="C365" s="130" t="s">
        <v>221</v>
      </c>
      <c r="D365" s="130"/>
      <c r="E365" s="143"/>
      <c r="F365" s="143"/>
      <c r="G365" s="573"/>
      <c r="H365" s="130"/>
      <c r="I365" s="573"/>
      <c r="J365" s="130"/>
      <c r="K365" s="582"/>
      <c r="L365" s="130"/>
      <c r="M365" s="140">
        <f>SUM(M362:M364)</f>
        <v>15534.948</v>
      </c>
      <c r="N365" s="140"/>
      <c r="O365" s="140">
        <f>SUM(O362:O364)</f>
        <v>258.07652960885929</v>
      </c>
      <c r="P365" s="140"/>
      <c r="Q365" s="140">
        <f>SUM(O362:O364)</f>
        <v>258.07652960885929</v>
      </c>
      <c r="Y365" s="573"/>
      <c r="Z365" s="573"/>
    </row>
    <row r="366" spans="1:26">
      <c r="A366" s="143"/>
      <c r="B366" s="130"/>
      <c r="C366" s="130" t="s">
        <v>202</v>
      </c>
      <c r="D366" s="130"/>
      <c r="E366" s="143"/>
      <c r="F366" s="143"/>
      <c r="G366" s="573"/>
      <c r="H366" s="130"/>
      <c r="I366" s="583"/>
      <c r="J366" s="130"/>
      <c r="K366" s="579"/>
      <c r="L366" s="130"/>
      <c r="M366" s="140"/>
      <c r="N366" s="140"/>
      <c r="O366" s="140"/>
      <c r="P366" s="140"/>
      <c r="Q366" s="140"/>
    </row>
    <row r="367" spans="1:26">
      <c r="A367" s="143">
        <f>A365+1</f>
        <v>206</v>
      </c>
      <c r="B367" s="130"/>
      <c r="C367" s="547" t="s">
        <v>307</v>
      </c>
      <c r="D367" s="130"/>
      <c r="E367" s="143" t="s">
        <v>204</v>
      </c>
      <c r="F367" s="143"/>
      <c r="G367" s="573">
        <v>2.0339</v>
      </c>
      <c r="H367" s="130"/>
      <c r="I367" s="573">
        <v>2.1109298450932608</v>
      </c>
      <c r="J367" s="130"/>
      <c r="K367" s="579">
        <f t="shared" si="76"/>
        <v>7.7029845093260718E-2</v>
      </c>
      <c r="L367" s="130"/>
      <c r="M367" s="140">
        <v>249544.01287000001</v>
      </c>
      <c r="N367" s="140"/>
      <c r="O367" s="140">
        <f>K367*M367/100</f>
        <v>192.2233665532676</v>
      </c>
      <c r="P367" s="140"/>
      <c r="Q367" s="140"/>
      <c r="S367" s="593"/>
      <c r="U367" s="588"/>
      <c r="V367" s="587"/>
      <c r="W367" s="589"/>
      <c r="Y367" s="573"/>
      <c r="Z367" s="573"/>
    </row>
    <row r="368" spans="1:26">
      <c r="A368" s="143">
        <f>A367+1</f>
        <v>207</v>
      </c>
      <c r="B368" s="130"/>
      <c r="C368" s="547" t="s">
        <v>308</v>
      </c>
      <c r="D368" s="130"/>
      <c r="E368" s="143" t="s">
        <v>204</v>
      </c>
      <c r="F368" s="143"/>
      <c r="G368" s="573">
        <v>0.87250000000000005</v>
      </c>
      <c r="H368" s="130"/>
      <c r="I368" s="573">
        <v>0.89016219058368284</v>
      </c>
      <c r="J368" s="130"/>
      <c r="K368" s="579">
        <f t="shared" si="76"/>
        <v>1.7662190583682791E-2</v>
      </c>
      <c r="L368" s="130"/>
      <c r="M368" s="581"/>
      <c r="N368" s="140"/>
      <c r="O368" s="581">
        <f>K368*M368/100</f>
        <v>0</v>
      </c>
      <c r="P368" s="140"/>
      <c r="Q368" s="140"/>
      <c r="S368" s="593"/>
      <c r="U368" s="588"/>
      <c r="V368" s="587"/>
      <c r="W368" s="589"/>
      <c r="Y368" s="573"/>
      <c r="Z368" s="573"/>
    </row>
    <row r="369" spans="1:26">
      <c r="A369" s="143">
        <f>A368+1</f>
        <v>208</v>
      </c>
      <c r="B369" s="130"/>
      <c r="C369" s="130" t="s">
        <v>202</v>
      </c>
      <c r="D369" s="130"/>
      <c r="E369" s="143"/>
      <c r="F369" s="143"/>
      <c r="G369" s="573"/>
      <c r="H369" s="130"/>
      <c r="I369" s="573"/>
      <c r="J369" s="130"/>
      <c r="K369" s="582"/>
      <c r="L369" s="130"/>
      <c r="M369" s="140">
        <f>SUM(M367:M368)</f>
        <v>249544.01287000001</v>
      </c>
      <c r="N369" s="140"/>
      <c r="O369" s="140">
        <f>SUM(O367:O368)</f>
        <v>192.2233665532676</v>
      </c>
      <c r="P369" s="140"/>
      <c r="Q369" s="140">
        <f>SUM(O367:O368)</f>
        <v>192.2233665532676</v>
      </c>
      <c r="U369" s="588"/>
      <c r="V369" s="587"/>
      <c r="W369" s="589"/>
    </row>
    <row r="370" spans="1:26">
      <c r="A370" s="143"/>
      <c r="B370" s="130"/>
      <c r="C370" s="130"/>
      <c r="D370" s="130"/>
      <c r="E370" s="143"/>
      <c r="F370" s="143"/>
      <c r="G370" s="573"/>
      <c r="H370" s="130"/>
      <c r="I370" s="583"/>
      <c r="J370" s="130"/>
      <c r="K370" s="579"/>
      <c r="L370" s="130"/>
      <c r="M370" s="140"/>
      <c r="N370" s="140"/>
      <c r="O370" s="140"/>
      <c r="P370" s="140"/>
      <c r="Q370" s="130"/>
    </row>
    <row r="371" spans="1:26">
      <c r="A371" s="143">
        <f>A369+1</f>
        <v>209</v>
      </c>
      <c r="B371" s="130"/>
      <c r="C371" s="130" t="s">
        <v>309</v>
      </c>
      <c r="D371" s="130"/>
      <c r="E371" s="143" t="s">
        <v>204</v>
      </c>
      <c r="F371" s="143"/>
      <c r="G371" s="573">
        <v>2.2423999999999999</v>
      </c>
      <c r="H371" s="130"/>
      <c r="I371" s="573">
        <v>2.3250520843859293</v>
      </c>
      <c r="J371" s="130"/>
      <c r="K371" s="579">
        <f t="shared" si="76"/>
        <v>8.2652084385929303E-2</v>
      </c>
      <c r="L371" s="130"/>
      <c r="M371" s="140">
        <v>8081.8826299999992</v>
      </c>
      <c r="N371" s="140"/>
      <c r="O371" s="140">
        <f>K371*M371/100</f>
        <v>6.6798444513193616</v>
      </c>
      <c r="P371" s="140"/>
      <c r="Q371" s="140">
        <f>O371</f>
        <v>6.6798444513193616</v>
      </c>
      <c r="S371" s="593"/>
      <c r="U371" s="588"/>
      <c r="V371" s="587"/>
      <c r="W371" s="589"/>
      <c r="Y371" s="573"/>
      <c r="Z371" s="573"/>
    </row>
    <row r="372" spans="1:26">
      <c r="A372" s="143">
        <f>A371+1</f>
        <v>210</v>
      </c>
      <c r="B372" s="130"/>
      <c r="C372" s="130" t="s">
        <v>310</v>
      </c>
      <c r="D372" s="130"/>
      <c r="E372" s="143" t="s">
        <v>204</v>
      </c>
      <c r="F372" s="143"/>
      <c r="G372" s="573">
        <v>7.4368999999999996</v>
      </c>
      <c r="H372" s="130"/>
      <c r="I372" s="573">
        <v>7.6560826091319063</v>
      </c>
      <c r="J372" s="130"/>
      <c r="K372" s="579">
        <f t="shared" si="76"/>
        <v>0.21918260913190668</v>
      </c>
      <c r="L372" s="130"/>
      <c r="M372" s="140">
        <v>894.18842999999993</v>
      </c>
      <c r="N372" s="140"/>
      <c r="O372" s="140">
        <f>K372*M372/100</f>
        <v>1.9599055314296328</v>
      </c>
      <c r="P372" s="140"/>
      <c r="Q372" s="140">
        <f>O372</f>
        <v>1.9599055314296328</v>
      </c>
      <c r="S372" s="593"/>
      <c r="U372" s="588"/>
      <c r="V372" s="587"/>
      <c r="W372" s="589"/>
      <c r="Y372" s="573"/>
      <c r="Z372" s="573"/>
    </row>
    <row r="373" spans="1:26">
      <c r="A373" s="143"/>
      <c r="B373" s="130"/>
      <c r="C373" s="130"/>
      <c r="D373" s="130"/>
      <c r="E373" s="143"/>
      <c r="F373" s="143"/>
      <c r="G373" s="573"/>
      <c r="H373" s="130"/>
      <c r="I373" s="583"/>
      <c r="J373" s="130"/>
      <c r="K373" s="579"/>
      <c r="L373" s="130"/>
      <c r="M373" s="140"/>
      <c r="N373" s="140"/>
      <c r="O373" s="140"/>
      <c r="P373" s="140"/>
      <c r="Q373" s="140"/>
      <c r="S373" s="593"/>
    </row>
    <row r="374" spans="1:26">
      <c r="A374" s="143"/>
      <c r="B374" s="130"/>
      <c r="C374" s="130" t="s">
        <v>311</v>
      </c>
      <c r="D374" s="130"/>
      <c r="E374" s="143"/>
      <c r="F374" s="143"/>
      <c r="G374" s="573"/>
      <c r="H374" s="130"/>
      <c r="I374" s="583"/>
      <c r="J374" s="130"/>
      <c r="K374" s="586"/>
      <c r="L374" s="130"/>
      <c r="M374" s="140"/>
      <c r="N374" s="140"/>
      <c r="O374" s="140"/>
      <c r="P374" s="140"/>
      <c r="Q374" s="140"/>
      <c r="S374" s="603"/>
    </row>
    <row r="375" spans="1:26">
      <c r="A375" s="143">
        <f>A372+1</f>
        <v>211</v>
      </c>
      <c r="B375" s="130"/>
      <c r="C375" s="547" t="s">
        <v>312</v>
      </c>
      <c r="D375" s="130"/>
      <c r="E375" s="143" t="s">
        <v>201</v>
      </c>
      <c r="F375" s="143"/>
      <c r="G375" s="128">
        <v>755.88</v>
      </c>
      <c r="H375" s="584"/>
      <c r="I375" s="128">
        <v>776.26243758533451</v>
      </c>
      <c r="J375" s="584"/>
      <c r="K375" s="128">
        <f>I375-G375</f>
        <v>20.382437585334515</v>
      </c>
      <c r="L375" s="130"/>
      <c r="M375" s="219">
        <v>11.999999999999998</v>
      </c>
      <c r="N375" s="140"/>
      <c r="O375" s="140">
        <f t="shared" ref="O375" si="78">K375*M375/1000</f>
        <v>0.24458925102401416</v>
      </c>
      <c r="P375" s="140"/>
      <c r="Q375" s="140">
        <f>O375</f>
        <v>0.24458925102401416</v>
      </c>
      <c r="S375" s="593"/>
      <c r="U375" s="571"/>
      <c r="Y375" s="573"/>
      <c r="Z375" s="573"/>
    </row>
    <row r="376" spans="1:26">
      <c r="A376" s="143">
        <f>A375+1</f>
        <v>212</v>
      </c>
      <c r="B376" s="130"/>
      <c r="C376" s="547" t="s">
        <v>289</v>
      </c>
      <c r="D376" s="130"/>
      <c r="E376" s="143" t="s">
        <v>204</v>
      </c>
      <c r="F376" s="143"/>
      <c r="G376" s="573">
        <v>3.5886</v>
      </c>
      <c r="H376" s="130"/>
      <c r="I376" s="573">
        <v>3.271267647256467</v>
      </c>
      <c r="J376" s="130"/>
      <c r="K376" s="586">
        <f>I376-G376</f>
        <v>-0.317332352743533</v>
      </c>
      <c r="L376" s="130"/>
      <c r="M376" s="140">
        <v>8.2309999999999999</v>
      </c>
      <c r="N376" s="140"/>
      <c r="O376" s="140">
        <f>K376*M376/100</f>
        <v>-2.6119625954320203E-2</v>
      </c>
      <c r="P376" s="140"/>
      <c r="Q376" s="140">
        <f>O376</f>
        <v>-2.6119625954320203E-2</v>
      </c>
      <c r="S376" s="593"/>
      <c r="U376" s="588"/>
      <c r="V376" s="587"/>
      <c r="W376" s="589"/>
      <c r="Y376" s="573"/>
      <c r="Z376" s="573"/>
    </row>
    <row r="377" spans="1:26">
      <c r="A377" s="143"/>
      <c r="B377" s="130"/>
      <c r="C377" s="130"/>
      <c r="D377" s="130"/>
      <c r="E377" s="143"/>
      <c r="F377" s="143"/>
      <c r="G377" s="573"/>
      <c r="H377" s="130"/>
      <c r="I377" s="583"/>
      <c r="J377" s="130"/>
      <c r="K377" s="579"/>
      <c r="L377" s="130"/>
      <c r="M377" s="140"/>
      <c r="N377" s="140"/>
      <c r="O377" s="140"/>
      <c r="P377" s="140"/>
      <c r="Q377" s="140"/>
    </row>
    <row r="378" spans="1:26">
      <c r="A378" s="143">
        <f>A376+1</f>
        <v>213</v>
      </c>
      <c r="B378" s="130"/>
      <c r="C378" s="130" t="s">
        <v>313</v>
      </c>
      <c r="D378" s="130"/>
      <c r="E378" s="143" t="s">
        <v>204</v>
      </c>
      <c r="F378" s="143"/>
      <c r="G378" s="573">
        <v>3.7970999999999999</v>
      </c>
      <c r="H378" s="130"/>
      <c r="I378" s="573">
        <v>3.6262806346960517</v>
      </c>
      <c r="J378" s="130"/>
      <c r="K378" s="579">
        <f>I378-G378</f>
        <v>-0.17081936530394826</v>
      </c>
      <c r="L378" s="130"/>
      <c r="M378" s="140">
        <v>120.74</v>
      </c>
      <c r="N378" s="140"/>
      <c r="O378" s="140">
        <f>K378*M378/100</f>
        <v>-0.20624730166798713</v>
      </c>
      <c r="P378" s="140"/>
      <c r="Q378" s="140">
        <f>O378</f>
        <v>-0.20624730166798713</v>
      </c>
      <c r="S378" s="593"/>
      <c r="U378" s="588"/>
      <c r="V378" s="587"/>
      <c r="W378" s="589"/>
      <c r="Y378" s="573"/>
      <c r="Z378" s="573"/>
    </row>
    <row r="379" spans="1:26">
      <c r="A379" s="143"/>
      <c r="B379" s="130"/>
      <c r="C379" s="130"/>
      <c r="D379" s="130"/>
      <c r="E379" s="143"/>
      <c r="F379" s="143"/>
      <c r="G379" s="573"/>
      <c r="H379" s="130"/>
      <c r="I379" s="583"/>
      <c r="J379" s="130"/>
      <c r="K379" s="579"/>
      <c r="L379" s="130"/>
      <c r="M379" s="140"/>
      <c r="N379" s="140"/>
      <c r="O379" s="140"/>
      <c r="P379" s="140"/>
      <c r="Q379" s="140"/>
    </row>
    <row r="380" spans="1:26">
      <c r="A380" s="143">
        <f>A378+1</f>
        <v>214</v>
      </c>
      <c r="B380" s="130"/>
      <c r="C380" s="130" t="s">
        <v>314</v>
      </c>
      <c r="D380" s="130"/>
      <c r="E380" s="143" t="s">
        <v>204</v>
      </c>
      <c r="F380" s="143"/>
      <c r="G380" s="573">
        <v>0.20849999999999999</v>
      </c>
      <c r="H380" s="130"/>
      <c r="I380" s="573">
        <v>0.21412223929266846</v>
      </c>
      <c r="J380" s="130"/>
      <c r="K380" s="579">
        <f>I380-G380</f>
        <v>5.6222392926684739E-3</v>
      </c>
      <c r="L380" s="130"/>
      <c r="M380" s="140">
        <v>5122.0140199999996</v>
      </c>
      <c r="N380" s="140"/>
      <c r="O380" s="140">
        <f>K380*M380/100</f>
        <v>0.28797188480842806</v>
      </c>
      <c r="P380" s="140"/>
      <c r="Q380" s="140">
        <f>O380</f>
        <v>0.28797188480842806</v>
      </c>
      <c r="S380" s="593"/>
      <c r="U380" s="588"/>
      <c r="V380" s="587"/>
      <c r="W380" s="589"/>
      <c r="Y380" s="573"/>
      <c r="Z380" s="573"/>
    </row>
    <row r="381" spans="1:26">
      <c r="A381" s="143">
        <f>A380+1</f>
        <v>215</v>
      </c>
      <c r="B381" s="130"/>
      <c r="C381" s="130" t="s">
        <v>211</v>
      </c>
      <c r="D381" s="130"/>
      <c r="E381" s="143" t="s">
        <v>204</v>
      </c>
      <c r="F381" s="143"/>
      <c r="G381" s="573">
        <v>20.538400000000003</v>
      </c>
      <c r="H381" s="130"/>
      <c r="I381" s="573">
        <v>20.536407273459339</v>
      </c>
      <c r="J381" s="130"/>
      <c r="K381" s="579">
        <f>I381-G381</f>
        <v>-1.9927265406636252E-3</v>
      </c>
      <c r="L381" s="130"/>
      <c r="M381" s="140">
        <v>23899.440749999998</v>
      </c>
      <c r="N381" s="140"/>
      <c r="O381" s="140">
        <f>K381*M381/100</f>
        <v>-0.4762504988954277</v>
      </c>
      <c r="P381" s="140"/>
      <c r="Q381" s="140">
        <f>O381</f>
        <v>-0.4762504988954277</v>
      </c>
      <c r="S381" s="593"/>
      <c r="U381" s="588"/>
      <c r="V381" s="587"/>
      <c r="W381" s="589"/>
      <c r="Y381" s="573"/>
      <c r="Z381" s="573"/>
    </row>
    <row r="382" spans="1:26">
      <c r="A382" s="143"/>
      <c r="B382" s="130"/>
      <c r="C382" s="423"/>
      <c r="D382" s="130"/>
      <c r="E382" s="130"/>
      <c r="F382" s="130"/>
      <c r="G382" s="573"/>
      <c r="H382" s="130"/>
      <c r="I382" s="583"/>
      <c r="J382" s="130"/>
      <c r="K382" s="579"/>
      <c r="L382" s="130"/>
      <c r="M382" s="140"/>
      <c r="N382" s="140"/>
      <c r="O382" s="140"/>
      <c r="P382" s="140"/>
      <c r="Q382" s="140"/>
    </row>
    <row r="383" spans="1:26" ht="13.5" thickBot="1">
      <c r="A383" s="143">
        <f>A381+1</f>
        <v>216</v>
      </c>
      <c r="B383" s="130"/>
      <c r="C383" s="130" t="s">
        <v>315</v>
      </c>
      <c r="D383" s="130"/>
      <c r="E383" s="143"/>
      <c r="F383" s="143"/>
      <c r="G383" s="573"/>
      <c r="H383" s="130"/>
      <c r="I383" s="573"/>
      <c r="J383" s="130"/>
      <c r="K383" s="582"/>
      <c r="L383" s="130"/>
      <c r="M383" s="140"/>
      <c r="N383" s="140"/>
      <c r="O383" s="578">
        <f>O362+O363+O364+O367+O368+O371+O372+O375+O376+O378+O380+O381</f>
        <v>458.76358985419057</v>
      </c>
      <c r="P383" s="140"/>
      <c r="Q383" s="578">
        <f>SUM(Q362:Q381)</f>
        <v>458.76358985419057</v>
      </c>
    </row>
    <row r="384" spans="1:26" ht="13.5" thickTop="1">
      <c r="A384" s="130"/>
      <c r="B384" s="130"/>
      <c r="C384" s="130"/>
      <c r="D384" s="130"/>
      <c r="E384" s="130"/>
      <c r="F384" s="130"/>
      <c r="G384" s="130"/>
      <c r="H384" s="130"/>
      <c r="I384" s="130"/>
      <c r="J384" s="130"/>
      <c r="K384" s="130"/>
      <c r="L384" s="130"/>
      <c r="M384" s="130"/>
      <c r="N384" s="130"/>
      <c r="O384" s="130"/>
      <c r="P384" s="130"/>
      <c r="Q384" s="130"/>
      <c r="T384" s="141"/>
      <c r="U384" s="141"/>
    </row>
    <row r="385" spans="1:26">
      <c r="A385" s="130"/>
      <c r="B385" s="130"/>
      <c r="C385" s="130"/>
      <c r="D385" s="130"/>
      <c r="E385" s="130"/>
      <c r="F385" s="130"/>
      <c r="G385" s="130"/>
      <c r="H385" s="130"/>
      <c r="I385" s="130"/>
      <c r="J385" s="130"/>
      <c r="K385" s="130"/>
      <c r="L385" s="130"/>
      <c r="M385" s="130"/>
      <c r="N385" s="130"/>
      <c r="O385" s="130"/>
      <c r="P385" s="130"/>
      <c r="Q385" s="130"/>
      <c r="T385" s="141"/>
      <c r="U385" s="141"/>
    </row>
    <row r="386" spans="1:26">
      <c r="A386" s="130"/>
      <c r="B386" s="130"/>
      <c r="C386" s="130"/>
      <c r="D386" s="130"/>
      <c r="E386" s="130"/>
      <c r="F386" s="130"/>
      <c r="G386" s="130"/>
      <c r="H386" s="130"/>
      <c r="I386" s="130"/>
      <c r="J386" s="130"/>
      <c r="K386" s="130"/>
      <c r="L386" s="130"/>
      <c r="M386" s="130"/>
      <c r="N386" s="130"/>
      <c r="O386" s="130"/>
      <c r="P386" s="130"/>
      <c r="Q386" s="130"/>
    </row>
    <row r="387" spans="1:26">
      <c r="A387" s="1295" t="s">
        <v>191</v>
      </c>
      <c r="B387" s="1305"/>
      <c r="C387" s="1305"/>
      <c r="D387" s="1305"/>
      <c r="E387" s="1305"/>
      <c r="F387" s="1305"/>
      <c r="G387" s="1305"/>
      <c r="H387" s="1305"/>
      <c r="I387" s="1305"/>
      <c r="J387" s="1305"/>
      <c r="K387" s="1305"/>
      <c r="L387" s="1305"/>
      <c r="M387" s="1305"/>
      <c r="N387" s="1305"/>
      <c r="O387" s="1305"/>
      <c r="P387" s="1305"/>
      <c r="Q387" s="1305"/>
    </row>
    <row r="388" spans="1:26">
      <c r="A388" s="1295" t="s">
        <v>228</v>
      </c>
      <c r="B388" s="1295"/>
      <c r="C388" s="1295"/>
      <c r="D388" s="1295"/>
      <c r="E388" s="1295"/>
      <c r="F388" s="1295"/>
      <c r="G388" s="1295"/>
      <c r="H388" s="1295"/>
      <c r="I388" s="1295"/>
      <c r="J388" s="1295"/>
      <c r="K388" s="1295"/>
      <c r="L388" s="1295"/>
      <c r="M388" s="1295"/>
      <c r="N388" s="1295"/>
      <c r="O388" s="1295"/>
      <c r="P388" s="1295"/>
      <c r="Q388" s="1295"/>
    </row>
    <row r="389" spans="1:26">
      <c r="A389" s="143"/>
      <c r="B389" s="130"/>
      <c r="C389" s="130"/>
      <c r="D389" s="130"/>
      <c r="E389" s="130"/>
      <c r="F389" s="130"/>
      <c r="G389" s="143"/>
      <c r="H389" s="143"/>
      <c r="I389" s="143"/>
      <c r="J389" s="130"/>
      <c r="K389" s="143"/>
      <c r="L389" s="130"/>
      <c r="M389" s="143"/>
      <c r="N389" s="130"/>
      <c r="O389" s="130"/>
      <c r="P389" s="130"/>
      <c r="Q389" s="130"/>
    </row>
    <row r="390" spans="1:26">
      <c r="A390" s="143"/>
      <c r="B390" s="130"/>
      <c r="C390" s="130"/>
      <c r="D390" s="130"/>
      <c r="E390" s="130"/>
      <c r="F390" s="130"/>
      <c r="G390" s="130"/>
      <c r="H390" s="130"/>
      <c r="I390" s="130"/>
      <c r="J390" s="130"/>
      <c r="K390" s="130"/>
      <c r="L390" s="130"/>
      <c r="M390" s="130"/>
      <c r="N390" s="130"/>
      <c r="O390" s="143" t="s">
        <v>192</v>
      </c>
      <c r="P390" s="130"/>
      <c r="Q390" s="143" t="s">
        <v>160</v>
      </c>
    </row>
    <row r="391" spans="1:26">
      <c r="A391" s="143" t="s">
        <v>1</v>
      </c>
      <c r="B391" s="130"/>
      <c r="C391" s="130"/>
      <c r="D391" s="130"/>
      <c r="E391" s="130"/>
      <c r="F391" s="130"/>
      <c r="G391" s="143" t="s">
        <v>5</v>
      </c>
      <c r="H391" s="130"/>
      <c r="I391" s="143" t="s">
        <v>6</v>
      </c>
      <c r="J391" s="130"/>
      <c r="K391" s="143" t="s">
        <v>148</v>
      </c>
      <c r="L391" s="130"/>
      <c r="M391" s="143" t="s">
        <v>193</v>
      </c>
      <c r="N391" s="130"/>
      <c r="O391" s="143" t="s">
        <v>194</v>
      </c>
      <c r="P391" s="130"/>
      <c r="Q391" s="143" t="s">
        <v>195</v>
      </c>
    </row>
    <row r="392" spans="1:26">
      <c r="A392" s="215" t="s">
        <v>2</v>
      </c>
      <c r="B392" s="130"/>
      <c r="C392" s="450" t="s">
        <v>3</v>
      </c>
      <c r="D392" s="130"/>
      <c r="E392" s="215" t="s">
        <v>4</v>
      </c>
      <c r="F392" s="143"/>
      <c r="G392" s="215" t="s">
        <v>196</v>
      </c>
      <c r="H392" s="130"/>
      <c r="I392" s="215" t="s">
        <v>197</v>
      </c>
      <c r="J392" s="130"/>
      <c r="K392" s="215" t="s">
        <v>194</v>
      </c>
      <c r="L392" s="130"/>
      <c r="M392" s="215" t="s">
        <v>198</v>
      </c>
      <c r="N392" s="130"/>
      <c r="O392" s="215" t="s">
        <v>20</v>
      </c>
      <c r="P392" s="130"/>
      <c r="Q392" s="215" t="s">
        <v>20</v>
      </c>
    </row>
    <row r="393" spans="1:26">
      <c r="A393" s="143"/>
      <c r="B393" s="130"/>
      <c r="C393" s="130"/>
      <c r="D393" s="130"/>
      <c r="E393" s="130"/>
      <c r="F393" s="130"/>
      <c r="G393" s="218" t="s">
        <v>8</v>
      </c>
      <c r="H393" s="143"/>
      <c r="I393" s="218" t="s">
        <v>9</v>
      </c>
      <c r="J393" s="143"/>
      <c r="K393" s="218" t="s">
        <v>10</v>
      </c>
      <c r="L393" s="130"/>
      <c r="M393" s="218" t="s">
        <v>79</v>
      </c>
      <c r="N393" s="130"/>
      <c r="O393" s="218" t="s">
        <v>199</v>
      </c>
      <c r="P393" s="130"/>
      <c r="Q393" s="143" t="s">
        <v>81</v>
      </c>
    </row>
    <row r="394" spans="1:26">
      <c r="A394" s="143"/>
      <c r="B394" s="130"/>
      <c r="C394" s="546" t="s">
        <v>181</v>
      </c>
      <c r="D394" s="130"/>
      <c r="E394" s="143"/>
      <c r="F394" s="143"/>
      <c r="G394" s="573"/>
      <c r="H394" s="130"/>
      <c r="I394" s="583"/>
      <c r="J394" s="130"/>
      <c r="K394" s="579"/>
      <c r="L394" s="130"/>
      <c r="M394" s="140"/>
      <c r="N394" s="140"/>
      <c r="O394" s="140"/>
      <c r="P394" s="140"/>
      <c r="Q394" s="140"/>
    </row>
    <row r="395" spans="1:26">
      <c r="A395" s="143"/>
      <c r="B395" s="130"/>
      <c r="C395" s="130" t="s">
        <v>316</v>
      </c>
      <c r="D395" s="130"/>
      <c r="E395" s="143"/>
      <c r="F395" s="143"/>
      <c r="G395" s="573"/>
      <c r="H395" s="130"/>
      <c r="I395" s="583"/>
      <c r="J395" s="130"/>
      <c r="K395" s="579"/>
      <c r="L395" s="130"/>
      <c r="M395" s="140"/>
      <c r="N395" s="140"/>
      <c r="O395" s="140"/>
      <c r="P395" s="140"/>
      <c r="Q395" s="140"/>
    </row>
    <row r="396" spans="1:26">
      <c r="A396" s="143">
        <f>A383+1</f>
        <v>217</v>
      </c>
      <c r="B396" s="130"/>
      <c r="C396" s="484" t="s">
        <v>221</v>
      </c>
      <c r="D396" s="130"/>
      <c r="E396" s="143" t="s">
        <v>222</v>
      </c>
      <c r="F396" s="143"/>
      <c r="G396" s="573">
        <v>41.215699999999998</v>
      </c>
      <c r="H396" s="130"/>
      <c r="I396" s="573">
        <v>42.832158086759911</v>
      </c>
      <c r="J396" s="130"/>
      <c r="K396" s="579">
        <f>I396-G396</f>
        <v>1.6164580867599128</v>
      </c>
      <c r="L396" s="130"/>
      <c r="M396" s="140">
        <v>143.96799999999999</v>
      </c>
      <c r="N396" s="140"/>
      <c r="O396" s="140">
        <f>K396*M396/100</f>
        <v>2.3271823783465111</v>
      </c>
      <c r="P396" s="140"/>
      <c r="Q396" s="140">
        <f>O396</f>
        <v>2.3271823783465111</v>
      </c>
      <c r="S396" s="593"/>
      <c r="U396" s="588"/>
      <c r="V396" s="587"/>
      <c r="W396" s="589"/>
      <c r="Y396" s="573"/>
      <c r="Z396" s="573"/>
    </row>
    <row r="397" spans="1:26">
      <c r="A397" s="143">
        <f>A396+1</f>
        <v>218</v>
      </c>
      <c r="B397" s="130"/>
      <c r="C397" s="484" t="s">
        <v>202</v>
      </c>
      <c r="D397" s="130"/>
      <c r="E397" s="143" t="s">
        <v>204</v>
      </c>
      <c r="F397" s="143"/>
      <c r="G397" s="573">
        <v>3.5497469625757372</v>
      </c>
      <c r="H397" s="130"/>
      <c r="I397" s="573">
        <v>3.4879553816571462</v>
      </c>
      <c r="J397" s="130"/>
      <c r="K397" s="586">
        <f>I397-G397</f>
        <v>-6.1791580918590938E-2</v>
      </c>
      <c r="L397" s="130"/>
      <c r="M397" s="219">
        <v>1668.864</v>
      </c>
      <c r="N397" s="219"/>
      <c r="O397" s="219">
        <f>K397*M397/100</f>
        <v>-1.0312174489812336</v>
      </c>
      <c r="P397" s="140"/>
      <c r="Q397" s="140">
        <f>O397</f>
        <v>-1.0312174489812336</v>
      </c>
      <c r="S397" s="593"/>
      <c r="U397" s="588"/>
      <c r="V397" s="587"/>
      <c r="W397" s="589"/>
      <c r="Y397" s="573"/>
      <c r="Z397" s="573"/>
    </row>
    <row r="398" spans="1:26">
      <c r="A398" s="143"/>
      <c r="B398" s="130"/>
      <c r="C398" s="130"/>
      <c r="D398" s="130"/>
      <c r="E398" s="143"/>
      <c r="F398" s="143"/>
      <c r="G398" s="573"/>
      <c r="H398" s="130"/>
      <c r="I398" s="548"/>
      <c r="J398" s="130"/>
      <c r="K398" s="586"/>
      <c r="L398" s="130"/>
      <c r="M398" s="219"/>
      <c r="N398" s="219"/>
      <c r="O398" s="219"/>
      <c r="P398" s="140"/>
      <c r="Q398" s="130"/>
      <c r="U398" s="588"/>
      <c r="V398" s="587"/>
      <c r="W398" s="589"/>
    </row>
    <row r="399" spans="1:26">
      <c r="A399" s="143">
        <f>A397+1</f>
        <v>219</v>
      </c>
      <c r="B399" s="130"/>
      <c r="C399" s="484" t="s">
        <v>309</v>
      </c>
      <c r="D399" s="130"/>
      <c r="E399" s="143" t="s">
        <v>204</v>
      </c>
      <c r="F399" s="143"/>
      <c r="G399" s="573">
        <v>3.8996858330865312</v>
      </c>
      <c r="H399" s="130"/>
      <c r="I399" s="573">
        <v>3.8473304155627503</v>
      </c>
      <c r="J399" s="130"/>
      <c r="K399" s="586">
        <f>I399-G399</f>
        <v>-5.2355417523780812E-2</v>
      </c>
      <c r="L399" s="130"/>
      <c r="M399" s="219">
        <v>0</v>
      </c>
      <c r="N399" s="219"/>
      <c r="O399" s="219">
        <f>K399*M399/100</f>
        <v>0</v>
      </c>
      <c r="P399" s="219"/>
      <c r="Q399" s="590">
        <f>O399</f>
        <v>0</v>
      </c>
      <c r="S399" s="593"/>
      <c r="U399" s="588"/>
      <c r="V399" s="587"/>
      <c r="W399" s="589"/>
      <c r="Y399" s="573"/>
      <c r="Z399" s="573"/>
    </row>
    <row r="400" spans="1:26">
      <c r="A400" s="143"/>
      <c r="B400" s="130"/>
      <c r="C400" s="130"/>
      <c r="D400" s="130"/>
      <c r="E400" s="143"/>
      <c r="F400" s="143"/>
      <c r="G400" s="573"/>
      <c r="H400" s="130"/>
      <c r="I400" s="583"/>
      <c r="J400" s="130"/>
      <c r="K400" s="586"/>
      <c r="L400" s="130"/>
      <c r="M400" s="219"/>
      <c r="N400" s="219"/>
      <c r="O400" s="219"/>
      <c r="P400" s="140"/>
      <c r="Q400" s="140"/>
    </row>
    <row r="401" spans="1:26">
      <c r="A401" s="143"/>
      <c r="B401" s="130"/>
      <c r="C401" s="130" t="s">
        <v>311</v>
      </c>
      <c r="D401" s="130"/>
      <c r="E401" s="143"/>
      <c r="F401" s="143"/>
      <c r="G401" s="573"/>
      <c r="H401" s="130"/>
      <c r="I401" s="583"/>
      <c r="J401" s="130"/>
      <c r="K401" s="586"/>
      <c r="L401" s="130"/>
      <c r="M401" s="219"/>
      <c r="N401" s="219"/>
      <c r="O401" s="219"/>
      <c r="P401" s="140"/>
      <c r="Q401" s="140"/>
    </row>
    <row r="402" spans="1:26">
      <c r="A402" s="143">
        <f>A399+1</f>
        <v>220</v>
      </c>
      <c r="B402" s="130"/>
      <c r="C402" s="484" t="s">
        <v>312</v>
      </c>
      <c r="D402" s="130"/>
      <c r="E402" s="143" t="s">
        <v>201</v>
      </c>
      <c r="F402" s="143"/>
      <c r="G402" s="128">
        <v>755.88</v>
      </c>
      <c r="H402" s="584"/>
      <c r="I402" s="128">
        <v>776.26243758533451</v>
      </c>
      <c r="J402" s="584"/>
      <c r="K402" s="128">
        <f>I402-G402</f>
        <v>20.382437585334515</v>
      </c>
      <c r="L402" s="130"/>
      <c r="M402" s="219">
        <v>152.00000000000003</v>
      </c>
      <c r="N402" s="140"/>
      <c r="O402" s="140">
        <f t="shared" ref="O402" si="79">K402*M402/1000</f>
        <v>3.0981305129708465</v>
      </c>
      <c r="P402" s="140"/>
      <c r="Q402" s="140">
        <f>O402</f>
        <v>3.0981305129708465</v>
      </c>
      <c r="S402" s="593"/>
      <c r="U402" s="571"/>
      <c r="Y402" s="573"/>
      <c r="Z402" s="573"/>
    </row>
    <row r="403" spans="1:26">
      <c r="A403" s="143"/>
      <c r="B403" s="130"/>
      <c r="C403" s="484" t="s">
        <v>202</v>
      </c>
      <c r="D403" s="130"/>
      <c r="E403" s="143"/>
      <c r="F403" s="143"/>
      <c r="G403" s="583"/>
      <c r="H403" s="130"/>
      <c r="I403" s="583"/>
      <c r="J403" s="130"/>
      <c r="K403" s="579"/>
      <c r="L403" s="130"/>
      <c r="M403" s="140"/>
      <c r="N403" s="140"/>
      <c r="O403" s="140"/>
      <c r="P403" s="140"/>
      <c r="Q403" s="140"/>
    </row>
    <row r="404" spans="1:26">
      <c r="A404" s="143"/>
      <c r="B404" s="130"/>
      <c r="C404" s="604" t="s">
        <v>317</v>
      </c>
      <c r="D404" s="130"/>
      <c r="E404" s="143"/>
      <c r="F404" s="143"/>
      <c r="G404" s="583"/>
      <c r="H404" s="130"/>
      <c r="I404" s="583"/>
      <c r="J404" s="130"/>
      <c r="K404" s="579"/>
      <c r="L404" s="130"/>
      <c r="M404" s="140"/>
      <c r="N404" s="140"/>
      <c r="O404" s="140"/>
      <c r="P404" s="140"/>
      <c r="Q404" s="140"/>
    </row>
    <row r="405" spans="1:26">
      <c r="A405" s="143"/>
      <c r="B405" s="130"/>
      <c r="C405" s="604" t="s">
        <v>318</v>
      </c>
      <c r="D405" s="130"/>
      <c r="E405" s="143"/>
      <c r="F405" s="143"/>
      <c r="G405" s="583"/>
      <c r="H405" s="130"/>
      <c r="I405" s="583"/>
      <c r="J405" s="130"/>
      <c r="K405" s="579"/>
      <c r="L405" s="130"/>
      <c r="M405" s="140"/>
      <c r="N405" s="140"/>
      <c r="O405" s="140"/>
      <c r="P405" s="140"/>
      <c r="Q405" s="140"/>
    </row>
    <row r="406" spans="1:26">
      <c r="A406" s="143"/>
      <c r="B406" s="130"/>
      <c r="C406" s="604" t="s">
        <v>319</v>
      </c>
      <c r="D406" s="130"/>
      <c r="E406" s="143"/>
      <c r="F406" s="143"/>
      <c r="G406" s="583"/>
      <c r="H406" s="130"/>
      <c r="I406" s="583"/>
      <c r="J406" s="130"/>
      <c r="K406" s="579"/>
      <c r="L406" s="130"/>
      <c r="M406" s="140"/>
      <c r="N406" s="140"/>
      <c r="O406" s="140"/>
      <c r="P406" s="140"/>
      <c r="Q406" s="140"/>
    </row>
    <row r="407" spans="1:26">
      <c r="A407" s="143"/>
      <c r="B407" s="130"/>
      <c r="C407" s="604" t="s">
        <v>320</v>
      </c>
      <c r="D407" s="130"/>
      <c r="E407" s="143"/>
      <c r="F407" s="143"/>
      <c r="G407" s="583"/>
      <c r="H407" s="130"/>
      <c r="I407" s="583"/>
      <c r="J407" s="130"/>
      <c r="K407" s="579"/>
      <c r="L407" s="130"/>
      <c r="M407" s="140"/>
      <c r="N407" s="140"/>
      <c r="O407" s="140"/>
      <c r="P407" s="140"/>
      <c r="Q407" s="140"/>
    </row>
    <row r="408" spans="1:26">
      <c r="A408" s="143">
        <f>A402+1</f>
        <v>221</v>
      </c>
      <c r="B408" s="130"/>
      <c r="C408" s="484" t="s">
        <v>289</v>
      </c>
      <c r="D408" s="130"/>
      <c r="E408" s="143" t="s">
        <v>204</v>
      </c>
      <c r="F408" s="143"/>
      <c r="G408" s="573">
        <v>3.4476824540554114</v>
      </c>
      <c r="H408" s="130"/>
      <c r="I408" s="573">
        <v>3.271267647256467</v>
      </c>
      <c r="J408" s="130"/>
      <c r="K408" s="586">
        <f>I408-G408</f>
        <v>-0.17641480679894439</v>
      </c>
      <c r="L408" s="130"/>
      <c r="M408" s="219">
        <v>13357.983759999999</v>
      </c>
      <c r="N408" s="219"/>
      <c r="O408" s="219">
        <f>K408*M408/100</f>
        <v>-23.565461242438364</v>
      </c>
      <c r="P408" s="219"/>
      <c r="Q408" s="219">
        <f>O408</f>
        <v>-23.565461242438364</v>
      </c>
      <c r="R408" s="587"/>
      <c r="S408" s="593"/>
      <c r="T408" s="587"/>
      <c r="U408" s="588"/>
      <c r="V408" s="587"/>
      <c r="W408" s="589"/>
      <c r="X408" s="587"/>
      <c r="Y408" s="605"/>
      <c r="Z408" s="605"/>
    </row>
    <row r="409" spans="1:26">
      <c r="A409" s="143"/>
      <c r="B409" s="130"/>
      <c r="C409" s="130"/>
      <c r="D409" s="130"/>
      <c r="E409" s="143"/>
      <c r="F409" s="143"/>
      <c r="G409" s="573"/>
      <c r="H409" s="130"/>
      <c r="I409" s="583"/>
      <c r="J409" s="130"/>
      <c r="K409" s="579"/>
      <c r="L409" s="130"/>
      <c r="M409" s="140"/>
      <c r="N409" s="140"/>
      <c r="O409" s="140"/>
      <c r="P409" s="140"/>
      <c r="Q409" s="140"/>
    </row>
    <row r="410" spans="1:26">
      <c r="A410" s="143">
        <f>A408+1</f>
        <v>222</v>
      </c>
      <c r="B410" s="130"/>
      <c r="C410" s="484" t="s">
        <v>313</v>
      </c>
      <c r="D410" s="130"/>
      <c r="E410" s="143" t="s">
        <v>204</v>
      </c>
      <c r="F410" s="143"/>
      <c r="G410" s="573">
        <v>3.7970999999999999</v>
      </c>
      <c r="H410" s="130"/>
      <c r="I410" s="573">
        <v>3.6425344605709413</v>
      </c>
      <c r="J410" s="130"/>
      <c r="K410" s="586">
        <f>I410-G410</f>
        <v>-0.1545655394290586</v>
      </c>
      <c r="L410" s="130"/>
      <c r="M410" s="219">
        <v>0</v>
      </c>
      <c r="N410" s="219"/>
      <c r="O410" s="219">
        <f>K410*M410/100</f>
        <v>0</v>
      </c>
      <c r="P410" s="219"/>
      <c r="Q410" s="606">
        <f>O410</f>
        <v>0</v>
      </c>
      <c r="S410" s="593"/>
      <c r="U410" s="588"/>
      <c r="V410" s="587"/>
      <c r="W410" s="589"/>
      <c r="Y410" s="605"/>
      <c r="Z410" s="605"/>
    </row>
    <row r="411" spans="1:26">
      <c r="A411" s="143">
        <f>A410+1</f>
        <v>223</v>
      </c>
      <c r="B411" s="130"/>
      <c r="C411" s="484" t="s">
        <v>321</v>
      </c>
      <c r="D411" s="130"/>
      <c r="E411" s="143" t="s">
        <v>204</v>
      </c>
      <c r="F411" s="143"/>
      <c r="G411" s="573">
        <v>-5.2999999999999999E-2</v>
      </c>
      <c r="H411" s="130"/>
      <c r="I411" s="573">
        <v>-5.2999999999999999E-2</v>
      </c>
      <c r="J411" s="130"/>
      <c r="K411" s="586">
        <f>I411-G411</f>
        <v>0</v>
      </c>
      <c r="L411" s="130"/>
      <c r="M411" s="219">
        <v>4763.6641599999994</v>
      </c>
      <c r="N411" s="219"/>
      <c r="O411" s="219">
        <f>K411*M411/100</f>
        <v>0</v>
      </c>
      <c r="P411" s="219"/>
      <c r="Q411" s="606">
        <f t="shared" ref="Q411:Q415" si="80">O411</f>
        <v>0</v>
      </c>
      <c r="S411" s="593"/>
      <c r="U411" s="588"/>
      <c r="V411" s="587"/>
      <c r="W411" s="589"/>
    </row>
    <row r="412" spans="1:26">
      <c r="A412" s="143">
        <f>A411+1</f>
        <v>224</v>
      </c>
      <c r="B412" s="130"/>
      <c r="C412" s="484" t="s">
        <v>322</v>
      </c>
      <c r="D412" s="130"/>
      <c r="E412" s="143" t="s">
        <v>204</v>
      </c>
      <c r="F412" s="143"/>
      <c r="G412" s="573">
        <v>-2.1199999999999999E-3</v>
      </c>
      <c r="H412" s="130"/>
      <c r="I412" s="573">
        <v>-2.1199999999999999E-3</v>
      </c>
      <c r="J412" s="130"/>
      <c r="K412" s="579">
        <f>I412-G412</f>
        <v>0</v>
      </c>
      <c r="L412" s="130"/>
      <c r="M412" s="140">
        <v>4846.4996999999994</v>
      </c>
      <c r="N412" s="140"/>
      <c r="O412" s="140">
        <f>K412*M412/100</f>
        <v>0</v>
      </c>
      <c r="P412" s="140"/>
      <c r="Q412" s="590">
        <f t="shared" si="80"/>
        <v>0</v>
      </c>
      <c r="S412" s="593"/>
      <c r="U412" s="588"/>
      <c r="V412" s="587"/>
      <c r="W412" s="589"/>
    </row>
    <row r="413" spans="1:26">
      <c r="A413" s="143"/>
      <c r="B413" s="130"/>
      <c r="C413" s="130"/>
      <c r="D413" s="130"/>
      <c r="E413" s="143"/>
      <c r="F413" s="143"/>
      <c r="G413" s="573"/>
      <c r="H413" s="130"/>
      <c r="I413" s="583"/>
      <c r="J413" s="130"/>
      <c r="K413" s="579"/>
      <c r="L413" s="130"/>
      <c r="M413" s="140"/>
      <c r="N413" s="140"/>
      <c r="O413" s="140"/>
      <c r="P413" s="140"/>
      <c r="Q413" s="140"/>
    </row>
    <row r="414" spans="1:26">
      <c r="A414" s="143">
        <f>A412+1</f>
        <v>225</v>
      </c>
      <c r="B414" s="130"/>
      <c r="C414" s="130" t="s">
        <v>314</v>
      </c>
      <c r="D414" s="130"/>
      <c r="E414" s="143" t="s">
        <v>204</v>
      </c>
      <c r="F414" s="143"/>
      <c r="G414" s="573">
        <v>0.20849999999999999</v>
      </c>
      <c r="H414" s="130"/>
      <c r="I414" s="573">
        <v>0.21412223929266846</v>
      </c>
      <c r="J414" s="130"/>
      <c r="K414" s="579">
        <f>I414-G414</f>
        <v>5.6222392926684739E-3</v>
      </c>
      <c r="L414" s="130"/>
      <c r="M414" s="140">
        <v>0</v>
      </c>
      <c r="N414" s="140"/>
      <c r="O414" s="140">
        <f>K414*M414/100</f>
        <v>0</v>
      </c>
      <c r="P414" s="140"/>
      <c r="Q414" s="590">
        <f t="shared" si="80"/>
        <v>0</v>
      </c>
      <c r="S414" s="593"/>
      <c r="U414" s="588"/>
      <c r="V414" s="587"/>
      <c r="W414" s="589"/>
      <c r="Y414" s="605"/>
      <c r="Z414" s="605"/>
    </row>
    <row r="415" spans="1:26">
      <c r="A415" s="143">
        <f>A414+1</f>
        <v>226</v>
      </c>
      <c r="B415" s="130"/>
      <c r="C415" s="130" t="s">
        <v>211</v>
      </c>
      <c r="D415" s="130"/>
      <c r="E415" s="143" t="s">
        <v>204</v>
      </c>
      <c r="F415" s="143"/>
      <c r="G415" s="573">
        <v>20.538400000000003</v>
      </c>
      <c r="H415" s="130"/>
      <c r="I415" s="573">
        <v>20.536407273459336</v>
      </c>
      <c r="J415" s="130"/>
      <c r="K415" s="579">
        <f>I415-G415</f>
        <v>-1.9927265406671779E-3</v>
      </c>
      <c r="L415" s="130"/>
      <c r="M415" s="140">
        <v>564.92779999999993</v>
      </c>
      <c r="N415" s="140"/>
      <c r="O415" s="140">
        <f>K415*M415/100</f>
        <v>-1.1257466206207191E-2</v>
      </c>
      <c r="P415" s="140"/>
      <c r="Q415" s="140">
        <f t="shared" si="80"/>
        <v>-1.1257466206207191E-2</v>
      </c>
      <c r="S415" s="593"/>
      <c r="U415" s="588"/>
      <c r="V415" s="587"/>
      <c r="W415" s="589"/>
      <c r="Y415" s="605"/>
      <c r="Z415" s="605"/>
    </row>
    <row r="416" spans="1:26">
      <c r="A416" s="143"/>
      <c r="B416" s="130"/>
      <c r="C416" s="423"/>
      <c r="D416" s="130"/>
      <c r="E416" s="130"/>
      <c r="F416" s="130"/>
      <c r="G416" s="573"/>
      <c r="H416" s="130"/>
      <c r="I416" s="583"/>
      <c r="J416" s="130"/>
      <c r="K416" s="579"/>
      <c r="L416" s="130"/>
      <c r="M416" s="140"/>
      <c r="N416" s="140"/>
      <c r="O416" s="140"/>
      <c r="P416" s="140"/>
      <c r="Q416" s="140"/>
    </row>
    <row r="417" spans="1:26" ht="13.5" thickBot="1">
      <c r="A417" s="143">
        <f>A415+1</f>
        <v>227</v>
      </c>
      <c r="B417" s="130"/>
      <c r="C417" s="130" t="s">
        <v>323</v>
      </c>
      <c r="D417" s="130"/>
      <c r="E417" s="143"/>
      <c r="F417" s="143"/>
      <c r="G417" s="573"/>
      <c r="H417" s="130"/>
      <c r="I417" s="573"/>
      <c r="J417" s="130"/>
      <c r="K417" s="582"/>
      <c r="L417" s="130"/>
      <c r="M417" s="140"/>
      <c r="N417" s="140"/>
      <c r="O417" s="578">
        <f>O396+O397+O399+O402+O408+O410+O411+O412+O414+O415</f>
        <v>-19.182623266308447</v>
      </c>
      <c r="P417" s="140"/>
      <c r="Q417" s="578">
        <f>SUM(Q396:Q415)</f>
        <v>-19.182623266308447</v>
      </c>
    </row>
    <row r="418" spans="1:26" ht="13.5" thickTop="1">
      <c r="A418" s="143"/>
      <c r="B418" s="130"/>
      <c r="C418" s="130"/>
      <c r="D418" s="130"/>
      <c r="E418" s="143"/>
      <c r="F418" s="143"/>
      <c r="G418" s="583"/>
      <c r="H418" s="130"/>
      <c r="I418" s="130"/>
      <c r="J418" s="130"/>
      <c r="K418" s="579"/>
      <c r="L418" s="130"/>
      <c r="M418" s="140"/>
      <c r="N418" s="140"/>
      <c r="O418" s="140"/>
      <c r="P418" s="140"/>
      <c r="Q418" s="140"/>
    </row>
    <row r="419" spans="1:26">
      <c r="A419" s="143"/>
      <c r="B419" s="130"/>
      <c r="C419" s="546" t="s">
        <v>182</v>
      </c>
      <c r="D419" s="130"/>
      <c r="E419" s="143"/>
      <c r="F419" s="143"/>
      <c r="G419" s="130"/>
      <c r="H419" s="130"/>
      <c r="I419" s="607"/>
      <c r="J419" s="130"/>
      <c r="K419" s="579"/>
      <c r="L419" s="130"/>
      <c r="M419" s="140"/>
      <c r="N419" s="140"/>
      <c r="O419" s="140"/>
      <c r="P419" s="140"/>
      <c r="Q419" s="140"/>
    </row>
    <row r="420" spans="1:26">
      <c r="A420" s="143"/>
      <c r="B420" s="130"/>
      <c r="C420" s="130" t="s">
        <v>324</v>
      </c>
      <c r="D420" s="130"/>
      <c r="E420" s="143"/>
      <c r="F420" s="143"/>
      <c r="G420" s="130"/>
      <c r="H420" s="130"/>
      <c r="I420" s="130"/>
      <c r="J420" s="130"/>
      <c r="K420" s="579"/>
      <c r="L420" s="130"/>
      <c r="M420" s="140"/>
      <c r="N420" s="140"/>
      <c r="O420" s="140"/>
      <c r="P420" s="140"/>
      <c r="Q420" s="140"/>
    </row>
    <row r="421" spans="1:26">
      <c r="A421" s="143">
        <f>A417+1</f>
        <v>228</v>
      </c>
      <c r="B421" s="130"/>
      <c r="C421" s="484" t="s">
        <v>221</v>
      </c>
      <c r="D421" s="130"/>
      <c r="E421" s="143" t="s">
        <v>222</v>
      </c>
      <c r="F421" s="143"/>
      <c r="G421" s="573">
        <v>34.034500000000001</v>
      </c>
      <c r="H421" s="130"/>
      <c r="I421" s="573">
        <v>37.172885706923644</v>
      </c>
      <c r="J421" s="130"/>
      <c r="K421" s="579">
        <f>I421-G421</f>
        <v>3.1383857069236427</v>
      </c>
      <c r="L421" s="130"/>
      <c r="M421" s="140">
        <v>23644.455999999998</v>
      </c>
      <c r="N421" s="140"/>
      <c r="O421" s="140">
        <f>K421*M421/100</f>
        <v>742.05422758384952</v>
      </c>
      <c r="P421" s="140"/>
      <c r="Q421" s="140">
        <f>O421</f>
        <v>742.05422758384952</v>
      </c>
      <c r="S421" s="593"/>
      <c r="U421" s="588"/>
      <c r="V421" s="587"/>
      <c r="W421" s="589"/>
      <c r="Y421" s="605"/>
      <c r="Z421" s="605"/>
    </row>
    <row r="422" spans="1:26">
      <c r="A422" s="143">
        <f>A421+1</f>
        <v>229</v>
      </c>
      <c r="B422" s="130"/>
      <c r="C422" s="484" t="s">
        <v>202</v>
      </c>
      <c r="D422" s="130"/>
      <c r="E422" s="143" t="s">
        <v>204</v>
      </c>
      <c r="F422" s="143"/>
      <c r="G422" s="573">
        <v>0.45379999999999998</v>
      </c>
      <c r="H422" s="130"/>
      <c r="I422" s="573">
        <v>0.46977918719798328</v>
      </c>
      <c r="J422" s="130"/>
      <c r="K422" s="579">
        <f>I422-G422</f>
        <v>1.5979187197983302E-2</v>
      </c>
      <c r="L422" s="130"/>
      <c r="M422" s="140">
        <v>298268.05736000004</v>
      </c>
      <c r="N422" s="140"/>
      <c r="O422" s="140">
        <f>K422*M422/100</f>
        <v>47.660811237342614</v>
      </c>
      <c r="P422" s="140"/>
      <c r="Q422" s="140">
        <f>O422</f>
        <v>47.660811237342614</v>
      </c>
      <c r="S422" s="593"/>
      <c r="U422" s="588"/>
      <c r="V422" s="587"/>
      <c r="W422" s="589"/>
      <c r="Y422" s="605"/>
      <c r="Z422" s="605"/>
    </row>
    <row r="423" spans="1:26">
      <c r="A423" s="143"/>
      <c r="B423" s="130"/>
      <c r="C423" s="130"/>
      <c r="D423" s="130"/>
      <c r="E423" s="143"/>
      <c r="F423" s="143"/>
      <c r="G423" s="573"/>
      <c r="H423" s="130"/>
      <c r="I423" s="583"/>
      <c r="J423" s="130"/>
      <c r="K423" s="586"/>
      <c r="L423" s="130"/>
      <c r="M423" s="219"/>
      <c r="N423" s="219"/>
      <c r="O423" s="219"/>
      <c r="P423" s="219"/>
      <c r="Q423" s="219"/>
    </row>
    <row r="424" spans="1:26">
      <c r="A424" s="143">
        <f>A422+1</f>
        <v>230</v>
      </c>
      <c r="B424" s="130"/>
      <c r="C424" s="484" t="s">
        <v>309</v>
      </c>
      <c r="D424" s="130"/>
      <c r="E424" s="143" t="s">
        <v>204</v>
      </c>
      <c r="F424" s="143"/>
      <c r="G424" s="573">
        <v>0.45379999999999998</v>
      </c>
      <c r="H424" s="130"/>
      <c r="I424" s="573">
        <v>0.46977918719798328</v>
      </c>
      <c r="J424" s="130"/>
      <c r="K424" s="586">
        <f>I424-G424</f>
        <v>1.5979187197983302E-2</v>
      </c>
      <c r="L424" s="130"/>
      <c r="M424" s="219">
        <v>1791.0060000000001</v>
      </c>
      <c r="N424" s="219"/>
      <c r="O424" s="219">
        <f>K424*M424/100</f>
        <v>0.28618820146711282</v>
      </c>
      <c r="P424" s="219"/>
      <c r="Q424" s="219">
        <f>O424</f>
        <v>0.28618820146711282</v>
      </c>
      <c r="S424" s="593"/>
      <c r="U424" s="588"/>
      <c r="V424" s="587"/>
      <c r="W424" s="589"/>
      <c r="Y424" s="605"/>
      <c r="Z424" s="605"/>
    </row>
    <row r="425" spans="1:26">
      <c r="A425" s="143"/>
      <c r="B425" s="130"/>
      <c r="C425" s="130"/>
      <c r="D425" s="130"/>
      <c r="E425" s="143"/>
      <c r="F425" s="143"/>
      <c r="G425" s="573"/>
      <c r="H425" s="130"/>
      <c r="I425" s="583"/>
      <c r="J425" s="130"/>
      <c r="K425" s="586"/>
      <c r="L425" s="130"/>
      <c r="M425" s="219"/>
      <c r="N425" s="219"/>
      <c r="O425" s="219"/>
      <c r="P425" s="219"/>
      <c r="Q425" s="219"/>
    </row>
    <row r="426" spans="1:26">
      <c r="A426" s="143">
        <f>A424+1</f>
        <v>231</v>
      </c>
      <c r="B426" s="130"/>
      <c r="C426" s="130" t="s">
        <v>325</v>
      </c>
      <c r="D426" s="130"/>
      <c r="E426" s="143"/>
      <c r="F426" s="143"/>
      <c r="G426" s="573"/>
      <c r="H426" s="130"/>
      <c r="I426" s="583"/>
      <c r="J426" s="130"/>
      <c r="K426" s="586"/>
      <c r="L426" s="130"/>
      <c r="M426" s="219"/>
      <c r="N426" s="219"/>
      <c r="O426" s="219"/>
      <c r="P426" s="219"/>
      <c r="Q426" s="219"/>
    </row>
    <row r="427" spans="1:26">
      <c r="A427" s="143">
        <f>A426+1</f>
        <v>232</v>
      </c>
      <c r="B427" s="130"/>
      <c r="C427" s="484" t="s">
        <v>289</v>
      </c>
      <c r="D427" s="130"/>
      <c r="E427" s="143" t="s">
        <v>204</v>
      </c>
      <c r="F427" s="143"/>
      <c r="G427" s="573">
        <v>2.4513716001416475</v>
      </c>
      <c r="H427" s="130"/>
      <c r="I427" s="573">
        <v>2.7917497920052772</v>
      </c>
      <c r="J427" s="130"/>
      <c r="K427" s="586">
        <f>I427-G427</f>
        <v>0.34037819186362972</v>
      </c>
      <c r="L427" s="130"/>
      <c r="M427" s="219">
        <v>34249.794279999995</v>
      </c>
      <c r="N427" s="219"/>
      <c r="O427" s="219">
        <f>K427*M427/100</f>
        <v>116.57883048727686</v>
      </c>
      <c r="P427" s="219"/>
      <c r="Q427" s="219">
        <f>O427</f>
        <v>116.57883048727686</v>
      </c>
      <c r="S427" s="593"/>
      <c r="U427" s="588"/>
      <c r="V427" s="587"/>
      <c r="W427" s="589"/>
      <c r="Y427" s="605"/>
      <c r="Z427" s="605"/>
    </row>
    <row r="428" spans="1:26">
      <c r="A428" s="143"/>
      <c r="B428" s="130"/>
      <c r="C428" s="130"/>
      <c r="D428" s="130"/>
      <c r="E428" s="143"/>
      <c r="F428" s="143"/>
      <c r="G428" s="573"/>
      <c r="H428" s="130"/>
      <c r="I428" s="583"/>
      <c r="J428" s="130"/>
      <c r="K428" s="586"/>
      <c r="L428" s="130"/>
      <c r="M428" s="219"/>
      <c r="N428" s="219"/>
      <c r="O428" s="219"/>
      <c r="P428" s="219"/>
      <c r="Q428" s="219"/>
    </row>
    <row r="429" spans="1:26">
      <c r="A429" s="143">
        <f>A427+1</f>
        <v>233</v>
      </c>
      <c r="B429" s="130"/>
      <c r="C429" s="484" t="s">
        <v>313</v>
      </c>
      <c r="D429" s="130"/>
      <c r="E429" s="143" t="s">
        <v>204</v>
      </c>
      <c r="F429" s="143"/>
      <c r="G429" s="573">
        <v>2.5402936060527579</v>
      </c>
      <c r="H429" s="130"/>
      <c r="I429" s="573">
        <v>2.8650444539313993</v>
      </c>
      <c r="J429" s="130"/>
      <c r="K429" s="586">
        <f>I429-G429</f>
        <v>0.32475084787864139</v>
      </c>
      <c r="L429" s="130"/>
      <c r="M429" s="219">
        <v>0</v>
      </c>
      <c r="N429" s="219"/>
      <c r="O429" s="219">
        <f>K429*M429/100</f>
        <v>0</v>
      </c>
      <c r="P429" s="219"/>
      <c r="Q429" s="219">
        <f t="shared" ref="Q429" si="81">O429</f>
        <v>0</v>
      </c>
      <c r="U429" s="588"/>
      <c r="V429" s="587"/>
      <c r="W429" s="589"/>
    </row>
    <row r="430" spans="1:26">
      <c r="A430" s="143"/>
      <c r="B430" s="130"/>
      <c r="C430" s="547"/>
      <c r="D430" s="130"/>
      <c r="E430" s="143"/>
      <c r="F430" s="143"/>
      <c r="G430" s="573"/>
      <c r="H430" s="130"/>
      <c r="I430" s="583"/>
      <c r="J430" s="130"/>
      <c r="K430" s="586"/>
      <c r="L430" s="130"/>
      <c r="M430" s="219"/>
      <c r="N430" s="219"/>
      <c r="O430" s="219"/>
      <c r="P430" s="219"/>
      <c r="Q430" s="219"/>
    </row>
    <row r="431" spans="1:26">
      <c r="A431" s="143">
        <f>A429+1</f>
        <v>234</v>
      </c>
      <c r="B431" s="130"/>
      <c r="C431" s="130" t="s">
        <v>211</v>
      </c>
      <c r="D431" s="130"/>
      <c r="E431" s="143" t="s">
        <v>204</v>
      </c>
      <c r="F431" s="143"/>
      <c r="G431" s="573">
        <v>20.538400000000003</v>
      </c>
      <c r="H431" s="130"/>
      <c r="I431" s="573">
        <v>20.536407273459343</v>
      </c>
      <c r="J431" s="130"/>
      <c r="K431" s="579">
        <f>I431-G431</f>
        <v>-1.9927265406600725E-3</v>
      </c>
      <c r="L431" s="130"/>
      <c r="M431" s="140">
        <v>13353.064</v>
      </c>
      <c r="N431" s="140"/>
      <c r="O431" s="140">
        <f>K431*M431/100</f>
        <v>-0.26609005031932553</v>
      </c>
      <c r="P431" s="140"/>
      <c r="Q431" s="140">
        <f>O431</f>
        <v>-0.26609005031932553</v>
      </c>
      <c r="S431" s="593"/>
      <c r="U431" s="588"/>
      <c r="V431" s="587"/>
      <c r="W431" s="589"/>
      <c r="Y431" s="605"/>
      <c r="Z431" s="605"/>
    </row>
    <row r="432" spans="1:26">
      <c r="A432" s="143"/>
      <c r="B432" s="130"/>
      <c r="C432" s="423"/>
      <c r="D432" s="130"/>
      <c r="E432" s="130"/>
      <c r="F432" s="130"/>
      <c r="G432" s="573"/>
      <c r="H432" s="130"/>
      <c r="I432" s="583"/>
      <c r="J432" s="130"/>
      <c r="K432" s="579"/>
      <c r="L432" s="130"/>
      <c r="M432" s="140"/>
      <c r="N432" s="140"/>
      <c r="O432" s="140"/>
      <c r="P432" s="140"/>
      <c r="Q432" s="140"/>
    </row>
    <row r="433" spans="1:26" ht="13.5" thickBot="1">
      <c r="A433" s="143">
        <f>A431+1</f>
        <v>235</v>
      </c>
      <c r="B433" s="130"/>
      <c r="C433" s="130" t="s">
        <v>326</v>
      </c>
      <c r="D433" s="130"/>
      <c r="E433" s="143"/>
      <c r="F433" s="143"/>
      <c r="G433" s="573"/>
      <c r="H433" s="130"/>
      <c r="I433" s="573"/>
      <c r="J433" s="130"/>
      <c r="K433" s="582"/>
      <c r="L433" s="130"/>
      <c r="M433" s="140"/>
      <c r="N433" s="140"/>
      <c r="O433" s="578">
        <f>O421+O422+O424+O427+O429+O431</f>
        <v>906.31396745961672</v>
      </c>
      <c r="P433" s="140"/>
      <c r="Q433" s="578">
        <f>SUM(Q421:Q432)</f>
        <v>906.31396745961672</v>
      </c>
    </row>
    <row r="434" spans="1:26" ht="13.5" thickTop="1">
      <c r="A434" s="143"/>
      <c r="B434" s="130"/>
      <c r="C434" s="130"/>
      <c r="D434" s="130"/>
      <c r="E434" s="143"/>
      <c r="F434" s="143"/>
      <c r="G434" s="573"/>
      <c r="H434" s="130"/>
      <c r="I434" s="583"/>
      <c r="J434" s="130"/>
      <c r="K434" s="579"/>
      <c r="L434" s="130"/>
      <c r="M434" s="140"/>
      <c r="N434" s="140"/>
      <c r="O434" s="140"/>
      <c r="P434" s="140"/>
      <c r="Q434" s="140"/>
    </row>
    <row r="435" spans="1:26">
      <c r="A435" s="143"/>
      <c r="B435" s="130"/>
      <c r="C435" s="546" t="s">
        <v>183</v>
      </c>
      <c r="D435" s="130"/>
      <c r="E435" s="143"/>
      <c r="F435" s="143"/>
      <c r="G435" s="573"/>
      <c r="H435" s="130"/>
      <c r="I435" s="583"/>
      <c r="J435" s="130"/>
      <c r="K435" s="579"/>
      <c r="L435" s="130"/>
      <c r="M435" s="140"/>
      <c r="N435" s="140"/>
      <c r="O435" s="140"/>
      <c r="P435" s="140"/>
      <c r="Q435" s="140"/>
      <c r="S435" s="593"/>
    </row>
    <row r="436" spans="1:26">
      <c r="A436" s="143">
        <f>A433+1</f>
        <v>236</v>
      </c>
      <c r="B436" s="130"/>
      <c r="C436" s="130" t="s">
        <v>221</v>
      </c>
      <c r="D436" s="130"/>
      <c r="E436" s="143" t="s">
        <v>222</v>
      </c>
      <c r="F436" s="143"/>
      <c r="G436" s="573">
        <v>27.228400000000001</v>
      </c>
      <c r="H436" s="130"/>
      <c r="I436" s="573">
        <v>27.968946944173922</v>
      </c>
      <c r="J436" s="130"/>
      <c r="K436" s="579">
        <f>I436-G436</f>
        <v>0.74054694417392142</v>
      </c>
      <c r="L436" s="130"/>
      <c r="M436" s="140">
        <v>2013.4880000000001</v>
      </c>
      <c r="N436" s="140"/>
      <c r="O436" s="140">
        <f>K436*M436/100</f>
        <v>14.910823855308607</v>
      </c>
      <c r="P436" s="140"/>
      <c r="Q436" s="140">
        <f>O436</f>
        <v>14.910823855308607</v>
      </c>
      <c r="S436" s="593"/>
      <c r="U436" s="588"/>
      <c r="V436" s="587"/>
      <c r="W436" s="589"/>
      <c r="Y436" s="605"/>
      <c r="Z436" s="605"/>
    </row>
    <row r="437" spans="1:26">
      <c r="A437" s="143">
        <f>A436+1</f>
        <v>237</v>
      </c>
      <c r="B437" s="130"/>
      <c r="C437" s="423" t="s">
        <v>202</v>
      </c>
      <c r="D437" s="130"/>
      <c r="E437" s="143" t="s">
        <v>204</v>
      </c>
      <c r="F437" s="143"/>
      <c r="G437" s="573">
        <v>0.30399999999999999</v>
      </c>
      <c r="H437" s="130"/>
      <c r="I437" s="573">
        <v>0.31772486638198666</v>
      </c>
      <c r="J437" s="130"/>
      <c r="K437" s="579">
        <f>I437-G437</f>
        <v>1.3724866381986667E-2</v>
      </c>
      <c r="L437" s="130"/>
      <c r="M437" s="140">
        <v>33496.639799999997</v>
      </c>
      <c r="N437" s="140"/>
      <c r="O437" s="140">
        <f>K437*M437/100</f>
        <v>4.5973690550053652</v>
      </c>
      <c r="P437" s="140"/>
      <c r="Q437" s="140">
        <f>O437</f>
        <v>4.5973690550053652</v>
      </c>
      <c r="S437" s="593"/>
      <c r="U437" s="588"/>
      <c r="V437" s="587"/>
      <c r="W437" s="589"/>
      <c r="Y437" s="605"/>
      <c r="Z437" s="605"/>
    </row>
    <row r="438" spans="1:26">
      <c r="A438" s="143"/>
      <c r="B438" s="130"/>
      <c r="C438" s="130"/>
      <c r="D438" s="130"/>
      <c r="E438" s="143"/>
      <c r="F438" s="143"/>
      <c r="G438" s="573"/>
      <c r="H438" s="130"/>
      <c r="I438" s="583"/>
      <c r="J438" s="130"/>
      <c r="K438" s="579"/>
      <c r="L438" s="130"/>
      <c r="M438" s="140"/>
      <c r="N438" s="140"/>
      <c r="O438" s="140"/>
      <c r="P438" s="140"/>
      <c r="Q438" s="140"/>
      <c r="Y438" s="605"/>
      <c r="Z438" s="605"/>
    </row>
    <row r="439" spans="1:26">
      <c r="A439" s="143">
        <f>A437+1</f>
        <v>238</v>
      </c>
      <c r="B439" s="130"/>
      <c r="C439" s="130" t="s">
        <v>211</v>
      </c>
      <c r="D439" s="130"/>
      <c r="E439" s="143" t="s">
        <v>204</v>
      </c>
      <c r="F439" s="143"/>
      <c r="G439" s="573">
        <v>20.538400000000003</v>
      </c>
      <c r="H439" s="130"/>
      <c r="I439" s="573">
        <v>20.536407273459339</v>
      </c>
      <c r="J439" s="130"/>
      <c r="K439" s="579">
        <f>I439-G439</f>
        <v>-1.9927265406636252E-3</v>
      </c>
      <c r="L439" s="130"/>
      <c r="M439" s="140">
        <v>8636.8859000000011</v>
      </c>
      <c r="N439" s="140"/>
      <c r="O439" s="140">
        <f>K439*M439/100</f>
        <v>-0.17210951761613444</v>
      </c>
      <c r="P439" s="140"/>
      <c r="Q439" s="140">
        <f>O439</f>
        <v>-0.17210951761613444</v>
      </c>
      <c r="S439" s="593"/>
      <c r="U439" s="588"/>
      <c r="V439" s="587"/>
      <c r="W439" s="589"/>
      <c r="Y439" s="605"/>
      <c r="Z439" s="605"/>
    </row>
    <row r="440" spans="1:26">
      <c r="A440" s="143"/>
      <c r="B440" s="130"/>
      <c r="C440" s="423"/>
      <c r="D440" s="130"/>
      <c r="E440" s="130"/>
      <c r="F440" s="130"/>
      <c r="G440" s="573"/>
      <c r="H440" s="130"/>
      <c r="I440" s="583"/>
      <c r="J440" s="130"/>
      <c r="K440" s="579"/>
      <c r="L440" s="130"/>
      <c r="M440" s="140"/>
      <c r="N440" s="140"/>
      <c r="O440" s="140"/>
      <c r="P440" s="140"/>
      <c r="Q440" s="140"/>
    </row>
    <row r="441" spans="1:26" ht="13.5" thickBot="1">
      <c r="A441" s="143">
        <f>A439+1</f>
        <v>239</v>
      </c>
      <c r="B441" s="130"/>
      <c r="C441" s="130" t="s">
        <v>327</v>
      </c>
      <c r="D441" s="130"/>
      <c r="E441" s="143"/>
      <c r="F441" s="143"/>
      <c r="G441" s="573"/>
      <c r="H441" s="130"/>
      <c r="I441" s="573"/>
      <c r="J441" s="130"/>
      <c r="K441" s="582"/>
      <c r="L441" s="130"/>
      <c r="M441" s="140"/>
      <c r="N441" s="140"/>
      <c r="O441" s="578">
        <f>O436+O437+O439</f>
        <v>19.336083392697837</v>
      </c>
      <c r="P441" s="140"/>
      <c r="Q441" s="578">
        <f>SUM(Q436:Q439)</f>
        <v>19.336083392697837</v>
      </c>
    </row>
    <row r="442" spans="1:26" ht="13.5" thickTop="1">
      <c r="A442" s="130"/>
      <c r="B442" s="130"/>
      <c r="C442" s="130"/>
      <c r="D442" s="130"/>
      <c r="E442" s="130"/>
      <c r="F442" s="130"/>
      <c r="G442" s="130"/>
      <c r="H442" s="130"/>
      <c r="I442" s="130"/>
      <c r="J442" s="130"/>
      <c r="K442" s="130"/>
      <c r="L442" s="130"/>
      <c r="M442" s="130"/>
      <c r="N442" s="130"/>
      <c r="O442" s="130"/>
      <c r="P442" s="130"/>
      <c r="Q442" s="130"/>
      <c r="T442" s="141"/>
      <c r="U442" s="141"/>
    </row>
    <row r="443" spans="1:26">
      <c r="A443" s="143"/>
      <c r="B443" s="130"/>
      <c r="C443" s="546" t="s">
        <v>184</v>
      </c>
      <c r="D443" s="130"/>
      <c r="E443" s="143"/>
      <c r="F443" s="143"/>
      <c r="G443" s="130"/>
      <c r="H443" s="130"/>
      <c r="I443" s="130"/>
      <c r="J443" s="130"/>
      <c r="K443" s="579"/>
      <c r="L443" s="130"/>
      <c r="M443" s="140"/>
      <c r="N443" s="140"/>
      <c r="O443" s="140"/>
      <c r="P443" s="140"/>
      <c r="Q443" s="140"/>
    </row>
    <row r="444" spans="1:26">
      <c r="A444" s="143">
        <f>A441+1</f>
        <v>240</v>
      </c>
      <c r="B444" s="130"/>
      <c r="C444" s="130" t="s">
        <v>328</v>
      </c>
      <c r="D444" s="130"/>
      <c r="E444" s="143" t="s">
        <v>201</v>
      </c>
      <c r="F444" s="143"/>
      <c r="G444" s="128">
        <v>2155.61</v>
      </c>
      <c r="H444" s="569"/>
      <c r="I444" s="128">
        <v>2213.7364040367825</v>
      </c>
      <c r="J444" s="570"/>
      <c r="K444" s="128">
        <f>I444-G444</f>
        <v>58.126404036782333</v>
      </c>
      <c r="L444" s="130"/>
      <c r="M444" s="140">
        <v>188.00000000000003</v>
      </c>
      <c r="N444" s="140"/>
      <c r="O444" s="140">
        <f>K444*M444/1000</f>
        <v>10.927763958915081</v>
      </c>
      <c r="P444" s="140"/>
      <c r="Q444" s="140">
        <f>O444</f>
        <v>10.927763958915081</v>
      </c>
      <c r="S444" s="593"/>
      <c r="U444" s="602"/>
      <c r="Y444" s="605"/>
      <c r="Z444" s="605"/>
    </row>
    <row r="445" spans="1:26">
      <c r="A445" s="143"/>
      <c r="B445" s="130"/>
      <c r="C445" s="130" t="s">
        <v>329</v>
      </c>
      <c r="D445" s="130"/>
      <c r="E445" s="143"/>
      <c r="F445" s="143"/>
      <c r="G445" s="573"/>
      <c r="H445" s="130"/>
      <c r="I445" s="583"/>
      <c r="J445" s="130"/>
      <c r="K445" s="579"/>
      <c r="L445" s="130"/>
      <c r="M445" s="140"/>
      <c r="N445" s="140"/>
      <c r="O445" s="140"/>
      <c r="P445" s="140"/>
      <c r="Q445" s="140"/>
    </row>
    <row r="446" spans="1:26">
      <c r="A446" s="143"/>
      <c r="B446" s="130"/>
      <c r="C446" s="484" t="s">
        <v>330</v>
      </c>
      <c r="D446" s="130"/>
      <c r="E446" s="143"/>
      <c r="F446" s="143"/>
      <c r="G446" s="573"/>
      <c r="H446" s="130"/>
      <c r="I446" s="583"/>
      <c r="J446" s="130"/>
      <c r="K446" s="579"/>
      <c r="L446" s="130"/>
      <c r="M446" s="140"/>
      <c r="N446" s="140"/>
      <c r="O446" s="140"/>
      <c r="P446" s="140"/>
      <c r="Q446" s="140"/>
    </row>
    <row r="447" spans="1:26">
      <c r="A447" s="143">
        <f>A444+1</f>
        <v>241</v>
      </c>
      <c r="B447" s="130"/>
      <c r="C447" s="604" t="s">
        <v>331</v>
      </c>
      <c r="D447" s="130"/>
      <c r="E447" s="143" t="s">
        <v>222</v>
      </c>
      <c r="F447" s="143"/>
      <c r="G447" s="573">
        <v>44.595399999999998</v>
      </c>
      <c r="H447" s="130"/>
      <c r="I447" s="573">
        <v>42.773067996166418</v>
      </c>
      <c r="J447" s="130"/>
      <c r="K447" s="579">
        <f>I447-G447</f>
        <v>-1.82233200383358</v>
      </c>
      <c r="L447" s="130"/>
      <c r="M447" s="140">
        <v>4787.6880000000001</v>
      </c>
      <c r="N447" s="140"/>
      <c r="O447" s="140">
        <f>K447*M447/100</f>
        <v>-87.247570667699861</v>
      </c>
      <c r="P447" s="140"/>
      <c r="Q447" s="140"/>
      <c r="S447" s="593"/>
      <c r="U447" s="588"/>
      <c r="V447" s="587"/>
      <c r="W447" s="589"/>
      <c r="Y447" s="605"/>
      <c r="Z447" s="605"/>
    </row>
    <row r="448" spans="1:26">
      <c r="A448" s="143">
        <f>A447+1</f>
        <v>242</v>
      </c>
      <c r="B448" s="130"/>
      <c r="C448" s="604" t="s">
        <v>332</v>
      </c>
      <c r="D448" s="130"/>
      <c r="E448" s="143" t="s">
        <v>222</v>
      </c>
      <c r="F448" s="143"/>
      <c r="G448" s="573">
        <v>31.676299999999998</v>
      </c>
      <c r="H448" s="130"/>
      <c r="I448" s="573">
        <v>30.529045398588394</v>
      </c>
      <c r="J448" s="130"/>
      <c r="K448" s="579">
        <f>I448-G448</f>
        <v>-1.1472546014116034</v>
      </c>
      <c r="L448" s="130"/>
      <c r="M448" s="140">
        <v>4058.9279999999999</v>
      </c>
      <c r="N448" s="140"/>
      <c r="O448" s="140">
        <f>K448*M448/100</f>
        <v>-46.566238247983968</v>
      </c>
      <c r="P448" s="140"/>
      <c r="Q448" s="140"/>
      <c r="S448" s="593"/>
      <c r="U448" s="588"/>
      <c r="V448" s="587"/>
      <c r="W448" s="589"/>
      <c r="Y448" s="605"/>
      <c r="Z448" s="605"/>
    </row>
    <row r="449" spans="1:26">
      <c r="A449" s="143"/>
      <c r="B449" s="130"/>
      <c r="C449" s="484" t="s">
        <v>333</v>
      </c>
      <c r="D449" s="130"/>
      <c r="E449" s="143"/>
      <c r="F449" s="143"/>
      <c r="G449" s="573"/>
      <c r="H449" s="130"/>
      <c r="I449" s="583"/>
      <c r="J449" s="130"/>
      <c r="K449" s="579"/>
      <c r="L449" s="130"/>
      <c r="M449" s="140"/>
      <c r="N449" s="140"/>
      <c r="O449" s="140"/>
      <c r="P449" s="140"/>
      <c r="Q449" s="140"/>
    </row>
    <row r="450" spans="1:26">
      <c r="A450" s="143">
        <f>A448+1</f>
        <v>243</v>
      </c>
      <c r="B450" s="130"/>
      <c r="C450" s="604" t="s">
        <v>334</v>
      </c>
      <c r="D450" s="130"/>
      <c r="E450" s="143" t="s">
        <v>204</v>
      </c>
      <c r="F450" s="143"/>
      <c r="G450" s="573">
        <v>0.14000000000000001</v>
      </c>
      <c r="H450" s="130"/>
      <c r="I450" s="573">
        <v>0.13600309066815311</v>
      </c>
      <c r="J450" s="130"/>
      <c r="K450" s="579">
        <f>I450-G450</f>
        <v>-3.996909331846904E-3</v>
      </c>
      <c r="L450" s="130"/>
      <c r="M450" s="140">
        <v>148079.38154999999</v>
      </c>
      <c r="N450" s="140"/>
      <c r="O450" s="140">
        <f>K450*M450/100</f>
        <v>-5.9185986197131317</v>
      </c>
      <c r="P450" s="140"/>
      <c r="Q450" s="140"/>
      <c r="S450" s="593"/>
      <c r="U450" s="588"/>
      <c r="V450" s="587"/>
      <c r="W450" s="589"/>
      <c r="Y450" s="605"/>
      <c r="Z450" s="605"/>
    </row>
    <row r="451" spans="1:26">
      <c r="A451" s="143">
        <f>A450+1</f>
        <v>244</v>
      </c>
      <c r="B451" s="130"/>
      <c r="C451" s="604" t="s">
        <v>335</v>
      </c>
      <c r="D451" s="130"/>
      <c r="E451" s="143" t="s">
        <v>204</v>
      </c>
      <c r="F451" s="143"/>
      <c r="G451" s="573">
        <v>2.1870000000000003</v>
      </c>
      <c r="H451" s="130"/>
      <c r="I451" s="573">
        <v>2.1446106275413133</v>
      </c>
      <c r="J451" s="130"/>
      <c r="K451" s="579">
        <f>I451-G451</f>
        <v>-4.2389372458687014E-2</v>
      </c>
      <c r="L451" s="130"/>
      <c r="M451" s="140">
        <v>12900.742829999999</v>
      </c>
      <c r="N451" s="140"/>
      <c r="O451" s="140">
        <f>K451*M451/100</f>
        <v>-5.4685439281460591</v>
      </c>
      <c r="P451" s="140"/>
      <c r="Q451" s="140"/>
      <c r="S451" s="593"/>
      <c r="U451" s="588"/>
      <c r="V451" s="587"/>
      <c r="W451" s="589"/>
      <c r="Y451" s="605"/>
      <c r="Z451" s="605"/>
    </row>
    <row r="452" spans="1:26">
      <c r="A452" s="143"/>
      <c r="B452" s="130"/>
      <c r="C452" s="604"/>
      <c r="D452" s="130"/>
      <c r="E452" s="143"/>
      <c r="F452" s="143"/>
      <c r="G452" s="130"/>
      <c r="H452" s="130"/>
      <c r="I452" s="130"/>
      <c r="J452" s="130"/>
      <c r="K452" s="579"/>
      <c r="L452" s="130"/>
      <c r="M452" s="140"/>
      <c r="N452" s="140"/>
      <c r="O452" s="140"/>
      <c r="P452" s="140"/>
      <c r="Q452" s="140"/>
    </row>
    <row r="453" spans="1:26">
      <c r="A453" s="143">
        <f>A451+1</f>
        <v>245</v>
      </c>
      <c r="B453" s="130"/>
      <c r="C453" s="484" t="s">
        <v>309</v>
      </c>
      <c r="D453" s="130"/>
      <c r="E453" s="143" t="s">
        <v>204</v>
      </c>
      <c r="F453" s="143"/>
      <c r="G453" s="573">
        <v>0.14000000000000001</v>
      </c>
      <c r="H453" s="130"/>
      <c r="I453" s="573">
        <v>0.13600309066815311</v>
      </c>
      <c r="J453" s="130"/>
      <c r="K453" s="586">
        <f>I453-G453</f>
        <v>-3.996909331846904E-3</v>
      </c>
      <c r="L453" s="130"/>
      <c r="M453" s="219">
        <v>167.09399999999999</v>
      </c>
      <c r="N453" s="140"/>
      <c r="O453" s="140">
        <f>K453*M453/100</f>
        <v>-6.6785956789562652E-3</v>
      </c>
      <c r="P453" s="140"/>
      <c r="Q453" s="140"/>
      <c r="S453" s="593"/>
      <c r="U453" s="588"/>
      <c r="V453" s="587"/>
      <c r="W453" s="589"/>
      <c r="Y453" s="605"/>
      <c r="Z453" s="605"/>
    </row>
    <row r="454" spans="1:26">
      <c r="A454" s="143">
        <f>A453+1</f>
        <v>246</v>
      </c>
      <c r="B454" s="130"/>
      <c r="C454" s="484" t="s">
        <v>336</v>
      </c>
      <c r="D454" s="130"/>
      <c r="E454" s="143" t="s">
        <v>204</v>
      </c>
      <c r="F454" s="143"/>
      <c r="G454" s="573">
        <v>3.0979999999999999</v>
      </c>
      <c r="H454" s="130"/>
      <c r="I454" s="573">
        <v>3.0874302059483423</v>
      </c>
      <c r="J454" s="130"/>
      <c r="K454" s="586">
        <f>I454-G454</f>
        <v>-1.0569794051657588E-2</v>
      </c>
      <c r="L454" s="130"/>
      <c r="M454" s="219">
        <v>0</v>
      </c>
      <c r="N454" s="140"/>
      <c r="O454" s="140">
        <f>K454*M454/100</f>
        <v>0</v>
      </c>
      <c r="P454" s="140"/>
      <c r="Q454" s="140"/>
      <c r="S454" s="593"/>
      <c r="U454" s="588"/>
      <c r="V454" s="587"/>
      <c r="W454" s="589"/>
      <c r="Y454" s="605"/>
      <c r="Z454" s="605"/>
    </row>
    <row r="455" spans="1:26">
      <c r="A455" s="143"/>
      <c r="B455" s="130"/>
      <c r="C455" s="604"/>
      <c r="D455" s="130"/>
      <c r="E455" s="143"/>
      <c r="F455" s="143"/>
      <c r="G455" s="130"/>
      <c r="H455" s="130"/>
      <c r="I455" s="130"/>
      <c r="J455" s="130"/>
      <c r="K455" s="579"/>
      <c r="L455" s="130"/>
      <c r="M455" s="140"/>
      <c r="N455" s="140"/>
      <c r="O455" s="140"/>
      <c r="P455" s="140"/>
      <c r="Q455" s="140"/>
    </row>
    <row r="456" spans="1:26">
      <c r="A456" s="143">
        <f>A454+1</f>
        <v>247</v>
      </c>
      <c r="B456" s="130"/>
      <c r="C456" s="484" t="s">
        <v>337</v>
      </c>
      <c r="D456" s="130"/>
      <c r="E456" s="143" t="s">
        <v>286</v>
      </c>
      <c r="F456" s="143"/>
      <c r="G456" s="130">
        <v>5.3090000000000002</v>
      </c>
      <c r="H456" s="130"/>
      <c r="I456" s="598">
        <v>6.2198033412512048</v>
      </c>
      <c r="J456" s="130"/>
      <c r="K456" s="586">
        <f>I456-G456</f>
        <v>0.91080334125120466</v>
      </c>
      <c r="L456" s="130"/>
      <c r="M456" s="219">
        <v>22965.690000000002</v>
      </c>
      <c r="N456" s="219"/>
      <c r="O456" s="219">
        <f>K456*M456/1000</f>
        <v>20.917227186139382</v>
      </c>
      <c r="P456" s="219"/>
      <c r="Q456" s="219"/>
      <c r="S456" s="593"/>
      <c r="U456" s="588"/>
      <c r="V456" s="587"/>
      <c r="W456" s="589"/>
      <c r="Y456" s="605"/>
      <c r="Z456" s="605"/>
    </row>
    <row r="457" spans="1:26">
      <c r="A457" s="143">
        <f>A456+1</f>
        <v>248</v>
      </c>
      <c r="B457" s="130"/>
      <c r="C457" s="130" t="s">
        <v>338</v>
      </c>
      <c r="D457" s="130"/>
      <c r="E457" s="143"/>
      <c r="F457" s="143"/>
      <c r="G457" s="573"/>
      <c r="H457" s="130"/>
      <c r="I457" s="573"/>
      <c r="J457" s="130"/>
      <c r="K457" s="579"/>
      <c r="L457" s="130"/>
      <c r="M457" s="140"/>
      <c r="N457" s="140"/>
      <c r="O457" s="140"/>
      <c r="P457" s="140"/>
      <c r="Q457" s="140">
        <f>SUM(O447:O456)</f>
        <v>-124.29040287308258</v>
      </c>
    </row>
    <row r="458" spans="1:26">
      <c r="A458" s="143"/>
      <c r="B458" s="130"/>
      <c r="C458" s="130"/>
      <c r="D458" s="130"/>
      <c r="E458" s="143"/>
      <c r="F458" s="143"/>
      <c r="G458" s="608"/>
      <c r="H458" s="608"/>
      <c r="I458" s="608"/>
      <c r="J458" s="342"/>
      <c r="K458" s="342"/>
      <c r="L458" s="130"/>
      <c r="M458" s="140"/>
      <c r="N458" s="140"/>
      <c r="O458" s="140"/>
      <c r="P458" s="140"/>
      <c r="Q458" s="140"/>
    </row>
    <row r="459" spans="1:26">
      <c r="A459" s="143"/>
      <c r="B459" s="130"/>
      <c r="C459" s="130" t="s">
        <v>339</v>
      </c>
      <c r="D459" s="130"/>
      <c r="E459" s="143"/>
      <c r="F459" s="143"/>
      <c r="G459" s="130"/>
      <c r="H459" s="130"/>
      <c r="I459" s="130"/>
      <c r="J459" s="130"/>
      <c r="K459" s="579"/>
      <c r="L459" s="130"/>
      <c r="M459" s="140"/>
      <c r="N459" s="140"/>
      <c r="O459" s="140"/>
      <c r="P459" s="140"/>
      <c r="Q459" s="140"/>
    </row>
    <row r="460" spans="1:26">
      <c r="A460" s="143"/>
      <c r="B460" s="130"/>
      <c r="C460" s="484" t="s">
        <v>340</v>
      </c>
      <c r="D460" s="130"/>
      <c r="E460" s="143"/>
      <c r="F460" s="143"/>
      <c r="G460" s="609"/>
      <c r="H460" s="130"/>
      <c r="I460" s="548"/>
      <c r="J460" s="130"/>
      <c r="K460" s="579"/>
      <c r="L460" s="130"/>
      <c r="M460" s="140"/>
      <c r="N460" s="140"/>
      <c r="O460" s="140"/>
      <c r="P460" s="140"/>
      <c r="Q460" s="140"/>
    </row>
    <row r="461" spans="1:26">
      <c r="A461" s="143">
        <f>A457+1</f>
        <v>249</v>
      </c>
      <c r="B461" s="130"/>
      <c r="C461" s="604" t="s">
        <v>341</v>
      </c>
      <c r="D461" s="130"/>
      <c r="E461" s="143" t="s">
        <v>284</v>
      </c>
      <c r="F461" s="143"/>
      <c r="G461" s="598">
        <v>1.2E-2</v>
      </c>
      <c r="H461" s="130"/>
      <c r="I461" s="598">
        <v>1.2323582117563655E-2</v>
      </c>
      <c r="J461" s="598"/>
      <c r="K461" s="599">
        <f t="shared" ref="K461:K470" si="82">I461-G461</f>
        <v>3.2358211756365433E-4</v>
      </c>
      <c r="L461" s="130"/>
      <c r="M461" s="140">
        <v>5938416</v>
      </c>
      <c r="N461" s="140"/>
      <c r="O461" s="140">
        <f t="shared" ref="O461" si="83">K461*M461/1000</f>
        <v>1.9215652242538859</v>
      </c>
      <c r="P461" s="140"/>
      <c r="Q461" s="140"/>
      <c r="S461" s="593"/>
      <c r="U461" s="588"/>
      <c r="V461" s="587"/>
      <c r="W461" s="589"/>
      <c r="Y461" s="605"/>
      <c r="Z461" s="605"/>
    </row>
    <row r="462" spans="1:26">
      <c r="A462" s="143"/>
      <c r="B462" s="130"/>
      <c r="C462" s="484" t="s">
        <v>342</v>
      </c>
      <c r="D462" s="130"/>
      <c r="E462" s="143"/>
      <c r="F462" s="143"/>
      <c r="G462" s="609"/>
      <c r="H462" s="130"/>
      <c r="I462" s="598"/>
      <c r="J462" s="598"/>
      <c r="K462" s="599"/>
      <c r="L462" s="130"/>
      <c r="M462" s="140"/>
      <c r="N462" s="140"/>
      <c r="O462" s="140"/>
      <c r="P462" s="140"/>
      <c r="Q462" s="140"/>
    </row>
    <row r="463" spans="1:26">
      <c r="A463" s="143">
        <f>A461+1</f>
        <v>250</v>
      </c>
      <c r="B463" s="130"/>
      <c r="C463" s="604" t="s">
        <v>343</v>
      </c>
      <c r="D463" s="130"/>
      <c r="E463" s="143" t="s">
        <v>284</v>
      </c>
      <c r="F463" s="143"/>
      <c r="G463" s="598">
        <v>1.8779999999999999</v>
      </c>
      <c r="H463" s="130"/>
      <c r="I463" s="598">
        <v>1.9259999999999999</v>
      </c>
      <c r="J463" s="598"/>
      <c r="K463" s="599">
        <f t="shared" si="82"/>
        <v>4.8000000000000043E-2</v>
      </c>
      <c r="L463" s="130"/>
      <c r="M463" s="140">
        <v>224724</v>
      </c>
      <c r="N463" s="140"/>
      <c r="O463" s="140">
        <f t="shared" ref="O463:O470" si="84">K463*M463/1000</f>
        <v>10.786752000000009</v>
      </c>
      <c r="P463" s="140"/>
      <c r="Q463" s="140"/>
      <c r="S463" s="593"/>
      <c r="U463" s="588"/>
      <c r="V463" s="587"/>
      <c r="W463" s="589"/>
      <c r="Y463" s="605"/>
      <c r="Z463" s="605"/>
    </row>
    <row r="464" spans="1:26">
      <c r="A464" s="143">
        <f>A463+1</f>
        <v>251</v>
      </c>
      <c r="B464" s="130"/>
      <c r="C464" s="604" t="s">
        <v>344</v>
      </c>
      <c r="D464" s="130"/>
      <c r="E464" s="143" t="s">
        <v>284</v>
      </c>
      <c r="F464" s="143"/>
      <c r="G464" s="598">
        <v>1.4730000000000001</v>
      </c>
      <c r="H464" s="130"/>
      <c r="I464" s="598">
        <v>1.5181292016499417</v>
      </c>
      <c r="J464" s="598"/>
      <c r="K464" s="599">
        <f t="shared" si="82"/>
        <v>4.5129201649941608E-2</v>
      </c>
      <c r="L464" s="130"/>
      <c r="M464" s="140">
        <v>3492</v>
      </c>
      <c r="N464" s="140"/>
      <c r="O464" s="140">
        <f t="shared" si="84"/>
        <v>0.1575911721615961</v>
      </c>
      <c r="P464" s="140"/>
      <c r="Q464" s="140"/>
      <c r="S464" s="593"/>
      <c r="U464" s="588"/>
      <c r="V464" s="587"/>
      <c r="W464" s="589"/>
      <c r="Y464" s="605"/>
      <c r="Z464" s="605"/>
    </row>
    <row r="465" spans="1:26">
      <c r="A465" s="143">
        <f t="shared" ref="A465:A466" si="85">A464+1</f>
        <v>252</v>
      </c>
      <c r="B465" s="130"/>
      <c r="C465" s="604" t="s">
        <v>345</v>
      </c>
      <c r="D465" s="130"/>
      <c r="E465" s="143" t="s">
        <v>284</v>
      </c>
      <c r="F465" s="143"/>
      <c r="G465" s="598">
        <v>1.4730000000000001</v>
      </c>
      <c r="H465" s="130"/>
      <c r="I465" s="598">
        <v>1.5181292016499417</v>
      </c>
      <c r="J465" s="598"/>
      <c r="K465" s="599">
        <f t="shared" si="82"/>
        <v>4.5129201649941608E-2</v>
      </c>
      <c r="L465" s="130"/>
      <c r="M465" s="140">
        <v>0</v>
      </c>
      <c r="N465" s="140"/>
      <c r="O465" s="140">
        <f t="shared" si="84"/>
        <v>0</v>
      </c>
      <c r="P465" s="140"/>
      <c r="Q465" s="140"/>
      <c r="S465" s="593"/>
      <c r="U465" s="588"/>
      <c r="V465" s="587"/>
      <c r="W465" s="589"/>
      <c r="Y465" s="605"/>
      <c r="Z465" s="605"/>
    </row>
    <row r="466" spans="1:26">
      <c r="A466" s="143">
        <f t="shared" si="85"/>
        <v>253</v>
      </c>
      <c r="B466" s="130"/>
      <c r="C466" s="604" t="s">
        <v>346</v>
      </c>
      <c r="D466" s="130"/>
      <c r="E466" s="143" t="s">
        <v>284</v>
      </c>
      <c r="F466" s="143"/>
      <c r="G466" s="598">
        <v>1.4730000000000001</v>
      </c>
      <c r="H466" s="130"/>
      <c r="I466" s="598">
        <v>1.5181292016499417</v>
      </c>
      <c r="J466" s="598"/>
      <c r="K466" s="599">
        <f t="shared" si="82"/>
        <v>4.5129201649941608E-2</v>
      </c>
      <c r="L466" s="130"/>
      <c r="M466" s="140">
        <v>0</v>
      </c>
      <c r="N466" s="140"/>
      <c r="O466" s="140">
        <f t="shared" si="84"/>
        <v>0</v>
      </c>
      <c r="P466" s="140"/>
      <c r="Q466" s="140"/>
      <c r="S466" s="593"/>
      <c r="U466" s="588"/>
      <c r="V466" s="587"/>
      <c r="W466" s="589"/>
      <c r="Y466" s="605"/>
      <c r="Z466" s="605"/>
    </row>
    <row r="467" spans="1:26">
      <c r="A467" s="143"/>
      <c r="B467" s="130"/>
      <c r="C467" s="484"/>
      <c r="D467" s="130"/>
      <c r="E467" s="143"/>
      <c r="F467" s="143"/>
      <c r="G467" s="130"/>
      <c r="H467" s="130"/>
      <c r="I467" s="598"/>
      <c r="J467" s="598"/>
      <c r="K467" s="599"/>
      <c r="L467" s="130"/>
      <c r="M467" s="140"/>
      <c r="N467" s="140"/>
      <c r="O467" s="140"/>
      <c r="P467" s="140"/>
      <c r="Q467" s="140"/>
    </row>
    <row r="468" spans="1:26">
      <c r="A468" s="143">
        <f>A466+1</f>
        <v>254</v>
      </c>
      <c r="B468" s="130"/>
      <c r="C468" s="604" t="s">
        <v>347</v>
      </c>
      <c r="D468" s="130"/>
      <c r="E468" s="143" t="s">
        <v>286</v>
      </c>
      <c r="F468" s="143"/>
      <c r="G468" s="598">
        <v>1.2E-2</v>
      </c>
      <c r="H468" s="130"/>
      <c r="I468" s="598">
        <v>1.2323582117563655E-2</v>
      </c>
      <c r="J468" s="598"/>
      <c r="K468" s="610">
        <f t="shared" si="82"/>
        <v>3.2358211756365433E-4</v>
      </c>
      <c r="L468" s="130"/>
      <c r="M468" s="219">
        <v>1105201.6400000001</v>
      </c>
      <c r="N468" s="219"/>
      <c r="O468" s="219">
        <f t="shared" si="84"/>
        <v>0.35762348700602359</v>
      </c>
      <c r="P468" s="219"/>
      <c r="Q468" s="219"/>
      <c r="S468" s="593"/>
      <c r="U468" s="588"/>
      <c r="V468" s="587"/>
      <c r="W468" s="589"/>
      <c r="Y468" s="605"/>
      <c r="Z468" s="605"/>
    </row>
    <row r="469" spans="1:26">
      <c r="A469" s="143"/>
      <c r="B469" s="130"/>
      <c r="C469" s="604"/>
      <c r="D469" s="130"/>
      <c r="E469" s="143"/>
      <c r="F469" s="143"/>
      <c r="G469" s="598"/>
      <c r="H469" s="130"/>
      <c r="I469" s="598"/>
      <c r="J469" s="598"/>
      <c r="K469" s="610"/>
      <c r="L469" s="130"/>
      <c r="M469" s="219"/>
      <c r="N469" s="219"/>
      <c r="O469" s="219"/>
      <c r="P469" s="219"/>
      <c r="Q469" s="219"/>
    </row>
    <row r="470" spans="1:26">
      <c r="A470" s="143">
        <f>A468+1</f>
        <v>255</v>
      </c>
      <c r="B470" s="130"/>
      <c r="C470" s="484" t="s">
        <v>348</v>
      </c>
      <c r="D470" s="130"/>
      <c r="E470" s="143" t="s">
        <v>286</v>
      </c>
      <c r="F470" s="143"/>
      <c r="G470" s="130">
        <v>5.3090000000000002</v>
      </c>
      <c r="H470" s="130"/>
      <c r="I470" s="598">
        <v>5.7433187992280264</v>
      </c>
      <c r="J470" s="598"/>
      <c r="K470" s="610">
        <f t="shared" si="82"/>
        <v>0.43431879922802619</v>
      </c>
      <c r="L470" s="130"/>
      <c r="M470" s="219">
        <v>4918.16</v>
      </c>
      <c r="N470" s="219"/>
      <c r="O470" s="219">
        <f t="shared" si="84"/>
        <v>2.1360493456113092</v>
      </c>
      <c r="P470" s="219"/>
      <c r="Q470" s="219"/>
      <c r="S470" s="593"/>
      <c r="U470" s="588"/>
      <c r="V470" s="587"/>
      <c r="W470" s="589"/>
      <c r="Y470" s="605"/>
      <c r="Z470" s="605"/>
    </row>
    <row r="471" spans="1:26">
      <c r="A471" s="143">
        <f>A470+1</f>
        <v>256</v>
      </c>
      <c r="B471" s="130"/>
      <c r="C471" s="130" t="s">
        <v>349</v>
      </c>
      <c r="D471" s="130"/>
      <c r="E471" s="143"/>
      <c r="F471" s="143"/>
      <c r="G471" s="573"/>
      <c r="H471" s="130"/>
      <c r="I471" s="573"/>
      <c r="J471" s="130"/>
      <c r="K471" s="579"/>
      <c r="L471" s="130"/>
      <c r="M471" s="140"/>
      <c r="N471" s="140"/>
      <c r="O471" s="140"/>
      <c r="P471" s="140"/>
      <c r="Q471" s="140">
        <f>SUM(O461:O470)</f>
        <v>15.359581229032823</v>
      </c>
    </row>
    <row r="472" spans="1:26">
      <c r="A472" s="143"/>
      <c r="B472" s="130"/>
      <c r="C472" s="130"/>
      <c r="D472" s="130"/>
      <c r="E472" s="143"/>
      <c r="F472" s="143"/>
      <c r="G472" s="573"/>
      <c r="H472" s="130"/>
      <c r="I472" s="583"/>
      <c r="J472" s="130"/>
      <c r="K472" s="579"/>
      <c r="L472" s="130"/>
      <c r="M472" s="140"/>
      <c r="N472" s="140"/>
      <c r="O472" s="140"/>
      <c r="P472" s="140"/>
      <c r="Q472" s="140"/>
    </row>
    <row r="473" spans="1:26" ht="13.5" thickBot="1">
      <c r="A473" s="143">
        <f>A471+1</f>
        <v>257</v>
      </c>
      <c r="B473" s="130"/>
      <c r="C473" s="130" t="s">
        <v>350</v>
      </c>
      <c r="D473" s="130"/>
      <c r="E473" s="143"/>
      <c r="F473" s="143"/>
      <c r="G473" s="573"/>
      <c r="H473" s="130"/>
      <c r="I473" s="573"/>
      <c r="J473" s="130"/>
      <c r="K473" s="586"/>
      <c r="L473" s="130"/>
      <c r="M473" s="140"/>
      <c r="N473" s="140"/>
      <c r="O473" s="578">
        <f>O461+O463+O464+O465+O466+O468+O469+O470+O447+O448+O450+O451+O453+O454+O444+O456</f>
        <v>-98.003057685134664</v>
      </c>
      <c r="P473" s="140"/>
      <c r="Q473" s="578">
        <f>SUM(Q444:Q471)</f>
        <v>-98.003057685134678</v>
      </c>
      <c r="V473" s="208"/>
    </row>
    <row r="474" spans="1:26" ht="13.5" thickTop="1">
      <c r="A474" s="143"/>
      <c r="B474" s="130"/>
      <c r="C474" s="130"/>
      <c r="D474" s="130"/>
      <c r="E474" s="143"/>
      <c r="F474" s="143"/>
      <c r="G474" s="573"/>
      <c r="H474" s="130"/>
      <c r="I474" s="573"/>
      <c r="J474" s="130"/>
      <c r="K474" s="586"/>
      <c r="L474" s="130"/>
      <c r="M474" s="140"/>
      <c r="N474" s="140"/>
      <c r="O474" s="577"/>
      <c r="P474" s="140"/>
      <c r="Q474" s="577"/>
    </row>
    <row r="475" spans="1:26">
      <c r="A475" s="143"/>
      <c r="B475" s="130"/>
      <c r="C475" s="130"/>
      <c r="D475" s="130"/>
      <c r="E475" s="143"/>
      <c r="F475" s="143"/>
      <c r="G475" s="130"/>
      <c r="H475" s="130"/>
      <c r="I475" s="130"/>
      <c r="J475" s="130"/>
      <c r="K475" s="579"/>
      <c r="L475" s="130"/>
      <c r="M475" s="140"/>
      <c r="N475" s="140"/>
      <c r="O475" s="140"/>
      <c r="P475" s="140"/>
      <c r="Q475" s="140"/>
    </row>
    <row r="476" spans="1:26">
      <c r="A476" s="130"/>
      <c r="B476" s="130"/>
      <c r="C476" s="130"/>
      <c r="D476" s="130"/>
      <c r="E476" s="130"/>
      <c r="F476" s="130"/>
      <c r="G476" s="130"/>
      <c r="H476" s="130"/>
      <c r="I476" s="130"/>
      <c r="J476" s="130"/>
      <c r="K476" s="130"/>
      <c r="L476" s="130"/>
      <c r="M476" s="130"/>
      <c r="N476" s="130"/>
      <c r="O476" s="130"/>
      <c r="P476" s="130"/>
      <c r="Q476" s="130"/>
    </row>
    <row r="477" spans="1:26">
      <c r="A477" s="1295" t="s">
        <v>191</v>
      </c>
      <c r="B477" s="1305"/>
      <c r="C477" s="1305"/>
      <c r="D477" s="1305"/>
      <c r="E477" s="1305"/>
      <c r="F477" s="1305"/>
      <c r="G477" s="1305"/>
      <c r="H477" s="1305"/>
      <c r="I477" s="1305"/>
      <c r="J477" s="1305"/>
      <c r="K477" s="1305"/>
      <c r="L477" s="1305"/>
      <c r="M477" s="1305"/>
      <c r="N477" s="1305"/>
      <c r="O477" s="1305"/>
      <c r="P477" s="1305"/>
      <c r="Q477" s="1305"/>
    </row>
    <row r="478" spans="1:26">
      <c r="A478" s="1295" t="s">
        <v>228</v>
      </c>
      <c r="B478" s="1295"/>
      <c r="C478" s="1295"/>
      <c r="D478" s="1295"/>
      <c r="E478" s="1295"/>
      <c r="F478" s="1295"/>
      <c r="G478" s="1295"/>
      <c r="H478" s="1295"/>
      <c r="I478" s="1295"/>
      <c r="J478" s="1295"/>
      <c r="K478" s="1295"/>
      <c r="L478" s="1295"/>
      <c r="M478" s="1295"/>
      <c r="N478" s="1295"/>
      <c r="O478" s="1295"/>
      <c r="P478" s="1295"/>
      <c r="Q478" s="1295"/>
    </row>
    <row r="479" spans="1:26">
      <c r="A479" s="143"/>
      <c r="B479" s="130"/>
      <c r="C479" s="130"/>
      <c r="D479" s="130"/>
      <c r="E479" s="130"/>
      <c r="F479" s="130"/>
      <c r="G479" s="143"/>
      <c r="H479" s="143"/>
      <c r="I479" s="143"/>
      <c r="J479" s="130"/>
      <c r="K479" s="143"/>
      <c r="L479" s="130"/>
      <c r="M479" s="143"/>
      <c r="N479" s="130"/>
      <c r="O479" s="130"/>
      <c r="P479" s="130"/>
      <c r="Q479" s="130"/>
    </row>
    <row r="480" spans="1:26">
      <c r="A480" s="143"/>
      <c r="B480" s="130"/>
      <c r="C480" s="130"/>
      <c r="D480" s="130"/>
      <c r="E480" s="130"/>
      <c r="F480" s="130"/>
      <c r="G480" s="130"/>
      <c r="H480" s="130"/>
      <c r="I480" s="130"/>
      <c r="J480" s="130"/>
      <c r="K480" s="130"/>
      <c r="L480" s="130"/>
      <c r="M480" s="130"/>
      <c r="N480" s="130"/>
      <c r="O480" s="143" t="s">
        <v>192</v>
      </c>
      <c r="P480" s="130"/>
      <c r="Q480" s="143" t="s">
        <v>160</v>
      </c>
    </row>
    <row r="481" spans="1:26">
      <c r="A481" s="143" t="s">
        <v>1</v>
      </c>
      <c r="B481" s="130"/>
      <c r="C481" s="130"/>
      <c r="D481" s="130"/>
      <c r="E481" s="130"/>
      <c r="F481" s="130"/>
      <c r="G481" s="143" t="s">
        <v>5</v>
      </c>
      <c r="H481" s="130"/>
      <c r="I481" s="143" t="s">
        <v>6</v>
      </c>
      <c r="J481" s="130"/>
      <c r="K481" s="143" t="s">
        <v>148</v>
      </c>
      <c r="L481" s="130"/>
      <c r="M481" s="143" t="s">
        <v>193</v>
      </c>
      <c r="N481" s="130"/>
      <c r="O481" s="143" t="s">
        <v>194</v>
      </c>
      <c r="P481" s="130"/>
      <c r="Q481" s="143" t="s">
        <v>195</v>
      </c>
    </row>
    <row r="482" spans="1:26">
      <c r="A482" s="215" t="s">
        <v>2</v>
      </c>
      <c r="B482" s="130"/>
      <c r="C482" s="450" t="s">
        <v>3</v>
      </c>
      <c r="D482" s="130"/>
      <c r="E482" s="215" t="s">
        <v>4</v>
      </c>
      <c r="F482" s="143"/>
      <c r="G482" s="215" t="s">
        <v>196</v>
      </c>
      <c r="H482" s="130"/>
      <c r="I482" s="215" t="s">
        <v>197</v>
      </c>
      <c r="J482" s="130"/>
      <c r="K482" s="215" t="s">
        <v>194</v>
      </c>
      <c r="L482" s="130"/>
      <c r="M482" s="215" t="s">
        <v>198</v>
      </c>
      <c r="N482" s="130"/>
      <c r="O482" s="215" t="s">
        <v>20</v>
      </c>
      <c r="P482" s="130"/>
      <c r="Q482" s="215" t="s">
        <v>20</v>
      </c>
    </row>
    <row r="483" spans="1:26">
      <c r="A483" s="143"/>
      <c r="B483" s="130"/>
      <c r="C483" s="130"/>
      <c r="D483" s="130"/>
      <c r="E483" s="130"/>
      <c r="F483" s="130"/>
      <c r="G483" s="218" t="s">
        <v>8</v>
      </c>
      <c r="H483" s="143"/>
      <c r="I483" s="218" t="s">
        <v>9</v>
      </c>
      <c r="J483" s="143"/>
      <c r="K483" s="218" t="s">
        <v>10</v>
      </c>
      <c r="L483" s="130"/>
      <c r="M483" s="218" t="s">
        <v>79</v>
      </c>
      <c r="N483" s="130"/>
      <c r="O483" s="218" t="s">
        <v>199</v>
      </c>
      <c r="P483" s="130"/>
      <c r="Q483" s="143" t="s">
        <v>81</v>
      </c>
    </row>
    <row r="484" spans="1:26">
      <c r="A484" s="143"/>
      <c r="B484" s="130"/>
      <c r="C484" s="546" t="s">
        <v>185</v>
      </c>
      <c r="D484" s="130"/>
      <c r="E484" s="143"/>
      <c r="F484" s="143"/>
      <c r="G484" s="573"/>
      <c r="H484" s="130"/>
      <c r="I484" s="583"/>
      <c r="J484" s="130"/>
      <c r="K484" s="579"/>
      <c r="L484" s="130"/>
      <c r="M484" s="140"/>
      <c r="N484" s="140"/>
      <c r="O484" s="140"/>
      <c r="P484" s="140"/>
      <c r="Q484" s="140"/>
    </row>
    <row r="485" spans="1:26">
      <c r="A485" s="143">
        <f>A473+1</f>
        <v>258</v>
      </c>
      <c r="B485" s="130"/>
      <c r="C485" s="130" t="s">
        <v>328</v>
      </c>
      <c r="D485" s="130"/>
      <c r="E485" s="143" t="s">
        <v>201</v>
      </c>
      <c r="F485" s="143"/>
      <c r="G485" s="128">
        <v>6803.81</v>
      </c>
      <c r="H485" s="584"/>
      <c r="I485" s="128">
        <v>6987.2759372750643</v>
      </c>
      <c r="J485" s="584"/>
      <c r="K485" s="128">
        <f>I485-G485</f>
        <v>183.46593727506388</v>
      </c>
      <c r="L485" s="130"/>
      <c r="M485" s="140">
        <v>164.99999999999994</v>
      </c>
      <c r="N485" s="140"/>
      <c r="O485" s="140">
        <f>K485*M485/1000</f>
        <v>30.271879650385529</v>
      </c>
      <c r="P485" s="140"/>
      <c r="Q485" s="140">
        <f>O485</f>
        <v>30.271879650385529</v>
      </c>
      <c r="S485" s="593"/>
      <c r="U485" s="571"/>
      <c r="Y485" s="605"/>
      <c r="Z485" s="605"/>
    </row>
    <row r="486" spans="1:26">
      <c r="A486" s="143"/>
      <c r="B486" s="130"/>
      <c r="C486" s="130" t="s">
        <v>329</v>
      </c>
      <c r="D486" s="130"/>
      <c r="E486" s="143"/>
      <c r="F486" s="143"/>
      <c r="G486" s="573"/>
      <c r="H486" s="130"/>
      <c r="I486" s="583"/>
      <c r="J486" s="130"/>
      <c r="K486" s="579"/>
      <c r="L486" s="130"/>
      <c r="M486" s="140"/>
      <c r="N486" s="140"/>
      <c r="O486" s="140"/>
      <c r="P486" s="140"/>
      <c r="Q486" s="140"/>
    </row>
    <row r="487" spans="1:26">
      <c r="A487" s="143"/>
      <c r="B487" s="130"/>
      <c r="C487" s="484" t="s">
        <v>330</v>
      </c>
      <c r="D487" s="130"/>
      <c r="E487" s="143"/>
      <c r="F487" s="143"/>
      <c r="G487" s="573"/>
      <c r="H487" s="130"/>
      <c r="I487" s="583"/>
      <c r="J487" s="130"/>
      <c r="K487" s="579"/>
      <c r="L487" s="130"/>
      <c r="M487" s="140"/>
      <c r="N487" s="140"/>
      <c r="O487" s="140"/>
      <c r="P487" s="140"/>
      <c r="Q487" s="140"/>
    </row>
    <row r="488" spans="1:26">
      <c r="A488" s="143">
        <f>A485+1</f>
        <v>259</v>
      </c>
      <c r="B488" s="130"/>
      <c r="C488" s="604" t="s">
        <v>351</v>
      </c>
      <c r="D488" s="130"/>
      <c r="E488" s="143" t="s">
        <v>222</v>
      </c>
      <c r="F488" s="143"/>
      <c r="G488" s="573">
        <v>33.160600000000002</v>
      </c>
      <c r="H488" s="130"/>
      <c r="I488" s="573">
        <v>33.249587166831333</v>
      </c>
      <c r="J488" s="130"/>
      <c r="K488" s="579">
        <f>I488-G488</f>
        <v>8.8987166831330455E-2</v>
      </c>
      <c r="L488" s="130"/>
      <c r="M488" s="140">
        <v>19829.498</v>
      </c>
      <c r="N488" s="140"/>
      <c r="O488" s="140">
        <f>K488*M488/100</f>
        <v>17.645708467075334</v>
      </c>
      <c r="P488" s="140"/>
      <c r="Q488" s="140"/>
      <c r="S488" s="593"/>
      <c r="U488" s="588"/>
      <c r="V488" s="587"/>
      <c r="W488" s="589"/>
      <c r="Y488" s="605"/>
      <c r="Z488" s="605"/>
    </row>
    <row r="489" spans="1:26">
      <c r="A489" s="143">
        <f>A488+1</f>
        <v>260</v>
      </c>
      <c r="B489" s="130"/>
      <c r="C489" s="604" t="s">
        <v>352</v>
      </c>
      <c r="D489" s="130"/>
      <c r="E489" s="143" t="s">
        <v>222</v>
      </c>
      <c r="F489" s="143"/>
      <c r="G489" s="573">
        <v>18.477399999999999</v>
      </c>
      <c r="H489" s="130"/>
      <c r="I489" s="573">
        <v>18.603013150091311</v>
      </c>
      <c r="J489" s="130"/>
      <c r="K489" s="579">
        <f>I489-G489</f>
        <v>0.12561315009131135</v>
      </c>
      <c r="L489" s="130"/>
      <c r="M489" s="140">
        <v>81850.91</v>
      </c>
      <c r="N489" s="140"/>
      <c r="O489" s="140">
        <f>K489*M489/100</f>
        <v>102.81550642940418</v>
      </c>
      <c r="P489" s="140"/>
      <c r="Q489" s="140"/>
      <c r="S489" s="593"/>
      <c r="U489" s="588"/>
      <c r="V489" s="587"/>
      <c r="W489" s="589"/>
      <c r="Y489" s="605"/>
      <c r="Z489" s="605"/>
    </row>
    <row r="490" spans="1:26">
      <c r="A490" s="143"/>
      <c r="B490" s="130"/>
      <c r="C490" s="484" t="s">
        <v>333</v>
      </c>
      <c r="D490" s="130"/>
      <c r="E490" s="143"/>
      <c r="F490" s="143"/>
      <c r="G490" s="573"/>
      <c r="H490" s="130"/>
      <c r="I490" s="583"/>
      <c r="J490" s="130"/>
      <c r="K490" s="579"/>
      <c r="L490" s="130"/>
      <c r="M490" s="140"/>
      <c r="N490" s="140"/>
      <c r="O490" s="140"/>
      <c r="P490" s="140"/>
      <c r="Q490" s="140"/>
    </row>
    <row r="491" spans="1:26">
      <c r="A491" s="143">
        <f>A489+1</f>
        <v>261</v>
      </c>
      <c r="B491" s="130"/>
      <c r="C491" s="604" t="s">
        <v>334</v>
      </c>
      <c r="D491" s="130"/>
      <c r="E491" s="143" t="s">
        <v>204</v>
      </c>
      <c r="F491" s="143"/>
      <c r="G491" s="573">
        <v>3.0599999999999999E-2</v>
      </c>
      <c r="H491" s="130"/>
      <c r="I491" s="573">
        <v>2.8900084448025175E-2</v>
      </c>
      <c r="J491" s="130"/>
      <c r="K491" s="579">
        <f>I491-G491</f>
        <v>-1.6999155519748232E-3</v>
      </c>
      <c r="L491" s="130"/>
      <c r="M491" s="140">
        <v>1616633.3569799999</v>
      </c>
      <c r="N491" s="140"/>
      <c r="O491" s="140">
        <f>K491*M491/100</f>
        <v>-27.481401853715678</v>
      </c>
      <c r="P491" s="140"/>
      <c r="Q491" s="140"/>
      <c r="S491" s="593"/>
      <c r="U491" s="588"/>
      <c r="V491" s="587"/>
      <c r="W491" s="589"/>
      <c r="Y491" s="605"/>
      <c r="Z491" s="605"/>
    </row>
    <row r="492" spans="1:26">
      <c r="A492" s="143">
        <f>A491+1</f>
        <v>262</v>
      </c>
      <c r="B492" s="130"/>
      <c r="C492" s="604" t="s">
        <v>335</v>
      </c>
      <c r="D492" s="130"/>
      <c r="E492" s="143" t="s">
        <v>204</v>
      </c>
      <c r="F492" s="143"/>
      <c r="G492" s="573">
        <v>2.7176999999999998</v>
      </c>
      <c r="H492" s="130"/>
      <c r="I492" s="573">
        <v>2.8347253577668186</v>
      </c>
      <c r="J492" s="130"/>
      <c r="K492" s="579">
        <f>I492-G492</f>
        <v>0.11702535776681877</v>
      </c>
      <c r="L492" s="130"/>
      <c r="M492" s="140">
        <v>22921.857660000001</v>
      </c>
      <c r="N492" s="140"/>
      <c r="O492" s="140">
        <f>K492*M492/100</f>
        <v>26.824385933415957</v>
      </c>
      <c r="P492" s="140"/>
      <c r="Q492" s="140"/>
      <c r="S492" s="593"/>
      <c r="U492" s="588"/>
      <c r="V492" s="587"/>
      <c r="W492" s="589"/>
      <c r="Y492" s="605"/>
      <c r="Z492" s="605"/>
    </row>
    <row r="493" spans="1:26">
      <c r="A493" s="143"/>
      <c r="B493" s="130"/>
      <c r="C493" s="604"/>
      <c r="D493" s="130"/>
      <c r="E493" s="143"/>
      <c r="F493" s="143"/>
      <c r="G493" s="130"/>
      <c r="H493" s="130"/>
      <c r="I493" s="130"/>
      <c r="J493" s="130"/>
      <c r="K493" s="579"/>
      <c r="L493" s="130"/>
      <c r="M493" s="140"/>
      <c r="N493" s="140"/>
      <c r="O493" s="140"/>
      <c r="P493" s="140"/>
      <c r="Q493" s="140"/>
    </row>
    <row r="494" spans="1:26">
      <c r="A494" s="143">
        <f>A492+1</f>
        <v>263</v>
      </c>
      <c r="B494" s="130"/>
      <c r="C494" s="484" t="s">
        <v>309</v>
      </c>
      <c r="D494" s="130"/>
      <c r="E494" s="143" t="s">
        <v>204</v>
      </c>
      <c r="F494" s="143"/>
      <c r="G494" s="573">
        <v>3.0599999999999999E-2</v>
      </c>
      <c r="H494" s="130"/>
      <c r="I494" s="573">
        <v>2.8900084448025182E-2</v>
      </c>
      <c r="J494" s="130"/>
      <c r="K494" s="586">
        <f>I494-G494</f>
        <v>-1.6999155519748163E-3</v>
      </c>
      <c r="L494" s="130"/>
      <c r="M494" s="219">
        <v>0</v>
      </c>
      <c r="N494" s="219"/>
      <c r="O494" s="219">
        <f>K494*M494/100</f>
        <v>0</v>
      </c>
      <c r="P494" s="219"/>
      <c r="Q494" s="219"/>
      <c r="U494" s="588"/>
      <c r="V494" s="587"/>
      <c r="W494" s="589"/>
    </row>
    <row r="495" spans="1:26">
      <c r="A495" s="143">
        <f>A494+1</f>
        <v>264</v>
      </c>
      <c r="B495" s="130"/>
      <c r="C495" s="484" t="s">
        <v>336</v>
      </c>
      <c r="D495" s="130"/>
      <c r="E495" s="143" t="s">
        <v>204</v>
      </c>
      <c r="F495" s="143"/>
      <c r="G495" s="573">
        <v>3.2397999999999998</v>
      </c>
      <c r="H495" s="130"/>
      <c r="I495" s="573">
        <v>3.3709038919158019</v>
      </c>
      <c r="J495" s="130"/>
      <c r="K495" s="586">
        <f>I495-G495</f>
        <v>0.13110389191580207</v>
      </c>
      <c r="L495" s="130"/>
      <c r="M495" s="219">
        <v>0</v>
      </c>
      <c r="N495" s="219"/>
      <c r="O495" s="219">
        <f>K495*M495/100</f>
        <v>0</v>
      </c>
      <c r="P495" s="219"/>
      <c r="Q495" s="219"/>
      <c r="U495" s="588"/>
      <c r="V495" s="587"/>
      <c r="W495" s="589"/>
    </row>
    <row r="496" spans="1:26">
      <c r="A496" s="143"/>
      <c r="B496" s="130"/>
      <c r="C496" s="604"/>
      <c r="D496" s="130"/>
      <c r="E496" s="143"/>
      <c r="F496" s="143"/>
      <c r="G496" s="130"/>
      <c r="H496" s="130"/>
      <c r="I496" s="130"/>
      <c r="J496" s="130"/>
      <c r="K496" s="579"/>
      <c r="L496" s="130"/>
      <c r="M496" s="140"/>
      <c r="N496" s="140"/>
      <c r="O496" s="140"/>
      <c r="P496" s="140"/>
      <c r="Q496" s="140"/>
    </row>
    <row r="497" spans="1:26">
      <c r="A497" s="143">
        <f>A495+1</f>
        <v>265</v>
      </c>
      <c r="B497" s="130"/>
      <c r="C497" s="423" t="s">
        <v>337</v>
      </c>
      <c r="D497" s="130"/>
      <c r="E497" s="143" t="s">
        <v>286</v>
      </c>
      <c r="F497" s="143"/>
      <c r="G497" s="130">
        <v>5.3090000000000002</v>
      </c>
      <c r="H497" s="130"/>
      <c r="I497" s="598">
        <v>6.247629189323721</v>
      </c>
      <c r="J497" s="130"/>
      <c r="K497" s="586">
        <f>I497-G497</f>
        <v>0.93862918932372086</v>
      </c>
      <c r="L497" s="130"/>
      <c r="M497" s="219">
        <v>198314.28000000003</v>
      </c>
      <c r="N497" s="219"/>
      <c r="O497" s="219">
        <f t="shared" ref="O497" si="86">K497*M497/1000</f>
        <v>186.14357186771741</v>
      </c>
      <c r="P497" s="219"/>
      <c r="Q497" s="219"/>
      <c r="S497" s="593"/>
      <c r="U497" s="588"/>
      <c r="V497" s="587"/>
      <c r="W497" s="589"/>
    </row>
    <row r="498" spans="1:26">
      <c r="A498" s="143">
        <f>A497+1</f>
        <v>266</v>
      </c>
      <c r="B498" s="130"/>
      <c r="C498" s="130" t="s">
        <v>338</v>
      </c>
      <c r="D498" s="130"/>
      <c r="E498" s="130"/>
      <c r="F498" s="143"/>
      <c r="G498" s="573"/>
      <c r="H498" s="130"/>
      <c r="I498" s="573"/>
      <c r="J498" s="130"/>
      <c r="K498" s="582"/>
      <c r="L498" s="130"/>
      <c r="M498" s="140"/>
      <c r="N498" s="140"/>
      <c r="O498" s="140"/>
      <c r="P498" s="140"/>
      <c r="Q498" s="140">
        <f>SUM(O488:O497)</f>
        <v>305.94777084389722</v>
      </c>
    </row>
    <row r="499" spans="1:26">
      <c r="A499" s="143"/>
      <c r="B499" s="130"/>
      <c r="C499" s="130"/>
      <c r="D499" s="130"/>
      <c r="E499" s="143"/>
      <c r="F499" s="143"/>
      <c r="G499" s="611"/>
      <c r="H499" s="611"/>
      <c r="I499" s="611"/>
      <c r="J499" s="611"/>
      <c r="K499" s="612"/>
      <c r="L499" s="130"/>
      <c r="M499" s="140"/>
      <c r="N499" s="140"/>
      <c r="O499" s="140"/>
      <c r="P499" s="140"/>
      <c r="Q499" s="140"/>
    </row>
    <row r="500" spans="1:26">
      <c r="A500" s="143"/>
      <c r="B500" s="130"/>
      <c r="C500" s="130" t="s">
        <v>339</v>
      </c>
      <c r="D500" s="130"/>
      <c r="E500" s="143"/>
      <c r="F500" s="143"/>
      <c r="G500" s="573"/>
      <c r="H500" s="130"/>
      <c r="I500" s="583"/>
      <c r="J500" s="130"/>
      <c r="K500" s="579"/>
      <c r="L500" s="130"/>
      <c r="M500" s="140"/>
      <c r="N500" s="140"/>
      <c r="O500" s="140"/>
      <c r="P500" s="140"/>
      <c r="Q500" s="140"/>
    </row>
    <row r="501" spans="1:26">
      <c r="A501" s="143"/>
      <c r="B501" s="130"/>
      <c r="C501" s="484" t="s">
        <v>353</v>
      </c>
      <c r="D501" s="130"/>
      <c r="E501" s="130"/>
      <c r="F501" s="143"/>
      <c r="G501" s="573"/>
      <c r="H501" s="130"/>
      <c r="I501" s="583"/>
      <c r="J501" s="130"/>
      <c r="K501" s="579"/>
      <c r="L501" s="130"/>
      <c r="M501" s="140"/>
      <c r="N501" s="140"/>
      <c r="O501" s="140"/>
      <c r="P501" s="140"/>
      <c r="Q501" s="140"/>
    </row>
    <row r="502" spans="1:26">
      <c r="A502" s="143">
        <f>A498+1</f>
        <v>267</v>
      </c>
      <c r="B502" s="130"/>
      <c r="C502" s="604" t="s">
        <v>341</v>
      </c>
      <c r="D502" s="130"/>
      <c r="E502" s="143" t="s">
        <v>284</v>
      </c>
      <c r="F502" s="143"/>
      <c r="G502" s="573">
        <v>1.2E-2</v>
      </c>
      <c r="H502" s="130"/>
      <c r="I502" s="573">
        <v>1.2323582117563655E-2</v>
      </c>
      <c r="J502" s="130"/>
      <c r="K502" s="579">
        <f>I502-G502</f>
        <v>3.2358211756365433E-4</v>
      </c>
      <c r="L502" s="130"/>
      <c r="M502" s="140">
        <v>37609982</v>
      </c>
      <c r="N502" s="140"/>
      <c r="O502" s="140">
        <f t="shared" ref="O502" si="87">K502*M502/1000</f>
        <v>12.169917617090924</v>
      </c>
      <c r="P502" s="140"/>
      <c r="Q502" s="140"/>
      <c r="S502" s="593"/>
      <c r="U502" s="588"/>
      <c r="V502" s="587"/>
      <c r="W502" s="589"/>
      <c r="Y502" s="605"/>
      <c r="Z502" s="605"/>
    </row>
    <row r="503" spans="1:26">
      <c r="A503" s="143"/>
      <c r="B503" s="130"/>
      <c r="C503" s="484" t="s">
        <v>342</v>
      </c>
      <c r="D503" s="130"/>
      <c r="E503" s="143"/>
      <c r="F503" s="143"/>
      <c r="G503" s="609"/>
      <c r="H503" s="130"/>
      <c r="I503" s="548"/>
      <c r="J503" s="130"/>
      <c r="K503" s="579"/>
      <c r="L503" s="130"/>
      <c r="M503" s="140"/>
      <c r="N503" s="140"/>
      <c r="O503" s="140"/>
      <c r="P503" s="140"/>
      <c r="Q503" s="140"/>
    </row>
    <row r="504" spans="1:26">
      <c r="A504" s="143">
        <f>A502+1</f>
        <v>268</v>
      </c>
      <c r="B504" s="130"/>
      <c r="C504" s="604" t="s">
        <v>343</v>
      </c>
      <c r="D504" s="130"/>
      <c r="E504" s="143" t="s">
        <v>284</v>
      </c>
      <c r="F504" s="143"/>
      <c r="G504" s="598">
        <v>1.8779999999999999</v>
      </c>
      <c r="H504" s="130"/>
      <c r="I504" s="573">
        <v>1.9259999999999999</v>
      </c>
      <c r="J504" s="130"/>
      <c r="K504" s="579">
        <f>I504-G504</f>
        <v>4.8000000000000043E-2</v>
      </c>
      <c r="L504" s="130"/>
      <c r="M504" s="140">
        <v>782230</v>
      </c>
      <c r="N504" s="140"/>
      <c r="O504" s="140">
        <f t="shared" ref="O504:O511" si="88">K504*M504/1000</f>
        <v>37.547040000000031</v>
      </c>
      <c r="P504" s="140"/>
      <c r="Q504" s="140"/>
      <c r="S504" s="593"/>
      <c r="U504" s="588"/>
      <c r="V504" s="587"/>
      <c r="W504" s="589"/>
      <c r="Y504" s="605"/>
      <c r="Z504" s="605"/>
    </row>
    <row r="505" spans="1:26">
      <c r="A505" s="143">
        <f>A504+1</f>
        <v>269</v>
      </c>
      <c r="B505" s="130"/>
      <c r="C505" s="604" t="s">
        <v>344</v>
      </c>
      <c r="D505" s="130"/>
      <c r="E505" s="143" t="s">
        <v>284</v>
      </c>
      <c r="F505" s="143"/>
      <c r="G505" s="598">
        <v>1.4730000000000001</v>
      </c>
      <c r="H505" s="130"/>
      <c r="I505" s="573">
        <v>1.5181292016499417</v>
      </c>
      <c r="J505" s="130"/>
      <c r="K505" s="579">
        <f>I505-G505</f>
        <v>4.5129201649941608E-2</v>
      </c>
      <c r="L505" s="130"/>
      <c r="M505" s="140">
        <v>300000</v>
      </c>
      <c r="N505" s="140"/>
      <c r="O505" s="140">
        <f t="shared" si="88"/>
        <v>13.538760494982482</v>
      </c>
      <c r="P505" s="140"/>
      <c r="Q505" s="140"/>
      <c r="S505" s="593"/>
      <c r="U505" s="588"/>
      <c r="V505" s="587"/>
      <c r="W505" s="589"/>
      <c r="Y505" s="605"/>
      <c r="Z505" s="605"/>
    </row>
    <row r="506" spans="1:26">
      <c r="A506" s="143">
        <f t="shared" ref="A506:A507" si="89">A505+1</f>
        <v>270</v>
      </c>
      <c r="B506" s="130"/>
      <c r="C506" s="604" t="s">
        <v>345</v>
      </c>
      <c r="D506" s="130"/>
      <c r="E506" s="143" t="s">
        <v>284</v>
      </c>
      <c r="F506" s="143"/>
      <c r="G506" s="598">
        <v>1.4730000000000001</v>
      </c>
      <c r="H506" s="130"/>
      <c r="I506" s="573">
        <v>1.5181292016499417</v>
      </c>
      <c r="J506" s="130"/>
      <c r="K506" s="579">
        <f>I506-G506</f>
        <v>4.5129201649941608E-2</v>
      </c>
      <c r="L506" s="130"/>
      <c r="M506" s="140">
        <v>4000</v>
      </c>
      <c r="N506" s="140"/>
      <c r="O506" s="140">
        <f t="shared" si="88"/>
        <v>0.18051680659976643</v>
      </c>
      <c r="P506" s="140"/>
      <c r="Q506" s="140"/>
      <c r="S506" s="593"/>
      <c r="U506" s="588"/>
      <c r="V506" s="587"/>
      <c r="W506" s="589"/>
      <c r="Y506" s="605"/>
      <c r="Z506" s="605"/>
    </row>
    <row r="507" spans="1:26">
      <c r="A507" s="143">
        <f t="shared" si="89"/>
        <v>271</v>
      </c>
      <c r="B507" s="130"/>
      <c r="C507" s="604" t="s">
        <v>346</v>
      </c>
      <c r="D507" s="130"/>
      <c r="E507" s="143" t="s">
        <v>284</v>
      </c>
      <c r="F507" s="143"/>
      <c r="G507" s="598">
        <v>1.4730000000000001</v>
      </c>
      <c r="H507" s="130"/>
      <c r="I507" s="573">
        <v>1.5181292016499417</v>
      </c>
      <c r="J507" s="130"/>
      <c r="K507" s="579">
        <f>I507-G507</f>
        <v>4.5129201649941608E-2</v>
      </c>
      <c r="L507" s="130"/>
      <c r="M507" s="140">
        <v>60000</v>
      </c>
      <c r="N507" s="140"/>
      <c r="O507" s="140">
        <f t="shared" si="88"/>
        <v>2.7077520989964965</v>
      </c>
      <c r="P507" s="140"/>
      <c r="Q507" s="140"/>
      <c r="S507" s="593"/>
      <c r="U507" s="588"/>
      <c r="V507" s="587"/>
      <c r="W507" s="589"/>
      <c r="Y507" s="605"/>
      <c r="Z507" s="605"/>
    </row>
    <row r="508" spans="1:26">
      <c r="A508" s="143"/>
      <c r="B508" s="130"/>
      <c r="C508" s="484"/>
      <c r="D508" s="130"/>
      <c r="E508" s="143"/>
      <c r="F508" s="143"/>
      <c r="G508" s="130"/>
      <c r="H508" s="130"/>
      <c r="I508" s="130"/>
      <c r="J508" s="130"/>
      <c r="K508" s="579"/>
      <c r="L508" s="130"/>
      <c r="M508" s="140"/>
      <c r="N508" s="140"/>
      <c r="O508" s="140"/>
      <c r="P508" s="140"/>
      <c r="Q508" s="140"/>
      <c r="Y508" s="605"/>
      <c r="Z508" s="605"/>
    </row>
    <row r="509" spans="1:26">
      <c r="A509" s="143">
        <f>A507+1</f>
        <v>272</v>
      </c>
      <c r="B509" s="130"/>
      <c r="C509" s="604" t="s">
        <v>347</v>
      </c>
      <c r="D509" s="130"/>
      <c r="E509" s="143" t="s">
        <v>286</v>
      </c>
      <c r="F509" s="143"/>
      <c r="G509" s="598">
        <v>1.2E-2</v>
      </c>
      <c r="H509" s="130"/>
      <c r="I509" s="573">
        <v>1.2323582117563656E-2</v>
      </c>
      <c r="J509" s="130"/>
      <c r="K509" s="579">
        <f>I509-G509</f>
        <v>3.2358211756365607E-4</v>
      </c>
      <c r="L509" s="130"/>
      <c r="M509" s="140">
        <v>9672118.9299999997</v>
      </c>
      <c r="N509" s="140"/>
      <c r="O509" s="140">
        <f t="shared" si="88"/>
        <v>3.1297247246969233</v>
      </c>
      <c r="P509" s="140"/>
      <c r="Q509" s="140"/>
      <c r="S509" s="593"/>
      <c r="U509" s="588"/>
      <c r="V509" s="587"/>
      <c r="W509" s="589"/>
      <c r="Y509" s="605"/>
      <c r="Z509" s="605"/>
    </row>
    <row r="510" spans="1:26">
      <c r="A510" s="143"/>
      <c r="B510" s="130"/>
      <c r="C510" s="604"/>
      <c r="D510" s="130"/>
      <c r="E510" s="143"/>
      <c r="F510" s="143"/>
      <c r="G510" s="598"/>
      <c r="H510" s="130"/>
      <c r="I510" s="583"/>
      <c r="J510" s="130"/>
      <c r="K510" s="586"/>
      <c r="L510" s="130"/>
      <c r="M510" s="219"/>
      <c r="N510" s="219"/>
      <c r="O510" s="219"/>
      <c r="P510" s="219"/>
      <c r="Q510" s="219"/>
    </row>
    <row r="511" spans="1:26">
      <c r="A511" s="143">
        <f>A509+1</f>
        <v>273</v>
      </c>
      <c r="B511" s="130"/>
      <c r="C511" s="484" t="s">
        <v>348</v>
      </c>
      <c r="D511" s="130"/>
      <c r="E511" s="143" t="s">
        <v>286</v>
      </c>
      <c r="F511" s="143"/>
      <c r="G511" s="130">
        <v>5.3090000000000002</v>
      </c>
      <c r="H511" s="130"/>
      <c r="I511" s="598">
        <v>5.9723563908413375</v>
      </c>
      <c r="J511" s="130"/>
      <c r="K511" s="586">
        <f>I511-G511</f>
        <v>0.66335639084133735</v>
      </c>
      <c r="L511" s="130"/>
      <c r="M511" s="219">
        <v>43040.95</v>
      </c>
      <c r="N511" s="219"/>
      <c r="O511" s="219">
        <f t="shared" si="88"/>
        <v>28.551489250382456</v>
      </c>
      <c r="P511" s="219"/>
      <c r="Q511" s="219"/>
      <c r="S511" s="593"/>
      <c r="U511" s="588"/>
      <c r="V511" s="587"/>
      <c r="W511" s="589"/>
      <c r="Y511" s="605"/>
      <c r="Z511" s="605"/>
    </row>
    <row r="512" spans="1:26">
      <c r="A512" s="143">
        <f>A511+1</f>
        <v>274</v>
      </c>
      <c r="B512" s="130"/>
      <c r="C512" s="130" t="s">
        <v>349</v>
      </c>
      <c r="D512" s="130"/>
      <c r="E512" s="130"/>
      <c r="F512" s="143"/>
      <c r="G512" s="573"/>
      <c r="H512" s="130"/>
      <c r="I512" s="573"/>
      <c r="J512" s="130"/>
      <c r="K512" s="591"/>
      <c r="L512" s="130"/>
      <c r="M512" s="613"/>
      <c r="N512" s="219"/>
      <c r="O512" s="219"/>
      <c r="P512" s="219"/>
      <c r="Q512" s="219">
        <f>SUM(O502:O511)</f>
        <v>97.825200992749089</v>
      </c>
    </row>
    <row r="513" spans="1:26">
      <c r="A513" s="143"/>
      <c r="B513" s="130"/>
      <c r="C513" s="130"/>
      <c r="D513" s="130"/>
      <c r="E513" s="143"/>
      <c r="F513" s="143"/>
      <c r="G513" s="573"/>
      <c r="H513" s="130"/>
      <c r="I513" s="583"/>
      <c r="J513" s="130"/>
      <c r="K513" s="579"/>
      <c r="L513" s="130"/>
      <c r="M513" s="140"/>
      <c r="N513" s="140"/>
      <c r="O513" s="140"/>
      <c r="P513" s="140"/>
      <c r="Q513" s="140"/>
    </row>
    <row r="514" spans="1:26" ht="13.5" thickBot="1">
      <c r="A514" s="143">
        <f>A512+1</f>
        <v>275</v>
      </c>
      <c r="B514" s="130"/>
      <c r="C514" s="130" t="s">
        <v>354</v>
      </c>
      <c r="D514" s="130"/>
      <c r="E514" s="143"/>
      <c r="F514" s="143"/>
      <c r="G514" s="573"/>
      <c r="H514" s="130"/>
      <c r="I514" s="573"/>
      <c r="J514" s="130"/>
      <c r="K514" s="582"/>
      <c r="L514" s="130"/>
      <c r="M514" s="140"/>
      <c r="N514" s="140"/>
      <c r="O514" s="578">
        <f>O502+O504+O505+O506+O507+O509+O510+O511+O488+O489+O491+O492+O494+O495+O485+O497</f>
        <v>434.04485148703179</v>
      </c>
      <c r="P514" s="140"/>
      <c r="Q514" s="578">
        <f>SUM(Q485:Q512)</f>
        <v>434.04485148703185</v>
      </c>
    </row>
    <row r="515" spans="1:26" ht="13.5" thickTop="1">
      <c r="A515" s="143"/>
      <c r="B515" s="130"/>
      <c r="C515" s="130"/>
      <c r="D515" s="130"/>
      <c r="E515" s="143"/>
      <c r="F515" s="143"/>
      <c r="G515" s="573"/>
      <c r="H515" s="130"/>
      <c r="I515" s="573"/>
      <c r="J515" s="130"/>
      <c r="K515" s="579"/>
      <c r="L515" s="130"/>
      <c r="M515" s="140"/>
      <c r="N515" s="140"/>
      <c r="O515" s="140"/>
      <c r="P515" s="140"/>
      <c r="Q515" s="140"/>
    </row>
    <row r="516" spans="1:26">
      <c r="A516" s="143"/>
      <c r="B516" s="130"/>
      <c r="C516" s="546" t="s">
        <v>186</v>
      </c>
      <c r="D516" s="130"/>
      <c r="E516" s="143"/>
      <c r="F516" s="143"/>
      <c r="G516" s="130"/>
      <c r="H516" s="130"/>
      <c r="I516" s="583"/>
      <c r="J516" s="130"/>
      <c r="K516" s="579"/>
      <c r="L516" s="130"/>
      <c r="M516" s="140"/>
      <c r="N516" s="140"/>
      <c r="O516" s="140"/>
      <c r="P516" s="140"/>
      <c r="Q516" s="140"/>
    </row>
    <row r="517" spans="1:26">
      <c r="A517" s="143">
        <f>A514+1</f>
        <v>276</v>
      </c>
      <c r="B517" s="130"/>
      <c r="C517" s="423" t="s">
        <v>328</v>
      </c>
      <c r="D517" s="130"/>
      <c r="E517" s="143" t="s">
        <v>201</v>
      </c>
      <c r="F517" s="143"/>
      <c r="G517" s="128">
        <v>22703.73</v>
      </c>
      <c r="H517" s="584"/>
      <c r="I517" s="128">
        <v>23315.94008583279</v>
      </c>
      <c r="J517" s="584"/>
      <c r="K517" s="128">
        <f>I517-G517</f>
        <v>612.21008583279036</v>
      </c>
      <c r="L517" s="130"/>
      <c r="M517" s="140">
        <v>4</v>
      </c>
      <c r="N517" s="140"/>
      <c r="O517" s="140">
        <f>K517*M517/1000</f>
        <v>2.4488403433311614</v>
      </c>
      <c r="P517" s="140"/>
      <c r="Q517" s="140">
        <f>O517</f>
        <v>2.4488403433311614</v>
      </c>
      <c r="S517" s="593"/>
      <c r="U517" s="571"/>
      <c r="Y517" s="605"/>
      <c r="Z517" s="605"/>
    </row>
    <row r="518" spans="1:26">
      <c r="A518" s="143"/>
      <c r="B518" s="130"/>
      <c r="C518" s="130" t="s">
        <v>329</v>
      </c>
      <c r="D518" s="130"/>
      <c r="E518" s="143"/>
      <c r="F518" s="143"/>
      <c r="G518" s="573"/>
      <c r="H518" s="130"/>
      <c r="I518" s="583"/>
      <c r="J518" s="130"/>
      <c r="K518" s="579"/>
      <c r="L518" s="130"/>
      <c r="M518" s="140"/>
      <c r="N518" s="140"/>
      <c r="O518" s="140"/>
      <c r="P518" s="140"/>
      <c r="Q518" s="140"/>
    </row>
    <row r="519" spans="1:26">
      <c r="A519" s="143">
        <f>A517+1</f>
        <v>277</v>
      </c>
      <c r="B519" s="130"/>
      <c r="C519" s="547" t="s">
        <v>330</v>
      </c>
      <c r="D519" s="130"/>
      <c r="E519" s="143" t="s">
        <v>222</v>
      </c>
      <c r="F519" s="143"/>
      <c r="G519" s="573">
        <v>20.7133</v>
      </c>
      <c r="H519" s="130"/>
      <c r="I519" s="573">
        <v>21.280281033834548</v>
      </c>
      <c r="J519" s="130"/>
      <c r="K519" s="579">
        <f>I519-G519</f>
        <v>0.56698103383454779</v>
      </c>
      <c r="L519" s="130"/>
      <c r="M519" s="140">
        <v>9400</v>
      </c>
      <c r="N519" s="140"/>
      <c r="O519" s="140">
        <f>K519*M519/100</f>
        <v>53.296217180447492</v>
      </c>
      <c r="P519" s="140"/>
      <c r="Q519" s="140"/>
      <c r="S519" s="593"/>
      <c r="U519" s="588"/>
      <c r="V519" s="587"/>
      <c r="W519" s="589"/>
      <c r="Y519" s="605"/>
      <c r="Z519" s="605"/>
    </row>
    <row r="520" spans="1:26">
      <c r="A520" s="143">
        <f>A519+1</f>
        <v>278</v>
      </c>
      <c r="B520" s="130"/>
      <c r="C520" s="547" t="s">
        <v>333</v>
      </c>
      <c r="D520" s="130"/>
      <c r="E520" s="143" t="s">
        <v>204</v>
      </c>
      <c r="F520" s="143"/>
      <c r="G520" s="573">
        <v>8.2100000000000006E-2</v>
      </c>
      <c r="H520" s="130"/>
      <c r="I520" s="573">
        <v>8.0103283764163744E-2</v>
      </c>
      <c r="J520" s="130"/>
      <c r="K520" s="579">
        <f>I520-G520</f>
        <v>-1.9967162358362628E-3</v>
      </c>
      <c r="L520" s="130"/>
      <c r="M520" s="140">
        <v>131618.19731000002</v>
      </c>
      <c r="N520" s="140"/>
      <c r="O520" s="140">
        <f>K520*M520/100</f>
        <v>-2.6280419150037777</v>
      </c>
      <c r="P520" s="140"/>
      <c r="Q520" s="140"/>
      <c r="S520" s="593"/>
      <c r="U520" s="588"/>
      <c r="V520" s="587"/>
      <c r="W520" s="589"/>
      <c r="Y520" s="605"/>
      <c r="Z520" s="605"/>
    </row>
    <row r="521" spans="1:26">
      <c r="A521" s="143"/>
      <c r="B521" s="130"/>
      <c r="C521" s="130"/>
      <c r="D521" s="130"/>
      <c r="E521" s="130"/>
      <c r="F521" s="130"/>
      <c r="G521" s="130"/>
      <c r="H521" s="130"/>
      <c r="I521" s="130"/>
      <c r="J521" s="130"/>
      <c r="K521" s="130"/>
      <c r="L521" s="130"/>
      <c r="M521" s="130"/>
      <c r="N521" s="130"/>
      <c r="O521" s="130"/>
      <c r="P521" s="130"/>
      <c r="Q521" s="130"/>
    </row>
    <row r="522" spans="1:26">
      <c r="A522" s="143">
        <f>A520+1</f>
        <v>279</v>
      </c>
      <c r="B522" s="130"/>
      <c r="C522" s="423" t="s">
        <v>337</v>
      </c>
      <c r="D522" s="130"/>
      <c r="E522" s="143" t="s">
        <v>286</v>
      </c>
      <c r="F522" s="143"/>
      <c r="G522" s="130">
        <v>5.3090000000000002</v>
      </c>
      <c r="H522" s="130"/>
      <c r="I522" s="598">
        <v>6.0946606163661592</v>
      </c>
      <c r="J522" s="130"/>
      <c r="K522" s="586">
        <f>I522-G522</f>
        <v>0.78566061636615903</v>
      </c>
      <c r="L522" s="130"/>
      <c r="M522" s="219">
        <v>21551.84</v>
      </c>
      <c r="N522" s="219"/>
      <c r="O522" s="219">
        <f t="shared" ref="O522" si="90">K522*M522/1000</f>
        <v>16.932431898224841</v>
      </c>
      <c r="P522" s="219"/>
      <c r="Q522" s="219"/>
      <c r="S522" s="593"/>
      <c r="U522" s="588"/>
      <c r="V522" s="587"/>
      <c r="W522" s="589"/>
      <c r="Y522" s="605"/>
      <c r="Z522" s="605"/>
    </row>
    <row r="523" spans="1:26">
      <c r="A523" s="143">
        <f>A522+1</f>
        <v>280</v>
      </c>
      <c r="B523" s="130"/>
      <c r="C523" s="130" t="s">
        <v>338</v>
      </c>
      <c r="D523" s="130"/>
      <c r="E523" s="143"/>
      <c r="F523" s="143"/>
      <c r="G523" s="573"/>
      <c r="H523" s="130"/>
      <c r="I523" s="573"/>
      <c r="J523" s="130"/>
      <c r="K523" s="591"/>
      <c r="L523" s="130"/>
      <c r="M523" s="219"/>
      <c r="N523" s="219"/>
      <c r="O523" s="219"/>
      <c r="P523" s="219"/>
      <c r="Q523" s="220">
        <f>SUM(O519:O522)</f>
        <v>67.600607163668556</v>
      </c>
    </row>
    <row r="524" spans="1:26">
      <c r="A524" s="143"/>
      <c r="B524" s="130"/>
      <c r="C524" s="423"/>
      <c r="D524" s="130"/>
      <c r="E524" s="143"/>
      <c r="F524" s="143"/>
      <c r="G524" s="611"/>
      <c r="H524" s="611"/>
      <c r="I524" s="611"/>
      <c r="J524" s="611"/>
      <c r="K524" s="614"/>
      <c r="L524" s="130"/>
      <c r="M524" s="219"/>
      <c r="N524" s="219"/>
      <c r="O524" s="219"/>
      <c r="P524" s="219"/>
      <c r="Q524" s="219"/>
    </row>
    <row r="525" spans="1:26">
      <c r="A525" s="143"/>
      <c r="B525" s="130"/>
      <c r="C525" s="130" t="s">
        <v>339</v>
      </c>
      <c r="D525" s="130"/>
      <c r="E525" s="143"/>
      <c r="F525" s="143"/>
      <c r="G525" s="130"/>
      <c r="H525" s="130"/>
      <c r="I525" s="130"/>
      <c r="J525" s="130"/>
      <c r="K525" s="586"/>
      <c r="L525" s="130"/>
      <c r="M525" s="219"/>
      <c r="N525" s="219"/>
      <c r="O525" s="219"/>
      <c r="P525" s="219"/>
      <c r="Q525" s="219"/>
    </row>
    <row r="526" spans="1:26">
      <c r="A526" s="143"/>
      <c r="B526" s="130"/>
      <c r="C526" s="484" t="s">
        <v>353</v>
      </c>
      <c r="D526" s="130"/>
      <c r="E526" s="143"/>
      <c r="F526" s="143"/>
      <c r="G526" s="130"/>
      <c r="H526" s="130"/>
      <c r="I526" s="130"/>
      <c r="J526" s="130"/>
      <c r="K526" s="586"/>
      <c r="L526" s="130"/>
      <c r="M526" s="219"/>
      <c r="N526" s="219"/>
      <c r="O526" s="219"/>
      <c r="P526" s="219"/>
      <c r="Q526" s="219"/>
    </row>
    <row r="527" spans="1:26">
      <c r="A527" s="143">
        <f>A523+1</f>
        <v>281</v>
      </c>
      <c r="B527" s="130"/>
      <c r="C527" s="604" t="s">
        <v>341</v>
      </c>
      <c r="D527" s="130"/>
      <c r="E527" s="143" t="s">
        <v>284</v>
      </c>
      <c r="F527" s="143"/>
      <c r="G527" s="573">
        <v>1.2E-2</v>
      </c>
      <c r="H527" s="130"/>
      <c r="I527" s="573">
        <v>1.2323582117563656E-2</v>
      </c>
      <c r="J527" s="130"/>
      <c r="K527" s="586">
        <f>I527-G527</f>
        <v>3.2358211756365607E-4</v>
      </c>
      <c r="L527" s="130"/>
      <c r="M527" s="219">
        <v>12824084</v>
      </c>
      <c r="N527" s="219"/>
      <c r="O527" s="219">
        <f t="shared" ref="O527" si="91">K527*M527/1000</f>
        <v>4.1496442565342004</v>
      </c>
      <c r="P527" s="219"/>
      <c r="Q527" s="219"/>
      <c r="S527" s="593"/>
      <c r="U527" s="588"/>
      <c r="V527" s="587"/>
      <c r="W527" s="589"/>
      <c r="Y527" s="605"/>
      <c r="Z527" s="605"/>
    </row>
    <row r="528" spans="1:26">
      <c r="A528" s="143"/>
      <c r="B528" s="130"/>
      <c r="C528" s="484" t="s">
        <v>342</v>
      </c>
      <c r="D528" s="130"/>
      <c r="E528" s="143"/>
      <c r="F528" s="143"/>
      <c r="G528" s="609"/>
      <c r="H528" s="130"/>
      <c r="I528" s="130"/>
      <c r="J528" s="130"/>
      <c r="K528" s="586"/>
      <c r="L528" s="130"/>
      <c r="M528" s="219"/>
      <c r="N528" s="219"/>
      <c r="O528" s="219"/>
      <c r="P528" s="219"/>
      <c r="Q528" s="219"/>
    </row>
    <row r="529" spans="1:26">
      <c r="A529" s="143">
        <f>A527+1</f>
        <v>282</v>
      </c>
      <c r="B529" s="130"/>
      <c r="C529" s="604" t="s">
        <v>343</v>
      </c>
      <c r="D529" s="130"/>
      <c r="E529" s="143" t="s">
        <v>284</v>
      </c>
      <c r="F529" s="143"/>
      <c r="G529" s="598">
        <v>1.8779999999999999</v>
      </c>
      <c r="H529" s="130"/>
      <c r="I529" s="573">
        <v>1.9259999999999999</v>
      </c>
      <c r="J529" s="130"/>
      <c r="K529" s="586">
        <f>I529-G529</f>
        <v>4.8000000000000043E-2</v>
      </c>
      <c r="L529" s="130"/>
      <c r="M529" s="219">
        <v>0</v>
      </c>
      <c r="N529" s="219"/>
      <c r="O529" s="219">
        <f t="shared" ref="O529:O536" si="92">K529*M529/1000</f>
        <v>0</v>
      </c>
      <c r="P529" s="219"/>
      <c r="Q529" s="219"/>
      <c r="S529" s="593"/>
      <c r="U529" s="588"/>
      <c r="V529" s="587"/>
      <c r="W529" s="589"/>
      <c r="Y529" s="605"/>
      <c r="Z529" s="605"/>
    </row>
    <row r="530" spans="1:26">
      <c r="A530" s="143">
        <f>A529+1</f>
        <v>283</v>
      </c>
      <c r="B530" s="130"/>
      <c r="C530" s="604" t="s">
        <v>344</v>
      </c>
      <c r="D530" s="130"/>
      <c r="E530" s="143" t="s">
        <v>284</v>
      </c>
      <c r="F530" s="143"/>
      <c r="G530" s="598">
        <v>1.4730000000000001</v>
      </c>
      <c r="H530" s="130"/>
      <c r="I530" s="573">
        <v>1.5181292016499417</v>
      </c>
      <c r="J530" s="130"/>
      <c r="K530" s="586">
        <f>I530-G530</f>
        <v>4.5129201649941608E-2</v>
      </c>
      <c r="L530" s="130"/>
      <c r="M530" s="219">
        <v>216556</v>
      </c>
      <c r="N530" s="219"/>
      <c r="O530" s="219">
        <f t="shared" si="92"/>
        <v>9.7729993925047545</v>
      </c>
      <c r="P530" s="219"/>
      <c r="Q530" s="219"/>
      <c r="S530" s="593"/>
      <c r="U530" s="588"/>
      <c r="V530" s="587"/>
      <c r="W530" s="589"/>
      <c r="Y530" s="605"/>
      <c r="Z530" s="605"/>
    </row>
    <row r="531" spans="1:26">
      <c r="A531" s="143">
        <f t="shared" ref="A531:A532" si="93">A530+1</f>
        <v>284</v>
      </c>
      <c r="B531" s="130"/>
      <c r="C531" s="604" t="s">
        <v>345</v>
      </c>
      <c r="D531" s="130"/>
      <c r="E531" s="143" t="s">
        <v>284</v>
      </c>
      <c r="F531" s="143"/>
      <c r="G531" s="598">
        <v>1.4730000000000001</v>
      </c>
      <c r="H531" s="130"/>
      <c r="I531" s="573">
        <v>1.5181292016499417</v>
      </c>
      <c r="J531" s="130"/>
      <c r="K531" s="586">
        <f>I531-G531</f>
        <v>4.5129201649941608E-2</v>
      </c>
      <c r="L531" s="130"/>
      <c r="M531" s="219">
        <v>0</v>
      </c>
      <c r="N531" s="219"/>
      <c r="O531" s="219">
        <f t="shared" si="92"/>
        <v>0</v>
      </c>
      <c r="P531" s="219"/>
      <c r="Q531" s="219"/>
      <c r="U531" s="588"/>
      <c r="V531" s="587"/>
      <c r="W531" s="589"/>
      <c r="Y531" s="605"/>
      <c r="Z531" s="605"/>
    </row>
    <row r="532" spans="1:26">
      <c r="A532" s="143">
        <f t="shared" si="93"/>
        <v>285</v>
      </c>
      <c r="B532" s="130"/>
      <c r="C532" s="604" t="s">
        <v>346</v>
      </c>
      <c r="D532" s="130"/>
      <c r="E532" s="143" t="s">
        <v>284</v>
      </c>
      <c r="F532" s="143"/>
      <c r="G532" s="598">
        <v>1.4730000000000001</v>
      </c>
      <c r="H532" s="130"/>
      <c r="I532" s="573">
        <v>1.5181292016499417</v>
      </c>
      <c r="J532" s="130"/>
      <c r="K532" s="586">
        <f>I532-G532</f>
        <v>4.5129201649941608E-2</v>
      </c>
      <c r="L532" s="130"/>
      <c r="M532" s="219">
        <v>0</v>
      </c>
      <c r="N532" s="219"/>
      <c r="O532" s="219">
        <f t="shared" si="92"/>
        <v>0</v>
      </c>
      <c r="P532" s="219"/>
      <c r="Q532" s="219"/>
      <c r="U532" s="588"/>
      <c r="V532" s="587"/>
      <c r="W532" s="589"/>
      <c r="Y532" s="605"/>
      <c r="Z532" s="605"/>
    </row>
    <row r="533" spans="1:26">
      <c r="A533" s="143"/>
      <c r="B533" s="130"/>
      <c r="C533" s="484"/>
      <c r="D533" s="130"/>
      <c r="E533" s="143"/>
      <c r="F533" s="143"/>
      <c r="G533" s="130"/>
      <c r="H533" s="130"/>
      <c r="I533" s="130"/>
      <c r="J533" s="130"/>
      <c r="K533" s="586"/>
      <c r="L533" s="130"/>
      <c r="M533" s="219"/>
      <c r="N533" s="219"/>
      <c r="O533" s="219"/>
      <c r="P533" s="219"/>
      <c r="Q533" s="219"/>
    </row>
    <row r="534" spans="1:26">
      <c r="A534" s="143">
        <f>A532+1</f>
        <v>286</v>
      </c>
      <c r="B534" s="130"/>
      <c r="C534" s="604" t="s">
        <v>347</v>
      </c>
      <c r="D534" s="130"/>
      <c r="E534" s="143" t="s">
        <v>286</v>
      </c>
      <c r="F534" s="143"/>
      <c r="G534" s="598">
        <v>1.2E-2</v>
      </c>
      <c r="H534" s="130"/>
      <c r="I534" s="573">
        <v>1.2323582117563655E-2</v>
      </c>
      <c r="J534" s="130"/>
      <c r="K534" s="586">
        <f>I534-G534</f>
        <v>3.2358211756365433E-4</v>
      </c>
      <c r="L534" s="130"/>
      <c r="M534" s="219">
        <v>2381547.5699999998</v>
      </c>
      <c r="N534" s="219"/>
      <c r="O534" s="219">
        <f t="shared" si="92"/>
        <v>0.77062620577917529</v>
      </c>
      <c r="P534" s="219"/>
      <c r="Q534" s="219"/>
      <c r="S534" s="593"/>
      <c r="U534" s="588"/>
      <c r="V534" s="587"/>
      <c r="W534" s="589"/>
      <c r="Y534" s="605"/>
      <c r="Z534" s="605"/>
    </row>
    <row r="535" spans="1:26">
      <c r="A535" s="143"/>
      <c r="B535" s="130"/>
      <c r="C535" s="604"/>
      <c r="D535" s="130"/>
      <c r="E535" s="143"/>
      <c r="F535" s="143"/>
      <c r="G535" s="598"/>
      <c r="H535" s="130"/>
      <c r="I535" s="583"/>
      <c r="J535" s="130"/>
      <c r="K535" s="586"/>
      <c r="L535" s="130"/>
      <c r="M535" s="219"/>
      <c r="N535" s="219"/>
      <c r="O535" s="219"/>
      <c r="P535" s="219"/>
      <c r="Q535" s="219"/>
    </row>
    <row r="536" spans="1:26">
      <c r="A536" s="143">
        <f>A534+1</f>
        <v>287</v>
      </c>
      <c r="B536" s="130"/>
      <c r="C536" s="484" t="s">
        <v>348</v>
      </c>
      <c r="D536" s="130"/>
      <c r="E536" s="143" t="s">
        <v>286</v>
      </c>
      <c r="F536" s="143"/>
      <c r="G536" s="130">
        <v>5.3090000000000002</v>
      </c>
      <c r="H536" s="130"/>
      <c r="I536" s="598">
        <v>5.7433187992280281</v>
      </c>
      <c r="J536" s="130"/>
      <c r="K536" s="586">
        <f>I536-G536</f>
        <v>0.43431879922802796</v>
      </c>
      <c r="L536" s="130"/>
      <c r="M536" s="219">
        <v>10597.880000000001</v>
      </c>
      <c r="N536" s="219"/>
      <c r="O536" s="219">
        <f t="shared" si="92"/>
        <v>4.6028585159627333</v>
      </c>
      <c r="P536" s="219"/>
      <c r="Q536" s="219"/>
      <c r="S536" s="593"/>
      <c r="U536" s="588"/>
      <c r="V536" s="587"/>
      <c r="W536" s="589"/>
      <c r="Y536" s="605"/>
      <c r="Z536" s="605"/>
    </row>
    <row r="537" spans="1:26">
      <c r="A537" s="143">
        <f>A536+1</f>
        <v>288</v>
      </c>
      <c r="B537" s="130"/>
      <c r="C537" s="130" t="s">
        <v>349</v>
      </c>
      <c r="D537" s="130"/>
      <c r="E537" s="143"/>
      <c r="F537" s="143"/>
      <c r="G537" s="573"/>
      <c r="H537" s="130"/>
      <c r="I537" s="573"/>
      <c r="J537" s="130"/>
      <c r="K537" s="591"/>
      <c r="L537" s="130"/>
      <c r="M537" s="219"/>
      <c r="N537" s="219"/>
      <c r="O537" s="219"/>
      <c r="P537" s="219"/>
      <c r="Q537" s="219">
        <f>SUM(O527:O536)</f>
        <v>19.296128370780863</v>
      </c>
    </row>
    <row r="538" spans="1:26">
      <c r="A538" s="143"/>
      <c r="B538" s="130"/>
      <c r="C538" s="130"/>
      <c r="D538" s="130"/>
      <c r="E538" s="143"/>
      <c r="F538" s="143"/>
      <c r="G538" s="573"/>
      <c r="H538" s="130"/>
      <c r="I538" s="583"/>
      <c r="J538" s="130"/>
      <c r="K538" s="579"/>
      <c r="L538" s="130"/>
      <c r="M538" s="140"/>
      <c r="N538" s="140"/>
      <c r="O538" s="140"/>
      <c r="P538" s="140"/>
      <c r="Q538" s="140"/>
    </row>
    <row r="539" spans="1:26" ht="13.5" thickBot="1">
      <c r="A539" s="143">
        <f>A537+1</f>
        <v>289</v>
      </c>
      <c r="B539" s="130"/>
      <c r="C539" s="130" t="s">
        <v>355</v>
      </c>
      <c r="D539" s="130"/>
      <c r="E539" s="143"/>
      <c r="F539" s="143"/>
      <c r="G539" s="573"/>
      <c r="H539" s="130"/>
      <c r="I539" s="573"/>
      <c r="J539" s="130"/>
      <c r="K539" s="579"/>
      <c r="L539" s="130"/>
      <c r="M539" s="140"/>
      <c r="N539" s="140"/>
      <c r="O539" s="578">
        <f>O527+O529+O530+O531+O532+O534+O535+O536+O519+O520+O517+O522</f>
        <v>89.34557587778059</v>
      </c>
      <c r="P539" s="140"/>
      <c r="Q539" s="578">
        <f>SUM(Q517:Q537)</f>
        <v>89.345575877780576</v>
      </c>
    </row>
    <row r="540" spans="1:26" ht="13.5" thickTop="1">
      <c r="A540" s="143"/>
      <c r="B540" s="130"/>
      <c r="C540" s="130"/>
      <c r="D540" s="130"/>
      <c r="E540" s="143"/>
      <c r="F540" s="143"/>
      <c r="G540" s="130"/>
      <c r="H540" s="130"/>
      <c r="I540" s="130"/>
      <c r="J540" s="130"/>
      <c r="K540" s="130"/>
      <c r="L540" s="130"/>
      <c r="M540" s="140"/>
      <c r="N540" s="140"/>
      <c r="O540" s="140"/>
      <c r="P540" s="140"/>
      <c r="Q540" s="140"/>
    </row>
    <row r="541" spans="1:26">
      <c r="A541" s="143"/>
      <c r="B541" s="130"/>
      <c r="C541" s="555" t="s">
        <v>356</v>
      </c>
      <c r="D541" s="130"/>
      <c r="E541" s="130"/>
      <c r="F541" s="130"/>
      <c r="G541" s="130"/>
      <c r="H541" s="130"/>
      <c r="I541" s="130"/>
      <c r="J541" s="130"/>
      <c r="K541" s="130"/>
      <c r="L541" s="130"/>
      <c r="M541" s="130"/>
      <c r="N541" s="130"/>
      <c r="O541" s="130"/>
      <c r="P541" s="130"/>
      <c r="Q541" s="130"/>
    </row>
    <row r="542" spans="1:26">
      <c r="A542" s="143">
        <f>A539+1</f>
        <v>290</v>
      </c>
      <c r="B542" s="130"/>
      <c r="C542" s="130" t="s">
        <v>187</v>
      </c>
      <c r="D542" s="130"/>
      <c r="E542" s="143" t="s">
        <v>286</v>
      </c>
      <c r="F542" s="143"/>
      <c r="G542" s="598">
        <v>-0.17299999999999999</v>
      </c>
      <c r="H542" s="130"/>
      <c r="I542" s="598">
        <v>-0.16600000000000001</v>
      </c>
      <c r="J542" s="130"/>
      <c r="K542" s="421">
        <f t="shared" ref="K542" si="94">I542-G542</f>
        <v>6.9999999999999785E-3</v>
      </c>
      <c r="L542" s="130"/>
      <c r="M542" s="219">
        <v>26621167.131901842</v>
      </c>
      <c r="N542" s="219"/>
      <c r="O542" s="219">
        <f>K542*M542 / 1000</f>
        <v>186.34816992331233</v>
      </c>
      <c r="P542" s="219"/>
      <c r="Q542" s="219">
        <f>O542</f>
        <v>186.34816992331233</v>
      </c>
    </row>
    <row r="543" spans="1:26">
      <c r="A543" s="143"/>
      <c r="B543" s="130"/>
      <c r="C543" s="130"/>
      <c r="D543" s="130"/>
      <c r="E543" s="130"/>
      <c r="F543" s="130"/>
      <c r="G543" s="130"/>
      <c r="H543" s="130"/>
      <c r="I543" s="130"/>
      <c r="J543" s="130"/>
      <c r="K543" s="130"/>
      <c r="L543" s="130"/>
      <c r="M543" s="130"/>
      <c r="N543" s="130"/>
      <c r="O543" s="130"/>
      <c r="P543" s="130"/>
      <c r="Q543" s="130"/>
    </row>
    <row r="544" spans="1:26">
      <c r="A544" s="213" t="s">
        <v>39</v>
      </c>
      <c r="B544" s="130"/>
      <c r="C544" s="130"/>
      <c r="D544" s="130"/>
      <c r="E544" s="130"/>
      <c r="F544" s="130"/>
      <c r="G544" s="130"/>
      <c r="H544" s="130"/>
      <c r="I544" s="130"/>
      <c r="J544" s="130"/>
      <c r="K544" s="130"/>
      <c r="L544" s="130"/>
      <c r="M544" s="130"/>
      <c r="N544" s="130"/>
      <c r="O544" s="130"/>
      <c r="P544" s="130"/>
      <c r="Q544" s="130"/>
    </row>
    <row r="545" spans="1:21">
      <c r="A545" s="218" t="s">
        <v>357</v>
      </c>
      <c r="B545" s="130"/>
      <c r="C545" s="423" t="s">
        <v>358</v>
      </c>
      <c r="D545" s="130"/>
      <c r="E545" s="130"/>
      <c r="F545" s="130"/>
      <c r="G545" s="130"/>
      <c r="H545" s="130"/>
      <c r="I545" s="130"/>
      <c r="J545" s="130"/>
      <c r="K545" s="130"/>
      <c r="L545" s="130"/>
      <c r="M545" s="130"/>
      <c r="N545" s="130"/>
      <c r="O545" s="130"/>
      <c r="P545" s="130"/>
      <c r="Q545" s="130"/>
    </row>
    <row r="546" spans="1:21">
      <c r="A546" s="218" t="s">
        <v>42</v>
      </c>
      <c r="C546" s="423" t="s">
        <v>359</v>
      </c>
    </row>
    <row r="547" spans="1:21">
      <c r="A547" s="141"/>
      <c r="T547" s="141"/>
      <c r="U547" s="141"/>
    </row>
    <row r="548" spans="1:21">
      <c r="A548" s="141"/>
      <c r="T548" s="141"/>
      <c r="U548" s="141"/>
    </row>
    <row r="549" spans="1:21">
      <c r="A549" s="141"/>
      <c r="T549" s="141"/>
      <c r="U549" s="141"/>
    </row>
    <row r="550" spans="1:21">
      <c r="A550" s="141"/>
      <c r="T550" s="141"/>
      <c r="U550" s="141"/>
    </row>
    <row r="551" spans="1:21">
      <c r="A551" s="141"/>
      <c r="Q551" s="208"/>
      <c r="S551" s="576"/>
      <c r="T551" s="208"/>
      <c r="U551" s="141"/>
    </row>
    <row r="552" spans="1:21">
      <c r="A552" s="141"/>
      <c r="Q552" s="208"/>
      <c r="S552" s="576"/>
      <c r="T552" s="208"/>
      <c r="U552" s="141"/>
    </row>
    <row r="553" spans="1:21">
      <c r="A553" s="141"/>
      <c r="Q553" s="208"/>
      <c r="S553" s="576"/>
      <c r="T553" s="208"/>
      <c r="U553" s="141"/>
    </row>
    <row r="554" spans="1:21">
      <c r="A554" s="141"/>
      <c r="Q554" s="208"/>
      <c r="S554" s="208"/>
      <c r="T554" s="208"/>
      <c r="U554" s="141"/>
    </row>
    <row r="555" spans="1:21">
      <c r="A555" s="141"/>
      <c r="T555" s="141"/>
      <c r="U555" s="141"/>
    </row>
    <row r="556" spans="1:21">
      <c r="A556" s="141"/>
      <c r="T556" s="141"/>
      <c r="U556" s="141"/>
    </row>
    <row r="557" spans="1:21">
      <c r="A557" s="141"/>
      <c r="T557" s="141"/>
      <c r="U557" s="141"/>
    </row>
    <row r="558" spans="1:21">
      <c r="A558" s="141"/>
      <c r="T558" s="141"/>
      <c r="U558" s="141"/>
    </row>
    <row r="559" spans="1:21">
      <c r="A559" s="141"/>
      <c r="T559" s="141"/>
      <c r="U559" s="141"/>
    </row>
    <row r="560" spans="1:21">
      <c r="A560" s="141"/>
      <c r="T560" s="141"/>
      <c r="U560" s="141"/>
    </row>
    <row r="561" s="141" customFormat="1"/>
    <row r="562" s="141" customFormat="1"/>
    <row r="563" s="141" customFormat="1"/>
    <row r="564" s="141" customFormat="1"/>
    <row r="565" s="141" customFormat="1"/>
    <row r="566" s="141" customFormat="1"/>
    <row r="567" s="141" customFormat="1"/>
    <row r="568" s="141" customFormat="1"/>
    <row r="569" s="141" customFormat="1"/>
    <row r="570" s="141" customFormat="1"/>
    <row r="571" s="141" customFormat="1"/>
    <row r="572" s="141" customFormat="1"/>
    <row r="573" s="141" customFormat="1"/>
    <row r="576" s="141" customFormat="1"/>
    <row r="577" spans="1:21">
      <c r="A577" s="141"/>
      <c r="T577" s="141"/>
      <c r="U577" s="141"/>
    </row>
    <row r="578" spans="1:21">
      <c r="A578" s="141"/>
      <c r="T578" s="141"/>
      <c r="U578" s="141"/>
    </row>
    <row r="579" spans="1:21">
      <c r="G579" s="142"/>
      <c r="I579" s="142"/>
      <c r="K579" s="142"/>
      <c r="M579" s="142"/>
      <c r="O579" s="142"/>
      <c r="Q579" s="142"/>
    </row>
    <row r="580" spans="1:21">
      <c r="E580" s="142"/>
      <c r="F580" s="142"/>
      <c r="G580" s="142"/>
      <c r="I580" s="142"/>
      <c r="K580" s="142"/>
      <c r="M580" s="142"/>
      <c r="O580" s="142"/>
      <c r="Q580" s="142"/>
    </row>
    <row r="581" spans="1:21">
      <c r="G581" s="207"/>
      <c r="H581" s="142"/>
      <c r="I581" s="207"/>
      <c r="J581" s="142"/>
      <c r="K581" s="207"/>
      <c r="M581" s="207"/>
      <c r="O581" s="207"/>
      <c r="Q581" s="142"/>
    </row>
    <row r="582" spans="1:21">
      <c r="E582" s="142"/>
      <c r="F582" s="142"/>
      <c r="G582" s="573"/>
      <c r="I582" s="615"/>
      <c r="K582" s="616"/>
      <c r="M582" s="617"/>
      <c r="N582" s="617"/>
      <c r="O582" s="617"/>
      <c r="P582" s="617"/>
      <c r="Q582" s="617"/>
    </row>
    <row r="583" spans="1:21">
      <c r="E583" s="142"/>
      <c r="F583" s="142"/>
      <c r="G583" s="573"/>
      <c r="I583" s="615"/>
      <c r="K583" s="616"/>
      <c r="M583" s="617"/>
      <c r="N583" s="617"/>
      <c r="O583" s="617"/>
      <c r="P583" s="617"/>
      <c r="Q583" s="617"/>
    </row>
    <row r="584" spans="1:21">
      <c r="A584" s="141"/>
      <c r="T584" s="141"/>
      <c r="U584" s="141"/>
    </row>
    <row r="585" spans="1:21">
      <c r="A585" s="141"/>
      <c r="T585" s="141"/>
      <c r="U585" s="141"/>
    </row>
    <row r="586" spans="1:21">
      <c r="A586" s="141"/>
      <c r="T586" s="141"/>
      <c r="U586" s="141"/>
    </row>
    <row r="587" spans="1:21">
      <c r="A587" s="141"/>
      <c r="T587" s="141"/>
      <c r="U587" s="141"/>
    </row>
    <row r="588" spans="1:21">
      <c r="A588" s="141"/>
      <c r="T588" s="141"/>
      <c r="U588" s="141"/>
    </row>
    <row r="589" spans="1:21">
      <c r="A589" s="141"/>
      <c r="T589" s="141"/>
      <c r="U589" s="141"/>
    </row>
    <row r="590" spans="1:21">
      <c r="A590" s="141"/>
      <c r="T590" s="141"/>
      <c r="U590" s="141"/>
    </row>
    <row r="591" spans="1:21">
      <c r="A591" s="141"/>
      <c r="T591" s="141"/>
      <c r="U591" s="141"/>
    </row>
    <row r="592" spans="1:21">
      <c r="A592" s="141"/>
      <c r="T592" s="141"/>
      <c r="U592" s="141"/>
    </row>
    <row r="593" s="141" customFormat="1"/>
    <row r="594" s="141" customFormat="1"/>
    <row r="595" s="141" customFormat="1"/>
    <row r="596" s="141" customFormat="1"/>
    <row r="597" s="141" customFormat="1"/>
    <row r="598" s="141" customFormat="1"/>
    <row r="599" s="141" customFormat="1"/>
    <row r="600" s="141" customFormat="1"/>
    <row r="601" s="141" customFormat="1"/>
    <row r="602" s="141" customFormat="1"/>
    <row r="603" s="141" customFormat="1"/>
    <row r="604" s="141" customFormat="1"/>
    <row r="605" s="141" customFormat="1"/>
    <row r="606" s="141" customFormat="1"/>
    <row r="607" s="141" customFormat="1"/>
    <row r="608" s="141" customFormat="1"/>
    <row r="609" spans="1:21">
      <c r="A609" s="141"/>
      <c r="T609" s="141"/>
      <c r="U609" s="141"/>
    </row>
    <row r="610" spans="1:21">
      <c r="A610" s="141"/>
      <c r="T610" s="141"/>
      <c r="U610" s="141"/>
    </row>
    <row r="611" spans="1:21">
      <c r="A611" s="141"/>
      <c r="T611" s="141"/>
      <c r="U611" s="141"/>
    </row>
    <row r="612" spans="1:21">
      <c r="A612" s="141"/>
      <c r="T612" s="141"/>
      <c r="U612" s="141"/>
    </row>
    <row r="613" spans="1:21">
      <c r="A613" s="141"/>
      <c r="T613" s="141"/>
      <c r="U613" s="141"/>
    </row>
    <row r="614" spans="1:21">
      <c r="A614" s="141"/>
      <c r="T614" s="141"/>
      <c r="U614" s="141"/>
    </row>
    <row r="615" spans="1:21">
      <c r="G615" s="618"/>
      <c r="H615" s="618"/>
      <c r="I615" s="618"/>
    </row>
    <row r="616" spans="1:21">
      <c r="A616" s="141"/>
      <c r="T616" s="141"/>
      <c r="U616" s="141"/>
    </row>
    <row r="617" spans="1:21">
      <c r="A617" s="141"/>
      <c r="T617" s="141"/>
      <c r="U617" s="141"/>
    </row>
    <row r="618" spans="1:21">
      <c r="A618" s="141"/>
      <c r="T618" s="141"/>
      <c r="U618" s="141"/>
    </row>
    <row r="619" spans="1:21">
      <c r="A619" s="141"/>
      <c r="T619" s="141"/>
      <c r="U619" s="141"/>
    </row>
    <row r="620" spans="1:21">
      <c r="A620" s="141"/>
      <c r="T620" s="141"/>
      <c r="U620" s="141"/>
    </row>
    <row r="621" spans="1:21">
      <c r="A621" s="141"/>
      <c r="T621" s="141"/>
      <c r="U621" s="141"/>
    </row>
    <row r="622" spans="1:21">
      <c r="A622" s="141"/>
      <c r="T622" s="141"/>
      <c r="U622" s="141"/>
    </row>
    <row r="623" spans="1:21">
      <c r="A623" s="141"/>
      <c r="T623" s="141"/>
      <c r="U623" s="141"/>
    </row>
    <row r="624" spans="1:21">
      <c r="A624" s="141"/>
      <c r="T624" s="141"/>
      <c r="U624" s="141"/>
    </row>
    <row r="625" s="141" customFormat="1"/>
    <row r="626" s="141" customFormat="1"/>
    <row r="627" s="141" customFormat="1"/>
    <row r="628" s="141" customFormat="1"/>
    <row r="629" s="141" customFormat="1"/>
    <row r="630" s="141" customFormat="1"/>
    <row r="631" s="141" customFormat="1"/>
    <row r="632" s="141" customFormat="1"/>
    <row r="633" s="141" customFormat="1"/>
    <row r="634" s="141" customFormat="1"/>
    <row r="635" s="141" customFormat="1"/>
    <row r="636" s="141" customFormat="1"/>
    <row r="637" s="141" customFormat="1"/>
    <row r="638" s="141" customFormat="1"/>
    <row r="639" s="141" customFormat="1"/>
    <row r="640" s="141" customFormat="1"/>
    <row r="641" spans="1:21">
      <c r="A641" s="141"/>
      <c r="T641" s="141"/>
      <c r="U641" s="141"/>
    </row>
    <row r="642" spans="1:21">
      <c r="A642" s="141"/>
      <c r="T642" s="141"/>
      <c r="U642" s="141"/>
    </row>
    <row r="643" spans="1:21">
      <c r="A643" s="141"/>
      <c r="T643" s="141"/>
      <c r="U643" s="141"/>
    </row>
    <row r="644" spans="1:21">
      <c r="A644" s="141"/>
      <c r="T644" s="141"/>
      <c r="U644" s="141"/>
    </row>
    <row r="645" spans="1:21">
      <c r="A645" s="141"/>
      <c r="T645" s="141"/>
      <c r="U645" s="141"/>
    </row>
    <row r="646" spans="1:21">
      <c r="A646" s="141"/>
      <c r="T646" s="141"/>
      <c r="U646" s="141"/>
    </row>
    <row r="647" spans="1:21">
      <c r="A647" s="141"/>
      <c r="T647" s="141"/>
      <c r="U647" s="141"/>
    </row>
    <row r="648" spans="1:21">
      <c r="A648" s="141"/>
      <c r="T648" s="141"/>
      <c r="U648" s="141"/>
    </row>
    <row r="649" spans="1:21">
      <c r="A649" s="141"/>
      <c r="T649" s="141"/>
      <c r="U649" s="141"/>
    </row>
    <row r="655" spans="1:21">
      <c r="Q655" s="208"/>
    </row>
  </sheetData>
  <mergeCells count="15">
    <mergeCell ref="A388:Q388"/>
    <mergeCell ref="A477:Q477"/>
    <mergeCell ref="A478:Q478"/>
    <mergeCell ref="Y164:AO164"/>
    <mergeCell ref="A192:Q192"/>
    <mergeCell ref="A193:Q193"/>
    <mergeCell ref="A289:Q289"/>
    <mergeCell ref="A290:Q290"/>
    <mergeCell ref="A387:Q387"/>
    <mergeCell ref="A96:Q96"/>
    <mergeCell ref="A4:Q4"/>
    <mergeCell ref="A5:Q5"/>
    <mergeCell ref="T6:U6"/>
    <mergeCell ref="V8:AG8"/>
    <mergeCell ref="A95:Q95"/>
  </mergeCells>
  <conditionalFormatting sqref="C51">
    <cfRule type="containsText" dxfId="0" priority="1" operator="containsText" text="error">
      <formula>NOT(ISERROR(SEARCH("error",C51)))</formula>
    </cfRule>
  </conditionalFormatting>
  <printOptions horizontalCentered="1"/>
  <pageMargins left="0.7" right="0.7" top="0.75" bottom="0.75" header="0.3" footer="0.3"/>
  <pageSetup scale="52" firstPageNumber="2" fitToHeight="0" orientation="portrait" useFirstPageNumber="1" r:id="rId1"/>
  <headerFooter>
    <oddHeader>&amp;R&amp;10Updated: 2024-03-15
EB-2022-0200
Rate Order
Working Papers
Schedule 26
Page &amp;P of 10</oddHeader>
  </headerFooter>
  <rowBreaks count="5" manualBreakCount="5">
    <brk id="91" max="16" man="1"/>
    <brk id="188" max="16" man="1"/>
    <brk id="285" max="16" man="1"/>
    <brk id="383" max="16" man="1"/>
    <brk id="473"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C3D7-F2C2-41FE-9EB7-3FC373E9117B}">
  <dimension ref="A5:BD281"/>
  <sheetViews>
    <sheetView view="pageLayout" topLeftCell="A5" zoomScaleNormal="85" zoomScaleSheetLayoutView="85" workbookViewId="0">
      <selection activeCell="D29" sqref="D29"/>
    </sheetView>
  </sheetViews>
  <sheetFormatPr defaultColWidth="0" defaultRowHeight="12.75"/>
  <cols>
    <col min="1" max="1" width="1.625" style="14" customWidth="1"/>
    <col min="2" max="2" width="5.125" style="14" customWidth="1"/>
    <col min="3" max="3" width="1.125" style="14" customWidth="1"/>
    <col min="4" max="4" width="40.625" style="14" customWidth="1"/>
    <col min="5" max="5" width="1.125" style="14" customWidth="1"/>
    <col min="6" max="6" width="13" style="14" customWidth="1"/>
    <col min="7" max="7" width="1.125" style="14" customWidth="1"/>
    <col min="8" max="8" width="13.125" style="14" customWidth="1"/>
    <col min="9" max="9" width="1.125" style="14" customWidth="1"/>
    <col min="10" max="10" width="11.875" style="14" customWidth="1"/>
    <col min="11" max="11" width="1.125" style="14" customWidth="1"/>
    <col min="12" max="12" width="10.125" style="14" customWidth="1"/>
    <col min="13" max="13" width="1.125" style="14" customWidth="1"/>
    <col min="14" max="14" width="11.125" style="14" customWidth="1"/>
    <col min="15" max="16" width="8.125" style="14" customWidth="1"/>
    <col min="17" max="17" width="20.125" style="14" customWidth="1"/>
    <col min="18" max="18" width="13" style="14" bestFit="1" customWidth="1"/>
    <col min="19" max="19" width="14" style="14" bestFit="1" customWidth="1"/>
    <col min="20" max="20" width="17.625" style="14" bestFit="1" customWidth="1"/>
    <col min="21" max="21" width="14" style="14" bestFit="1" customWidth="1"/>
    <col min="22" max="22" width="17.625" style="14" bestFit="1" customWidth="1"/>
    <col min="23" max="23" width="8.5" style="14" customWidth="1"/>
    <col min="24" max="49" width="8.125" style="14" customWidth="1"/>
    <col min="50" max="56" width="0" style="14" hidden="1" customWidth="1"/>
    <col min="57" max="16384" width="8.125" style="14" hidden="1"/>
  </cols>
  <sheetData>
    <row r="5" spans="2:23">
      <c r="C5" s="16"/>
      <c r="E5" s="16"/>
      <c r="G5" s="16"/>
      <c r="K5" s="15"/>
      <c r="L5" s="15"/>
      <c r="M5" s="15"/>
      <c r="N5" s="15"/>
    </row>
    <row r="6" spans="2:23">
      <c r="B6" s="1306" t="s">
        <v>450</v>
      </c>
      <c r="C6" s="1306"/>
      <c r="D6" s="1306"/>
      <c r="E6" s="1306"/>
      <c r="F6" s="1306"/>
      <c r="G6" s="1306"/>
      <c r="H6" s="1306"/>
      <c r="I6" s="1306"/>
      <c r="J6" s="1306"/>
      <c r="K6" s="1306"/>
      <c r="L6" s="1306"/>
      <c r="M6" s="15"/>
      <c r="N6" s="15"/>
    </row>
    <row r="7" spans="2:23">
      <c r="C7" s="16"/>
      <c r="E7" s="16"/>
      <c r="G7" s="16"/>
      <c r="K7" s="15"/>
      <c r="L7" s="15"/>
      <c r="M7" s="15"/>
      <c r="N7" s="15"/>
    </row>
    <row r="8" spans="2:23">
      <c r="B8" s="22"/>
      <c r="F8" s="16"/>
      <c r="K8" s="15"/>
      <c r="L8" s="15"/>
      <c r="M8" s="15"/>
      <c r="N8" s="15"/>
    </row>
    <row r="9" spans="2:23">
      <c r="F9" s="15">
        <v>2023</v>
      </c>
      <c r="G9" s="15"/>
      <c r="H9" s="15">
        <v>2024</v>
      </c>
      <c r="I9" s="15"/>
      <c r="J9" s="15"/>
      <c r="L9" s="15"/>
      <c r="M9" s="15"/>
      <c r="N9" s="15"/>
    </row>
    <row r="10" spans="2:23">
      <c r="B10" s="16" t="s">
        <v>1</v>
      </c>
      <c r="F10" s="15" t="s">
        <v>451</v>
      </c>
      <c r="G10" s="15"/>
      <c r="H10" s="15" t="s">
        <v>452</v>
      </c>
      <c r="I10" s="15"/>
      <c r="J10" s="15" t="s">
        <v>367</v>
      </c>
      <c r="L10" s="392" t="s">
        <v>367</v>
      </c>
      <c r="M10" s="15"/>
      <c r="N10" s="15"/>
    </row>
    <row r="11" spans="2:23">
      <c r="B11" s="17" t="s">
        <v>2</v>
      </c>
      <c r="D11" s="18" t="s">
        <v>453</v>
      </c>
      <c r="F11" s="19" t="s">
        <v>20</v>
      </c>
      <c r="G11" s="20"/>
      <c r="H11" s="19" t="s">
        <v>20</v>
      </c>
      <c r="I11" s="20"/>
      <c r="J11" s="19" t="s">
        <v>20</v>
      </c>
      <c r="L11" s="393" t="s">
        <v>76</v>
      </c>
      <c r="M11" s="15"/>
      <c r="N11" s="15"/>
      <c r="R11" s="391"/>
      <c r="T11" s="16"/>
    </row>
    <row r="12" spans="2:23">
      <c r="B12" s="16"/>
      <c r="F12" s="15" t="s">
        <v>8</v>
      </c>
      <c r="G12" s="15"/>
      <c r="H12" s="31" t="s">
        <v>9</v>
      </c>
      <c r="I12" s="20"/>
      <c r="J12" s="31" t="s">
        <v>10</v>
      </c>
      <c r="L12" s="394" t="s">
        <v>454</v>
      </c>
      <c r="M12" s="15"/>
      <c r="N12" s="15"/>
      <c r="Q12" s="21"/>
      <c r="R12" s="22"/>
      <c r="S12" s="22"/>
      <c r="T12" s="22"/>
      <c r="V12" s="22"/>
      <c r="W12" s="22"/>
    </row>
    <row r="13" spans="2:23">
      <c r="B13" s="22"/>
      <c r="D13" s="21" t="s">
        <v>11</v>
      </c>
      <c r="F13" s="47"/>
      <c r="G13" s="47"/>
      <c r="H13" s="47"/>
      <c r="I13" s="47"/>
      <c r="J13" s="47"/>
      <c r="L13" s="395"/>
      <c r="M13" s="15"/>
      <c r="N13" s="15"/>
      <c r="Q13" s="23"/>
    </row>
    <row r="14" spans="2:23">
      <c r="B14" s="16">
        <v>1</v>
      </c>
      <c r="D14" s="23" t="s">
        <v>162</v>
      </c>
      <c r="F14" s="35">
        <v>45111.512193767907</v>
      </c>
      <c r="G14" s="463"/>
      <c r="H14" s="464">
        <v>68940.216666327775</v>
      </c>
      <c r="I14" s="463"/>
      <c r="J14" s="465">
        <f>H14-F14</f>
        <v>23828.704472559868</v>
      </c>
      <c r="K14" s="25"/>
      <c r="L14" s="387">
        <f>J14/F14</f>
        <v>0.52821781655662992</v>
      </c>
      <c r="M14" s="15"/>
      <c r="N14" s="15"/>
      <c r="Q14" s="23"/>
      <c r="R14" s="490"/>
      <c r="S14" s="491"/>
      <c r="T14" s="490"/>
      <c r="V14" s="231"/>
      <c r="W14" s="54"/>
    </row>
    <row r="15" spans="2:23">
      <c r="B15" s="16">
        <f>MAX($B$14:B14)+1</f>
        <v>2</v>
      </c>
      <c r="D15" s="23" t="s">
        <v>163</v>
      </c>
      <c r="F15" s="35">
        <v>23822.648464856513</v>
      </c>
      <c r="G15" s="463"/>
      <c r="H15" s="464">
        <v>31443.589421405894</v>
      </c>
      <c r="I15" s="463"/>
      <c r="J15" s="465">
        <f t="shared" ref="J15:J25" si="0">H15-F15</f>
        <v>7620.9409565493806</v>
      </c>
      <c r="K15" s="25"/>
      <c r="L15" s="387">
        <f t="shared" ref="L15:L25" si="1">J15/F15</f>
        <v>0.31990317817902969</v>
      </c>
      <c r="M15" s="15"/>
      <c r="N15" s="15"/>
      <c r="O15" s="54"/>
      <c r="Q15" s="23"/>
      <c r="R15" s="490"/>
      <c r="S15" s="491"/>
      <c r="T15" s="490"/>
      <c r="V15" s="231"/>
      <c r="W15" s="54"/>
    </row>
    <row r="16" spans="2:23">
      <c r="B16" s="16">
        <f>MAX($B$14:B15)+1</f>
        <v>3</v>
      </c>
      <c r="D16" s="23" t="s">
        <v>164</v>
      </c>
      <c r="F16" s="35">
        <v>0</v>
      </c>
      <c r="G16" s="463"/>
      <c r="H16" s="464">
        <v>272.41532868845394</v>
      </c>
      <c r="I16" s="463"/>
      <c r="J16" s="465">
        <f t="shared" si="0"/>
        <v>272.41532868845394</v>
      </c>
      <c r="K16" s="25"/>
      <c r="L16" s="387">
        <v>1</v>
      </c>
      <c r="M16" s="15"/>
      <c r="N16" s="15"/>
      <c r="Q16" s="23"/>
      <c r="R16" s="490"/>
      <c r="S16" s="491"/>
      <c r="T16" s="490"/>
      <c r="V16" s="231"/>
      <c r="W16" s="54"/>
    </row>
    <row r="17" spans="2:23">
      <c r="B17" s="16">
        <f>MAX($B$14:B16)+1</f>
        <v>4</v>
      </c>
      <c r="D17" s="23" t="s">
        <v>165</v>
      </c>
      <c r="F17" s="35">
        <v>2530.7072204570045</v>
      </c>
      <c r="G17" s="463"/>
      <c r="H17" s="464">
        <v>2395.742013411279</v>
      </c>
      <c r="I17" s="463"/>
      <c r="J17" s="465">
        <f t="shared" si="0"/>
        <v>-134.96520704572549</v>
      </c>
      <c r="K17" s="25"/>
      <c r="L17" s="387">
        <f t="shared" si="1"/>
        <v>-5.3331023816082908E-2</v>
      </c>
      <c r="M17" s="15"/>
      <c r="N17" s="15"/>
      <c r="Q17" s="23"/>
      <c r="R17" s="490"/>
      <c r="S17" s="491"/>
      <c r="T17" s="490"/>
      <c r="V17" s="231"/>
      <c r="W17" s="54"/>
    </row>
    <row r="18" spans="2:23">
      <c r="B18" s="16">
        <f>MAX($B$14:B17)+1</f>
        <v>5</v>
      </c>
      <c r="D18" s="23" t="s">
        <v>166</v>
      </c>
      <c r="F18" s="35">
        <v>1450.4079929714394</v>
      </c>
      <c r="G18" s="463"/>
      <c r="H18" s="464">
        <v>1046.4385347200052</v>
      </c>
      <c r="I18" s="463"/>
      <c r="J18" s="465">
        <f t="shared" si="0"/>
        <v>-403.96945825143416</v>
      </c>
      <c r="K18" s="25"/>
      <c r="L18" s="387">
        <f t="shared" si="1"/>
        <v>-0.27852125761098789</v>
      </c>
      <c r="M18" s="15"/>
      <c r="N18" s="15"/>
      <c r="Q18" s="23"/>
      <c r="R18" s="490"/>
      <c r="S18" s="491"/>
      <c r="T18" s="490"/>
      <c r="V18" s="231"/>
      <c r="W18" s="54"/>
    </row>
    <row r="19" spans="2:23">
      <c r="B19" s="16">
        <f>MAX($B$14:B18)+1</f>
        <v>6</v>
      </c>
      <c r="D19" s="23" t="s">
        <v>167</v>
      </c>
      <c r="F19" s="35">
        <v>166.42587763804721</v>
      </c>
      <c r="G19" s="463"/>
      <c r="H19" s="464">
        <v>174.6606100587978</v>
      </c>
      <c r="I19" s="463"/>
      <c r="J19" s="465">
        <f t="shared" si="0"/>
        <v>8.2347324207505892</v>
      </c>
      <c r="K19" s="25"/>
      <c r="L19" s="387">
        <f t="shared" si="1"/>
        <v>4.9479879797659651E-2</v>
      </c>
      <c r="M19" s="15"/>
      <c r="N19" s="15"/>
      <c r="Q19" s="23"/>
      <c r="R19" s="490"/>
      <c r="S19" s="491"/>
      <c r="T19" s="490"/>
      <c r="V19" s="231"/>
      <c r="W19" s="54"/>
    </row>
    <row r="20" spans="2:23">
      <c r="B20" s="16">
        <f>MAX($B$14:B19)+1</f>
        <v>7</v>
      </c>
      <c r="D20" s="23" t="s">
        <v>168</v>
      </c>
      <c r="F20" s="35">
        <v>286.778450102173</v>
      </c>
      <c r="G20" s="463"/>
      <c r="H20" s="464">
        <v>979.65831828089802</v>
      </c>
      <c r="I20" s="463"/>
      <c r="J20" s="465">
        <f t="shared" si="0"/>
        <v>692.87986817872502</v>
      </c>
      <c r="K20" s="25"/>
      <c r="L20" s="387">
        <f t="shared" si="1"/>
        <v>2.4160806641219619</v>
      </c>
      <c r="M20" s="15"/>
      <c r="N20" s="15"/>
      <c r="Q20" s="23"/>
      <c r="R20" s="490"/>
      <c r="S20" s="491"/>
      <c r="T20" s="490"/>
      <c r="V20" s="231"/>
      <c r="W20" s="54"/>
    </row>
    <row r="21" spans="2:23">
      <c r="B21" s="16">
        <f>MAX($B$14:B20)+1</f>
        <v>8</v>
      </c>
      <c r="D21" s="23" t="s">
        <v>169</v>
      </c>
      <c r="F21" s="35">
        <v>1177.730019985225</v>
      </c>
      <c r="G21" s="463"/>
      <c r="H21" s="464">
        <v>319.36496185339922</v>
      </c>
      <c r="I21" s="463"/>
      <c r="J21" s="465">
        <f t="shared" si="0"/>
        <v>-858.36505813182578</v>
      </c>
      <c r="K21" s="25"/>
      <c r="L21" s="387">
        <f t="shared" si="1"/>
        <v>-0.72883007443640968</v>
      </c>
      <c r="M21" s="15"/>
      <c r="N21" s="15"/>
      <c r="Q21" s="23"/>
      <c r="R21" s="490"/>
      <c r="S21" s="491"/>
      <c r="T21" s="490"/>
      <c r="V21" s="231"/>
      <c r="W21" s="54"/>
    </row>
    <row r="22" spans="2:23">
      <c r="B22" s="16">
        <f>MAX($B$14:B21)+1</f>
        <v>9</v>
      </c>
      <c r="D22" s="23" t="s">
        <v>170</v>
      </c>
      <c r="F22" s="35">
        <v>2361.8966861443309</v>
      </c>
      <c r="G22" s="463"/>
      <c r="H22" s="464">
        <v>367.27241531614294</v>
      </c>
      <c r="I22" s="463"/>
      <c r="J22" s="465">
        <f t="shared" si="0"/>
        <v>-1994.6242708281879</v>
      </c>
      <c r="K22" s="25"/>
      <c r="L22" s="387">
        <f t="shared" si="1"/>
        <v>-0.84450106667633484</v>
      </c>
      <c r="M22" s="15"/>
      <c r="N22" s="15"/>
      <c r="Q22" s="23"/>
      <c r="R22" s="490"/>
      <c r="S22" s="491"/>
      <c r="T22" s="490"/>
      <c r="V22" s="231"/>
      <c r="W22" s="54"/>
    </row>
    <row r="23" spans="2:23">
      <c r="B23" s="16">
        <f>MAX($B$14:B22)+1</f>
        <v>10</v>
      </c>
      <c r="D23" s="23" t="s">
        <v>171</v>
      </c>
      <c r="F23" s="35">
        <v>40.264841102989358</v>
      </c>
      <c r="G23" s="463"/>
      <c r="H23" s="464">
        <v>42.257140600837147</v>
      </c>
      <c r="I23" s="463"/>
      <c r="J23" s="465">
        <f t="shared" si="0"/>
        <v>1.9922994978477888</v>
      </c>
      <c r="K23" s="25"/>
      <c r="L23" s="387">
        <f t="shared" si="1"/>
        <v>4.9479879797659894E-2</v>
      </c>
      <c r="M23" s="15"/>
      <c r="N23" s="15"/>
      <c r="Q23" s="23"/>
      <c r="R23" s="490"/>
      <c r="S23" s="491"/>
      <c r="T23" s="490"/>
      <c r="V23" s="231"/>
      <c r="W23" s="54"/>
    </row>
    <row r="24" spans="2:23">
      <c r="B24" s="16">
        <f>MAX($B$14:B23)+1</f>
        <v>11</v>
      </c>
      <c r="D24" s="23" t="s">
        <v>455</v>
      </c>
      <c r="F24" s="35">
        <v>0.75518109520159571</v>
      </c>
      <c r="G24" s="463"/>
      <c r="H24" s="464">
        <v>0</v>
      </c>
      <c r="I24" s="463"/>
      <c r="J24" s="465">
        <f t="shared" si="0"/>
        <v>-0.75518109520159571</v>
      </c>
      <c r="K24" s="25"/>
      <c r="L24" s="387">
        <f t="shared" si="1"/>
        <v>-1</v>
      </c>
      <c r="M24" s="15"/>
      <c r="N24" s="15"/>
      <c r="Q24" s="26"/>
      <c r="T24" s="54"/>
      <c r="W24" s="54"/>
    </row>
    <row r="25" spans="2:23">
      <c r="B25" s="16">
        <f>MAX($B$14:B24)+1</f>
        <v>12</v>
      </c>
      <c r="D25" s="26" t="str">
        <f>"Total " &amp; D13</f>
        <v>Total EGD Rate Zone</v>
      </c>
      <c r="F25" s="466">
        <f>SUM(F14:F24)</f>
        <v>76949.126928120808</v>
      </c>
      <c r="G25" s="463"/>
      <c r="H25" s="466">
        <f>SUM(H14:H24)</f>
        <v>105981.61541066346</v>
      </c>
      <c r="I25" s="463"/>
      <c r="J25" s="467">
        <f t="shared" si="0"/>
        <v>29032.488482542656</v>
      </c>
      <c r="K25" s="25"/>
      <c r="L25" s="388">
        <f t="shared" si="1"/>
        <v>0.37729457943898814</v>
      </c>
      <c r="M25" s="15"/>
      <c r="N25" s="15"/>
      <c r="O25" s="27"/>
    </row>
    <row r="26" spans="2:23">
      <c r="F26" s="463"/>
      <c r="G26" s="463"/>
      <c r="H26" s="468"/>
      <c r="I26" s="463"/>
      <c r="J26" s="463"/>
      <c r="K26" s="25"/>
      <c r="L26" s="389"/>
      <c r="M26" s="15"/>
      <c r="N26" s="15"/>
    </row>
    <row r="27" spans="2:23">
      <c r="D27" s="21" t="s">
        <v>172</v>
      </c>
      <c r="F27" s="463"/>
      <c r="G27" s="463"/>
      <c r="H27" s="468"/>
      <c r="I27" s="463"/>
      <c r="J27" s="463"/>
      <c r="K27" s="25"/>
      <c r="L27" s="389"/>
      <c r="M27" s="15"/>
      <c r="N27" s="15"/>
      <c r="Q27" s="21"/>
    </row>
    <row r="28" spans="2:23">
      <c r="B28" s="16">
        <f>MAX($B$14:B25)+1</f>
        <v>13</v>
      </c>
      <c r="D28" s="23" t="s">
        <v>173</v>
      </c>
      <c r="F28" s="35">
        <v>6030.0582991150241</v>
      </c>
      <c r="G28" s="463"/>
      <c r="H28" s="464">
        <v>12031.44519372134</v>
      </c>
      <c r="I28" s="463"/>
      <c r="J28" s="465">
        <f t="shared" ref="J28:J33" si="2">H28-F28</f>
        <v>6001.3868946063158</v>
      </c>
      <c r="K28" s="25"/>
      <c r="L28" s="387">
        <f t="shared" ref="L28:L33" si="3">J28/F28</f>
        <v>0.99524525251888263</v>
      </c>
      <c r="M28" s="15"/>
      <c r="N28" s="15"/>
      <c r="Q28" s="23"/>
      <c r="T28" s="40"/>
    </row>
    <row r="29" spans="2:23">
      <c r="B29" s="16">
        <f>MAX($B$14:B28)+1</f>
        <v>14</v>
      </c>
      <c r="D29" s="23" t="s">
        <v>174</v>
      </c>
      <c r="F29" s="35">
        <v>3263.585202308966</v>
      </c>
      <c r="G29" s="463"/>
      <c r="H29" s="464">
        <v>1653.5839539086912</v>
      </c>
      <c r="I29" s="463"/>
      <c r="J29" s="465">
        <f t="shared" si="2"/>
        <v>-1610.0012484002748</v>
      </c>
      <c r="K29" s="25"/>
      <c r="L29" s="387">
        <f t="shared" si="3"/>
        <v>-0.49332287916405831</v>
      </c>
      <c r="M29" s="15"/>
      <c r="N29" s="15"/>
      <c r="Q29" s="23"/>
      <c r="T29" s="40"/>
    </row>
    <row r="30" spans="2:23">
      <c r="B30" s="16">
        <f>MAX($B$14:B29)+1</f>
        <v>15</v>
      </c>
      <c r="D30" s="23" t="s">
        <v>175</v>
      </c>
      <c r="F30" s="35">
        <v>1852.0285070552868</v>
      </c>
      <c r="G30" s="463"/>
      <c r="H30" s="464">
        <v>1314.4475566860165</v>
      </c>
      <c r="I30" s="463"/>
      <c r="J30" s="465">
        <f t="shared" si="2"/>
        <v>-537.58095036927034</v>
      </c>
      <c r="K30" s="25"/>
      <c r="L30" s="387">
        <f t="shared" si="3"/>
        <v>-0.29026602361754167</v>
      </c>
      <c r="M30" s="15"/>
      <c r="N30" s="15"/>
      <c r="Q30" s="23"/>
      <c r="T30" s="40"/>
    </row>
    <row r="31" spans="2:23">
      <c r="B31" s="16">
        <f>MAX($B$14:B30)+1</f>
        <v>16</v>
      </c>
      <c r="D31" s="23" t="s">
        <v>176</v>
      </c>
      <c r="F31" s="35">
        <v>75.273002614271363</v>
      </c>
      <c r="G31" s="463"/>
      <c r="H31" s="464">
        <v>78.99750173563443</v>
      </c>
      <c r="I31" s="463"/>
      <c r="J31" s="465">
        <f t="shared" si="2"/>
        <v>3.7244991213630669</v>
      </c>
      <c r="K31" s="25"/>
      <c r="L31" s="387">
        <f t="shared" si="3"/>
        <v>4.9479879797659644E-2</v>
      </c>
      <c r="M31" s="15"/>
      <c r="N31" s="15"/>
      <c r="Q31" s="23"/>
      <c r="T31" s="54"/>
    </row>
    <row r="32" spans="2:23">
      <c r="B32" s="16">
        <f>MAX($B$14:B31)+1</f>
        <v>17</v>
      </c>
      <c r="D32" s="23" t="s">
        <v>164</v>
      </c>
      <c r="F32" s="35">
        <v>1184.3698467577206</v>
      </c>
      <c r="G32" s="463"/>
      <c r="H32" s="464">
        <v>905.45719952283821</v>
      </c>
      <c r="I32" s="463"/>
      <c r="J32" s="465">
        <f t="shared" si="2"/>
        <v>-278.91264723488234</v>
      </c>
      <c r="K32" s="25"/>
      <c r="L32" s="387">
        <f t="shared" si="3"/>
        <v>-0.23549455265044233</v>
      </c>
      <c r="M32" s="15"/>
      <c r="N32" s="15"/>
      <c r="Q32" s="23"/>
      <c r="T32" s="40"/>
    </row>
    <row r="33" spans="2:20">
      <c r="B33" s="16">
        <f>MAX($B$14:B32)+1</f>
        <v>18</v>
      </c>
      <c r="D33" s="26" t="str">
        <f>"Total " &amp; D27</f>
        <v>Total Union North Rate Zone</v>
      </c>
      <c r="F33" s="466">
        <f>SUM(F28:F32)</f>
        <v>12405.31485785127</v>
      </c>
      <c r="G33" s="463"/>
      <c r="H33" s="466">
        <f>SUM(H28:H32)</f>
        <v>15983.93140557452</v>
      </c>
      <c r="I33" s="463"/>
      <c r="J33" s="467">
        <f t="shared" si="2"/>
        <v>3578.6165477232498</v>
      </c>
      <c r="K33" s="25"/>
      <c r="L33" s="388">
        <f t="shared" si="3"/>
        <v>0.28847446346421096</v>
      </c>
      <c r="M33" s="15"/>
      <c r="N33" s="15"/>
      <c r="O33" s="27"/>
      <c r="Q33" s="26"/>
      <c r="T33" s="40"/>
    </row>
    <row r="34" spans="2:20">
      <c r="F34" s="463"/>
      <c r="G34" s="463"/>
      <c r="H34" s="468"/>
      <c r="I34" s="463"/>
      <c r="J34" s="463"/>
      <c r="K34" s="25"/>
      <c r="L34" s="389"/>
      <c r="M34" s="15"/>
      <c r="N34" s="15"/>
    </row>
    <row r="35" spans="2:20">
      <c r="D35" s="21" t="s">
        <v>177</v>
      </c>
      <c r="F35" s="463"/>
      <c r="G35" s="463"/>
      <c r="H35" s="468"/>
      <c r="I35" s="463"/>
      <c r="J35" s="463"/>
      <c r="K35" s="25"/>
      <c r="L35" s="389"/>
      <c r="M35" s="15"/>
      <c r="N35" s="15"/>
      <c r="Q35" s="21"/>
    </row>
    <row r="36" spans="2:20">
      <c r="B36" s="16">
        <f>MAX($B$14:B33)+1</f>
        <v>19</v>
      </c>
      <c r="D36" s="23" t="s">
        <v>178</v>
      </c>
      <c r="F36" s="35">
        <v>27345.592343456239</v>
      </c>
      <c r="G36" s="463"/>
      <c r="H36" s="464">
        <v>39316.961995591373</v>
      </c>
      <c r="I36" s="463"/>
      <c r="J36" s="465">
        <f t="shared" ref="J36:J45" si="4">H36-F36</f>
        <v>11971.369652135134</v>
      </c>
      <c r="K36" s="25"/>
      <c r="L36" s="387">
        <f t="shared" ref="L36:L45" si="5">J36/F36</f>
        <v>0.43778059373432682</v>
      </c>
      <c r="M36" s="15"/>
      <c r="N36" s="15"/>
      <c r="Q36" s="23"/>
      <c r="T36" s="40"/>
    </row>
    <row r="37" spans="2:20">
      <c r="B37" s="16">
        <f>MAX($B$14:B36)+1</f>
        <v>20</v>
      </c>
      <c r="D37" s="23" t="s">
        <v>179</v>
      </c>
      <c r="F37" s="35">
        <v>11256.648661169662</v>
      </c>
      <c r="G37" s="463"/>
      <c r="H37" s="464">
        <v>7054.8124410259497</v>
      </c>
      <c r="I37" s="463"/>
      <c r="J37" s="465">
        <f t="shared" si="4"/>
        <v>-4201.8362201437121</v>
      </c>
      <c r="K37" s="25"/>
      <c r="L37" s="387">
        <f t="shared" si="5"/>
        <v>-0.37327594976275164</v>
      </c>
      <c r="M37" s="15"/>
      <c r="N37" s="15"/>
      <c r="Q37" s="23"/>
      <c r="T37" s="40"/>
    </row>
    <row r="38" spans="2:20">
      <c r="B38" s="16">
        <f>MAX($B$14:B37)+1</f>
        <v>21</v>
      </c>
      <c r="D38" s="23" t="s">
        <v>456</v>
      </c>
      <c r="F38" s="35">
        <v>5025.1179600971136</v>
      </c>
      <c r="G38" s="463"/>
      <c r="H38" s="464">
        <v>5521.9028799142479</v>
      </c>
      <c r="I38" s="463"/>
      <c r="J38" s="465">
        <f t="shared" si="4"/>
        <v>496.78491981713432</v>
      </c>
      <c r="K38" s="25"/>
      <c r="L38" s="387">
        <f t="shared" si="5"/>
        <v>9.8860349898638719E-2</v>
      </c>
      <c r="M38" s="15"/>
      <c r="N38" s="15"/>
      <c r="Q38" s="23"/>
      <c r="T38" s="40"/>
    </row>
    <row r="39" spans="2:20">
      <c r="B39" s="16">
        <f>MAX($B$14:B38)+1</f>
        <v>22</v>
      </c>
      <c r="D39" s="23" t="s">
        <v>181</v>
      </c>
      <c r="F39" s="35">
        <v>524.43872268727625</v>
      </c>
      <c r="G39" s="463"/>
      <c r="H39" s="464">
        <v>402.19159855308078</v>
      </c>
      <c r="I39" s="463"/>
      <c r="J39" s="465">
        <f t="shared" si="4"/>
        <v>-122.24712413419547</v>
      </c>
      <c r="K39" s="25"/>
      <c r="L39" s="387">
        <f t="shared" si="5"/>
        <v>-0.23310087307777166</v>
      </c>
      <c r="M39" s="15"/>
      <c r="N39" s="15"/>
      <c r="Q39" s="23"/>
      <c r="T39" s="40"/>
    </row>
    <row r="40" spans="2:20">
      <c r="B40" s="16">
        <f>MAX($B$14:B39)+1</f>
        <v>23</v>
      </c>
      <c r="D40" s="23" t="s">
        <v>182</v>
      </c>
      <c r="F40" s="35">
        <v>2214.0227635852316</v>
      </c>
      <c r="G40" s="463"/>
      <c r="H40" s="464">
        <v>4188.472052498998</v>
      </c>
      <c r="I40" s="463"/>
      <c r="J40" s="465">
        <f t="shared" si="4"/>
        <v>1974.4492889137664</v>
      </c>
      <c r="K40" s="25"/>
      <c r="L40" s="387">
        <f t="shared" si="5"/>
        <v>0.89179267773944793</v>
      </c>
      <c r="M40" s="15"/>
      <c r="N40" s="15"/>
      <c r="Q40" s="23"/>
      <c r="T40" s="40"/>
    </row>
    <row r="41" spans="2:20">
      <c r="B41" s="16">
        <f>MAX($B$14:B40)+1</f>
        <v>24</v>
      </c>
      <c r="D41" s="23" t="s">
        <v>183</v>
      </c>
      <c r="F41" s="35">
        <v>16.885138634511062</v>
      </c>
      <c r="G41" s="463"/>
      <c r="H41" s="464">
        <v>17.720613264513492</v>
      </c>
      <c r="I41" s="463"/>
      <c r="J41" s="465">
        <f t="shared" si="4"/>
        <v>0.83547463000243027</v>
      </c>
      <c r="K41" s="25"/>
      <c r="L41" s="387">
        <f t="shared" si="5"/>
        <v>4.947987979765988E-2</v>
      </c>
      <c r="M41" s="15"/>
      <c r="N41" s="15"/>
      <c r="Q41" s="23"/>
      <c r="T41" s="54"/>
    </row>
    <row r="42" spans="2:20">
      <c r="B42" s="16">
        <f>MAX($B$14:B41)+1</f>
        <v>25</v>
      </c>
      <c r="D42" s="23" t="s">
        <v>184</v>
      </c>
      <c r="F42" s="35">
        <v>1633.7340896093751</v>
      </c>
      <c r="G42" s="463"/>
      <c r="H42" s="464">
        <v>965.15650932865947</v>
      </c>
      <c r="I42" s="463"/>
      <c r="J42" s="465">
        <f t="shared" si="4"/>
        <v>-668.57758028071567</v>
      </c>
      <c r="K42" s="25"/>
      <c r="L42" s="387">
        <f t="shared" si="5"/>
        <v>-0.40923280265307566</v>
      </c>
      <c r="M42" s="15"/>
      <c r="N42" s="15"/>
      <c r="Q42" s="23"/>
      <c r="T42" s="40"/>
    </row>
    <row r="43" spans="2:20">
      <c r="B43" s="16">
        <f>MAX($B$14:B42)+1</f>
        <v>26</v>
      </c>
      <c r="D43" s="23" t="s">
        <v>185</v>
      </c>
      <c r="F43" s="35">
        <v>4782.7061571557206</v>
      </c>
      <c r="G43" s="463"/>
      <c r="H43" s="464">
        <v>3537.6584435522941</v>
      </c>
      <c r="I43" s="463"/>
      <c r="J43" s="465">
        <f t="shared" si="4"/>
        <v>-1245.0477136034265</v>
      </c>
      <c r="K43" s="25"/>
      <c r="L43" s="387">
        <f t="shared" si="5"/>
        <v>-0.2603228533579528</v>
      </c>
      <c r="M43" s="15"/>
      <c r="N43" s="15"/>
      <c r="Q43" s="23"/>
      <c r="T43" s="40"/>
    </row>
    <row r="44" spans="2:20">
      <c r="B44" s="16">
        <f>MAX($B$14:B43)+1</f>
        <v>27</v>
      </c>
      <c r="D44" s="23" t="s">
        <v>186</v>
      </c>
      <c r="F44" s="35">
        <v>106.24677227519348</v>
      </c>
      <c r="G44" s="463"/>
      <c r="H44" s="464">
        <v>111.50384979625937</v>
      </c>
      <c r="I44" s="463"/>
      <c r="J44" s="465">
        <f t="shared" si="4"/>
        <v>5.2570775210658951</v>
      </c>
      <c r="K44" s="25"/>
      <c r="L44" s="387">
        <f t="shared" si="5"/>
        <v>4.9479879797659686E-2</v>
      </c>
      <c r="M44" s="15"/>
      <c r="N44" s="15"/>
      <c r="Q44" s="23"/>
      <c r="T44" s="54"/>
    </row>
    <row r="45" spans="2:20">
      <c r="B45" s="16">
        <f>MAX($B$14:B44)+1</f>
        <v>28</v>
      </c>
      <c r="D45" s="26" t="str">
        <f>"Total " &amp; D35</f>
        <v>Total Union South Rate Zone</v>
      </c>
      <c r="F45" s="466">
        <f>SUM(F36:F44)</f>
        <v>52905.392608670321</v>
      </c>
      <c r="G45" s="463"/>
      <c r="H45" s="466">
        <f>SUM(H36:H44)</f>
        <v>61116.380383525378</v>
      </c>
      <c r="I45" s="463"/>
      <c r="J45" s="467">
        <f t="shared" si="4"/>
        <v>8210.9877748550571</v>
      </c>
      <c r="K45" s="25"/>
      <c r="L45" s="388">
        <f t="shared" si="5"/>
        <v>0.1552013390315416</v>
      </c>
      <c r="M45" s="15"/>
      <c r="N45" s="15"/>
      <c r="O45" s="27"/>
      <c r="Q45" s="26"/>
      <c r="T45" s="54"/>
    </row>
    <row r="46" spans="2:20">
      <c r="B46" s="16"/>
      <c r="F46" s="463"/>
      <c r="G46" s="463"/>
      <c r="H46" s="468"/>
      <c r="I46" s="463"/>
      <c r="J46" s="463"/>
      <c r="K46" s="25"/>
      <c r="L46" s="389"/>
      <c r="M46" s="15"/>
      <c r="N46" s="15"/>
    </row>
    <row r="47" spans="2:20" ht="13.5" thickBot="1">
      <c r="B47" s="16">
        <f>MAX($B$14:B46)+1</f>
        <v>29</v>
      </c>
      <c r="D47" s="26" t="s">
        <v>100</v>
      </c>
      <c r="F47" s="469">
        <f>F25+F33+F45</f>
        <v>142259.83439464238</v>
      </c>
      <c r="G47" s="463"/>
      <c r="H47" s="469">
        <f>H25+H33+H45</f>
        <v>183081.92719976336</v>
      </c>
      <c r="I47" s="463"/>
      <c r="J47" s="470">
        <f t="shared" ref="J47" si="6">H47-F47</f>
        <v>40822.092805120978</v>
      </c>
      <c r="K47" s="25"/>
      <c r="L47" s="390">
        <f t="shared" ref="L47" si="7">J47/F47</f>
        <v>0.28695445189312246</v>
      </c>
      <c r="M47" s="15"/>
      <c r="N47" s="15"/>
      <c r="O47" s="27"/>
      <c r="T47" s="54"/>
    </row>
    <row r="48" spans="2:20" ht="13.5" thickTop="1">
      <c r="F48" s="47"/>
      <c r="G48" s="47"/>
      <c r="H48" s="47"/>
      <c r="I48" s="47"/>
      <c r="J48" s="47"/>
      <c r="L48" s="395"/>
      <c r="M48" s="15"/>
      <c r="N48" s="15"/>
    </row>
    <row r="49" spans="2:17">
      <c r="B49" s="21" t="s">
        <v>39</v>
      </c>
      <c r="C49" s="30"/>
      <c r="M49" s="15"/>
      <c r="N49" s="15"/>
    </row>
    <row r="50" spans="2:17" ht="15" customHeight="1">
      <c r="B50" s="28" t="s">
        <v>40</v>
      </c>
      <c r="C50" s="201"/>
      <c r="D50" s="386" t="s">
        <v>457</v>
      </c>
      <c r="E50" s="29"/>
      <c r="F50" s="29"/>
      <c r="G50" s="29"/>
      <c r="H50" s="29"/>
      <c r="I50" s="201"/>
      <c r="M50" s="15"/>
      <c r="N50" s="15"/>
    </row>
    <row r="51" spans="2:17" ht="56.25" customHeight="1">
      <c r="B51" s="28" t="s">
        <v>42</v>
      </c>
      <c r="D51" s="1310" t="s">
        <v>458</v>
      </c>
      <c r="E51" s="1310"/>
      <c r="F51" s="1310"/>
      <c r="G51" s="1310"/>
      <c r="H51" s="1310"/>
      <c r="I51" s="1310"/>
      <c r="J51" s="1310"/>
      <c r="K51" s="1310"/>
      <c r="L51" s="1310"/>
      <c r="M51" s="15"/>
      <c r="N51" s="15"/>
    </row>
    <row r="52" spans="2:17" ht="15" customHeight="1">
      <c r="B52" s="22"/>
      <c r="K52" s="29"/>
      <c r="M52" s="15"/>
      <c r="N52" s="15"/>
    </row>
    <row r="53" spans="2:17">
      <c r="B53" s="22"/>
      <c r="C53" s="29"/>
      <c r="D53" s="29"/>
      <c r="E53" s="29"/>
      <c r="F53" s="29"/>
      <c r="G53" s="29"/>
      <c r="H53" s="29"/>
      <c r="I53" s="29"/>
      <c r="J53" s="29"/>
      <c r="K53" s="29"/>
      <c r="M53" s="15"/>
      <c r="N53" s="15"/>
    </row>
    <row r="54" spans="2:17">
      <c r="C54" s="30"/>
    </row>
    <row r="57" spans="2:17" ht="14.25" customHeight="1">
      <c r="B57" s="1306" t="s">
        <v>459</v>
      </c>
      <c r="C57" s="1306"/>
      <c r="D57" s="1306"/>
      <c r="E57" s="1306"/>
      <c r="F57" s="1306"/>
      <c r="G57" s="1306"/>
      <c r="H57" s="1306"/>
      <c r="I57" s="1306"/>
      <c r="J57" s="1306"/>
      <c r="K57" s="1306"/>
      <c r="L57" s="1306"/>
      <c r="M57" s="391"/>
    </row>
    <row r="58" spans="2:17">
      <c r="B58" s="1306" t="s">
        <v>11</v>
      </c>
      <c r="C58" s="1306"/>
      <c r="D58" s="1306"/>
      <c r="E58" s="1306"/>
      <c r="F58" s="1306"/>
      <c r="G58" s="1306"/>
      <c r="H58" s="1306"/>
      <c r="I58" s="1306"/>
      <c r="J58" s="1306"/>
      <c r="K58" s="1306"/>
      <c r="L58" s="1306"/>
      <c r="M58" s="15"/>
      <c r="N58" s="15"/>
    </row>
    <row r="59" spans="2:17">
      <c r="B59" s="22"/>
      <c r="F59" s="16"/>
      <c r="J59" s="15"/>
      <c r="K59" s="15"/>
      <c r="M59" s="15"/>
      <c r="N59" s="15"/>
    </row>
    <row r="60" spans="2:17">
      <c r="D60" s="14" t="s">
        <v>38</v>
      </c>
      <c r="F60" s="15"/>
      <c r="G60" s="15"/>
      <c r="H60" s="15"/>
      <c r="I60" s="15"/>
      <c r="J60" s="15"/>
      <c r="M60" s="15"/>
      <c r="N60" s="15"/>
      <c r="Q60" s="15"/>
    </row>
    <row r="61" spans="2:17">
      <c r="F61" s="15" t="s">
        <v>460</v>
      </c>
      <c r="G61" s="15"/>
      <c r="H61" s="15" t="s">
        <v>461</v>
      </c>
      <c r="I61" s="15"/>
      <c r="J61" s="15" t="s">
        <v>461</v>
      </c>
      <c r="M61" s="15"/>
      <c r="N61" s="15"/>
      <c r="Q61" s="15"/>
    </row>
    <row r="62" spans="2:17">
      <c r="B62" s="16" t="s">
        <v>1</v>
      </c>
      <c r="F62" s="31" t="s">
        <v>462</v>
      </c>
      <c r="G62" s="15"/>
      <c r="H62" s="31" t="s">
        <v>463</v>
      </c>
      <c r="I62" s="31"/>
      <c r="J62" s="15" t="s">
        <v>464</v>
      </c>
      <c r="M62" s="15"/>
      <c r="N62" s="15"/>
      <c r="Q62" s="15"/>
    </row>
    <row r="63" spans="2:17">
      <c r="B63" s="17" t="s">
        <v>2</v>
      </c>
      <c r="D63" s="18" t="s">
        <v>3</v>
      </c>
      <c r="F63" s="202" t="s">
        <v>465</v>
      </c>
      <c r="G63" s="20"/>
      <c r="H63" s="202" t="s">
        <v>20</v>
      </c>
      <c r="I63" s="15"/>
      <c r="J63" s="32" t="s">
        <v>466</v>
      </c>
      <c r="M63" s="15"/>
      <c r="N63" s="15"/>
      <c r="Q63" s="33"/>
    </row>
    <row r="64" spans="2:17">
      <c r="B64" s="16"/>
      <c r="F64" s="15" t="s">
        <v>8</v>
      </c>
      <c r="G64" s="15"/>
      <c r="H64" s="31" t="s">
        <v>9</v>
      </c>
      <c r="I64" s="20"/>
      <c r="J64" s="31" t="s">
        <v>370</v>
      </c>
      <c r="M64" s="15"/>
      <c r="N64" s="15"/>
      <c r="Q64" s="15"/>
    </row>
    <row r="65" spans="2:17" ht="6.75" customHeight="1">
      <c r="M65" s="15"/>
      <c r="N65" s="15"/>
    </row>
    <row r="66" spans="2:17" ht="6.75" customHeight="1">
      <c r="D66" s="391"/>
      <c r="M66" s="15"/>
      <c r="N66" s="15"/>
    </row>
    <row r="67" spans="2:17">
      <c r="B67" s="47"/>
      <c r="C67" s="47"/>
      <c r="D67" s="471" t="s">
        <v>162</v>
      </c>
      <c r="E67" s="47"/>
      <c r="F67" s="15"/>
      <c r="G67" s="47"/>
      <c r="H67" s="47"/>
      <c r="I67" s="47"/>
      <c r="J67" s="47"/>
      <c r="K67" s="47"/>
      <c r="L67" s="47"/>
      <c r="M67" s="15"/>
      <c r="N67" s="15"/>
    </row>
    <row r="68" spans="2:17">
      <c r="B68" s="283">
        <v>1</v>
      </c>
      <c r="C68" s="47"/>
      <c r="D68" s="47" t="s">
        <v>200</v>
      </c>
      <c r="E68" s="47"/>
      <c r="F68" s="472">
        <f>'Schedule 22 p.5'!G17</f>
        <v>25957058</v>
      </c>
      <c r="G68" s="47"/>
      <c r="H68" s="140">
        <f>'Schedule 22 p.5'!O17</f>
        <v>58464.788364658962</v>
      </c>
      <c r="I68" s="47"/>
      <c r="J68" s="260">
        <f>'Schedule 22 p.5'!$K$17</f>
        <v>2.2523657482546349</v>
      </c>
      <c r="K68" s="47"/>
      <c r="L68" s="47"/>
      <c r="M68" s="15"/>
      <c r="N68" s="15"/>
    </row>
    <row r="69" spans="2:17">
      <c r="B69" s="283">
        <f>MAX($B$68:B68)+1</f>
        <v>2</v>
      </c>
      <c r="C69" s="47"/>
      <c r="D69" s="130" t="s">
        <v>202</v>
      </c>
      <c r="E69" s="47"/>
      <c r="F69" s="472">
        <f>'Schedule 22 p.5'!G23</f>
        <v>5011587.6267347429</v>
      </c>
      <c r="G69" s="463"/>
      <c r="H69" s="35">
        <f>'Schedule 22 p.5'!O23</f>
        <v>10475.428301668813</v>
      </c>
      <c r="I69" s="463"/>
      <c r="J69" s="8">
        <f>'Schedule 22 p.5'!$K$19</f>
        <v>0.20902414727394461</v>
      </c>
      <c r="K69" s="47"/>
      <c r="L69" s="47"/>
      <c r="M69" s="15"/>
      <c r="N69" s="15"/>
      <c r="O69" s="36"/>
      <c r="Q69" s="37"/>
    </row>
    <row r="70" spans="2:17">
      <c r="B70" s="283">
        <f>MAX($B$68:B69)+1</f>
        <v>3</v>
      </c>
      <c r="C70" s="47"/>
      <c r="D70" s="47" t="s">
        <v>212</v>
      </c>
      <c r="E70" s="47"/>
      <c r="F70" s="473">
        <f>F69</f>
        <v>5011587.6267347429</v>
      </c>
      <c r="G70" s="463"/>
      <c r="H70" s="420">
        <f>H14</f>
        <v>68940.216666327775</v>
      </c>
      <c r="I70" s="463"/>
      <c r="J70" s="38">
        <f>H70/F70*100</f>
        <v>1.3756163076658638</v>
      </c>
      <c r="K70" s="47"/>
      <c r="L70" s="47"/>
      <c r="M70" s="15"/>
      <c r="N70" s="15"/>
      <c r="O70" s="36"/>
      <c r="Q70" s="37"/>
    </row>
    <row r="71" spans="2:17">
      <c r="B71" s="283"/>
      <c r="C71" s="47"/>
      <c r="D71" s="474"/>
      <c r="E71" s="47"/>
      <c r="F71" s="35"/>
      <c r="G71" s="463"/>
      <c r="H71" s="35"/>
      <c r="I71" s="463"/>
      <c r="J71" s="8"/>
      <c r="K71" s="47"/>
      <c r="L71" s="47"/>
      <c r="O71" s="36"/>
      <c r="Q71" s="37"/>
    </row>
    <row r="72" spans="2:17">
      <c r="B72" s="47"/>
      <c r="C72" s="47"/>
      <c r="D72" s="471" t="s">
        <v>163</v>
      </c>
      <c r="E72" s="47"/>
      <c r="F72" s="463"/>
      <c r="G72" s="463"/>
      <c r="H72" s="463"/>
      <c r="I72" s="463"/>
      <c r="J72" s="463"/>
      <c r="K72" s="47"/>
      <c r="L72" s="47"/>
    </row>
    <row r="73" spans="2:17">
      <c r="B73" s="283">
        <f>MAX($B$68:B72)+1</f>
        <v>4</v>
      </c>
      <c r="C73" s="47"/>
      <c r="D73" s="130" t="s">
        <v>202</v>
      </c>
      <c r="E73" s="47"/>
      <c r="F73" s="475">
        <v>4799239.8721003952</v>
      </c>
      <c r="G73" s="463"/>
      <c r="H73" s="35">
        <f>H15</f>
        <v>31443.589421405894</v>
      </c>
      <c r="I73" s="463"/>
      <c r="J73" s="8">
        <f>H73/F73*100</f>
        <v>0.65517853367151146</v>
      </c>
      <c r="K73" s="47"/>
      <c r="L73" s="47"/>
    </row>
    <row r="74" spans="2:17">
      <c r="B74" s="283">
        <f>MAX($B$68:B73)+1</f>
        <v>5</v>
      </c>
      <c r="C74" s="47"/>
      <c r="D74" s="47" t="str">
        <f>"Total "&amp;D72</f>
        <v>Total Rate 6</v>
      </c>
      <c r="E74" s="47"/>
      <c r="F74" s="473">
        <f>F73</f>
        <v>4799239.8721003952</v>
      </c>
      <c r="G74" s="463"/>
      <c r="H74" s="473">
        <f>H73</f>
        <v>31443.589421405894</v>
      </c>
      <c r="I74" s="463"/>
      <c r="J74" s="476">
        <f>J73</f>
        <v>0.65517853367151146</v>
      </c>
      <c r="K74" s="47"/>
      <c r="L74" s="47"/>
    </row>
    <row r="75" spans="2:17">
      <c r="B75" s="47"/>
      <c r="C75" s="47"/>
      <c r="D75" s="47"/>
      <c r="E75" s="47"/>
      <c r="F75" s="463"/>
      <c r="G75" s="463"/>
      <c r="H75" s="463"/>
      <c r="I75" s="463"/>
      <c r="J75" s="463"/>
      <c r="K75" s="47"/>
      <c r="L75" s="47"/>
    </row>
    <row r="76" spans="2:17">
      <c r="B76" s="47"/>
      <c r="C76" s="47"/>
      <c r="D76" s="471" t="s">
        <v>164</v>
      </c>
      <c r="E76" s="47"/>
      <c r="F76" s="463"/>
      <c r="G76" s="463"/>
      <c r="H76" s="463"/>
      <c r="I76" s="463"/>
      <c r="J76" s="463"/>
      <c r="K76" s="47"/>
      <c r="L76" s="47"/>
    </row>
    <row r="77" spans="2:17">
      <c r="B77" s="283">
        <f>MAX($B$68:B76)+1</f>
        <v>6</v>
      </c>
      <c r="C77" s="47"/>
      <c r="D77" s="130" t="s">
        <v>202</v>
      </c>
      <c r="E77" s="47"/>
      <c r="F77" s="35">
        <v>27429.148000000001</v>
      </c>
      <c r="G77" s="463"/>
      <c r="H77" s="35">
        <f>H16</f>
        <v>272.41532868845394</v>
      </c>
      <c r="I77" s="463"/>
      <c r="J77" s="8">
        <f>H77/F77*100</f>
        <v>0.99316000879230337</v>
      </c>
      <c r="K77" s="47"/>
      <c r="L77" s="47"/>
      <c r="Q77" s="37"/>
    </row>
    <row r="78" spans="2:17">
      <c r="B78" s="283">
        <f>MAX($B$68:B77)+1</f>
        <v>7</v>
      </c>
      <c r="C78" s="47"/>
      <c r="D78" s="47" t="str">
        <f>"Total "&amp;D76</f>
        <v>Total Rate 100</v>
      </c>
      <c r="E78" s="47"/>
      <c r="F78" s="473">
        <f>F77</f>
        <v>27429.148000000001</v>
      </c>
      <c r="G78" s="463"/>
      <c r="H78" s="473">
        <f>H77</f>
        <v>272.41532868845394</v>
      </c>
      <c r="I78" s="463"/>
      <c r="J78" s="476">
        <f>J77</f>
        <v>0.99316000879230337</v>
      </c>
      <c r="K78" s="47"/>
      <c r="L78" s="47"/>
      <c r="Q78" s="37"/>
    </row>
    <row r="79" spans="2:17">
      <c r="B79" s="47"/>
      <c r="C79" s="47"/>
      <c r="D79" s="47"/>
      <c r="E79" s="47"/>
      <c r="F79" s="463"/>
      <c r="G79" s="463"/>
      <c r="H79" s="463"/>
      <c r="I79" s="463"/>
      <c r="J79" s="463"/>
      <c r="K79" s="47"/>
      <c r="L79" s="47"/>
    </row>
    <row r="80" spans="2:17">
      <c r="B80" s="47"/>
      <c r="C80" s="47"/>
      <c r="D80" s="471" t="s">
        <v>165</v>
      </c>
      <c r="E80" s="47"/>
      <c r="F80" s="463"/>
      <c r="G80" s="463"/>
      <c r="H80" s="463"/>
      <c r="I80" s="463"/>
      <c r="J80" s="463"/>
      <c r="K80" s="47"/>
      <c r="L80" s="47"/>
    </row>
    <row r="81" spans="2:17">
      <c r="B81" s="283">
        <f>MAX($B$68:B80)+1</f>
        <v>8</v>
      </c>
      <c r="C81" s="47"/>
      <c r="D81" s="130" t="s">
        <v>202</v>
      </c>
      <c r="E81" s="47"/>
      <c r="F81" s="35">
        <v>1068281.1669999999</v>
      </c>
      <c r="G81" s="463"/>
      <c r="H81" s="35">
        <f>H17</f>
        <v>2395.742013411279</v>
      </c>
      <c r="I81" s="463"/>
      <c r="J81" s="8">
        <f>H81/F81*100</f>
        <v>0.22426137307457367</v>
      </c>
      <c r="K81" s="47"/>
      <c r="L81" s="47"/>
      <c r="Q81" s="37"/>
    </row>
    <row r="82" spans="2:17">
      <c r="B82" s="283">
        <f>MAX($B$68:B81)+1</f>
        <v>9</v>
      </c>
      <c r="C82" s="47"/>
      <c r="D82" s="47" t="str">
        <f>"Total "&amp;D80</f>
        <v>Total Rate 110</v>
      </c>
      <c r="E82" s="47"/>
      <c r="F82" s="473">
        <f>F81</f>
        <v>1068281.1669999999</v>
      </c>
      <c r="G82" s="463"/>
      <c r="H82" s="473">
        <f>H81</f>
        <v>2395.742013411279</v>
      </c>
      <c r="I82" s="463"/>
      <c r="J82" s="476">
        <f>J81</f>
        <v>0.22426137307457367</v>
      </c>
      <c r="K82" s="47"/>
      <c r="L82" s="47"/>
      <c r="Q82" s="37"/>
    </row>
    <row r="83" spans="2:17">
      <c r="B83" s="47"/>
      <c r="C83" s="47"/>
      <c r="D83" s="47"/>
      <c r="E83" s="47"/>
      <c r="F83" s="463"/>
      <c r="G83" s="463"/>
      <c r="H83" s="463"/>
      <c r="I83" s="463"/>
      <c r="J83" s="463"/>
      <c r="K83" s="47"/>
      <c r="L83" s="47"/>
    </row>
    <row r="84" spans="2:17">
      <c r="B84" s="47"/>
      <c r="C84" s="47"/>
      <c r="D84" s="471" t="s">
        <v>166</v>
      </c>
      <c r="E84" s="47"/>
      <c r="F84" s="463"/>
      <c r="G84" s="463"/>
      <c r="H84" s="463"/>
      <c r="I84" s="463"/>
      <c r="J84" s="463"/>
      <c r="K84" s="47"/>
      <c r="L84" s="47"/>
    </row>
    <row r="85" spans="2:17">
      <c r="B85" s="283">
        <f>MAX($B$68:B84)+1</f>
        <v>10</v>
      </c>
      <c r="C85" s="47"/>
      <c r="D85" s="130" t="s">
        <v>202</v>
      </c>
      <c r="E85" s="47"/>
      <c r="F85" s="35">
        <v>381872.95299999998</v>
      </c>
      <c r="G85" s="463"/>
      <c r="H85" s="35">
        <f>H18</f>
        <v>1046.4385347200052</v>
      </c>
      <c r="I85" s="463"/>
      <c r="J85" s="8">
        <f>H85/F85*100</f>
        <v>0.2740279264344771</v>
      </c>
      <c r="K85" s="47"/>
      <c r="L85" s="47"/>
      <c r="Q85" s="37"/>
    </row>
    <row r="86" spans="2:17">
      <c r="B86" s="283">
        <f>MAX($B$68:B85)+1</f>
        <v>11</v>
      </c>
      <c r="C86" s="47"/>
      <c r="D86" s="47" t="str">
        <f>"Total "&amp;D84</f>
        <v>Total Rate 115</v>
      </c>
      <c r="E86" s="47"/>
      <c r="F86" s="473">
        <f>F85</f>
        <v>381872.95299999998</v>
      </c>
      <c r="G86" s="463"/>
      <c r="H86" s="473">
        <f>H85</f>
        <v>1046.4385347200052</v>
      </c>
      <c r="I86" s="463"/>
      <c r="J86" s="476">
        <f>J85</f>
        <v>0.2740279264344771</v>
      </c>
      <c r="K86" s="47"/>
      <c r="L86" s="47"/>
      <c r="Q86" s="37"/>
    </row>
    <row r="87" spans="2:17">
      <c r="B87" s="47"/>
      <c r="C87" s="47"/>
      <c r="D87" s="47"/>
      <c r="E87" s="47"/>
      <c r="F87" s="463"/>
      <c r="G87" s="463"/>
      <c r="H87" s="463"/>
      <c r="I87" s="463"/>
      <c r="J87" s="463"/>
      <c r="K87" s="47"/>
      <c r="L87" s="47"/>
    </row>
    <row r="88" spans="2:17">
      <c r="B88" s="47"/>
      <c r="C88" s="47"/>
      <c r="D88" s="471" t="s">
        <v>167</v>
      </c>
      <c r="E88" s="47"/>
      <c r="F88" s="463"/>
      <c r="G88" s="463"/>
      <c r="H88" s="463"/>
      <c r="I88" s="463"/>
      <c r="J88" s="463"/>
      <c r="K88" s="47"/>
      <c r="L88" s="47"/>
    </row>
    <row r="89" spans="2:17">
      <c r="B89" s="283">
        <f>MAX($B$68:B88)+1</f>
        <v>12</v>
      </c>
      <c r="C89" s="47"/>
      <c r="D89" s="130" t="s">
        <v>221</v>
      </c>
      <c r="E89" s="47"/>
      <c r="F89" s="35">
        <v>111124.284</v>
      </c>
      <c r="G89" s="463"/>
      <c r="H89" s="35">
        <f>H19</f>
        <v>174.6606100587978</v>
      </c>
      <c r="I89" s="463"/>
      <c r="J89" s="8">
        <f>H89/F89*100</f>
        <v>0.15717591490515054</v>
      </c>
      <c r="K89" s="47"/>
      <c r="L89" s="47"/>
      <c r="Q89" s="37"/>
    </row>
    <row r="90" spans="2:17">
      <c r="B90" s="283">
        <f>MAX($B$68:B89)+1</f>
        <v>13</v>
      </c>
      <c r="C90" s="47"/>
      <c r="D90" s="47" t="str">
        <f>"Total "&amp;D88</f>
        <v>Total Rate 125</v>
      </c>
      <c r="E90" s="47"/>
      <c r="F90" s="473">
        <f>F89</f>
        <v>111124.284</v>
      </c>
      <c r="G90" s="463"/>
      <c r="H90" s="473">
        <f>H89</f>
        <v>174.6606100587978</v>
      </c>
      <c r="I90" s="463"/>
      <c r="J90" s="476">
        <f>J89</f>
        <v>0.15717591490515054</v>
      </c>
      <c r="K90" s="47"/>
      <c r="L90" s="47"/>
      <c r="Q90" s="37"/>
    </row>
    <row r="91" spans="2:17">
      <c r="B91" s="47"/>
      <c r="C91" s="47"/>
      <c r="D91" s="47"/>
      <c r="E91" s="47"/>
      <c r="F91" s="463"/>
      <c r="G91" s="463"/>
      <c r="H91" s="463"/>
      <c r="I91" s="463"/>
      <c r="J91" s="463"/>
      <c r="K91" s="47"/>
      <c r="L91" s="47"/>
    </row>
    <row r="92" spans="2:17">
      <c r="B92" s="47"/>
      <c r="C92" s="47"/>
      <c r="D92" s="471" t="s">
        <v>168</v>
      </c>
      <c r="E92" s="47"/>
      <c r="F92" s="47"/>
      <c r="G92" s="47"/>
      <c r="H92" s="47"/>
      <c r="I92" s="463"/>
      <c r="J92" s="47"/>
      <c r="K92" s="47"/>
      <c r="L92" s="47"/>
    </row>
    <row r="93" spans="2:17">
      <c r="B93" s="283">
        <f>MAX($B$68:B92)+1</f>
        <v>14</v>
      </c>
      <c r="C93" s="47"/>
      <c r="D93" s="130" t="s">
        <v>202</v>
      </c>
      <c r="E93" s="47"/>
      <c r="F93" s="35">
        <v>52646.499000000003</v>
      </c>
      <c r="G93" s="463"/>
      <c r="H93" s="35">
        <f>H20</f>
        <v>979.65831828089802</v>
      </c>
      <c r="I93" s="463"/>
      <c r="J93" s="8">
        <f>H93/F93*100</f>
        <v>1.8608232966847387</v>
      </c>
      <c r="K93" s="47"/>
      <c r="L93" s="47"/>
    </row>
    <row r="94" spans="2:17">
      <c r="B94" s="283">
        <f>MAX($B$68:B93)+1</f>
        <v>15</v>
      </c>
      <c r="C94" s="47"/>
      <c r="D94" s="47" t="str">
        <f>"Total "&amp;D92</f>
        <v>Total Rate 135</v>
      </c>
      <c r="E94" s="47"/>
      <c r="F94" s="473">
        <f>F93</f>
        <v>52646.499000000003</v>
      </c>
      <c r="G94" s="463"/>
      <c r="H94" s="473">
        <f>H93</f>
        <v>979.65831828089802</v>
      </c>
      <c r="I94" s="463"/>
      <c r="J94" s="476">
        <f>J93</f>
        <v>1.8608232966847387</v>
      </c>
      <c r="K94" s="47"/>
      <c r="L94" s="47"/>
    </row>
    <row r="95" spans="2:17">
      <c r="B95" s="47"/>
      <c r="C95" s="47"/>
      <c r="D95" s="47"/>
      <c r="E95" s="47"/>
      <c r="F95" s="463"/>
      <c r="G95" s="463"/>
      <c r="H95" s="463"/>
      <c r="I95" s="463"/>
      <c r="J95" s="463"/>
      <c r="K95" s="47"/>
      <c r="L95" s="47"/>
    </row>
    <row r="96" spans="2:17">
      <c r="B96" s="47"/>
      <c r="C96" s="47"/>
      <c r="D96" s="471" t="s">
        <v>169</v>
      </c>
      <c r="E96" s="47"/>
      <c r="F96" s="463"/>
      <c r="G96" s="463"/>
      <c r="H96" s="463"/>
      <c r="I96" s="463"/>
      <c r="J96" s="463"/>
      <c r="K96" s="47"/>
      <c r="L96" s="47"/>
    </row>
    <row r="97" spans="2:17">
      <c r="B97" s="283">
        <f>MAX($B$68:B96)+1</f>
        <v>16</v>
      </c>
      <c r="C97" s="47"/>
      <c r="D97" s="130" t="s">
        <v>202</v>
      </c>
      <c r="E97" s="47"/>
      <c r="F97" s="35">
        <v>15713.662</v>
      </c>
      <c r="G97" s="463"/>
      <c r="H97" s="35">
        <f>H21</f>
        <v>319.36496185339922</v>
      </c>
      <c r="I97" s="463"/>
      <c r="J97" s="8">
        <f>H97/F97*100</f>
        <v>2.0324031524503914</v>
      </c>
      <c r="K97" s="47"/>
      <c r="L97" s="47"/>
      <c r="Q97" s="37"/>
    </row>
    <row r="98" spans="2:17">
      <c r="B98" s="283">
        <f>MAX($B$68:B97)+1</f>
        <v>17</v>
      </c>
      <c r="C98" s="47"/>
      <c r="D98" s="47" t="str">
        <f>"Total "&amp;D96</f>
        <v>Total Rate 145</v>
      </c>
      <c r="E98" s="47"/>
      <c r="F98" s="473">
        <f>F97</f>
        <v>15713.662</v>
      </c>
      <c r="G98" s="463"/>
      <c r="H98" s="473">
        <f>H97</f>
        <v>319.36496185339922</v>
      </c>
      <c r="I98" s="463"/>
      <c r="J98" s="476">
        <f>J97</f>
        <v>2.0324031524503914</v>
      </c>
      <c r="K98" s="47"/>
      <c r="L98" s="47"/>
      <c r="Q98" s="37"/>
    </row>
    <row r="99" spans="2:17">
      <c r="B99" s="47"/>
      <c r="C99" s="47"/>
      <c r="D99" s="47"/>
      <c r="E99" s="47"/>
      <c r="F99" s="47"/>
      <c r="G99" s="47"/>
      <c r="H99" s="47"/>
      <c r="I99" s="47"/>
      <c r="J99" s="47"/>
      <c r="K99" s="47"/>
      <c r="L99" s="47"/>
    </row>
    <row r="100" spans="2:17">
      <c r="B100" s="47"/>
      <c r="C100" s="47"/>
      <c r="D100" s="471" t="s">
        <v>170</v>
      </c>
      <c r="E100" s="47"/>
      <c r="F100" s="477"/>
      <c r="G100" s="47"/>
      <c r="H100" s="47"/>
      <c r="I100" s="47"/>
      <c r="J100" s="47"/>
      <c r="K100" s="47"/>
      <c r="L100" s="47"/>
    </row>
    <row r="101" spans="2:17">
      <c r="B101" s="283">
        <f>MAX($B$68:B100)+1</f>
        <v>18</v>
      </c>
      <c r="C101" s="47"/>
      <c r="D101" s="130" t="s">
        <v>202</v>
      </c>
      <c r="E101" s="47"/>
      <c r="F101" s="35">
        <v>323253.728</v>
      </c>
      <c r="G101" s="463"/>
      <c r="H101" s="35">
        <f>H22</f>
        <v>367.27241531614294</v>
      </c>
      <c r="I101" s="463"/>
      <c r="J101" s="8">
        <f>H101/F101*100</f>
        <v>0.11361737963193511</v>
      </c>
      <c r="K101" s="47"/>
      <c r="L101" s="47"/>
      <c r="Q101" s="37"/>
    </row>
    <row r="102" spans="2:17">
      <c r="B102" s="283">
        <f>MAX($B$68:B101)+1</f>
        <v>19</v>
      </c>
      <c r="C102" s="47"/>
      <c r="D102" s="47" t="str">
        <f>"Total "&amp;D100</f>
        <v>Total Rate 170</v>
      </c>
      <c r="E102" s="47"/>
      <c r="F102" s="473">
        <f>F101</f>
        <v>323253.728</v>
      </c>
      <c r="G102" s="463"/>
      <c r="H102" s="473">
        <f>H101</f>
        <v>367.27241531614294</v>
      </c>
      <c r="I102" s="463"/>
      <c r="J102" s="476">
        <f>J101</f>
        <v>0.11361737963193511</v>
      </c>
      <c r="K102" s="47"/>
      <c r="L102" s="47"/>
    </row>
    <row r="103" spans="2:17">
      <c r="B103" s="47"/>
      <c r="C103" s="47"/>
      <c r="D103" s="47"/>
      <c r="E103" s="47"/>
      <c r="F103" s="475"/>
      <c r="G103" s="463"/>
      <c r="H103" s="475"/>
      <c r="I103" s="463"/>
      <c r="J103" s="478"/>
      <c r="K103" s="47"/>
      <c r="L103" s="47"/>
    </row>
    <row r="104" spans="2:17">
      <c r="B104" s="47"/>
      <c r="C104" s="47"/>
      <c r="D104" s="471" t="s">
        <v>171</v>
      </c>
      <c r="E104" s="47"/>
      <c r="F104" s="463"/>
      <c r="G104" s="463"/>
      <c r="H104" s="463"/>
      <c r="I104" s="463"/>
      <c r="J104" s="463"/>
      <c r="K104" s="47"/>
      <c r="L104" s="47"/>
    </row>
    <row r="105" spans="2:17">
      <c r="B105" s="283">
        <f>MAX($B$68:B104)+1</f>
        <v>20</v>
      </c>
      <c r="C105" s="47"/>
      <c r="D105" s="130" t="s">
        <v>202</v>
      </c>
      <c r="E105" s="47"/>
      <c r="F105" s="35">
        <v>188852.1</v>
      </c>
      <c r="G105" s="463"/>
      <c r="H105" s="35">
        <f>H23</f>
        <v>42.257140600837147</v>
      </c>
      <c r="I105" s="463"/>
      <c r="J105" s="8">
        <f>H105/F105*100</f>
        <v>2.2375785390174187E-2</v>
      </c>
      <c r="K105" s="47"/>
      <c r="L105" s="47"/>
      <c r="Q105" s="37"/>
    </row>
    <row r="106" spans="2:17">
      <c r="B106" s="283">
        <f>MAX($B$68:B105)+1</f>
        <v>21</v>
      </c>
      <c r="C106" s="47"/>
      <c r="D106" s="47" t="str">
        <f>"Total "&amp;D104</f>
        <v>Total Rate 200</v>
      </c>
      <c r="E106" s="47"/>
      <c r="F106" s="473">
        <f>F105</f>
        <v>188852.1</v>
      </c>
      <c r="G106" s="463"/>
      <c r="H106" s="473">
        <f>H105</f>
        <v>42.257140600837147</v>
      </c>
      <c r="I106" s="463"/>
      <c r="J106" s="476">
        <f>J105</f>
        <v>2.2375785390174187E-2</v>
      </c>
      <c r="K106" s="47"/>
      <c r="L106" s="47"/>
      <c r="Q106" s="37"/>
    </row>
    <row r="107" spans="2:17">
      <c r="B107" s="47"/>
      <c r="C107" s="47"/>
      <c r="D107" s="47"/>
      <c r="E107" s="47"/>
      <c r="F107" s="463"/>
      <c r="G107" s="463"/>
      <c r="H107" s="463"/>
      <c r="I107" s="463"/>
      <c r="J107" s="463"/>
      <c r="K107" s="47"/>
      <c r="L107" s="47"/>
    </row>
    <row r="108" spans="2:17">
      <c r="B108" s="47"/>
      <c r="C108" s="47"/>
      <c r="D108" s="471"/>
      <c r="E108" s="47"/>
      <c r="F108" s="463"/>
      <c r="G108" s="463"/>
      <c r="H108" s="463"/>
      <c r="I108" s="463"/>
      <c r="J108" s="463"/>
      <c r="K108" s="47"/>
      <c r="L108" s="47"/>
    </row>
    <row r="109" spans="2:17">
      <c r="B109" s="283">
        <f>MAX($B$68:B108)+1</f>
        <v>22</v>
      </c>
      <c r="C109" s="47"/>
      <c r="D109" s="479" t="s">
        <v>467</v>
      </c>
      <c r="E109" s="47"/>
      <c r="F109" s="463"/>
      <c r="G109" s="463"/>
      <c r="H109" s="420">
        <f>SUM(H70,H74,H78,H82,H86,H90,H94,H98,H102,H106,H110)</f>
        <v>105981.61541066346</v>
      </c>
      <c r="I109" s="463"/>
      <c r="J109" s="8"/>
      <c r="K109" s="47"/>
      <c r="L109" s="47"/>
      <c r="Q109" s="37"/>
    </row>
    <row r="110" spans="2:17">
      <c r="B110" s="283"/>
      <c r="C110" s="47"/>
      <c r="D110" s="47"/>
      <c r="E110" s="47"/>
      <c r="F110" s="475"/>
      <c r="G110" s="463"/>
      <c r="H110" s="475"/>
      <c r="I110" s="463"/>
      <c r="J110" s="478"/>
      <c r="K110" s="47"/>
      <c r="L110" s="47"/>
      <c r="Q110" s="37"/>
    </row>
    <row r="111" spans="2:17">
      <c r="B111" s="47"/>
      <c r="C111" s="47"/>
      <c r="D111" s="47"/>
      <c r="E111" s="47"/>
      <c r="F111" s="463"/>
      <c r="G111" s="463"/>
      <c r="H111" s="463"/>
      <c r="I111" s="463"/>
      <c r="J111" s="463"/>
      <c r="K111" s="47"/>
      <c r="L111" s="47"/>
    </row>
    <row r="112" spans="2:17">
      <c r="B112" s="47"/>
      <c r="C112" s="47"/>
      <c r="D112" s="47"/>
      <c r="E112" s="47"/>
      <c r="F112" s="47"/>
      <c r="G112" s="47"/>
      <c r="H112" s="47"/>
      <c r="I112" s="463"/>
      <c r="J112" s="463"/>
      <c r="K112" s="47"/>
      <c r="L112" s="47"/>
    </row>
    <row r="113" spans="2:22">
      <c r="B113" s="283"/>
      <c r="C113" s="47"/>
      <c r="D113" s="479"/>
      <c r="E113" s="47"/>
      <c r="F113" s="463"/>
      <c r="G113" s="463"/>
      <c r="H113" s="463"/>
      <c r="I113" s="463"/>
      <c r="J113" s="463"/>
      <c r="K113" s="47"/>
      <c r="L113" s="47"/>
    </row>
    <row r="114" spans="2:22">
      <c r="B114" s="480"/>
      <c r="C114" s="47"/>
      <c r="D114" s="47"/>
      <c r="E114" s="47"/>
      <c r="F114" s="47"/>
      <c r="G114" s="47"/>
      <c r="H114" s="47"/>
      <c r="I114" s="47"/>
      <c r="J114" s="47"/>
      <c r="K114" s="29"/>
      <c r="L114" s="47"/>
      <c r="M114" s="15"/>
      <c r="R114" s="391"/>
      <c r="T114" s="16"/>
    </row>
    <row r="115" spans="2:22">
      <c r="B115" s="480"/>
      <c r="C115" s="29"/>
      <c r="D115" s="29"/>
      <c r="E115" s="29"/>
      <c r="F115" s="29"/>
      <c r="G115" s="29"/>
      <c r="H115" s="29"/>
      <c r="I115" s="29"/>
      <c r="J115" s="29"/>
      <c r="K115" s="29"/>
      <c r="L115" s="47"/>
      <c r="M115" s="15"/>
      <c r="Q115" s="396"/>
      <c r="R115" s="22"/>
      <c r="S115" s="22"/>
      <c r="T115" s="22"/>
      <c r="U115" s="22"/>
      <c r="V115" s="22"/>
    </row>
    <row r="116" spans="2:22">
      <c r="B116" s="47"/>
      <c r="C116" s="481"/>
      <c r="D116" s="47"/>
      <c r="E116" s="47"/>
      <c r="F116" s="47"/>
      <c r="G116" s="47"/>
      <c r="H116" s="47"/>
      <c r="I116" s="47"/>
      <c r="J116" s="47"/>
      <c r="K116" s="47"/>
      <c r="L116" s="47"/>
    </row>
    <row r="117" spans="2:22">
      <c r="B117" s="47"/>
      <c r="C117" s="47"/>
      <c r="D117" s="47"/>
      <c r="E117" s="47"/>
      <c r="F117" s="47"/>
      <c r="G117" s="47"/>
      <c r="H117" s="47"/>
      <c r="I117" s="47"/>
      <c r="J117" s="47"/>
      <c r="K117" s="47"/>
      <c r="L117" s="47"/>
      <c r="Q117" s="34"/>
      <c r="R117" s="490"/>
      <c r="S117" s="491"/>
      <c r="T117" s="490"/>
      <c r="U117" s="231"/>
      <c r="V117" s="54"/>
    </row>
    <row r="118" spans="2:22">
      <c r="B118" s="47"/>
      <c r="C118" s="47"/>
      <c r="D118" s="47"/>
      <c r="E118" s="47"/>
      <c r="F118" s="47"/>
      <c r="G118" s="47"/>
      <c r="H118" s="47"/>
      <c r="I118" s="47"/>
      <c r="J118" s="47"/>
      <c r="K118" s="47"/>
      <c r="L118" s="47"/>
      <c r="Q118" s="34"/>
      <c r="R118" s="490"/>
      <c r="S118" s="491"/>
      <c r="T118" s="490"/>
    </row>
    <row r="119" spans="2:22">
      <c r="B119" s="1309" t="s">
        <v>468</v>
      </c>
      <c r="C119" s="1309"/>
      <c r="D119" s="1309"/>
      <c r="E119" s="1309"/>
      <c r="F119" s="1309"/>
      <c r="G119" s="1309"/>
      <c r="H119" s="1309"/>
      <c r="I119" s="1309"/>
      <c r="J119" s="1309"/>
      <c r="K119" s="1309"/>
      <c r="L119" s="1309"/>
      <c r="Q119" s="34"/>
      <c r="R119" s="490"/>
      <c r="S119" s="491"/>
      <c r="T119" s="490"/>
    </row>
    <row r="120" spans="2:22">
      <c r="B120" s="1309" t="s">
        <v>172</v>
      </c>
      <c r="C120" s="1309"/>
      <c r="D120" s="1309"/>
      <c r="E120" s="1309"/>
      <c r="F120" s="1309"/>
      <c r="G120" s="1309"/>
      <c r="H120" s="1309"/>
      <c r="I120" s="1309"/>
      <c r="J120" s="1309"/>
      <c r="K120" s="1309"/>
      <c r="L120" s="1309"/>
      <c r="M120" s="15"/>
      <c r="Q120" s="34"/>
      <c r="R120" s="490"/>
      <c r="S120" s="491"/>
      <c r="T120" s="490"/>
    </row>
    <row r="121" spans="2:22" ht="8.25" customHeight="1">
      <c r="B121" s="480"/>
      <c r="C121" s="47"/>
      <c r="D121" s="47"/>
      <c r="E121" s="47"/>
      <c r="F121" s="283"/>
      <c r="G121" s="47"/>
      <c r="H121" s="47"/>
      <c r="I121" s="47"/>
      <c r="J121" s="15"/>
      <c r="K121" s="15"/>
      <c r="L121" s="47"/>
      <c r="M121" s="15"/>
      <c r="Q121" s="34"/>
      <c r="R121" s="490"/>
      <c r="S121" s="491"/>
      <c r="T121" s="490"/>
    </row>
    <row r="122" spans="2:22" ht="8.25" customHeight="1">
      <c r="B122" s="47"/>
      <c r="C122" s="47"/>
      <c r="D122" s="47" t="s">
        <v>38</v>
      </c>
      <c r="E122" s="47"/>
      <c r="F122" s="15"/>
      <c r="G122" s="15"/>
      <c r="H122" s="15"/>
      <c r="I122" s="15"/>
      <c r="J122" s="15"/>
      <c r="K122" s="47"/>
      <c r="L122" s="47"/>
      <c r="M122" s="15"/>
      <c r="Q122" s="419"/>
      <c r="R122" s="419"/>
      <c r="S122" s="419"/>
      <c r="T122" s="419"/>
    </row>
    <row r="123" spans="2:22">
      <c r="B123" s="47"/>
      <c r="C123" s="47"/>
      <c r="D123" s="47"/>
      <c r="E123" s="47"/>
      <c r="F123" s="15" t="s">
        <v>460</v>
      </c>
      <c r="G123" s="15"/>
      <c r="H123" s="15" t="s">
        <v>461</v>
      </c>
      <c r="I123" s="15"/>
      <c r="J123" s="15" t="s">
        <v>461</v>
      </c>
      <c r="K123" s="47"/>
      <c r="L123" s="47"/>
      <c r="M123" s="15"/>
    </row>
    <row r="124" spans="2:22">
      <c r="B124" s="283" t="s">
        <v>1</v>
      </c>
      <c r="C124" s="47"/>
      <c r="D124" s="47"/>
      <c r="E124" s="47"/>
      <c r="F124" s="31" t="s">
        <v>462</v>
      </c>
      <c r="G124" s="15"/>
      <c r="H124" s="31" t="s">
        <v>463</v>
      </c>
      <c r="I124" s="31"/>
      <c r="J124" s="15" t="s">
        <v>464</v>
      </c>
      <c r="K124" s="47"/>
      <c r="L124" s="47"/>
      <c r="M124" s="15"/>
    </row>
    <row r="125" spans="2:22">
      <c r="B125" s="32" t="s">
        <v>2</v>
      </c>
      <c r="C125" s="47"/>
      <c r="D125" s="482" t="s">
        <v>3</v>
      </c>
      <c r="E125" s="47"/>
      <c r="F125" s="202" t="s">
        <v>465</v>
      </c>
      <c r="G125" s="20"/>
      <c r="H125" s="202" t="s">
        <v>20</v>
      </c>
      <c r="I125" s="15"/>
      <c r="J125" s="32" t="s">
        <v>466</v>
      </c>
      <c r="K125" s="47"/>
      <c r="L125" s="47"/>
      <c r="M125" s="15"/>
    </row>
    <row r="126" spans="2:22">
      <c r="B126" s="283"/>
      <c r="C126" s="47"/>
      <c r="D126" s="47"/>
      <c r="E126" s="47"/>
      <c r="F126" s="15" t="s">
        <v>8</v>
      </c>
      <c r="G126" s="15"/>
      <c r="H126" s="31" t="s">
        <v>9</v>
      </c>
      <c r="I126" s="20"/>
      <c r="J126" s="31" t="s">
        <v>370</v>
      </c>
      <c r="K126" s="47"/>
      <c r="L126" s="47"/>
      <c r="M126" s="15"/>
      <c r="Q126" s="34"/>
      <c r="R126" s="490"/>
      <c r="S126" s="491"/>
      <c r="T126" s="490"/>
    </row>
    <row r="127" spans="2:22">
      <c r="B127" s="47"/>
      <c r="C127" s="47"/>
      <c r="D127" s="471"/>
      <c r="E127" s="47"/>
      <c r="F127" s="463"/>
      <c r="G127" s="463"/>
      <c r="H127" s="463"/>
      <c r="I127" s="463"/>
      <c r="J127" s="463"/>
      <c r="K127" s="47"/>
      <c r="L127" s="47"/>
      <c r="Q127" s="34"/>
      <c r="R127" s="490"/>
      <c r="S127" s="491"/>
      <c r="T127" s="490"/>
    </row>
    <row r="128" spans="2:22">
      <c r="B128" s="47"/>
      <c r="C128" s="47"/>
      <c r="D128" s="471" t="s">
        <v>173</v>
      </c>
      <c r="E128" s="47"/>
      <c r="F128" s="463"/>
      <c r="G128" s="463"/>
      <c r="H128" s="463"/>
      <c r="I128" s="463"/>
      <c r="J128" s="463"/>
      <c r="K128" s="47"/>
      <c r="L128" s="47"/>
      <c r="Q128" s="34"/>
      <c r="R128" s="490"/>
      <c r="S128" s="491"/>
      <c r="T128" s="490"/>
    </row>
    <row r="129" spans="2:20">
      <c r="B129" s="283">
        <f>MAX($B$68:B128)+1</f>
        <v>23</v>
      </c>
      <c r="C129" s="47"/>
      <c r="D129" s="47" t="s">
        <v>200</v>
      </c>
      <c r="E129" s="47"/>
      <c r="F129" s="35">
        <f>'Schedule 22 p.5'!G28</f>
        <v>4435128.0000000037</v>
      </c>
      <c r="G129" s="463"/>
      <c r="H129" s="483">
        <f>'Schedule 22 p.5'!W28</f>
        <v>9989.5303963250808</v>
      </c>
      <c r="I129" s="463"/>
      <c r="J129" s="260">
        <f>'Schedule 22 p.5'!K28</f>
        <v>2.2523657482546349</v>
      </c>
      <c r="K129" s="47"/>
      <c r="L129" s="47"/>
      <c r="Q129" s="34"/>
      <c r="R129" s="490"/>
      <c r="S129" s="491"/>
      <c r="T129" s="490"/>
    </row>
    <row r="130" spans="2:20">
      <c r="B130" s="283">
        <f>MAX($B$68:B129)+1</f>
        <v>24</v>
      </c>
      <c r="C130" s="47"/>
      <c r="D130" s="130" t="s">
        <v>202</v>
      </c>
      <c r="E130" s="47"/>
      <c r="F130" s="35">
        <f>'Schedule 22 p.5'!G35</f>
        <v>976879.860067136</v>
      </c>
      <c r="G130" s="463"/>
      <c r="H130" s="483">
        <f>'Schedule 22 p.5'!W35</f>
        <v>2041.914797396259</v>
      </c>
      <c r="I130" s="463"/>
      <c r="J130" s="8">
        <f>'Schedule 22 p.5'!$K$30</f>
        <v>0.20902414727394461</v>
      </c>
      <c r="K130" s="47"/>
      <c r="L130" s="47"/>
      <c r="Q130" s="34"/>
      <c r="R130" s="490"/>
      <c r="S130" s="491"/>
      <c r="T130" s="490"/>
    </row>
    <row r="131" spans="2:20">
      <c r="B131" s="283">
        <f>MAX($B$68:B130)+1</f>
        <v>25</v>
      </c>
      <c r="C131" s="47"/>
      <c r="D131" s="479" t="s">
        <v>259</v>
      </c>
      <c r="E131" s="47"/>
      <c r="F131" s="473">
        <f>F130</f>
        <v>976879.860067136</v>
      </c>
      <c r="G131" s="463"/>
      <c r="H131" s="420">
        <f>H28</f>
        <v>12031.44519372134</v>
      </c>
      <c r="I131" s="463"/>
      <c r="J131" s="38">
        <f t="shared" ref="J131" si="8">H131/F131*100</f>
        <v>1.2316197401074969</v>
      </c>
      <c r="K131" s="47"/>
      <c r="L131" s="47"/>
      <c r="O131" s="36"/>
      <c r="Q131" s="419"/>
      <c r="R131" s="419"/>
      <c r="S131" s="419"/>
      <c r="T131" s="419"/>
    </row>
    <row r="132" spans="2:20">
      <c r="B132" s="47"/>
      <c r="C132" s="47"/>
      <c r="D132" s="47"/>
      <c r="E132" s="47"/>
      <c r="F132" s="463"/>
      <c r="G132" s="463"/>
      <c r="H132" s="463"/>
      <c r="I132" s="463"/>
      <c r="J132" s="463"/>
      <c r="K132" s="47"/>
      <c r="L132" s="47"/>
      <c r="Q132" s="34"/>
      <c r="R132" s="490"/>
      <c r="S132" s="491"/>
      <c r="T132" s="490"/>
    </row>
    <row r="133" spans="2:20">
      <c r="B133" s="47"/>
      <c r="C133" s="47"/>
      <c r="D133" s="471" t="s">
        <v>174</v>
      </c>
      <c r="E133" s="47"/>
      <c r="F133" s="463"/>
      <c r="G133" s="463"/>
      <c r="H133" s="463"/>
      <c r="I133" s="463"/>
      <c r="J133" s="463"/>
      <c r="K133" s="47"/>
      <c r="L133" s="47"/>
      <c r="Q133" s="34"/>
      <c r="R133" s="490"/>
      <c r="S133" s="491"/>
      <c r="T133" s="490"/>
    </row>
    <row r="134" spans="2:20">
      <c r="B134" s="47"/>
      <c r="C134" s="47"/>
      <c r="D134" s="130" t="s">
        <v>202</v>
      </c>
      <c r="E134" s="47"/>
      <c r="F134" s="463"/>
      <c r="G134" s="463"/>
      <c r="H134" s="463"/>
      <c r="I134" s="463"/>
      <c r="J134" s="463"/>
      <c r="K134" s="47"/>
      <c r="L134" s="47"/>
      <c r="Q134" s="25"/>
      <c r="R134" s="490"/>
      <c r="S134" s="491"/>
      <c r="T134" s="490"/>
    </row>
    <row r="135" spans="2:20">
      <c r="B135" s="283">
        <f>MAX($B$68:B134)+1</f>
        <v>26</v>
      </c>
      <c r="C135" s="47"/>
      <c r="D135" s="474" t="s">
        <v>469</v>
      </c>
      <c r="E135" s="47"/>
      <c r="F135" s="35">
        <v>21878.718395321583</v>
      </c>
      <c r="G135" s="463"/>
      <c r="H135" s="35">
        <v>148.39462954453123</v>
      </c>
      <c r="I135" s="463"/>
      <c r="J135" s="8">
        <f t="shared" ref="J135:J140" si="9">H135/F135*100</f>
        <v>0.67826015611711088</v>
      </c>
      <c r="K135" s="47"/>
      <c r="L135" s="47"/>
      <c r="Q135" s="34"/>
      <c r="R135" s="490"/>
      <c r="S135" s="491"/>
      <c r="T135" s="490"/>
    </row>
    <row r="136" spans="2:20">
      <c r="B136" s="283">
        <f>MAX($B$68:B135)+1</f>
        <v>27</v>
      </c>
      <c r="C136" s="47"/>
      <c r="D136" s="474" t="s">
        <v>470</v>
      </c>
      <c r="E136" s="47"/>
      <c r="F136" s="35">
        <v>127369.83644505285</v>
      </c>
      <c r="G136" s="463"/>
      <c r="H136" s="35">
        <v>704.86973800039618</v>
      </c>
      <c r="I136" s="463"/>
      <c r="J136" s="8">
        <f t="shared" si="9"/>
        <v>0.55340397512756168</v>
      </c>
      <c r="K136" s="47"/>
      <c r="L136" s="47"/>
      <c r="Q136" s="34"/>
      <c r="R136" s="490"/>
      <c r="S136" s="491"/>
      <c r="T136" s="490"/>
    </row>
    <row r="137" spans="2:20">
      <c r="B137" s="283">
        <f>MAX($B$68:B136)+1</f>
        <v>28</v>
      </c>
      <c r="C137" s="47"/>
      <c r="D137" s="474" t="s">
        <v>471</v>
      </c>
      <c r="E137" s="47"/>
      <c r="F137" s="35">
        <v>86147.272263560444</v>
      </c>
      <c r="G137" s="463"/>
      <c r="H137" s="35">
        <v>414.41482532795089</v>
      </c>
      <c r="I137" s="463"/>
      <c r="J137" s="8">
        <f t="shared" si="9"/>
        <v>0.48105391434807482</v>
      </c>
      <c r="K137" s="47"/>
      <c r="L137" s="47"/>
      <c r="Q137" s="419"/>
      <c r="R137" s="419"/>
      <c r="S137" s="419"/>
      <c r="T137" s="419"/>
    </row>
    <row r="138" spans="2:20">
      <c r="B138" s="283">
        <f>MAX($B$68:B137)+1</f>
        <v>29</v>
      </c>
      <c r="C138" s="47"/>
      <c r="D138" s="474" t="s">
        <v>472</v>
      </c>
      <c r="E138" s="47"/>
      <c r="F138" s="35">
        <v>61526.068987249084</v>
      </c>
      <c r="G138" s="463"/>
      <c r="H138" s="35">
        <v>268.01995763699853</v>
      </c>
      <c r="I138" s="463"/>
      <c r="J138" s="8">
        <f t="shared" si="9"/>
        <v>0.43562015589285263</v>
      </c>
      <c r="K138" s="47"/>
      <c r="L138" s="47"/>
      <c r="Q138" s="25"/>
    </row>
    <row r="139" spans="2:20">
      <c r="B139" s="283">
        <f>MAX($B$68:B138)+1</f>
        <v>30</v>
      </c>
      <c r="C139" s="47"/>
      <c r="D139" s="474" t="s">
        <v>473</v>
      </c>
      <c r="E139" s="47"/>
      <c r="F139" s="35">
        <v>44741.947796564804</v>
      </c>
      <c r="G139" s="463"/>
      <c r="H139" s="35">
        <v>117.88480339881458</v>
      </c>
      <c r="I139" s="463"/>
      <c r="J139" s="8">
        <f t="shared" si="9"/>
        <v>0.26347713768479597</v>
      </c>
      <c r="K139" s="47"/>
      <c r="L139" s="47"/>
      <c r="Q139" s="25"/>
      <c r="R139" s="490"/>
      <c r="S139" s="491"/>
      <c r="T139" s="490"/>
    </row>
    <row r="140" spans="2:20">
      <c r="B140" s="283">
        <f>MAX($B$68:B139)+1</f>
        <v>31</v>
      </c>
      <c r="C140" s="47"/>
      <c r="D140" s="47" t="s">
        <v>267</v>
      </c>
      <c r="E140" s="47"/>
      <c r="F140" s="473">
        <f>SUM(F135:F139)</f>
        <v>341663.84388774872</v>
      </c>
      <c r="G140" s="463"/>
      <c r="H140" s="420">
        <f>H29</f>
        <v>1653.5839539086912</v>
      </c>
      <c r="I140" s="463"/>
      <c r="J140" s="38">
        <f t="shared" si="9"/>
        <v>0.48397978992824442</v>
      </c>
      <c r="K140" s="47"/>
      <c r="L140" s="47"/>
      <c r="Q140" s="25"/>
    </row>
    <row r="141" spans="2:20">
      <c r="B141" s="47"/>
      <c r="C141" s="47"/>
      <c r="D141" s="47"/>
      <c r="E141" s="47"/>
      <c r="F141" s="463"/>
      <c r="G141" s="463"/>
      <c r="H141" s="463"/>
      <c r="I141" s="463"/>
      <c r="J141" s="463"/>
      <c r="K141" s="47"/>
      <c r="L141" s="47"/>
      <c r="Q141" s="25"/>
    </row>
    <row r="142" spans="2:20">
      <c r="B142" s="47"/>
      <c r="C142" s="47"/>
      <c r="D142" s="471" t="s">
        <v>175</v>
      </c>
      <c r="E142" s="47"/>
      <c r="F142" s="463"/>
      <c r="G142" s="463"/>
      <c r="H142" s="463"/>
      <c r="I142" s="463"/>
      <c r="J142" s="463"/>
      <c r="K142" s="47"/>
      <c r="L142" s="47"/>
      <c r="Q142" s="25"/>
      <c r="R142" s="490"/>
      <c r="S142" s="491"/>
      <c r="T142" s="490"/>
    </row>
    <row r="143" spans="2:20">
      <c r="B143" s="47"/>
      <c r="C143" s="47"/>
      <c r="D143" s="130" t="s">
        <v>221</v>
      </c>
      <c r="E143" s="47"/>
      <c r="F143" s="463"/>
      <c r="G143" s="463"/>
      <c r="H143" s="463"/>
      <c r="I143" s="463"/>
      <c r="J143" s="463"/>
      <c r="K143" s="47"/>
      <c r="L143" s="47"/>
      <c r="Q143" s="25"/>
      <c r="R143" s="490"/>
      <c r="S143" s="491"/>
      <c r="T143" s="490"/>
    </row>
    <row r="144" spans="2:20">
      <c r="B144" s="283">
        <f>MAX($B$68:B143)+1</f>
        <v>32</v>
      </c>
      <c r="C144" s="47"/>
      <c r="D144" s="474" t="s">
        <v>269</v>
      </c>
      <c r="E144" s="47"/>
      <c r="F144" s="35">
        <v>25506.168000000001</v>
      </c>
      <c r="G144" s="463"/>
      <c r="H144" s="35">
        <v>338.12516062253968</v>
      </c>
      <c r="I144" s="463"/>
      <c r="J144" s="8">
        <f t="shared" ref="J144:J145" si="10">H144/F144*100</f>
        <v>1.325660368200114</v>
      </c>
      <c r="K144" s="47"/>
      <c r="L144" s="47"/>
      <c r="Q144" s="25"/>
      <c r="T144" s="419"/>
    </row>
    <row r="145" spans="2:20">
      <c r="B145" s="283">
        <f>MAX($B$68:B144)+1</f>
        <v>33</v>
      </c>
      <c r="C145" s="47"/>
      <c r="D145" s="474" t="s">
        <v>270</v>
      </c>
      <c r="E145" s="47"/>
      <c r="F145" s="35">
        <v>66225.600000000006</v>
      </c>
      <c r="G145" s="463"/>
      <c r="H145" s="35">
        <v>516.26575122337101</v>
      </c>
      <c r="I145" s="463"/>
      <c r="J145" s="8">
        <f t="shared" si="10"/>
        <v>0.77955617045881187</v>
      </c>
      <c r="K145" s="47"/>
      <c r="L145" s="47"/>
    </row>
    <row r="146" spans="2:20">
      <c r="B146" s="47"/>
      <c r="C146" s="47"/>
      <c r="D146" s="130" t="s">
        <v>202</v>
      </c>
      <c r="E146" s="47"/>
      <c r="F146" s="463"/>
      <c r="G146" s="463"/>
      <c r="H146" s="463"/>
      <c r="I146" s="463"/>
      <c r="J146" s="463"/>
      <c r="K146" s="47"/>
      <c r="L146" s="47"/>
    </row>
    <row r="147" spans="2:20">
      <c r="B147" s="283">
        <f>MAX($B$68:B146)+1</f>
        <v>34</v>
      </c>
      <c r="C147" s="47"/>
      <c r="D147" s="474" t="s">
        <v>269</v>
      </c>
      <c r="E147" s="47"/>
      <c r="F147" s="35">
        <v>356594.41294000001</v>
      </c>
      <c r="G147" s="463"/>
      <c r="H147" s="35">
        <v>207.44671230676147</v>
      </c>
      <c r="I147" s="463"/>
      <c r="J147" s="8">
        <f t="shared" ref="J147:J149" si="11">H147/F147*100</f>
        <v>5.8174414623166318E-2</v>
      </c>
      <c r="K147" s="47"/>
      <c r="L147" s="47"/>
      <c r="T147" s="492"/>
    </row>
    <row r="148" spans="2:20">
      <c r="B148" s="283">
        <f>MAX($B$68:B147)+1</f>
        <v>35</v>
      </c>
      <c r="C148" s="47"/>
      <c r="D148" s="474" t="s">
        <v>270</v>
      </c>
      <c r="E148" s="47"/>
      <c r="F148" s="35">
        <v>590622.16051000007</v>
      </c>
      <c r="G148" s="463"/>
      <c r="H148" s="35">
        <v>252.60993253334428</v>
      </c>
      <c r="I148" s="463"/>
      <c r="J148" s="8">
        <f t="shared" si="11"/>
        <v>4.2770141288843024E-2</v>
      </c>
      <c r="K148" s="47"/>
      <c r="L148" s="47"/>
    </row>
    <row r="149" spans="2:20">
      <c r="B149" s="283">
        <f>MAX($B$68:B148)+1</f>
        <v>36</v>
      </c>
      <c r="C149" s="47"/>
      <c r="D149" s="47" t="s">
        <v>474</v>
      </c>
      <c r="E149" s="47"/>
      <c r="F149" s="473">
        <f>SUM(F147:F148)</f>
        <v>947216.57345000003</v>
      </c>
      <c r="G149" s="463"/>
      <c r="H149" s="420">
        <f>H30</f>
        <v>1314.4475566860165</v>
      </c>
      <c r="I149" s="463"/>
      <c r="J149" s="38">
        <f t="shared" si="11"/>
        <v>0.13876948456449292</v>
      </c>
      <c r="K149" s="47"/>
      <c r="L149" s="47"/>
      <c r="Q149" s="34"/>
      <c r="R149" s="490"/>
      <c r="S149" s="491"/>
      <c r="T149" s="490"/>
    </row>
    <row r="150" spans="2:20">
      <c r="B150" s="47"/>
      <c r="C150" s="47"/>
      <c r="D150" s="47"/>
      <c r="E150" s="47"/>
      <c r="F150" s="463"/>
      <c r="G150" s="463"/>
      <c r="H150" s="463"/>
      <c r="I150" s="463"/>
      <c r="J150" s="463"/>
      <c r="K150" s="47"/>
      <c r="L150" s="47"/>
      <c r="Q150" s="34"/>
      <c r="R150" s="490"/>
      <c r="S150" s="491"/>
      <c r="T150" s="490"/>
    </row>
    <row r="151" spans="2:20">
      <c r="B151" s="47"/>
      <c r="C151" s="47"/>
      <c r="D151" s="471" t="s">
        <v>176</v>
      </c>
      <c r="E151" s="47"/>
      <c r="F151" s="463"/>
      <c r="G151" s="463"/>
      <c r="H151" s="463"/>
      <c r="I151" s="463"/>
      <c r="J151" s="463"/>
      <c r="K151" s="47"/>
      <c r="L151" s="47"/>
      <c r="Q151" s="34"/>
      <c r="R151" s="490"/>
      <c r="S151" s="491"/>
      <c r="T151" s="490"/>
    </row>
    <row r="152" spans="2:20">
      <c r="B152" s="283">
        <f>MAX($B$68:B151)+1</f>
        <v>37</v>
      </c>
      <c r="C152" s="47"/>
      <c r="D152" s="130" t="s">
        <v>202</v>
      </c>
      <c r="E152" s="47"/>
      <c r="F152" s="35">
        <v>139034.68348999997</v>
      </c>
      <c r="G152" s="463"/>
      <c r="H152" s="35">
        <f>H31</f>
        <v>78.99750173563443</v>
      </c>
      <c r="I152" s="463"/>
      <c r="J152" s="8">
        <f>H152/F152*100</f>
        <v>5.6818557609271868E-2</v>
      </c>
      <c r="K152" s="47"/>
      <c r="L152" s="47"/>
      <c r="Q152" s="419"/>
      <c r="T152" s="419"/>
    </row>
    <row r="153" spans="2:20">
      <c r="B153" s="283">
        <f>MAX($B$68:B152)+1</f>
        <v>38</v>
      </c>
      <c r="C153" s="47"/>
      <c r="D153" s="47" t="str">
        <f>"Total "&amp;D151</f>
        <v>Total Rate 25</v>
      </c>
      <c r="E153" s="47"/>
      <c r="F153" s="473">
        <f>F152</f>
        <v>139034.68348999997</v>
      </c>
      <c r="G153" s="463"/>
      <c r="H153" s="473">
        <f>H152</f>
        <v>78.99750173563443</v>
      </c>
      <c r="I153" s="463"/>
      <c r="J153" s="476">
        <f>J152</f>
        <v>5.6818557609271868E-2</v>
      </c>
      <c r="K153" s="47"/>
      <c r="L153" s="47"/>
      <c r="Q153" s="25"/>
    </row>
    <row r="154" spans="2:20">
      <c r="B154" s="47"/>
      <c r="C154" s="47"/>
      <c r="D154" s="47"/>
      <c r="E154" s="47"/>
      <c r="F154" s="463"/>
      <c r="G154" s="463"/>
      <c r="H154" s="463"/>
      <c r="I154" s="463"/>
      <c r="J154" s="463"/>
      <c r="K154" s="47"/>
      <c r="L154" s="47"/>
      <c r="Q154" s="25"/>
    </row>
    <row r="155" spans="2:20">
      <c r="B155" s="47"/>
      <c r="C155" s="47"/>
      <c r="D155" s="471" t="s">
        <v>164</v>
      </c>
      <c r="E155" s="47"/>
      <c r="F155" s="463"/>
      <c r="G155" s="463"/>
      <c r="H155" s="463"/>
      <c r="I155" s="463"/>
      <c r="J155" s="463"/>
      <c r="K155" s="47"/>
      <c r="L155" s="47"/>
      <c r="Q155" s="25"/>
    </row>
    <row r="156" spans="2:20">
      <c r="B156" s="283">
        <f>MAX($B$68:B155)+1</f>
        <v>39</v>
      </c>
      <c r="C156" s="47"/>
      <c r="D156" s="130" t="s">
        <v>221</v>
      </c>
      <c r="E156" s="47"/>
      <c r="F156" s="35">
        <v>42050.04</v>
      </c>
      <c r="G156" s="463"/>
      <c r="H156" s="35">
        <f>0.75*$H$158</f>
        <v>679.09289964212871</v>
      </c>
      <c r="I156" s="463"/>
      <c r="J156" s="8">
        <f t="shared" ref="J156:J158" si="12">H156/F156*100</f>
        <v>1.6149637423463301</v>
      </c>
      <c r="K156" s="47"/>
      <c r="L156" s="47"/>
      <c r="Q156" s="25"/>
    </row>
    <row r="157" spans="2:20">
      <c r="B157" s="283">
        <f>MAX($B$68:B156)+1</f>
        <v>40</v>
      </c>
      <c r="C157" s="47"/>
      <c r="D157" s="130" t="s">
        <v>202</v>
      </c>
      <c r="E157" s="47"/>
      <c r="F157" s="35">
        <v>1104477.7209700001</v>
      </c>
      <c r="G157" s="463"/>
      <c r="H157" s="35">
        <f>0.25*$H$158</f>
        <v>226.36429988070955</v>
      </c>
      <c r="I157" s="463"/>
      <c r="J157" s="8">
        <f t="shared" si="12"/>
        <v>2.0495144047080156E-2</v>
      </c>
      <c r="K157" s="47"/>
      <c r="L157" s="47"/>
      <c r="Q157" s="34"/>
      <c r="R157" s="490"/>
      <c r="S157" s="491"/>
      <c r="T157" s="490"/>
    </row>
    <row r="158" spans="2:20">
      <c r="B158" s="283">
        <f>MAX($B$68:B157)+1</f>
        <v>41</v>
      </c>
      <c r="C158" s="47"/>
      <c r="D158" s="47" t="s">
        <v>223</v>
      </c>
      <c r="E158" s="47"/>
      <c r="F158" s="473">
        <f>SUM(F155:F156)</f>
        <v>42050.04</v>
      </c>
      <c r="G158" s="463"/>
      <c r="H158" s="420">
        <f>H32</f>
        <v>905.45719952283821</v>
      </c>
      <c r="I158" s="463"/>
      <c r="J158" s="38">
        <f t="shared" si="12"/>
        <v>2.1532849897951065</v>
      </c>
      <c r="K158" s="47"/>
      <c r="L158" s="47"/>
      <c r="Q158" s="34"/>
      <c r="R158" s="490"/>
      <c r="S158" s="491"/>
      <c r="T158" s="490"/>
    </row>
    <row r="159" spans="2:20">
      <c r="B159" s="283"/>
      <c r="C159" s="47"/>
      <c r="D159" s="47"/>
      <c r="E159" s="47"/>
      <c r="F159" s="475"/>
      <c r="G159" s="463"/>
      <c r="H159" s="35"/>
      <c r="I159" s="463"/>
      <c r="J159" s="8"/>
      <c r="K159" s="47"/>
      <c r="L159" s="47"/>
      <c r="Q159" s="34"/>
      <c r="R159" s="490"/>
      <c r="S159" s="491"/>
      <c r="T159" s="490"/>
    </row>
    <row r="160" spans="2:20">
      <c r="B160" s="283">
        <f>MAX($B$68:B159)+1</f>
        <v>42</v>
      </c>
      <c r="C160" s="47"/>
      <c r="D160" s="47" t="s">
        <v>475</v>
      </c>
      <c r="E160" s="47"/>
      <c r="F160" s="475"/>
      <c r="G160" s="463"/>
      <c r="H160" s="420">
        <f>SUM(H131,H140,H149,H153,H158)</f>
        <v>15983.93140557452</v>
      </c>
      <c r="I160" s="463"/>
      <c r="J160" s="8"/>
      <c r="K160" s="47"/>
      <c r="L160" s="47"/>
      <c r="Q160" s="34"/>
      <c r="R160" s="490"/>
      <c r="S160" s="491"/>
      <c r="T160" s="490"/>
    </row>
    <row r="161" spans="2:20">
      <c r="B161" s="283"/>
      <c r="C161" s="47"/>
      <c r="D161" s="47"/>
      <c r="E161" s="47"/>
      <c r="F161" s="475"/>
      <c r="G161" s="463"/>
      <c r="H161" s="35"/>
      <c r="I161" s="463"/>
      <c r="J161" s="8"/>
      <c r="K161" s="47"/>
      <c r="L161" s="47"/>
      <c r="Q161" s="34"/>
      <c r="R161" s="490"/>
      <c r="S161" s="491"/>
      <c r="T161" s="490"/>
    </row>
    <row r="162" spans="2:20">
      <c r="B162" s="47"/>
      <c r="C162" s="47"/>
      <c r="D162" s="47"/>
      <c r="E162" s="47"/>
      <c r="F162" s="47"/>
      <c r="G162" s="47"/>
      <c r="H162" s="47"/>
      <c r="I162" s="47"/>
      <c r="J162" s="47"/>
      <c r="K162" s="47"/>
      <c r="L162" s="47"/>
      <c r="Q162" s="34"/>
      <c r="R162" s="490"/>
      <c r="S162" s="491"/>
      <c r="T162" s="490"/>
    </row>
    <row r="163" spans="2:20">
      <c r="B163" s="480"/>
      <c r="C163" s="47"/>
      <c r="D163" s="47"/>
      <c r="E163" s="47"/>
      <c r="F163" s="47"/>
      <c r="G163" s="47"/>
      <c r="H163" s="47"/>
      <c r="I163" s="47"/>
      <c r="J163" s="47"/>
      <c r="K163" s="29"/>
      <c r="L163" s="47"/>
      <c r="Q163" s="34"/>
      <c r="R163" s="490"/>
      <c r="S163" s="491"/>
      <c r="T163" s="490"/>
    </row>
    <row r="164" spans="2:20">
      <c r="B164" s="480"/>
      <c r="C164" s="29"/>
      <c r="D164" s="47"/>
      <c r="E164" s="29"/>
      <c r="F164" s="29"/>
      <c r="G164" s="29"/>
      <c r="H164" s="29"/>
      <c r="I164" s="29"/>
      <c r="J164" s="29"/>
      <c r="K164" s="29"/>
      <c r="L164" s="47"/>
      <c r="Q164" s="419"/>
      <c r="T164" s="419"/>
    </row>
    <row r="165" spans="2:20">
      <c r="B165" s="47"/>
      <c r="C165" s="481"/>
      <c r="D165" s="47"/>
      <c r="E165" s="47"/>
      <c r="F165" s="47"/>
      <c r="G165" s="47"/>
      <c r="H165" s="47"/>
      <c r="I165" s="47"/>
      <c r="J165" s="47"/>
      <c r="K165" s="47"/>
      <c r="L165" s="47"/>
      <c r="Q165" s="25"/>
    </row>
    <row r="166" spans="2:20">
      <c r="B166" s="47"/>
      <c r="C166" s="47"/>
      <c r="D166" s="47"/>
      <c r="E166" s="47"/>
      <c r="F166" s="47"/>
      <c r="G166" s="47"/>
      <c r="H166" s="47"/>
      <c r="I166" s="47"/>
      <c r="J166" s="47"/>
      <c r="K166" s="47"/>
      <c r="L166" s="47"/>
      <c r="Q166" s="25"/>
    </row>
    <row r="167" spans="2:20">
      <c r="B167" s="47"/>
      <c r="C167" s="47"/>
      <c r="D167" s="47"/>
      <c r="E167" s="47"/>
      <c r="F167" s="47"/>
      <c r="G167" s="47"/>
      <c r="H167" s="47"/>
      <c r="I167" s="47"/>
      <c r="J167" s="47"/>
      <c r="K167" s="47"/>
      <c r="L167" s="47"/>
      <c r="Q167" s="25"/>
    </row>
    <row r="168" spans="2:20">
      <c r="B168" s="1309" t="s">
        <v>468</v>
      </c>
      <c r="C168" s="1309"/>
      <c r="D168" s="1309"/>
      <c r="E168" s="1309"/>
      <c r="F168" s="1309"/>
      <c r="G168" s="1309"/>
      <c r="H168" s="1309"/>
      <c r="I168" s="1309"/>
      <c r="J168" s="1309"/>
      <c r="K168" s="1309"/>
      <c r="L168" s="1309"/>
      <c r="Q168" s="34"/>
      <c r="R168" s="490"/>
      <c r="S168" s="491"/>
      <c r="T168" s="490"/>
    </row>
    <row r="169" spans="2:20">
      <c r="B169" s="1309" t="s">
        <v>177</v>
      </c>
      <c r="C169" s="1309"/>
      <c r="D169" s="1309"/>
      <c r="E169" s="1309"/>
      <c r="F169" s="1309"/>
      <c r="G169" s="1309"/>
      <c r="H169" s="1309"/>
      <c r="I169" s="1309"/>
      <c r="J169" s="1309"/>
      <c r="K169" s="1309"/>
      <c r="L169" s="1309"/>
      <c r="Q169" s="34"/>
      <c r="R169" s="490"/>
      <c r="S169" s="491"/>
      <c r="T169" s="490"/>
    </row>
    <row r="170" spans="2:20" ht="9.75" customHeight="1">
      <c r="B170" s="480"/>
      <c r="C170" s="47"/>
      <c r="D170" s="47"/>
      <c r="E170" s="47"/>
      <c r="F170" s="283"/>
      <c r="G170" s="47"/>
      <c r="H170" s="47"/>
      <c r="I170" s="47"/>
      <c r="J170" s="15"/>
      <c r="K170" s="15"/>
      <c r="L170" s="47"/>
      <c r="Q170" s="34"/>
      <c r="R170" s="490"/>
      <c r="S170" s="491"/>
      <c r="T170" s="490"/>
    </row>
    <row r="171" spans="2:20" ht="9.75" customHeight="1">
      <c r="B171" s="47"/>
      <c r="C171" s="47"/>
      <c r="D171" s="47" t="s">
        <v>38</v>
      </c>
      <c r="E171" s="47"/>
      <c r="F171" s="15"/>
      <c r="G171" s="15"/>
      <c r="H171" s="15"/>
      <c r="I171" s="15"/>
      <c r="J171" s="15"/>
      <c r="K171" s="47"/>
      <c r="L171" s="47"/>
      <c r="Q171" s="25"/>
    </row>
    <row r="172" spans="2:20">
      <c r="B172" s="47"/>
      <c r="C172" s="47"/>
      <c r="D172" s="47"/>
      <c r="E172" s="47"/>
      <c r="F172" s="15" t="s">
        <v>460</v>
      </c>
      <c r="G172" s="15"/>
      <c r="H172" s="15" t="s">
        <v>461</v>
      </c>
      <c r="I172" s="15"/>
      <c r="J172" s="15" t="s">
        <v>461</v>
      </c>
      <c r="K172" s="47"/>
      <c r="L172" s="47"/>
      <c r="Q172" s="34"/>
      <c r="R172" s="490"/>
      <c r="S172" s="491"/>
      <c r="T172" s="490"/>
    </row>
    <row r="173" spans="2:20">
      <c r="B173" s="283" t="s">
        <v>1</v>
      </c>
      <c r="C173" s="47"/>
      <c r="D173" s="47"/>
      <c r="E173" s="47"/>
      <c r="F173" s="31" t="s">
        <v>462</v>
      </c>
      <c r="G173" s="15"/>
      <c r="H173" s="31" t="s">
        <v>463</v>
      </c>
      <c r="I173" s="31"/>
      <c r="J173" s="15" t="s">
        <v>464</v>
      </c>
      <c r="K173" s="47"/>
      <c r="L173" s="47"/>
      <c r="Q173" s="34"/>
      <c r="S173" s="491"/>
    </row>
    <row r="174" spans="2:20">
      <c r="B174" s="32" t="s">
        <v>2</v>
      </c>
      <c r="C174" s="47"/>
      <c r="D174" s="482" t="s">
        <v>3</v>
      </c>
      <c r="E174" s="47"/>
      <c r="F174" s="202" t="s">
        <v>465</v>
      </c>
      <c r="G174" s="20"/>
      <c r="H174" s="202" t="s">
        <v>20</v>
      </c>
      <c r="I174" s="15"/>
      <c r="J174" s="32" t="s">
        <v>466</v>
      </c>
      <c r="K174" s="47"/>
      <c r="L174" s="47"/>
      <c r="Q174" s="419"/>
      <c r="T174" s="419"/>
    </row>
    <row r="175" spans="2:20">
      <c r="B175" s="283"/>
      <c r="C175" s="47"/>
      <c r="D175" s="47"/>
      <c r="E175" s="47"/>
      <c r="F175" s="15" t="s">
        <v>8</v>
      </c>
      <c r="G175" s="15"/>
      <c r="H175" s="31" t="s">
        <v>9</v>
      </c>
      <c r="I175" s="20"/>
      <c r="J175" s="31" t="s">
        <v>370</v>
      </c>
      <c r="K175" s="47"/>
      <c r="L175" s="47"/>
      <c r="Q175" s="25"/>
    </row>
    <row r="176" spans="2:20">
      <c r="B176" s="47"/>
      <c r="C176" s="47"/>
      <c r="D176" s="471"/>
      <c r="E176" s="47"/>
      <c r="F176" s="47"/>
      <c r="G176" s="47"/>
      <c r="H176" s="47"/>
      <c r="I176" s="47"/>
      <c r="J176" s="47"/>
      <c r="K176" s="47"/>
      <c r="L176" s="47"/>
      <c r="Q176" s="34"/>
      <c r="R176" s="490"/>
      <c r="S176" s="491"/>
      <c r="T176" s="493"/>
    </row>
    <row r="177" spans="2:20">
      <c r="B177" s="47"/>
      <c r="C177" s="47"/>
      <c r="D177" s="471" t="s">
        <v>178</v>
      </c>
      <c r="E177" s="47"/>
      <c r="F177" s="47"/>
      <c r="G177" s="47"/>
      <c r="H177" s="47"/>
      <c r="I177" s="47"/>
      <c r="J177" s="47"/>
      <c r="K177" s="47"/>
      <c r="L177" s="47"/>
      <c r="Q177" s="34"/>
      <c r="R177" s="490"/>
      <c r="S177" s="491"/>
      <c r="T177" s="493"/>
    </row>
    <row r="178" spans="2:20">
      <c r="B178" s="283">
        <f>MAX($B$68:B177)+1</f>
        <v>43</v>
      </c>
      <c r="C178" s="47"/>
      <c r="D178" s="47" t="s">
        <v>200</v>
      </c>
      <c r="E178" s="47"/>
      <c r="F178" s="35">
        <f>'Schedule 22 p.5'!G40</f>
        <v>14450119.000000004</v>
      </c>
      <c r="G178" s="47"/>
      <c r="H178" s="140">
        <f>'Schedule 22 p.5'!W40</f>
        <v>32546.953093803517</v>
      </c>
      <c r="I178" s="47"/>
      <c r="J178" s="131">
        <f>'Schedule 22 p.5'!K40</f>
        <v>2.2523657482546349</v>
      </c>
      <c r="K178" s="47"/>
      <c r="L178" s="47"/>
      <c r="Q178" s="25"/>
    </row>
    <row r="179" spans="2:20">
      <c r="B179" s="283">
        <f>MAX($B$68:B178)+1</f>
        <v>44</v>
      </c>
      <c r="C179" s="47"/>
      <c r="D179" s="130" t="s">
        <v>202</v>
      </c>
      <c r="E179" s="47"/>
      <c r="F179" s="35">
        <f>'Schedule 22 p.5'!G45</f>
        <v>3238864.4996673875</v>
      </c>
      <c r="G179" s="463"/>
      <c r="H179" s="261">
        <f>'Schedule 22 p.5'!W45</f>
        <v>6770.0089017878554</v>
      </c>
      <c r="I179" s="463"/>
      <c r="J179" s="8">
        <f>'Schedule 22 p.5'!K42</f>
        <v>0.20902414727394461</v>
      </c>
      <c r="K179" s="47"/>
      <c r="L179" s="47"/>
      <c r="Q179" s="34"/>
      <c r="R179" s="490"/>
      <c r="S179" s="491"/>
      <c r="T179" s="490"/>
    </row>
    <row r="180" spans="2:20">
      <c r="B180" s="283">
        <f>MAX($B$68:B179)+1</f>
        <v>45</v>
      </c>
      <c r="C180" s="47"/>
      <c r="D180" s="47" t="s">
        <v>297</v>
      </c>
      <c r="E180" s="47"/>
      <c r="F180" s="473">
        <f>F179</f>
        <v>3238864.4996673875</v>
      </c>
      <c r="G180" s="463"/>
      <c r="H180" s="420">
        <f>H36</f>
        <v>39316.961995591373</v>
      </c>
      <c r="I180" s="463"/>
      <c r="J180" s="38">
        <f>H180/F180*100</f>
        <v>1.2139119126357092</v>
      </c>
      <c r="K180" s="47"/>
      <c r="L180" s="47"/>
      <c r="O180" s="36"/>
      <c r="Q180" s="419"/>
      <c r="T180" s="419"/>
    </row>
    <row r="181" spans="2:20">
      <c r="B181" s="47"/>
      <c r="C181" s="47"/>
      <c r="D181" s="47"/>
      <c r="E181" s="47"/>
      <c r="F181" s="463"/>
      <c r="G181" s="463"/>
      <c r="H181" s="463"/>
      <c r="I181" s="463"/>
      <c r="J181" s="463"/>
      <c r="K181" s="47"/>
      <c r="L181" s="47"/>
      <c r="Q181" s="25"/>
    </row>
    <row r="182" spans="2:20">
      <c r="B182" s="47"/>
      <c r="C182" s="47"/>
      <c r="D182" s="471" t="s">
        <v>179</v>
      </c>
      <c r="E182" s="47"/>
      <c r="F182" s="463"/>
      <c r="G182" s="463"/>
      <c r="H182" s="463"/>
      <c r="I182" s="463"/>
      <c r="J182" s="463"/>
      <c r="K182" s="47"/>
      <c r="L182" s="47"/>
      <c r="Q182" s="25"/>
    </row>
    <row r="183" spans="2:20">
      <c r="B183" s="47"/>
      <c r="C183" s="47"/>
      <c r="D183" s="130" t="s">
        <v>202</v>
      </c>
      <c r="E183" s="47"/>
      <c r="F183" s="463"/>
      <c r="G183" s="463"/>
      <c r="H183" s="463"/>
      <c r="I183" s="463"/>
      <c r="J183" s="463"/>
      <c r="K183" s="47"/>
      <c r="L183" s="47"/>
      <c r="Q183" s="25"/>
    </row>
    <row r="184" spans="2:20">
      <c r="B184" s="283">
        <f>MAX($B$68:B183)+1</f>
        <v>46</v>
      </c>
      <c r="C184" s="47"/>
      <c r="D184" s="47" t="s">
        <v>476</v>
      </c>
      <c r="E184" s="47"/>
      <c r="F184" s="35">
        <v>89658.492055731243</v>
      </c>
      <c r="G184" s="463"/>
      <c r="H184" s="35">
        <v>511.15731549004579</v>
      </c>
      <c r="I184" s="463"/>
      <c r="J184" s="8">
        <f>H184/F184*100</f>
        <v>0.57011589618562075</v>
      </c>
      <c r="K184" s="47"/>
      <c r="L184" s="47"/>
      <c r="Q184" s="34"/>
      <c r="R184" s="490"/>
      <c r="S184" s="491"/>
      <c r="T184" s="490"/>
    </row>
    <row r="185" spans="2:20">
      <c r="B185" s="283">
        <f>MAX($B$68:B184)+1</f>
        <v>47</v>
      </c>
      <c r="C185" s="47"/>
      <c r="D185" s="47" t="s">
        <v>477</v>
      </c>
      <c r="E185" s="47"/>
      <c r="F185" s="35">
        <v>391300.86243960465</v>
      </c>
      <c r="G185" s="463"/>
      <c r="H185" s="35">
        <v>2191.0600209773543</v>
      </c>
      <c r="I185" s="463"/>
      <c r="J185" s="8">
        <f t="shared" ref="J185:J188" si="13">H185/F185*100</f>
        <v>0.5599425483800291</v>
      </c>
      <c r="K185" s="47"/>
      <c r="L185" s="47"/>
      <c r="Q185" s="34"/>
      <c r="R185" s="490"/>
      <c r="S185" s="491"/>
      <c r="T185" s="490"/>
    </row>
    <row r="186" spans="2:20">
      <c r="B186" s="283">
        <f>MAX($B$68:B185)+1</f>
        <v>48</v>
      </c>
      <c r="C186" s="47"/>
      <c r="D186" s="47" t="s">
        <v>478</v>
      </c>
      <c r="E186" s="47"/>
      <c r="F186" s="35">
        <v>373385.94021697668</v>
      </c>
      <c r="G186" s="463"/>
      <c r="H186" s="35">
        <v>1961.2274763357125</v>
      </c>
      <c r="I186" s="463"/>
      <c r="J186" s="8">
        <f t="shared" si="13"/>
        <v>0.52525477397355458</v>
      </c>
      <c r="K186" s="47"/>
      <c r="L186" s="47"/>
      <c r="Q186" s="25"/>
    </row>
    <row r="187" spans="2:20">
      <c r="B187" s="283">
        <f>MAX($B$68:B186)+1</f>
        <v>49</v>
      </c>
      <c r="C187" s="47"/>
      <c r="D187" s="47" t="s">
        <v>479</v>
      </c>
      <c r="E187" s="47"/>
      <c r="F187" s="35">
        <v>488968.96402614162</v>
      </c>
      <c r="G187" s="463"/>
      <c r="H187" s="35">
        <v>2391.3676282228366</v>
      </c>
      <c r="I187" s="463"/>
      <c r="J187" s="8">
        <f t="shared" si="13"/>
        <v>0.48906327480019518</v>
      </c>
      <c r="K187" s="47"/>
      <c r="L187" s="47"/>
      <c r="Q187" s="34"/>
      <c r="R187" s="490"/>
      <c r="S187" s="491"/>
      <c r="T187" s="490"/>
    </row>
    <row r="188" spans="2:20">
      <c r="B188" s="283">
        <f>MAX($B$68:B187)+1</f>
        <v>50</v>
      </c>
      <c r="C188" s="47"/>
      <c r="D188" s="47" t="s">
        <v>480</v>
      </c>
      <c r="E188" s="47"/>
      <c r="F188" s="473">
        <f>SUM(F184:F187)</f>
        <v>1343314.2587384542</v>
      </c>
      <c r="G188" s="463"/>
      <c r="H188" s="420">
        <f>H37</f>
        <v>7054.8124410259497</v>
      </c>
      <c r="I188" s="463"/>
      <c r="J188" s="38">
        <f t="shared" si="13"/>
        <v>0.52517959927346647</v>
      </c>
      <c r="K188" s="47"/>
      <c r="L188" s="47"/>
      <c r="Q188" s="419"/>
      <c r="T188" s="419"/>
    </row>
    <row r="189" spans="2:20">
      <c r="B189" s="47"/>
      <c r="C189" s="47"/>
      <c r="D189" s="47"/>
      <c r="E189" s="47"/>
      <c r="F189" s="463"/>
      <c r="G189" s="463"/>
      <c r="H189" s="463"/>
      <c r="I189" s="463"/>
      <c r="J189" s="463"/>
      <c r="K189" s="47"/>
      <c r="L189" s="47"/>
      <c r="Q189" s="25"/>
    </row>
    <row r="190" spans="2:20">
      <c r="B190" s="47"/>
      <c r="C190" s="47"/>
      <c r="D190" s="471" t="s">
        <v>180</v>
      </c>
      <c r="E190" s="47"/>
      <c r="F190" s="463"/>
      <c r="G190" s="463"/>
      <c r="H190" s="463"/>
      <c r="I190" s="463"/>
      <c r="J190" s="463"/>
      <c r="K190" s="47"/>
      <c r="L190" s="47"/>
      <c r="Q190" s="25"/>
    </row>
    <row r="191" spans="2:20">
      <c r="B191" s="47"/>
      <c r="C191" s="47"/>
      <c r="D191" s="130" t="s">
        <v>221</v>
      </c>
      <c r="E191" s="47"/>
      <c r="F191" s="463"/>
      <c r="G191" s="463"/>
      <c r="H191" s="463"/>
      <c r="I191" s="463"/>
      <c r="J191" s="463"/>
      <c r="K191" s="47"/>
      <c r="L191" s="47"/>
      <c r="Q191" s="34"/>
      <c r="R191" s="490"/>
      <c r="S191" s="491"/>
      <c r="T191" s="490"/>
    </row>
    <row r="192" spans="2:20">
      <c r="B192" s="283">
        <f>MAX($B$68:B191)+1</f>
        <v>51</v>
      </c>
      <c r="C192" s="47"/>
      <c r="D192" s="474" t="s">
        <v>481</v>
      </c>
      <c r="E192" s="47"/>
      <c r="F192" s="35">
        <v>20879.34</v>
      </c>
      <c r="G192" s="463"/>
      <c r="H192" s="35">
        <v>2105.7548294816397</v>
      </c>
      <c r="I192" s="463"/>
      <c r="J192" s="8">
        <f t="shared" ref="J192:J194" si="14">H192/F192*100</f>
        <v>10.085351498091605</v>
      </c>
      <c r="K192" s="47"/>
      <c r="L192" s="47"/>
      <c r="Q192" s="25"/>
    </row>
    <row r="193" spans="2:20">
      <c r="B193" s="283">
        <f>MAX($B$68:B192)+1</f>
        <v>52</v>
      </c>
      <c r="C193" s="47"/>
      <c r="D193" s="474" t="s">
        <v>482</v>
      </c>
      <c r="E193" s="47"/>
      <c r="F193" s="35">
        <v>20175.232</v>
      </c>
      <c r="G193" s="463"/>
      <c r="H193" s="35">
        <v>969.29625281579615</v>
      </c>
      <c r="I193" s="463"/>
      <c r="J193" s="8">
        <f t="shared" si="14"/>
        <v>4.8043871456635348</v>
      </c>
      <c r="K193" s="47"/>
      <c r="L193" s="47"/>
      <c r="Q193" s="25"/>
    </row>
    <row r="194" spans="2:20">
      <c r="B194" s="283">
        <f>MAX($B$68:B193)+1</f>
        <v>53</v>
      </c>
      <c r="C194" s="47"/>
      <c r="D194" s="474" t="s">
        <v>483</v>
      </c>
      <c r="E194" s="47"/>
      <c r="F194" s="35">
        <v>5781.4719999999998</v>
      </c>
      <c r="G194" s="463"/>
      <c r="H194" s="35">
        <v>238.09064565111296</v>
      </c>
      <c r="I194" s="463"/>
      <c r="J194" s="8">
        <f t="shared" si="14"/>
        <v>4.1181665439374777</v>
      </c>
      <c r="K194" s="47"/>
      <c r="L194" s="47"/>
      <c r="Q194" s="25"/>
    </row>
    <row r="195" spans="2:20">
      <c r="B195" s="47"/>
      <c r="C195" s="47"/>
      <c r="D195" s="130" t="s">
        <v>202</v>
      </c>
      <c r="E195" s="47"/>
      <c r="F195" s="463"/>
      <c r="G195" s="463"/>
      <c r="H195" s="463"/>
      <c r="I195" s="463"/>
      <c r="J195" s="463"/>
      <c r="K195" s="47"/>
      <c r="L195" s="47"/>
      <c r="Q195" s="25"/>
    </row>
    <row r="196" spans="2:20">
      <c r="B196" s="283">
        <f>MAX($B$68:B195)+1</f>
        <v>54</v>
      </c>
      <c r="C196" s="47"/>
      <c r="D196" s="474" t="s">
        <v>307</v>
      </c>
      <c r="E196" s="47"/>
      <c r="F196" s="35">
        <v>651263.53987999959</v>
      </c>
      <c r="G196" s="463"/>
      <c r="H196" s="35">
        <v>2208.7611519656994</v>
      </c>
      <c r="I196" s="463"/>
      <c r="J196" s="8">
        <f t="shared" ref="J196:J198" si="15">H196/F196*100</f>
        <v>0.33915013150785028</v>
      </c>
      <c r="K196" s="47"/>
      <c r="L196" s="47"/>
      <c r="Q196" s="34"/>
      <c r="R196" s="490"/>
      <c r="S196" s="491"/>
      <c r="T196" s="490"/>
    </row>
    <row r="197" spans="2:20">
      <c r="B197" s="283">
        <f>MAX($B$68:B196)+1</f>
        <v>55</v>
      </c>
      <c r="C197" s="47"/>
      <c r="D197" s="474" t="s">
        <v>308</v>
      </c>
      <c r="E197" s="47"/>
      <c r="F197" s="35">
        <v>0</v>
      </c>
      <c r="G197" s="463"/>
      <c r="H197" s="35">
        <v>0</v>
      </c>
      <c r="I197" s="463"/>
      <c r="J197" s="8">
        <f>IFERROR(H197/F197*100,0)</f>
        <v>0</v>
      </c>
      <c r="K197" s="47"/>
      <c r="L197" s="47"/>
      <c r="Q197" s="34"/>
      <c r="R197" s="490"/>
      <c r="S197" s="491"/>
      <c r="T197" s="490"/>
    </row>
    <row r="198" spans="2:20">
      <c r="B198" s="283">
        <f>MAX($B$68:B197)+1</f>
        <v>56</v>
      </c>
      <c r="C198" s="47"/>
      <c r="D198" s="47" t="s">
        <v>315</v>
      </c>
      <c r="E198" s="47"/>
      <c r="F198" s="473">
        <f>SUM(F192:F194)</f>
        <v>46836.044000000002</v>
      </c>
      <c r="G198" s="463"/>
      <c r="H198" s="420">
        <f>H38</f>
        <v>5521.9028799142479</v>
      </c>
      <c r="I198" s="463"/>
      <c r="J198" s="38">
        <f t="shared" si="15"/>
        <v>11.78985757190391</v>
      </c>
      <c r="K198" s="47"/>
      <c r="L198" s="47"/>
      <c r="Q198" s="34"/>
    </row>
    <row r="199" spans="2:20">
      <c r="B199" s="47"/>
      <c r="C199" s="47"/>
      <c r="D199" s="47"/>
      <c r="E199" s="47"/>
      <c r="F199" s="463"/>
      <c r="G199" s="463"/>
      <c r="H199" s="463"/>
      <c r="I199" s="463"/>
      <c r="J199" s="463"/>
      <c r="K199" s="47"/>
      <c r="L199" s="47"/>
      <c r="Q199" s="25"/>
    </row>
    <row r="200" spans="2:20">
      <c r="B200" s="47"/>
      <c r="C200" s="47"/>
      <c r="D200" s="471" t="s">
        <v>181</v>
      </c>
      <c r="E200" s="47"/>
      <c r="F200" s="463"/>
      <c r="G200" s="463"/>
      <c r="H200" s="463"/>
      <c r="I200" s="463"/>
      <c r="J200" s="463"/>
      <c r="K200" s="47"/>
      <c r="L200" s="47"/>
      <c r="Q200" s="34"/>
      <c r="R200" s="490"/>
      <c r="S200" s="491"/>
      <c r="T200" s="490"/>
    </row>
    <row r="201" spans="2:20">
      <c r="B201" s="47"/>
      <c r="C201" s="47"/>
      <c r="D201" s="47" t="s">
        <v>324</v>
      </c>
      <c r="E201" s="47"/>
      <c r="F201" s="35"/>
      <c r="G201" s="463"/>
      <c r="H201" s="463"/>
      <c r="I201" s="463"/>
      <c r="J201" s="463"/>
      <c r="K201" s="47"/>
      <c r="L201" s="47"/>
      <c r="Q201" s="419"/>
      <c r="T201" s="419"/>
    </row>
    <row r="202" spans="2:20">
      <c r="B202" s="283">
        <f>MAX($B$68:B201)+1</f>
        <v>57</v>
      </c>
      <c r="C202" s="47"/>
      <c r="D202" s="484" t="s">
        <v>221</v>
      </c>
      <c r="E202" s="47"/>
      <c r="F202" s="35">
        <v>431.904</v>
      </c>
      <c r="G202" s="463"/>
      <c r="H202" s="35">
        <v>41.140218199898953</v>
      </c>
      <c r="I202" s="463"/>
      <c r="J202" s="8">
        <f t="shared" ref="J202:J203" si="16">H202/F202*100</f>
        <v>9.5253153941382696</v>
      </c>
      <c r="K202" s="47"/>
      <c r="L202" s="47"/>
      <c r="Q202" s="25"/>
    </row>
    <row r="203" spans="2:20">
      <c r="B203" s="283">
        <f>MAX($B$68:B202)+1</f>
        <v>58</v>
      </c>
      <c r="C203" s="47"/>
      <c r="D203" s="484" t="s">
        <v>202</v>
      </c>
      <c r="E203" s="47"/>
      <c r="F203" s="35">
        <v>5260.2675999999992</v>
      </c>
      <c r="G203" s="463"/>
      <c r="H203" s="35">
        <v>30.409784876368469</v>
      </c>
      <c r="I203" s="463"/>
      <c r="J203" s="8">
        <f t="shared" si="16"/>
        <v>0.57810338159162233</v>
      </c>
      <c r="K203" s="47"/>
      <c r="L203" s="47"/>
      <c r="Q203" s="25"/>
    </row>
    <row r="204" spans="2:20">
      <c r="B204" s="47"/>
      <c r="C204" s="47"/>
      <c r="D204" s="47" t="s">
        <v>484</v>
      </c>
      <c r="E204" s="47"/>
      <c r="F204" s="463"/>
      <c r="G204" s="463"/>
      <c r="H204" s="35"/>
      <c r="I204" s="463"/>
      <c r="J204" s="463"/>
      <c r="K204" s="47"/>
      <c r="L204" s="47"/>
      <c r="Q204" s="25"/>
    </row>
    <row r="205" spans="2:20">
      <c r="B205" s="283">
        <f>MAX($B$68:B204)+1</f>
        <v>59</v>
      </c>
      <c r="C205" s="47"/>
      <c r="D205" s="484" t="s">
        <v>289</v>
      </c>
      <c r="E205" s="47"/>
      <c r="F205" s="35">
        <v>61856.632989999991</v>
      </c>
      <c r="G205" s="463"/>
      <c r="H205" s="35">
        <v>330.64159547681339</v>
      </c>
      <c r="I205" s="463"/>
      <c r="J205" s="8">
        <f t="shared" ref="J205:J206" si="17">H205/F205*100</f>
        <v>0.53452892518457373</v>
      </c>
      <c r="K205" s="47"/>
      <c r="L205" s="47"/>
      <c r="Q205" s="25"/>
    </row>
    <row r="206" spans="2:20">
      <c r="B206" s="283">
        <f>MAX($B$68:B205)+1</f>
        <v>60</v>
      </c>
      <c r="C206" s="47"/>
      <c r="D206" s="47" t="s">
        <v>485</v>
      </c>
      <c r="E206" s="47"/>
      <c r="F206" s="473">
        <f>SUM(F203:F205)</f>
        <v>67116.90058999999</v>
      </c>
      <c r="G206" s="463"/>
      <c r="H206" s="420">
        <f>H39</f>
        <v>402.19159855308078</v>
      </c>
      <c r="I206" s="463"/>
      <c r="J206" s="38">
        <f t="shared" si="17"/>
        <v>0.59924042233411012</v>
      </c>
      <c r="K206" s="47"/>
      <c r="L206" s="47"/>
      <c r="Q206" s="34"/>
      <c r="R206" s="490"/>
      <c r="S206" s="491"/>
      <c r="T206" s="490"/>
    </row>
    <row r="207" spans="2:20">
      <c r="B207" s="47"/>
      <c r="C207" s="47"/>
      <c r="D207" s="47"/>
      <c r="E207" s="47"/>
      <c r="F207" s="463"/>
      <c r="G207" s="463"/>
      <c r="H207" s="463"/>
      <c r="I207" s="463"/>
      <c r="J207" s="463"/>
      <c r="K207" s="47"/>
      <c r="L207" s="47"/>
      <c r="Q207" s="34"/>
      <c r="R207" s="490"/>
      <c r="S207" s="491"/>
      <c r="T207" s="490"/>
    </row>
    <row r="208" spans="2:20">
      <c r="B208" s="47"/>
      <c r="C208" s="47"/>
      <c r="D208" s="471" t="s">
        <v>182</v>
      </c>
      <c r="E208" s="47"/>
      <c r="F208" s="463"/>
      <c r="G208" s="463"/>
      <c r="H208" s="463"/>
      <c r="I208" s="463"/>
      <c r="J208" s="463"/>
      <c r="K208" s="47"/>
      <c r="L208" s="47"/>
      <c r="Q208" s="34"/>
    </row>
    <row r="209" spans="2:20">
      <c r="B209" s="47"/>
      <c r="C209" s="47"/>
      <c r="D209" s="47" t="s">
        <v>324</v>
      </c>
      <c r="E209" s="47"/>
      <c r="F209" s="463"/>
      <c r="G209" s="463"/>
      <c r="H209" s="463"/>
      <c r="I209" s="463"/>
      <c r="J209" s="463"/>
      <c r="K209" s="47"/>
      <c r="L209" s="47"/>
      <c r="Q209" s="25"/>
    </row>
    <row r="210" spans="2:20">
      <c r="B210" s="283">
        <f>MAX($B$68:B209)+1</f>
        <v>61</v>
      </c>
      <c r="C210" s="47"/>
      <c r="D210" s="484" t="s">
        <v>221</v>
      </c>
      <c r="E210" s="47"/>
      <c r="F210" s="35">
        <v>71858.168000000005</v>
      </c>
      <c r="G210" s="463"/>
      <c r="H210" s="35">
        <v>3676.9747646837463</v>
      </c>
      <c r="I210" s="463"/>
      <c r="J210" s="8">
        <f t="shared" ref="J210:J214" si="18">H210/F210*100</f>
        <v>5.1169892957523579</v>
      </c>
      <c r="K210" s="47"/>
      <c r="L210" s="47"/>
      <c r="Q210" s="34"/>
      <c r="R210" s="490"/>
      <c r="S210" s="491"/>
      <c r="T210" s="490"/>
    </row>
    <row r="211" spans="2:20">
      <c r="B211" s="283">
        <f>MAX($B$68:B210)+1</f>
        <v>62</v>
      </c>
      <c r="C211" s="47"/>
      <c r="D211" s="484" t="s">
        <v>202</v>
      </c>
      <c r="E211" s="47"/>
      <c r="F211" s="35">
        <v>736086.39422999998</v>
      </c>
      <c r="G211" s="463"/>
      <c r="H211" s="35">
        <v>218.94930057158774</v>
      </c>
      <c r="I211" s="463"/>
      <c r="J211" s="8">
        <f t="shared" si="18"/>
        <v>2.9745054695736454E-2</v>
      </c>
      <c r="K211" s="47"/>
      <c r="L211" s="47"/>
      <c r="Q211" s="419"/>
      <c r="T211" s="419"/>
    </row>
    <row r="212" spans="2:20">
      <c r="B212" s="47"/>
      <c r="C212" s="47"/>
      <c r="D212" s="47" t="s">
        <v>325</v>
      </c>
      <c r="E212" s="47"/>
      <c r="F212" s="463"/>
      <c r="G212" s="463"/>
      <c r="H212" s="35"/>
      <c r="I212" s="463"/>
      <c r="J212" s="463"/>
      <c r="K212" s="47"/>
      <c r="L212" s="47"/>
      <c r="Q212" s="25"/>
    </row>
    <row r="213" spans="2:20">
      <c r="B213" s="283">
        <f>MAX($B$68:B212)+1</f>
        <v>63</v>
      </c>
      <c r="C213" s="47"/>
      <c r="D213" s="484" t="s">
        <v>289</v>
      </c>
      <c r="E213" s="47"/>
      <c r="F213" s="35">
        <v>83466.42949000001</v>
      </c>
      <c r="G213" s="463"/>
      <c r="H213" s="35">
        <v>292.5479872436639</v>
      </c>
      <c r="I213" s="463"/>
      <c r="J213" s="8">
        <f t="shared" si="18"/>
        <v>0.35049778579388452</v>
      </c>
      <c r="K213" s="47"/>
      <c r="L213" s="47"/>
      <c r="Q213" s="25"/>
    </row>
    <row r="214" spans="2:20">
      <c r="B214" s="283">
        <f>MAX($B$68:B213)+1</f>
        <v>64</v>
      </c>
      <c r="C214" s="47"/>
      <c r="D214" s="47" t="s">
        <v>326</v>
      </c>
      <c r="E214" s="47"/>
      <c r="F214" s="473">
        <f>SUM(F211:F213)</f>
        <v>819552.82371999999</v>
      </c>
      <c r="G214" s="463"/>
      <c r="H214" s="420">
        <f>H40</f>
        <v>4188.472052498998</v>
      </c>
      <c r="I214" s="463"/>
      <c r="J214" s="38">
        <f t="shared" si="18"/>
        <v>0.51106797893603362</v>
      </c>
      <c r="K214" s="47"/>
      <c r="L214" s="47"/>
      <c r="Q214" s="25"/>
    </row>
    <row r="215" spans="2:20">
      <c r="B215" s="47"/>
      <c r="C215" s="47"/>
      <c r="D215" s="47"/>
      <c r="E215" s="47"/>
      <c r="F215" s="463"/>
      <c r="G215" s="463"/>
      <c r="H215" s="463"/>
      <c r="I215" s="463"/>
      <c r="J215" s="463"/>
      <c r="K215" s="47"/>
      <c r="L215" s="47"/>
      <c r="Q215" s="34"/>
      <c r="R215" s="490"/>
      <c r="S215" s="491"/>
      <c r="T215" s="490"/>
    </row>
    <row r="216" spans="2:20">
      <c r="B216" s="47"/>
      <c r="C216" s="47"/>
      <c r="D216" s="471" t="s">
        <v>183</v>
      </c>
      <c r="E216" s="47"/>
      <c r="F216" s="463"/>
      <c r="G216" s="463"/>
      <c r="H216" s="463"/>
      <c r="I216" s="463"/>
      <c r="J216" s="463"/>
      <c r="K216" s="47"/>
      <c r="L216" s="47"/>
      <c r="Q216" s="25"/>
    </row>
    <row r="217" spans="2:20">
      <c r="B217" s="283">
        <f>MAX($B$68:B216)+1</f>
        <v>65</v>
      </c>
      <c r="C217" s="47"/>
      <c r="D217" s="484" t="s">
        <v>221</v>
      </c>
      <c r="E217" s="47"/>
      <c r="F217" s="35">
        <v>6040.4639999999999</v>
      </c>
      <c r="G217" s="463"/>
      <c r="H217" s="35">
        <f>H41</f>
        <v>17.720613264513492</v>
      </c>
      <c r="I217" s="463"/>
      <c r="J217" s="8">
        <f t="shared" ref="J217" si="19">H217/F217*100</f>
        <v>0.29336510017299156</v>
      </c>
      <c r="K217" s="47"/>
      <c r="L217" s="47"/>
      <c r="Q217" s="25"/>
    </row>
    <row r="218" spans="2:20" ht="15" customHeight="1">
      <c r="B218" s="283">
        <f>MAX($B$68:B217)+1</f>
        <v>66</v>
      </c>
      <c r="C218" s="47"/>
      <c r="D218" s="47" t="str">
        <f>"Total "&amp;D216</f>
        <v>Total Rate M9</v>
      </c>
      <c r="E218" s="47"/>
      <c r="F218" s="473">
        <f>F217</f>
        <v>6040.4639999999999</v>
      </c>
      <c r="G218" s="463"/>
      <c r="H218" s="473">
        <f>H217</f>
        <v>17.720613264513492</v>
      </c>
      <c r="I218" s="463"/>
      <c r="J218" s="476">
        <f>J217</f>
        <v>0.29336510017299156</v>
      </c>
      <c r="K218" s="47"/>
      <c r="L218" s="47"/>
      <c r="Q218" s="25"/>
      <c r="S218" s="25"/>
      <c r="T218" s="54"/>
    </row>
    <row r="219" spans="2:20" ht="15" customHeight="1">
      <c r="B219" s="47"/>
      <c r="C219" s="47"/>
      <c r="D219" s="47"/>
      <c r="E219" s="47"/>
      <c r="F219" s="463"/>
      <c r="G219" s="463"/>
      <c r="H219" s="463"/>
      <c r="I219" s="463"/>
      <c r="J219" s="463"/>
      <c r="K219" s="47"/>
      <c r="L219" s="47"/>
      <c r="Q219" s="25"/>
      <c r="S219" s="25"/>
      <c r="T219" s="54"/>
    </row>
    <row r="220" spans="2:20">
      <c r="B220" s="47"/>
      <c r="C220" s="47"/>
      <c r="D220" s="471" t="s">
        <v>184</v>
      </c>
      <c r="E220" s="47"/>
      <c r="F220" s="463"/>
      <c r="G220" s="463"/>
      <c r="H220" s="463"/>
      <c r="I220" s="463"/>
      <c r="J220" s="463"/>
      <c r="K220" s="47"/>
      <c r="L220" s="47"/>
      <c r="Q220" s="25"/>
    </row>
    <row r="221" spans="2:20">
      <c r="B221" s="47"/>
      <c r="C221" s="47"/>
      <c r="D221" s="47" t="s">
        <v>324</v>
      </c>
      <c r="E221" s="47"/>
      <c r="F221" s="463"/>
      <c r="G221" s="463"/>
      <c r="H221" s="463"/>
      <c r="I221" s="463"/>
      <c r="J221" s="463"/>
      <c r="K221" s="47"/>
      <c r="L221" s="47"/>
      <c r="Q221" s="25"/>
    </row>
    <row r="222" spans="2:20">
      <c r="B222" s="47"/>
      <c r="C222" s="47"/>
      <c r="D222" s="484" t="s">
        <v>330</v>
      </c>
      <c r="E222" s="47"/>
      <c r="F222" s="463"/>
      <c r="G222" s="463"/>
      <c r="H222" s="463"/>
      <c r="I222" s="463"/>
      <c r="J222" s="463"/>
      <c r="K222" s="47"/>
      <c r="L222" s="47"/>
      <c r="Q222" s="25"/>
    </row>
    <row r="223" spans="2:20">
      <c r="B223" s="283">
        <f>MAX($B$68:B222)+1</f>
        <v>67</v>
      </c>
      <c r="C223" s="47"/>
      <c r="D223" s="485" t="s">
        <v>486</v>
      </c>
      <c r="E223" s="47"/>
      <c r="F223" s="35">
        <v>14363.064</v>
      </c>
      <c r="G223" s="463"/>
      <c r="H223" s="35">
        <v>555.59751780191789</v>
      </c>
      <c r="I223" s="463"/>
      <c r="J223" s="8">
        <f t="shared" ref="J223:J224" si="20">H223/F223*100</f>
        <v>3.8682381266414869</v>
      </c>
      <c r="K223" s="47"/>
      <c r="L223" s="47"/>
    </row>
    <row r="224" spans="2:20">
      <c r="B224" s="283">
        <f>MAX($B$68:B223)+1</f>
        <v>68</v>
      </c>
      <c r="C224" s="47"/>
      <c r="D224" s="485" t="s">
        <v>487</v>
      </c>
      <c r="E224" s="47"/>
      <c r="F224" s="35">
        <v>12176.784</v>
      </c>
      <c r="G224" s="463"/>
      <c r="H224" s="35">
        <v>336.19296861132091</v>
      </c>
      <c r="I224" s="463"/>
      <c r="J224" s="8">
        <f t="shared" si="20"/>
        <v>2.7609339921880927</v>
      </c>
      <c r="K224" s="47"/>
      <c r="L224" s="47"/>
    </row>
    <row r="225" spans="2:12">
      <c r="B225" s="283"/>
      <c r="C225" s="47"/>
      <c r="D225" s="484" t="s">
        <v>333</v>
      </c>
      <c r="E225" s="47"/>
      <c r="F225" s="35"/>
      <c r="G225" s="463"/>
      <c r="H225" s="463"/>
      <c r="I225" s="463"/>
      <c r="J225" s="463"/>
      <c r="K225" s="47"/>
      <c r="L225" s="47"/>
    </row>
    <row r="226" spans="2:12">
      <c r="B226" s="47"/>
      <c r="C226" s="47"/>
      <c r="D226" s="47" t="s">
        <v>484</v>
      </c>
      <c r="E226" s="47"/>
      <c r="F226" s="463"/>
      <c r="G226" s="463"/>
      <c r="H226" s="463"/>
      <c r="I226" s="463"/>
      <c r="J226" s="463"/>
      <c r="K226" s="47"/>
      <c r="L226" s="47"/>
    </row>
    <row r="227" spans="2:12">
      <c r="B227" s="283">
        <f>MAX($B$68:B226)+1</f>
        <v>69</v>
      </c>
      <c r="C227" s="47"/>
      <c r="D227" s="484" t="s">
        <v>333</v>
      </c>
      <c r="E227" s="47"/>
      <c r="F227" s="35">
        <v>37885.500949999994</v>
      </c>
      <c r="G227" s="463"/>
      <c r="H227" s="35">
        <v>73.366022915420686</v>
      </c>
      <c r="I227" s="463"/>
      <c r="J227" s="8">
        <f t="shared" ref="J227:J228" si="21">H227/F227*100</f>
        <v>0.19365198050897278</v>
      </c>
      <c r="K227" s="47"/>
      <c r="L227" s="47"/>
    </row>
    <row r="228" spans="2:12">
      <c r="B228" s="283">
        <f>MAX($B$68:B227)+1</f>
        <v>70</v>
      </c>
      <c r="C228" s="47"/>
      <c r="D228" s="47" t="s">
        <v>350</v>
      </c>
      <c r="E228" s="47"/>
      <c r="F228" s="473">
        <f>SUM(F225:F227)</f>
        <v>37885.500949999994</v>
      </c>
      <c r="G228" s="463"/>
      <c r="H228" s="420">
        <f>H42</f>
        <v>965.15650932865947</v>
      </c>
      <c r="I228" s="463"/>
      <c r="J228" s="38">
        <f t="shared" si="21"/>
        <v>2.5475616928028493</v>
      </c>
      <c r="K228" s="47"/>
      <c r="L228" s="47"/>
    </row>
    <row r="229" spans="2:12">
      <c r="B229" s="47"/>
      <c r="C229" s="47"/>
      <c r="D229" s="47"/>
      <c r="E229" s="47"/>
      <c r="F229" s="463"/>
      <c r="G229" s="463"/>
      <c r="H229" s="463"/>
      <c r="I229" s="463"/>
      <c r="J229" s="463"/>
      <c r="K229" s="47"/>
      <c r="L229" s="47"/>
    </row>
    <row r="230" spans="2:12">
      <c r="B230" s="47"/>
      <c r="C230" s="47"/>
      <c r="D230" s="471" t="s">
        <v>185</v>
      </c>
      <c r="E230" s="47"/>
      <c r="F230" s="463"/>
      <c r="G230" s="463"/>
      <c r="H230" s="463"/>
      <c r="I230" s="463"/>
      <c r="J230" s="463"/>
      <c r="K230" s="47"/>
      <c r="L230" s="47"/>
    </row>
    <row r="231" spans="2:12">
      <c r="B231" s="47"/>
      <c r="C231" s="47"/>
      <c r="D231" s="47" t="s">
        <v>324</v>
      </c>
      <c r="E231" s="47"/>
      <c r="F231" s="463"/>
      <c r="G231" s="463"/>
      <c r="H231" s="463"/>
      <c r="I231" s="463"/>
      <c r="J231" s="463"/>
      <c r="K231" s="47"/>
      <c r="L231" s="47"/>
    </row>
    <row r="232" spans="2:12">
      <c r="B232" s="47"/>
      <c r="C232" s="47"/>
      <c r="D232" s="484" t="s">
        <v>330</v>
      </c>
      <c r="E232" s="47"/>
      <c r="F232" s="463"/>
      <c r="G232" s="463"/>
      <c r="H232" s="463"/>
      <c r="I232" s="463"/>
      <c r="J232" s="463"/>
      <c r="K232" s="47"/>
      <c r="L232" s="47"/>
    </row>
    <row r="233" spans="2:12">
      <c r="B233" s="283">
        <f>MAX($B$68:B232)+1</f>
        <v>71</v>
      </c>
      <c r="C233" s="47"/>
      <c r="D233" s="485" t="s">
        <v>488</v>
      </c>
      <c r="E233" s="47"/>
      <c r="F233" s="35">
        <v>60333.714</v>
      </c>
      <c r="G233" s="463"/>
      <c r="H233" s="35">
        <v>1052.1210252863157</v>
      </c>
      <c r="I233" s="463"/>
      <c r="J233" s="8">
        <f t="shared" ref="J233:J234" si="22">H233/F233*100</f>
        <v>1.7438360006916127</v>
      </c>
      <c r="K233" s="47"/>
      <c r="L233" s="47"/>
    </row>
    <row r="234" spans="2:12">
      <c r="B234" s="283">
        <f>MAX($B$68:B233)+1</f>
        <v>72</v>
      </c>
      <c r="C234" s="47"/>
      <c r="D234" s="485" t="s">
        <v>489</v>
      </c>
      <c r="E234" s="47"/>
      <c r="F234" s="35">
        <v>248379.71</v>
      </c>
      <c r="G234" s="463"/>
      <c r="H234" s="35">
        <v>2423.3647733271655</v>
      </c>
      <c r="I234" s="463"/>
      <c r="J234" s="8">
        <f t="shared" si="22"/>
        <v>0.97566937868119963</v>
      </c>
      <c r="K234" s="47"/>
      <c r="L234" s="47"/>
    </row>
    <row r="235" spans="2:12">
      <c r="B235" s="283"/>
      <c r="C235" s="47"/>
      <c r="D235" s="484" t="s">
        <v>333</v>
      </c>
      <c r="E235" s="47"/>
      <c r="F235" s="35"/>
      <c r="G235" s="463"/>
      <c r="H235" s="463"/>
      <c r="I235" s="463"/>
      <c r="J235" s="35"/>
      <c r="K235" s="47"/>
      <c r="L235" s="47"/>
    </row>
    <row r="236" spans="2:12">
      <c r="B236" s="47"/>
      <c r="C236" s="47"/>
      <c r="D236" s="47" t="s">
        <v>484</v>
      </c>
      <c r="E236" s="47"/>
      <c r="F236" s="463"/>
      <c r="G236" s="463"/>
      <c r="H236" s="463"/>
      <c r="I236" s="463"/>
      <c r="J236" s="463"/>
      <c r="K236" s="47"/>
      <c r="L236" s="47"/>
    </row>
    <row r="237" spans="2:12">
      <c r="B237" s="283">
        <f>MAX($B$68:B236)+1</f>
        <v>73</v>
      </c>
      <c r="C237" s="47"/>
      <c r="D237" s="484" t="s">
        <v>333</v>
      </c>
      <c r="E237" s="47"/>
      <c r="F237" s="35">
        <v>41939.172750000012</v>
      </c>
      <c r="G237" s="463"/>
      <c r="H237" s="35">
        <v>62.172644938813157</v>
      </c>
      <c r="I237" s="463"/>
      <c r="J237" s="8">
        <f t="shared" ref="J237:J238" si="23">H237/F237*100</f>
        <v>0.14824480518350983</v>
      </c>
      <c r="K237" s="47"/>
      <c r="L237" s="47"/>
    </row>
    <row r="238" spans="2:12">
      <c r="B238" s="283">
        <f>MAX($B$68:B237)+1</f>
        <v>74</v>
      </c>
      <c r="C238" s="47"/>
      <c r="D238" s="47" t="s">
        <v>354</v>
      </c>
      <c r="E238" s="47"/>
      <c r="F238" s="473">
        <f>SUM(F235:F237)</f>
        <v>41939.172750000012</v>
      </c>
      <c r="G238" s="463"/>
      <c r="H238" s="420">
        <f>H43</f>
        <v>3537.6584435522941</v>
      </c>
      <c r="I238" s="463"/>
      <c r="J238" s="38">
        <f t="shared" si="23"/>
        <v>8.4352127416540252</v>
      </c>
      <c r="K238" s="47"/>
      <c r="L238" s="47"/>
    </row>
    <row r="239" spans="2:12">
      <c r="B239" s="47"/>
      <c r="C239" s="47"/>
      <c r="D239" s="47"/>
      <c r="E239" s="47"/>
      <c r="F239" s="463"/>
      <c r="G239" s="463"/>
      <c r="H239" s="463"/>
      <c r="I239" s="463"/>
      <c r="J239" s="463"/>
      <c r="K239" s="47"/>
      <c r="L239" s="47"/>
    </row>
    <row r="240" spans="2:12">
      <c r="B240" s="47"/>
      <c r="C240" s="47"/>
      <c r="D240" s="471" t="s">
        <v>186</v>
      </c>
      <c r="E240" s="47"/>
      <c r="F240" s="463"/>
      <c r="G240" s="463"/>
      <c r="H240" s="463"/>
      <c r="I240" s="463"/>
      <c r="J240" s="463"/>
      <c r="K240" s="47"/>
      <c r="L240" s="47"/>
    </row>
    <row r="241" spans="2:12">
      <c r="B241" s="283"/>
      <c r="C241" s="47"/>
      <c r="D241" s="47" t="s">
        <v>324</v>
      </c>
      <c r="E241" s="47"/>
      <c r="F241" s="463"/>
      <c r="G241" s="463"/>
      <c r="H241" s="463"/>
      <c r="I241" s="463"/>
      <c r="J241" s="463"/>
      <c r="K241" s="47"/>
      <c r="L241" s="47"/>
    </row>
    <row r="242" spans="2:12">
      <c r="B242" s="283">
        <f>MAX($B$68:B241)+1</f>
        <v>75</v>
      </c>
      <c r="C242" s="47"/>
      <c r="D242" s="484" t="s">
        <v>330</v>
      </c>
      <c r="E242" s="47"/>
      <c r="F242" s="35">
        <v>28200</v>
      </c>
      <c r="G242" s="463"/>
      <c r="H242" s="35">
        <f>H44</f>
        <v>111.50384979625937</v>
      </c>
      <c r="I242" s="463"/>
      <c r="J242" s="8">
        <f t="shared" ref="J242" si="24">H242/F242*100</f>
        <v>0.39540372268177082</v>
      </c>
      <c r="K242" s="47"/>
      <c r="L242" s="47"/>
    </row>
    <row r="243" spans="2:12">
      <c r="B243" s="283">
        <f>MAX($B$68:B242)+1</f>
        <v>76</v>
      </c>
      <c r="C243" s="47"/>
      <c r="D243" s="47" t="str">
        <f>"Total "&amp;D240</f>
        <v>Total Rate T3</v>
      </c>
      <c r="E243" s="47"/>
      <c r="F243" s="473">
        <f>F242</f>
        <v>28200</v>
      </c>
      <c r="G243" s="463"/>
      <c r="H243" s="473">
        <f>H242</f>
        <v>111.50384979625937</v>
      </c>
      <c r="I243" s="463"/>
      <c r="J243" s="476">
        <f>J242</f>
        <v>0.39540372268177082</v>
      </c>
      <c r="K243" s="47"/>
      <c r="L243" s="47"/>
    </row>
    <row r="244" spans="2:12">
      <c r="B244" s="47"/>
      <c r="C244" s="47"/>
      <c r="D244" s="47"/>
      <c r="E244" s="47"/>
      <c r="F244" s="47"/>
      <c r="G244" s="47"/>
      <c r="H244" s="47"/>
      <c r="I244" s="47"/>
      <c r="J244" s="47"/>
      <c r="K244" s="47"/>
      <c r="L244" s="47"/>
    </row>
    <row r="245" spans="2:12" ht="13.5" thickBot="1">
      <c r="B245" s="283">
        <f>MAX($B$68:B244)+1</f>
        <v>77</v>
      </c>
      <c r="C245" s="481"/>
      <c r="D245" s="479" t="s">
        <v>490</v>
      </c>
      <c r="E245" s="47"/>
      <c r="F245" s="47"/>
      <c r="G245" s="47"/>
      <c r="H245" s="486">
        <f>SUM(H242,H238,H228,H217,H214,H206,H198,H188,H180)</f>
        <v>61116.380383525378</v>
      </c>
      <c r="I245" s="47"/>
      <c r="J245" s="47"/>
      <c r="K245" s="47"/>
      <c r="L245" s="47"/>
    </row>
    <row r="246" spans="2:12" ht="13.5" thickTop="1">
      <c r="B246" s="47"/>
      <c r="C246" s="47"/>
      <c r="D246" s="47"/>
      <c r="E246" s="47"/>
      <c r="F246" s="47"/>
      <c r="G246" s="47"/>
      <c r="H246" s="47"/>
      <c r="I246" s="487"/>
      <c r="J246" s="487"/>
      <c r="K246" s="47"/>
      <c r="L246" s="488"/>
    </row>
    <row r="247" spans="2:12">
      <c r="B247" s="471" t="s">
        <v>39</v>
      </c>
      <c r="C247" s="47"/>
      <c r="D247" s="47"/>
      <c r="E247" s="47"/>
      <c r="F247" s="47"/>
      <c r="G247" s="47"/>
      <c r="H247" s="47"/>
      <c r="I247" s="488"/>
      <c r="J247" s="488"/>
      <c r="K247" s="47"/>
      <c r="L247" s="488"/>
    </row>
    <row r="248" spans="2:12">
      <c r="B248" s="489" t="s">
        <v>40</v>
      </c>
      <c r="C248" s="488"/>
      <c r="D248" s="1307" t="s">
        <v>491</v>
      </c>
      <c r="E248" s="1307"/>
      <c r="F248" s="1307"/>
      <c r="G248" s="1307"/>
      <c r="H248" s="1307"/>
      <c r="I248" s="47"/>
      <c r="J248" s="47"/>
      <c r="K248" s="47"/>
      <c r="L248" s="47"/>
    </row>
    <row r="249" spans="2:12">
      <c r="B249" s="232" t="s">
        <v>42</v>
      </c>
      <c r="D249" s="1308" t="s">
        <v>492</v>
      </c>
      <c r="E249" s="1308"/>
      <c r="F249" s="1308"/>
      <c r="G249" s="1308"/>
      <c r="H249" s="1308"/>
    </row>
    <row r="250" spans="2:12">
      <c r="J250" s="39"/>
    </row>
    <row r="251" spans="2:12">
      <c r="J251" s="39"/>
    </row>
    <row r="252" spans="2:12">
      <c r="J252" s="40"/>
    </row>
    <row r="281" spans="10:10">
      <c r="J281" s="40"/>
    </row>
  </sheetData>
  <mergeCells count="10">
    <mergeCell ref="B6:L6"/>
    <mergeCell ref="D248:H248"/>
    <mergeCell ref="D249:H249"/>
    <mergeCell ref="B57:L57"/>
    <mergeCell ref="B119:L119"/>
    <mergeCell ref="B168:L168"/>
    <mergeCell ref="D51:L51"/>
    <mergeCell ref="B58:L58"/>
    <mergeCell ref="B120:L120"/>
    <mergeCell ref="B169:L169"/>
  </mergeCells>
  <pageMargins left="0.7" right="0.7" top="0.75" bottom="0.75" header="0.3" footer="0.3"/>
  <pageSetup scale="60" orientation="portrait" r:id="rId1"/>
  <headerFooter>
    <oddHeader>&amp;R&amp;10Updated: 2024-03-15
EB-2022-0200
Rate Order
Working Papers
Schedule 22
Page &amp;P of 5</oddHeader>
  </headerFooter>
  <rowBreaks count="4" manualBreakCount="4">
    <brk id="51" max="12" man="1"/>
    <brk id="113" max="12" man="1"/>
    <brk id="162" max="12" man="1"/>
    <brk id="259"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DC8B-24E3-4B4C-A297-8DAB78D72F4D}">
  <dimension ref="A2:AP334"/>
  <sheetViews>
    <sheetView showGridLines="0" view="pageLayout" topLeftCell="A187" zoomScale="80" zoomScaleNormal="85" zoomScaleSheetLayoutView="70" zoomScalePageLayoutView="80" workbookViewId="0">
      <selection activeCell="D212" sqref="D212"/>
    </sheetView>
  </sheetViews>
  <sheetFormatPr defaultRowHeight="12.75"/>
  <cols>
    <col min="1" max="1" width="1.5" style="2" customWidth="1"/>
    <col min="2" max="2" width="4.125" style="1" customWidth="1"/>
    <col min="3" max="3" width="1.5" style="2" customWidth="1"/>
    <col min="4" max="4" width="26.625" style="2" customWidth="1"/>
    <col min="5" max="5" width="1.5" style="2" customWidth="1"/>
    <col min="6" max="6" width="11.125" style="2" customWidth="1"/>
    <col min="7" max="7" width="2.125" style="2" customWidth="1"/>
    <col min="8" max="8" width="8.125" style="2" customWidth="1"/>
    <col min="9" max="9" width="2.125" style="2" customWidth="1"/>
    <col min="10" max="10" width="7.625" style="2" customWidth="1"/>
    <col min="11" max="11" width="2.125" style="2" customWidth="1"/>
    <col min="12" max="12" width="0.125" style="2" customWidth="1"/>
    <col min="13" max="13" width="2.125" style="2" hidden="1" customWidth="1"/>
    <col min="14" max="14" width="5.625" style="2" customWidth="1"/>
    <col min="15" max="15" width="2.625" style="2" customWidth="1"/>
    <col min="16" max="16" width="9.625" style="2" bestFit="1" customWidth="1"/>
    <col min="17" max="17" width="2.125" style="2" customWidth="1"/>
    <col min="18" max="18" width="9.5" style="2" bestFit="1" customWidth="1"/>
    <col min="19" max="19" width="2.125" style="2" customWidth="1"/>
    <col min="20" max="20" width="12.125" style="2" customWidth="1"/>
    <col min="21" max="21" width="2.125" style="2" customWidth="1"/>
    <col min="22" max="22" width="11.25" style="2" customWidth="1"/>
    <col min="23" max="23" width="2.125" style="2" customWidth="1"/>
    <col min="24" max="24" width="7.625" style="2" customWidth="1"/>
    <col min="25" max="25" width="1.875" style="2" customWidth="1"/>
    <col min="26" max="27" width="7.625" style="2" hidden="1" customWidth="1"/>
    <col min="28" max="28" width="7.625" style="2" customWidth="1"/>
    <col min="29" max="29" width="2.125" style="2" customWidth="1"/>
    <col min="30" max="30" width="9.625" style="2" customWidth="1"/>
    <col min="31" max="31" width="1.625" style="2" customWidth="1"/>
    <col min="32" max="32" width="11.125" style="2" customWidth="1"/>
    <col min="33" max="33" width="2.125" style="2" customWidth="1"/>
    <col min="34" max="34" width="8.125" style="2" customWidth="1"/>
    <col min="35" max="35" width="2.125" style="2" customWidth="1"/>
    <col min="36" max="36" width="11.625" style="2" customWidth="1"/>
    <col min="37" max="37" width="1.875" style="2" customWidth="1"/>
    <col min="38" max="38" width="11.125" style="426" customWidth="1"/>
    <col min="39" max="39" width="8.625" style="2" hidden="1" customWidth="1"/>
    <col min="40" max="40" width="11.625" style="2" hidden="1" customWidth="1"/>
    <col min="41" max="41" width="8.625" style="2" hidden="1" customWidth="1"/>
    <col min="42" max="243" width="8.625" style="2"/>
    <col min="244" max="244" width="4.125" style="2" customWidth="1"/>
    <col min="245" max="245" width="0.625" style="2" customWidth="1"/>
    <col min="246" max="246" width="16.125" style="2" customWidth="1"/>
    <col min="247" max="247" width="1.5" style="2" customWidth="1"/>
    <col min="248" max="248" width="11.125" style="2" customWidth="1"/>
    <col min="249" max="249" width="1.125" style="2" customWidth="1"/>
    <col min="250" max="250" width="8.625" style="2" customWidth="1"/>
    <col min="251" max="251" width="1.5" style="2" customWidth="1"/>
    <col min="252" max="252" width="10.5" style="2" customWidth="1"/>
    <col min="253" max="253" width="1.125" style="2" customWidth="1"/>
    <col min="254" max="254" width="9.125" style="2" customWidth="1"/>
    <col min="255" max="255" width="1.625" style="2" customWidth="1"/>
    <col min="256" max="256" width="8.625" style="2" customWidth="1"/>
    <col min="257" max="499" width="8.625" style="2"/>
    <col min="500" max="500" width="4.125" style="2" customWidth="1"/>
    <col min="501" max="501" width="0.625" style="2" customWidth="1"/>
    <col min="502" max="502" width="16.125" style="2" customWidth="1"/>
    <col min="503" max="503" width="1.5" style="2" customWidth="1"/>
    <col min="504" max="504" width="11.125" style="2" customWidth="1"/>
    <col min="505" max="505" width="1.125" style="2" customWidth="1"/>
    <col min="506" max="506" width="8.625" style="2" customWidth="1"/>
    <col min="507" max="507" width="1.5" style="2" customWidth="1"/>
    <col min="508" max="508" width="10.5" style="2" customWidth="1"/>
    <col min="509" max="509" width="1.125" style="2" customWidth="1"/>
    <col min="510" max="510" width="9.125" style="2" customWidth="1"/>
    <col min="511" max="511" width="1.625" style="2" customWidth="1"/>
    <col min="512" max="512" width="8.625" style="2" customWidth="1"/>
    <col min="513" max="755" width="8.625" style="2"/>
    <col min="756" max="756" width="4.125" style="2" customWidth="1"/>
    <col min="757" max="757" width="0.625" style="2" customWidth="1"/>
    <col min="758" max="758" width="16.125" style="2" customWidth="1"/>
    <col min="759" max="759" width="1.5" style="2" customWidth="1"/>
    <col min="760" max="760" width="11.125" style="2" customWidth="1"/>
    <col min="761" max="761" width="1.125" style="2" customWidth="1"/>
    <col min="762" max="762" width="8.625" style="2" customWidth="1"/>
    <col min="763" max="763" width="1.5" style="2" customWidth="1"/>
    <col min="764" max="764" width="10.5" style="2" customWidth="1"/>
    <col min="765" max="765" width="1.125" style="2" customWidth="1"/>
    <col min="766" max="766" width="9.125" style="2" customWidth="1"/>
    <col min="767" max="767" width="1.625" style="2" customWidth="1"/>
    <col min="768" max="768" width="8.625" style="2" customWidth="1"/>
    <col min="769" max="1011" width="8.625" style="2"/>
    <col min="1012" max="1012" width="4.125" style="2" customWidth="1"/>
    <col min="1013" max="1013" width="0.625" style="2" customWidth="1"/>
    <col min="1014" max="1014" width="16.125" style="2" customWidth="1"/>
    <col min="1015" max="1015" width="1.5" style="2" customWidth="1"/>
    <col min="1016" max="1016" width="11.125" style="2" customWidth="1"/>
    <col min="1017" max="1017" width="1.125" style="2" customWidth="1"/>
    <col min="1018" max="1018" width="8.625" style="2" customWidth="1"/>
    <col min="1019" max="1019" width="1.5" style="2" customWidth="1"/>
    <col min="1020" max="1020" width="10.5" style="2" customWidth="1"/>
    <col min="1021" max="1021" width="1.125" style="2" customWidth="1"/>
    <col min="1022" max="1022" width="9.125" style="2" customWidth="1"/>
    <col min="1023" max="1023" width="1.625" style="2" customWidth="1"/>
    <col min="1024" max="1024" width="8.625" style="2" customWidth="1"/>
    <col min="1025" max="1267" width="8.625" style="2"/>
    <col min="1268" max="1268" width="4.125" style="2" customWidth="1"/>
    <col min="1269" max="1269" width="0.625" style="2" customWidth="1"/>
    <col min="1270" max="1270" width="16.125" style="2" customWidth="1"/>
    <col min="1271" max="1271" width="1.5" style="2" customWidth="1"/>
    <col min="1272" max="1272" width="11.125" style="2" customWidth="1"/>
    <col min="1273" max="1273" width="1.125" style="2" customWidth="1"/>
    <col min="1274" max="1274" width="8.625" style="2" customWidth="1"/>
    <col min="1275" max="1275" width="1.5" style="2" customWidth="1"/>
    <col min="1276" max="1276" width="10.5" style="2" customWidth="1"/>
    <col min="1277" max="1277" width="1.125" style="2" customWidth="1"/>
    <col min="1278" max="1278" width="9.125" style="2" customWidth="1"/>
    <col min="1279" max="1279" width="1.625" style="2" customWidth="1"/>
    <col min="1280" max="1280" width="8.625" style="2" customWidth="1"/>
    <col min="1281" max="1523" width="8.625" style="2"/>
    <col min="1524" max="1524" width="4.125" style="2" customWidth="1"/>
    <col min="1525" max="1525" width="0.625" style="2" customWidth="1"/>
    <col min="1526" max="1526" width="16.125" style="2" customWidth="1"/>
    <col min="1527" max="1527" width="1.5" style="2" customWidth="1"/>
    <col min="1528" max="1528" width="11.125" style="2" customWidth="1"/>
    <col min="1529" max="1529" width="1.125" style="2" customWidth="1"/>
    <col min="1530" max="1530" width="8.625" style="2" customWidth="1"/>
    <col min="1531" max="1531" width="1.5" style="2" customWidth="1"/>
    <col min="1532" max="1532" width="10.5" style="2" customWidth="1"/>
    <col min="1533" max="1533" width="1.125" style="2" customWidth="1"/>
    <col min="1534" max="1534" width="9.125" style="2" customWidth="1"/>
    <col min="1535" max="1535" width="1.625" style="2" customWidth="1"/>
    <col min="1536" max="1536" width="8.625" style="2" customWidth="1"/>
    <col min="1537" max="1779" width="8.625" style="2"/>
    <col min="1780" max="1780" width="4.125" style="2" customWidth="1"/>
    <col min="1781" max="1781" width="0.625" style="2" customWidth="1"/>
    <col min="1782" max="1782" width="16.125" style="2" customWidth="1"/>
    <col min="1783" max="1783" width="1.5" style="2" customWidth="1"/>
    <col min="1784" max="1784" width="11.125" style="2" customWidth="1"/>
    <col min="1785" max="1785" width="1.125" style="2" customWidth="1"/>
    <col min="1786" max="1786" width="8.625" style="2" customWidth="1"/>
    <col min="1787" max="1787" width="1.5" style="2" customWidth="1"/>
    <col min="1788" max="1788" width="10.5" style="2" customWidth="1"/>
    <col min="1789" max="1789" width="1.125" style="2" customWidth="1"/>
    <col min="1790" max="1790" width="9.125" style="2" customWidth="1"/>
    <col min="1791" max="1791" width="1.625" style="2" customWidth="1"/>
    <col min="1792" max="1792" width="8.625" style="2" customWidth="1"/>
    <col min="1793" max="2035" width="8.625" style="2"/>
    <col min="2036" max="2036" width="4.125" style="2" customWidth="1"/>
    <col min="2037" max="2037" width="0.625" style="2" customWidth="1"/>
    <col min="2038" max="2038" width="16.125" style="2" customWidth="1"/>
    <col min="2039" max="2039" width="1.5" style="2" customWidth="1"/>
    <col min="2040" max="2040" width="11.125" style="2" customWidth="1"/>
    <col min="2041" max="2041" width="1.125" style="2" customWidth="1"/>
    <col min="2042" max="2042" width="8.625" style="2" customWidth="1"/>
    <col min="2043" max="2043" width="1.5" style="2" customWidth="1"/>
    <col min="2044" max="2044" width="10.5" style="2" customWidth="1"/>
    <col min="2045" max="2045" width="1.125" style="2" customWidth="1"/>
    <col min="2046" max="2046" width="9.125" style="2" customWidth="1"/>
    <col min="2047" max="2047" width="1.625" style="2" customWidth="1"/>
    <col min="2048" max="2048" width="8.625" style="2" customWidth="1"/>
    <col min="2049" max="2291" width="8.625" style="2"/>
    <col min="2292" max="2292" width="4.125" style="2" customWidth="1"/>
    <col min="2293" max="2293" width="0.625" style="2" customWidth="1"/>
    <col min="2294" max="2294" width="16.125" style="2" customWidth="1"/>
    <col min="2295" max="2295" width="1.5" style="2" customWidth="1"/>
    <col min="2296" max="2296" width="11.125" style="2" customWidth="1"/>
    <col min="2297" max="2297" width="1.125" style="2" customWidth="1"/>
    <col min="2298" max="2298" width="8.625" style="2" customWidth="1"/>
    <col min="2299" max="2299" width="1.5" style="2" customWidth="1"/>
    <col min="2300" max="2300" width="10.5" style="2" customWidth="1"/>
    <col min="2301" max="2301" width="1.125" style="2" customWidth="1"/>
    <col min="2302" max="2302" width="9.125" style="2" customWidth="1"/>
    <col min="2303" max="2303" width="1.625" style="2" customWidth="1"/>
    <col min="2304" max="2304" width="8.625" style="2" customWidth="1"/>
    <col min="2305" max="2547" width="8.625" style="2"/>
    <col min="2548" max="2548" width="4.125" style="2" customWidth="1"/>
    <col min="2549" max="2549" width="0.625" style="2" customWidth="1"/>
    <col min="2550" max="2550" width="16.125" style="2" customWidth="1"/>
    <col min="2551" max="2551" width="1.5" style="2" customWidth="1"/>
    <col min="2552" max="2552" width="11.125" style="2" customWidth="1"/>
    <col min="2553" max="2553" width="1.125" style="2" customWidth="1"/>
    <col min="2554" max="2554" width="8.625" style="2" customWidth="1"/>
    <col min="2555" max="2555" width="1.5" style="2" customWidth="1"/>
    <col min="2556" max="2556" width="10.5" style="2" customWidth="1"/>
    <col min="2557" max="2557" width="1.125" style="2" customWidth="1"/>
    <col min="2558" max="2558" width="9.125" style="2" customWidth="1"/>
    <col min="2559" max="2559" width="1.625" style="2" customWidth="1"/>
    <col min="2560" max="2560" width="8.625" style="2" customWidth="1"/>
    <col min="2561" max="2803" width="8.625" style="2"/>
    <col min="2804" max="2804" width="4.125" style="2" customWidth="1"/>
    <col min="2805" max="2805" width="0.625" style="2" customWidth="1"/>
    <col min="2806" max="2806" width="16.125" style="2" customWidth="1"/>
    <col min="2807" max="2807" width="1.5" style="2" customWidth="1"/>
    <col min="2808" max="2808" width="11.125" style="2" customWidth="1"/>
    <col min="2809" max="2809" width="1.125" style="2" customWidth="1"/>
    <col min="2810" max="2810" width="8.625" style="2" customWidth="1"/>
    <col min="2811" max="2811" width="1.5" style="2" customWidth="1"/>
    <col min="2812" max="2812" width="10.5" style="2" customWidth="1"/>
    <col min="2813" max="2813" width="1.125" style="2" customWidth="1"/>
    <col min="2814" max="2814" width="9.125" style="2" customWidth="1"/>
    <col min="2815" max="2815" width="1.625" style="2" customWidth="1"/>
    <col min="2816" max="2816" width="8.625" style="2" customWidth="1"/>
    <col min="2817" max="3059" width="8.625" style="2"/>
    <col min="3060" max="3060" width="4.125" style="2" customWidth="1"/>
    <col min="3061" max="3061" width="0.625" style="2" customWidth="1"/>
    <col min="3062" max="3062" width="16.125" style="2" customWidth="1"/>
    <col min="3063" max="3063" width="1.5" style="2" customWidth="1"/>
    <col min="3064" max="3064" width="11.125" style="2" customWidth="1"/>
    <col min="3065" max="3065" width="1.125" style="2" customWidth="1"/>
    <col min="3066" max="3066" width="8.625" style="2" customWidth="1"/>
    <col min="3067" max="3067" width="1.5" style="2" customWidth="1"/>
    <col min="3068" max="3068" width="10.5" style="2" customWidth="1"/>
    <col min="3069" max="3069" width="1.125" style="2" customWidth="1"/>
    <col min="3070" max="3070" width="9.125" style="2" customWidth="1"/>
    <col min="3071" max="3071" width="1.625" style="2" customWidth="1"/>
    <col min="3072" max="3072" width="8.625" style="2" customWidth="1"/>
    <col min="3073" max="3315" width="8.625" style="2"/>
    <col min="3316" max="3316" width="4.125" style="2" customWidth="1"/>
    <col min="3317" max="3317" width="0.625" style="2" customWidth="1"/>
    <col min="3318" max="3318" width="16.125" style="2" customWidth="1"/>
    <col min="3319" max="3319" width="1.5" style="2" customWidth="1"/>
    <col min="3320" max="3320" width="11.125" style="2" customWidth="1"/>
    <col min="3321" max="3321" width="1.125" style="2" customWidth="1"/>
    <col min="3322" max="3322" width="8.625" style="2" customWidth="1"/>
    <col min="3323" max="3323" width="1.5" style="2" customWidth="1"/>
    <col min="3324" max="3324" width="10.5" style="2" customWidth="1"/>
    <col min="3325" max="3325" width="1.125" style="2" customWidth="1"/>
    <col min="3326" max="3326" width="9.125" style="2" customWidth="1"/>
    <col min="3327" max="3327" width="1.625" style="2" customWidth="1"/>
    <col min="3328" max="3328" width="8.625" style="2" customWidth="1"/>
    <col min="3329" max="3571" width="8.625" style="2"/>
    <col min="3572" max="3572" width="4.125" style="2" customWidth="1"/>
    <col min="3573" max="3573" width="0.625" style="2" customWidth="1"/>
    <col min="3574" max="3574" width="16.125" style="2" customWidth="1"/>
    <col min="3575" max="3575" width="1.5" style="2" customWidth="1"/>
    <col min="3576" max="3576" width="11.125" style="2" customWidth="1"/>
    <col min="3577" max="3577" width="1.125" style="2" customWidth="1"/>
    <col min="3578" max="3578" width="8.625" style="2" customWidth="1"/>
    <col min="3579" max="3579" width="1.5" style="2" customWidth="1"/>
    <col min="3580" max="3580" width="10.5" style="2" customWidth="1"/>
    <col min="3581" max="3581" width="1.125" style="2" customWidth="1"/>
    <col min="3582" max="3582" width="9.125" style="2" customWidth="1"/>
    <col min="3583" max="3583" width="1.625" style="2" customWidth="1"/>
    <col min="3584" max="3584" width="8.625" style="2" customWidth="1"/>
    <col min="3585" max="3827" width="8.625" style="2"/>
    <col min="3828" max="3828" width="4.125" style="2" customWidth="1"/>
    <col min="3829" max="3829" width="0.625" style="2" customWidth="1"/>
    <col min="3830" max="3830" width="16.125" style="2" customWidth="1"/>
    <col min="3831" max="3831" width="1.5" style="2" customWidth="1"/>
    <col min="3832" max="3832" width="11.125" style="2" customWidth="1"/>
    <col min="3833" max="3833" width="1.125" style="2" customWidth="1"/>
    <col min="3834" max="3834" width="8.625" style="2" customWidth="1"/>
    <col min="3835" max="3835" width="1.5" style="2" customWidth="1"/>
    <col min="3836" max="3836" width="10.5" style="2" customWidth="1"/>
    <col min="3837" max="3837" width="1.125" style="2" customWidth="1"/>
    <col min="3838" max="3838" width="9.125" style="2" customWidth="1"/>
    <col min="3839" max="3839" width="1.625" style="2" customWidth="1"/>
    <col min="3840" max="3840" width="8.625" style="2" customWidth="1"/>
    <col min="3841" max="4083" width="8.625" style="2"/>
    <col min="4084" max="4084" width="4.125" style="2" customWidth="1"/>
    <col min="4085" max="4085" width="0.625" style="2" customWidth="1"/>
    <col min="4086" max="4086" width="16.125" style="2" customWidth="1"/>
    <col min="4087" max="4087" width="1.5" style="2" customWidth="1"/>
    <col min="4088" max="4088" width="11.125" style="2" customWidth="1"/>
    <col min="4089" max="4089" width="1.125" style="2" customWidth="1"/>
    <col min="4090" max="4090" width="8.625" style="2" customWidth="1"/>
    <col min="4091" max="4091" width="1.5" style="2" customWidth="1"/>
    <col min="4092" max="4092" width="10.5" style="2" customWidth="1"/>
    <col min="4093" max="4093" width="1.125" style="2" customWidth="1"/>
    <col min="4094" max="4094" width="9.125" style="2" customWidth="1"/>
    <col min="4095" max="4095" width="1.625" style="2" customWidth="1"/>
    <col min="4096" max="4096" width="8.625" style="2" customWidth="1"/>
    <col min="4097" max="4339" width="8.625" style="2"/>
    <col min="4340" max="4340" width="4.125" style="2" customWidth="1"/>
    <col min="4341" max="4341" width="0.625" style="2" customWidth="1"/>
    <col min="4342" max="4342" width="16.125" style="2" customWidth="1"/>
    <col min="4343" max="4343" width="1.5" style="2" customWidth="1"/>
    <col min="4344" max="4344" width="11.125" style="2" customWidth="1"/>
    <col min="4345" max="4345" width="1.125" style="2" customWidth="1"/>
    <col min="4346" max="4346" width="8.625" style="2" customWidth="1"/>
    <col min="4347" max="4347" width="1.5" style="2" customWidth="1"/>
    <col min="4348" max="4348" width="10.5" style="2" customWidth="1"/>
    <col min="4349" max="4349" width="1.125" style="2" customWidth="1"/>
    <col min="4350" max="4350" width="9.125" style="2" customWidth="1"/>
    <col min="4351" max="4351" width="1.625" style="2" customWidth="1"/>
    <col min="4352" max="4352" width="8.625" style="2" customWidth="1"/>
    <col min="4353" max="4595" width="8.625" style="2"/>
    <col min="4596" max="4596" width="4.125" style="2" customWidth="1"/>
    <col min="4597" max="4597" width="0.625" style="2" customWidth="1"/>
    <col min="4598" max="4598" width="16.125" style="2" customWidth="1"/>
    <col min="4599" max="4599" width="1.5" style="2" customWidth="1"/>
    <col min="4600" max="4600" width="11.125" style="2" customWidth="1"/>
    <col min="4601" max="4601" width="1.125" style="2" customWidth="1"/>
    <col min="4602" max="4602" width="8.625" style="2" customWidth="1"/>
    <col min="4603" max="4603" width="1.5" style="2" customWidth="1"/>
    <col min="4604" max="4604" width="10.5" style="2" customWidth="1"/>
    <col min="4605" max="4605" width="1.125" style="2" customWidth="1"/>
    <col min="4606" max="4606" width="9.125" style="2" customWidth="1"/>
    <col min="4607" max="4607" width="1.625" style="2" customWidth="1"/>
    <col min="4608" max="4608" width="8.625" style="2" customWidth="1"/>
    <col min="4609" max="4851" width="8.625" style="2"/>
    <col min="4852" max="4852" width="4.125" style="2" customWidth="1"/>
    <col min="4853" max="4853" width="0.625" style="2" customWidth="1"/>
    <col min="4854" max="4854" width="16.125" style="2" customWidth="1"/>
    <col min="4855" max="4855" width="1.5" style="2" customWidth="1"/>
    <col min="4856" max="4856" width="11.125" style="2" customWidth="1"/>
    <col min="4857" max="4857" width="1.125" style="2" customWidth="1"/>
    <col min="4858" max="4858" width="8.625" style="2" customWidth="1"/>
    <col min="4859" max="4859" width="1.5" style="2" customWidth="1"/>
    <col min="4860" max="4860" width="10.5" style="2" customWidth="1"/>
    <col min="4861" max="4861" width="1.125" style="2" customWidth="1"/>
    <col min="4862" max="4862" width="9.125" style="2" customWidth="1"/>
    <col min="4863" max="4863" width="1.625" style="2" customWidth="1"/>
    <col min="4864" max="4864" width="8.625" style="2" customWidth="1"/>
    <col min="4865" max="5107" width="8.625" style="2"/>
    <col min="5108" max="5108" width="4.125" style="2" customWidth="1"/>
    <col min="5109" max="5109" width="0.625" style="2" customWidth="1"/>
    <col min="5110" max="5110" width="16.125" style="2" customWidth="1"/>
    <col min="5111" max="5111" width="1.5" style="2" customWidth="1"/>
    <col min="5112" max="5112" width="11.125" style="2" customWidth="1"/>
    <col min="5113" max="5113" width="1.125" style="2" customWidth="1"/>
    <col min="5114" max="5114" width="8.625" style="2" customWidth="1"/>
    <col min="5115" max="5115" width="1.5" style="2" customWidth="1"/>
    <col min="5116" max="5116" width="10.5" style="2" customWidth="1"/>
    <col min="5117" max="5117" width="1.125" style="2" customWidth="1"/>
    <col min="5118" max="5118" width="9.125" style="2" customWidth="1"/>
    <col min="5119" max="5119" width="1.625" style="2" customWidth="1"/>
    <col min="5120" max="5120" width="8.625" style="2" customWidth="1"/>
    <col min="5121" max="5363" width="8.625" style="2"/>
    <col min="5364" max="5364" width="4.125" style="2" customWidth="1"/>
    <col min="5365" max="5365" width="0.625" style="2" customWidth="1"/>
    <col min="5366" max="5366" width="16.125" style="2" customWidth="1"/>
    <col min="5367" max="5367" width="1.5" style="2" customWidth="1"/>
    <col min="5368" max="5368" width="11.125" style="2" customWidth="1"/>
    <col min="5369" max="5369" width="1.125" style="2" customWidth="1"/>
    <col min="5370" max="5370" width="8.625" style="2" customWidth="1"/>
    <col min="5371" max="5371" width="1.5" style="2" customWidth="1"/>
    <col min="5372" max="5372" width="10.5" style="2" customWidth="1"/>
    <col min="5373" max="5373" width="1.125" style="2" customWidth="1"/>
    <col min="5374" max="5374" width="9.125" style="2" customWidth="1"/>
    <col min="5375" max="5375" width="1.625" style="2" customWidth="1"/>
    <col min="5376" max="5376" width="8.625" style="2" customWidth="1"/>
    <col min="5377" max="5619" width="8.625" style="2"/>
    <col min="5620" max="5620" width="4.125" style="2" customWidth="1"/>
    <col min="5621" max="5621" width="0.625" style="2" customWidth="1"/>
    <col min="5622" max="5622" width="16.125" style="2" customWidth="1"/>
    <col min="5623" max="5623" width="1.5" style="2" customWidth="1"/>
    <col min="5624" max="5624" width="11.125" style="2" customWidth="1"/>
    <col min="5625" max="5625" width="1.125" style="2" customWidth="1"/>
    <col min="5626" max="5626" width="8.625" style="2" customWidth="1"/>
    <col min="5627" max="5627" width="1.5" style="2" customWidth="1"/>
    <col min="5628" max="5628" width="10.5" style="2" customWidth="1"/>
    <col min="5629" max="5629" width="1.125" style="2" customWidth="1"/>
    <col min="5630" max="5630" width="9.125" style="2" customWidth="1"/>
    <col min="5631" max="5631" width="1.625" style="2" customWidth="1"/>
    <col min="5632" max="5632" width="8.625" style="2" customWidth="1"/>
    <col min="5633" max="5875" width="8.625" style="2"/>
    <col min="5876" max="5876" width="4.125" style="2" customWidth="1"/>
    <col min="5877" max="5877" width="0.625" style="2" customWidth="1"/>
    <col min="5878" max="5878" width="16.125" style="2" customWidth="1"/>
    <col min="5879" max="5879" width="1.5" style="2" customWidth="1"/>
    <col min="5880" max="5880" width="11.125" style="2" customWidth="1"/>
    <col min="5881" max="5881" width="1.125" style="2" customWidth="1"/>
    <col min="5882" max="5882" width="8.625" style="2" customWidth="1"/>
    <col min="5883" max="5883" width="1.5" style="2" customWidth="1"/>
    <col min="5884" max="5884" width="10.5" style="2" customWidth="1"/>
    <col min="5885" max="5885" width="1.125" style="2" customWidth="1"/>
    <col min="5886" max="5886" width="9.125" style="2" customWidth="1"/>
    <col min="5887" max="5887" width="1.625" style="2" customWidth="1"/>
    <col min="5888" max="5888" width="8.625" style="2" customWidth="1"/>
    <col min="5889" max="6131" width="8.625" style="2"/>
    <col min="6132" max="6132" width="4.125" style="2" customWidth="1"/>
    <col min="6133" max="6133" width="0.625" style="2" customWidth="1"/>
    <col min="6134" max="6134" width="16.125" style="2" customWidth="1"/>
    <col min="6135" max="6135" width="1.5" style="2" customWidth="1"/>
    <col min="6136" max="6136" width="11.125" style="2" customWidth="1"/>
    <col min="6137" max="6137" width="1.125" style="2" customWidth="1"/>
    <col min="6138" max="6138" width="8.625" style="2" customWidth="1"/>
    <col min="6139" max="6139" width="1.5" style="2" customWidth="1"/>
    <col min="6140" max="6140" width="10.5" style="2" customWidth="1"/>
    <col min="6141" max="6141" width="1.125" style="2" customWidth="1"/>
    <col min="6142" max="6142" width="9.125" style="2" customWidth="1"/>
    <col min="6143" max="6143" width="1.625" style="2" customWidth="1"/>
    <col min="6144" max="6144" width="8.625" style="2" customWidth="1"/>
    <col min="6145" max="6387" width="8.625" style="2"/>
    <col min="6388" max="6388" width="4.125" style="2" customWidth="1"/>
    <col min="6389" max="6389" width="0.625" style="2" customWidth="1"/>
    <col min="6390" max="6390" width="16.125" style="2" customWidth="1"/>
    <col min="6391" max="6391" width="1.5" style="2" customWidth="1"/>
    <col min="6392" max="6392" width="11.125" style="2" customWidth="1"/>
    <col min="6393" max="6393" width="1.125" style="2" customWidth="1"/>
    <col min="6394" max="6394" width="8.625" style="2" customWidth="1"/>
    <col min="6395" max="6395" width="1.5" style="2" customWidth="1"/>
    <col min="6396" max="6396" width="10.5" style="2" customWidth="1"/>
    <col min="6397" max="6397" width="1.125" style="2" customWidth="1"/>
    <col min="6398" max="6398" width="9.125" style="2" customWidth="1"/>
    <col min="6399" max="6399" width="1.625" style="2" customWidth="1"/>
    <col min="6400" max="6400" width="8.625" style="2" customWidth="1"/>
    <col min="6401" max="6643" width="8.625" style="2"/>
    <col min="6644" max="6644" width="4.125" style="2" customWidth="1"/>
    <col min="6645" max="6645" width="0.625" style="2" customWidth="1"/>
    <col min="6646" max="6646" width="16.125" style="2" customWidth="1"/>
    <col min="6647" max="6647" width="1.5" style="2" customWidth="1"/>
    <col min="6648" max="6648" width="11.125" style="2" customWidth="1"/>
    <col min="6649" max="6649" width="1.125" style="2" customWidth="1"/>
    <col min="6650" max="6650" width="8.625" style="2" customWidth="1"/>
    <col min="6651" max="6651" width="1.5" style="2" customWidth="1"/>
    <col min="6652" max="6652" width="10.5" style="2" customWidth="1"/>
    <col min="6653" max="6653" width="1.125" style="2" customWidth="1"/>
    <col min="6654" max="6654" width="9.125" style="2" customWidth="1"/>
    <col min="6655" max="6655" width="1.625" style="2" customWidth="1"/>
    <col min="6656" max="6656" width="8.625" style="2" customWidth="1"/>
    <col min="6657" max="6899" width="8.625" style="2"/>
    <col min="6900" max="6900" width="4.125" style="2" customWidth="1"/>
    <col min="6901" max="6901" width="0.625" style="2" customWidth="1"/>
    <col min="6902" max="6902" width="16.125" style="2" customWidth="1"/>
    <col min="6903" max="6903" width="1.5" style="2" customWidth="1"/>
    <col min="6904" max="6904" width="11.125" style="2" customWidth="1"/>
    <col min="6905" max="6905" width="1.125" style="2" customWidth="1"/>
    <col min="6906" max="6906" width="8.625" style="2" customWidth="1"/>
    <col min="6907" max="6907" width="1.5" style="2" customWidth="1"/>
    <col min="6908" max="6908" width="10.5" style="2" customWidth="1"/>
    <col min="6909" max="6909" width="1.125" style="2" customWidth="1"/>
    <col min="6910" max="6910" width="9.125" style="2" customWidth="1"/>
    <col min="6911" max="6911" width="1.625" style="2" customWidth="1"/>
    <col min="6912" max="6912" width="8.625" style="2" customWidth="1"/>
    <col min="6913" max="7155" width="8.625" style="2"/>
    <col min="7156" max="7156" width="4.125" style="2" customWidth="1"/>
    <col min="7157" max="7157" width="0.625" style="2" customWidth="1"/>
    <col min="7158" max="7158" width="16.125" style="2" customWidth="1"/>
    <col min="7159" max="7159" width="1.5" style="2" customWidth="1"/>
    <col min="7160" max="7160" width="11.125" style="2" customWidth="1"/>
    <col min="7161" max="7161" width="1.125" style="2" customWidth="1"/>
    <col min="7162" max="7162" width="8.625" style="2" customWidth="1"/>
    <col min="7163" max="7163" width="1.5" style="2" customWidth="1"/>
    <col min="7164" max="7164" width="10.5" style="2" customWidth="1"/>
    <col min="7165" max="7165" width="1.125" style="2" customWidth="1"/>
    <col min="7166" max="7166" width="9.125" style="2" customWidth="1"/>
    <col min="7167" max="7167" width="1.625" style="2" customWidth="1"/>
    <col min="7168" max="7168" width="8.625" style="2" customWidth="1"/>
    <col min="7169" max="7411" width="8.625" style="2"/>
    <col min="7412" max="7412" width="4.125" style="2" customWidth="1"/>
    <col min="7413" max="7413" width="0.625" style="2" customWidth="1"/>
    <col min="7414" max="7414" width="16.125" style="2" customWidth="1"/>
    <col min="7415" max="7415" width="1.5" style="2" customWidth="1"/>
    <col min="7416" max="7416" width="11.125" style="2" customWidth="1"/>
    <col min="7417" max="7417" width="1.125" style="2" customWidth="1"/>
    <col min="7418" max="7418" width="8.625" style="2" customWidth="1"/>
    <col min="7419" max="7419" width="1.5" style="2" customWidth="1"/>
    <col min="7420" max="7420" width="10.5" style="2" customWidth="1"/>
    <col min="7421" max="7421" width="1.125" style="2" customWidth="1"/>
    <col min="7422" max="7422" width="9.125" style="2" customWidth="1"/>
    <col min="7423" max="7423" width="1.625" style="2" customWidth="1"/>
    <col min="7424" max="7424" width="8.625" style="2" customWidth="1"/>
    <col min="7425" max="7667" width="8.625" style="2"/>
    <col min="7668" max="7668" width="4.125" style="2" customWidth="1"/>
    <col min="7669" max="7669" width="0.625" style="2" customWidth="1"/>
    <col min="7670" max="7670" width="16.125" style="2" customWidth="1"/>
    <col min="7671" max="7671" width="1.5" style="2" customWidth="1"/>
    <col min="7672" max="7672" width="11.125" style="2" customWidth="1"/>
    <col min="7673" max="7673" width="1.125" style="2" customWidth="1"/>
    <col min="7674" max="7674" width="8.625" style="2" customWidth="1"/>
    <col min="7675" max="7675" width="1.5" style="2" customWidth="1"/>
    <col min="7676" max="7676" width="10.5" style="2" customWidth="1"/>
    <col min="7677" max="7677" width="1.125" style="2" customWidth="1"/>
    <col min="7678" max="7678" width="9.125" style="2" customWidth="1"/>
    <col min="7679" max="7679" width="1.625" style="2" customWidth="1"/>
    <col min="7680" max="7680" width="8.625" style="2" customWidth="1"/>
    <col min="7681" max="7923" width="8.625" style="2"/>
    <col min="7924" max="7924" width="4.125" style="2" customWidth="1"/>
    <col min="7925" max="7925" width="0.625" style="2" customWidth="1"/>
    <col min="7926" max="7926" width="16.125" style="2" customWidth="1"/>
    <col min="7927" max="7927" width="1.5" style="2" customWidth="1"/>
    <col min="7928" max="7928" width="11.125" style="2" customWidth="1"/>
    <col min="7929" max="7929" width="1.125" style="2" customWidth="1"/>
    <col min="7930" max="7930" width="8.625" style="2" customWidth="1"/>
    <col min="7931" max="7931" width="1.5" style="2" customWidth="1"/>
    <col min="7932" max="7932" width="10.5" style="2" customWidth="1"/>
    <col min="7933" max="7933" width="1.125" style="2" customWidth="1"/>
    <col min="7934" max="7934" width="9.125" style="2" customWidth="1"/>
    <col min="7935" max="7935" width="1.625" style="2" customWidth="1"/>
    <col min="7936" max="7936" width="8.625" style="2" customWidth="1"/>
    <col min="7937" max="8179" width="8.625" style="2"/>
    <col min="8180" max="8180" width="4.125" style="2" customWidth="1"/>
    <col min="8181" max="8181" width="0.625" style="2" customWidth="1"/>
    <col min="8182" max="8182" width="16.125" style="2" customWidth="1"/>
    <col min="8183" max="8183" width="1.5" style="2" customWidth="1"/>
    <col min="8184" max="8184" width="11.125" style="2" customWidth="1"/>
    <col min="8185" max="8185" width="1.125" style="2" customWidth="1"/>
    <col min="8186" max="8186" width="8.625" style="2" customWidth="1"/>
    <col min="8187" max="8187" width="1.5" style="2" customWidth="1"/>
    <col min="8188" max="8188" width="10.5" style="2" customWidth="1"/>
    <col min="8189" max="8189" width="1.125" style="2" customWidth="1"/>
    <col min="8190" max="8190" width="9.125" style="2" customWidth="1"/>
    <col min="8191" max="8191" width="1.625" style="2" customWidth="1"/>
    <col min="8192" max="8192" width="8.625" style="2" customWidth="1"/>
    <col min="8193" max="8435" width="8.625" style="2"/>
    <col min="8436" max="8436" width="4.125" style="2" customWidth="1"/>
    <col min="8437" max="8437" width="0.625" style="2" customWidth="1"/>
    <col min="8438" max="8438" width="16.125" style="2" customWidth="1"/>
    <col min="8439" max="8439" width="1.5" style="2" customWidth="1"/>
    <col min="8440" max="8440" width="11.125" style="2" customWidth="1"/>
    <col min="8441" max="8441" width="1.125" style="2" customWidth="1"/>
    <col min="8442" max="8442" width="8.625" style="2" customWidth="1"/>
    <col min="8443" max="8443" width="1.5" style="2" customWidth="1"/>
    <col min="8444" max="8444" width="10.5" style="2" customWidth="1"/>
    <col min="8445" max="8445" width="1.125" style="2" customWidth="1"/>
    <col min="8446" max="8446" width="9.125" style="2" customWidth="1"/>
    <col min="8447" max="8447" width="1.625" style="2" customWidth="1"/>
    <col min="8448" max="8448" width="8.625" style="2" customWidth="1"/>
    <col min="8449" max="8691" width="8.625" style="2"/>
    <col min="8692" max="8692" width="4.125" style="2" customWidth="1"/>
    <col min="8693" max="8693" width="0.625" style="2" customWidth="1"/>
    <col min="8694" max="8694" width="16.125" style="2" customWidth="1"/>
    <col min="8695" max="8695" width="1.5" style="2" customWidth="1"/>
    <col min="8696" max="8696" width="11.125" style="2" customWidth="1"/>
    <col min="8697" max="8697" width="1.125" style="2" customWidth="1"/>
    <col min="8698" max="8698" width="8.625" style="2" customWidth="1"/>
    <col min="8699" max="8699" width="1.5" style="2" customWidth="1"/>
    <col min="8700" max="8700" width="10.5" style="2" customWidth="1"/>
    <col min="8701" max="8701" width="1.125" style="2" customWidth="1"/>
    <col min="8702" max="8702" width="9.125" style="2" customWidth="1"/>
    <col min="8703" max="8703" width="1.625" style="2" customWidth="1"/>
    <col min="8704" max="8704" width="8.625" style="2" customWidth="1"/>
    <col min="8705" max="8947" width="8.625" style="2"/>
    <col min="8948" max="8948" width="4.125" style="2" customWidth="1"/>
    <col min="8949" max="8949" width="0.625" style="2" customWidth="1"/>
    <col min="8950" max="8950" width="16.125" style="2" customWidth="1"/>
    <col min="8951" max="8951" width="1.5" style="2" customWidth="1"/>
    <col min="8952" max="8952" width="11.125" style="2" customWidth="1"/>
    <col min="8953" max="8953" width="1.125" style="2" customWidth="1"/>
    <col min="8954" max="8954" width="8.625" style="2" customWidth="1"/>
    <col min="8955" max="8955" width="1.5" style="2" customWidth="1"/>
    <col min="8956" max="8956" width="10.5" style="2" customWidth="1"/>
    <col min="8957" max="8957" width="1.125" style="2" customWidth="1"/>
    <col min="8958" max="8958" width="9.125" style="2" customWidth="1"/>
    <col min="8959" max="8959" width="1.625" style="2" customWidth="1"/>
    <col min="8960" max="8960" width="8.625" style="2" customWidth="1"/>
    <col min="8961" max="9203" width="8.625" style="2"/>
    <col min="9204" max="9204" width="4.125" style="2" customWidth="1"/>
    <col min="9205" max="9205" width="0.625" style="2" customWidth="1"/>
    <col min="9206" max="9206" width="16.125" style="2" customWidth="1"/>
    <col min="9207" max="9207" width="1.5" style="2" customWidth="1"/>
    <col min="9208" max="9208" width="11.125" style="2" customWidth="1"/>
    <col min="9209" max="9209" width="1.125" style="2" customWidth="1"/>
    <col min="9210" max="9210" width="8.625" style="2" customWidth="1"/>
    <col min="9211" max="9211" width="1.5" style="2" customWidth="1"/>
    <col min="9212" max="9212" width="10.5" style="2" customWidth="1"/>
    <col min="9213" max="9213" width="1.125" style="2" customWidth="1"/>
    <col min="9214" max="9214" width="9.125" style="2" customWidth="1"/>
    <col min="9215" max="9215" width="1.625" style="2" customWidth="1"/>
    <col min="9216" max="9216" width="8.625" style="2" customWidth="1"/>
    <col min="9217" max="9459" width="8.625" style="2"/>
    <col min="9460" max="9460" width="4.125" style="2" customWidth="1"/>
    <col min="9461" max="9461" width="0.625" style="2" customWidth="1"/>
    <col min="9462" max="9462" width="16.125" style="2" customWidth="1"/>
    <col min="9463" max="9463" width="1.5" style="2" customWidth="1"/>
    <col min="9464" max="9464" width="11.125" style="2" customWidth="1"/>
    <col min="9465" max="9465" width="1.125" style="2" customWidth="1"/>
    <col min="9466" max="9466" width="8.625" style="2" customWidth="1"/>
    <col min="9467" max="9467" width="1.5" style="2" customWidth="1"/>
    <col min="9468" max="9468" width="10.5" style="2" customWidth="1"/>
    <col min="9469" max="9469" width="1.125" style="2" customWidth="1"/>
    <col min="9470" max="9470" width="9.125" style="2" customWidth="1"/>
    <col min="9471" max="9471" width="1.625" style="2" customWidth="1"/>
    <col min="9472" max="9472" width="8.625" style="2" customWidth="1"/>
    <col min="9473" max="9715" width="8.625" style="2"/>
    <col min="9716" max="9716" width="4.125" style="2" customWidth="1"/>
    <col min="9717" max="9717" width="0.625" style="2" customWidth="1"/>
    <col min="9718" max="9718" width="16.125" style="2" customWidth="1"/>
    <col min="9719" max="9719" width="1.5" style="2" customWidth="1"/>
    <col min="9720" max="9720" width="11.125" style="2" customWidth="1"/>
    <col min="9721" max="9721" width="1.125" style="2" customWidth="1"/>
    <col min="9722" max="9722" width="8.625" style="2" customWidth="1"/>
    <col min="9723" max="9723" width="1.5" style="2" customWidth="1"/>
    <col min="9724" max="9724" width="10.5" style="2" customWidth="1"/>
    <col min="9725" max="9725" width="1.125" style="2" customWidth="1"/>
    <col min="9726" max="9726" width="9.125" style="2" customWidth="1"/>
    <col min="9727" max="9727" width="1.625" style="2" customWidth="1"/>
    <col min="9728" max="9728" width="8.625" style="2" customWidth="1"/>
    <col min="9729" max="9971" width="8.625" style="2"/>
    <col min="9972" max="9972" width="4.125" style="2" customWidth="1"/>
    <col min="9973" max="9973" width="0.625" style="2" customWidth="1"/>
    <col min="9974" max="9974" width="16.125" style="2" customWidth="1"/>
    <col min="9975" max="9975" width="1.5" style="2" customWidth="1"/>
    <col min="9976" max="9976" width="11.125" style="2" customWidth="1"/>
    <col min="9977" max="9977" width="1.125" style="2" customWidth="1"/>
    <col min="9978" max="9978" width="8.625" style="2" customWidth="1"/>
    <col min="9979" max="9979" width="1.5" style="2" customWidth="1"/>
    <col min="9980" max="9980" width="10.5" style="2" customWidth="1"/>
    <col min="9981" max="9981" width="1.125" style="2" customWidth="1"/>
    <col min="9982" max="9982" width="9.125" style="2" customWidth="1"/>
    <col min="9983" max="9983" width="1.625" style="2" customWidth="1"/>
    <col min="9984" max="9984" width="8.625" style="2" customWidth="1"/>
    <col min="9985" max="10227" width="8.625" style="2"/>
    <col min="10228" max="10228" width="4.125" style="2" customWidth="1"/>
    <col min="10229" max="10229" width="0.625" style="2" customWidth="1"/>
    <col min="10230" max="10230" width="16.125" style="2" customWidth="1"/>
    <col min="10231" max="10231" width="1.5" style="2" customWidth="1"/>
    <col min="10232" max="10232" width="11.125" style="2" customWidth="1"/>
    <col min="10233" max="10233" width="1.125" style="2" customWidth="1"/>
    <col min="10234" max="10234" width="8.625" style="2" customWidth="1"/>
    <col min="10235" max="10235" width="1.5" style="2" customWidth="1"/>
    <col min="10236" max="10236" width="10.5" style="2" customWidth="1"/>
    <col min="10237" max="10237" width="1.125" style="2" customWidth="1"/>
    <col min="10238" max="10238" width="9.125" style="2" customWidth="1"/>
    <col min="10239" max="10239" width="1.625" style="2" customWidth="1"/>
    <col min="10240" max="10240" width="8.625" style="2" customWidth="1"/>
    <col min="10241" max="10483" width="8.625" style="2"/>
    <col min="10484" max="10484" width="4.125" style="2" customWidth="1"/>
    <col min="10485" max="10485" width="0.625" style="2" customWidth="1"/>
    <col min="10486" max="10486" width="16.125" style="2" customWidth="1"/>
    <col min="10487" max="10487" width="1.5" style="2" customWidth="1"/>
    <col min="10488" max="10488" width="11.125" style="2" customWidth="1"/>
    <col min="10489" max="10489" width="1.125" style="2" customWidth="1"/>
    <col min="10490" max="10490" width="8.625" style="2" customWidth="1"/>
    <col min="10491" max="10491" width="1.5" style="2" customWidth="1"/>
    <col min="10492" max="10492" width="10.5" style="2" customWidth="1"/>
    <col min="10493" max="10493" width="1.125" style="2" customWidth="1"/>
    <col min="10494" max="10494" width="9.125" style="2" customWidth="1"/>
    <col min="10495" max="10495" width="1.625" style="2" customWidth="1"/>
    <col min="10496" max="10496" width="8.625" style="2" customWidth="1"/>
    <col min="10497" max="10739" width="8.625" style="2"/>
    <col min="10740" max="10740" width="4.125" style="2" customWidth="1"/>
    <col min="10741" max="10741" width="0.625" style="2" customWidth="1"/>
    <col min="10742" max="10742" width="16.125" style="2" customWidth="1"/>
    <col min="10743" max="10743" width="1.5" style="2" customWidth="1"/>
    <col min="10744" max="10744" width="11.125" style="2" customWidth="1"/>
    <col min="10745" max="10745" width="1.125" style="2" customWidth="1"/>
    <col min="10746" max="10746" width="8.625" style="2" customWidth="1"/>
    <col min="10747" max="10747" width="1.5" style="2" customWidth="1"/>
    <col min="10748" max="10748" width="10.5" style="2" customWidth="1"/>
    <col min="10749" max="10749" width="1.125" style="2" customWidth="1"/>
    <col min="10750" max="10750" width="9.125" style="2" customWidth="1"/>
    <col min="10751" max="10751" width="1.625" style="2" customWidth="1"/>
    <col min="10752" max="10752" width="8.625" style="2" customWidth="1"/>
    <col min="10753" max="10995" width="8.625" style="2"/>
    <col min="10996" max="10996" width="4.125" style="2" customWidth="1"/>
    <col min="10997" max="10997" width="0.625" style="2" customWidth="1"/>
    <col min="10998" max="10998" width="16.125" style="2" customWidth="1"/>
    <col min="10999" max="10999" width="1.5" style="2" customWidth="1"/>
    <col min="11000" max="11000" width="11.125" style="2" customWidth="1"/>
    <col min="11001" max="11001" width="1.125" style="2" customWidth="1"/>
    <col min="11002" max="11002" width="8.625" style="2" customWidth="1"/>
    <col min="11003" max="11003" width="1.5" style="2" customWidth="1"/>
    <col min="11004" max="11004" width="10.5" style="2" customWidth="1"/>
    <col min="11005" max="11005" width="1.125" style="2" customWidth="1"/>
    <col min="11006" max="11006" width="9.125" style="2" customWidth="1"/>
    <col min="11007" max="11007" width="1.625" style="2" customWidth="1"/>
    <col min="11008" max="11008" width="8.625" style="2" customWidth="1"/>
    <col min="11009" max="11251" width="8.625" style="2"/>
    <col min="11252" max="11252" width="4.125" style="2" customWidth="1"/>
    <col min="11253" max="11253" width="0.625" style="2" customWidth="1"/>
    <col min="11254" max="11254" width="16.125" style="2" customWidth="1"/>
    <col min="11255" max="11255" width="1.5" style="2" customWidth="1"/>
    <col min="11256" max="11256" width="11.125" style="2" customWidth="1"/>
    <col min="11257" max="11257" width="1.125" style="2" customWidth="1"/>
    <col min="11258" max="11258" width="8.625" style="2" customWidth="1"/>
    <col min="11259" max="11259" width="1.5" style="2" customWidth="1"/>
    <col min="11260" max="11260" width="10.5" style="2" customWidth="1"/>
    <col min="11261" max="11261" width="1.125" style="2" customWidth="1"/>
    <col min="11262" max="11262" width="9.125" style="2" customWidth="1"/>
    <col min="11263" max="11263" width="1.625" style="2" customWidth="1"/>
    <col min="11264" max="11264" width="8.625" style="2" customWidth="1"/>
    <col min="11265" max="11507" width="8.625" style="2"/>
    <col min="11508" max="11508" width="4.125" style="2" customWidth="1"/>
    <col min="11509" max="11509" width="0.625" style="2" customWidth="1"/>
    <col min="11510" max="11510" width="16.125" style="2" customWidth="1"/>
    <col min="11511" max="11511" width="1.5" style="2" customWidth="1"/>
    <col min="11512" max="11512" width="11.125" style="2" customWidth="1"/>
    <col min="11513" max="11513" width="1.125" style="2" customWidth="1"/>
    <col min="11514" max="11514" width="8.625" style="2" customWidth="1"/>
    <col min="11515" max="11515" width="1.5" style="2" customWidth="1"/>
    <col min="11516" max="11516" width="10.5" style="2" customWidth="1"/>
    <col min="11517" max="11517" width="1.125" style="2" customWidth="1"/>
    <col min="11518" max="11518" width="9.125" style="2" customWidth="1"/>
    <col min="11519" max="11519" width="1.625" style="2" customWidth="1"/>
    <col min="11520" max="11520" width="8.625" style="2" customWidth="1"/>
    <col min="11521" max="11763" width="8.625" style="2"/>
    <col min="11764" max="11764" width="4.125" style="2" customWidth="1"/>
    <col min="11765" max="11765" width="0.625" style="2" customWidth="1"/>
    <col min="11766" max="11766" width="16.125" style="2" customWidth="1"/>
    <col min="11767" max="11767" width="1.5" style="2" customWidth="1"/>
    <col min="11768" max="11768" width="11.125" style="2" customWidth="1"/>
    <col min="11769" max="11769" width="1.125" style="2" customWidth="1"/>
    <col min="11770" max="11770" width="8.625" style="2" customWidth="1"/>
    <col min="11771" max="11771" width="1.5" style="2" customWidth="1"/>
    <col min="11772" max="11772" width="10.5" style="2" customWidth="1"/>
    <col min="11773" max="11773" width="1.125" style="2" customWidth="1"/>
    <col min="11774" max="11774" width="9.125" style="2" customWidth="1"/>
    <col min="11775" max="11775" width="1.625" style="2" customWidth="1"/>
    <col min="11776" max="11776" width="8.625" style="2" customWidth="1"/>
    <col min="11777" max="12019" width="8.625" style="2"/>
    <col min="12020" max="12020" width="4.125" style="2" customWidth="1"/>
    <col min="12021" max="12021" width="0.625" style="2" customWidth="1"/>
    <col min="12022" max="12022" width="16.125" style="2" customWidth="1"/>
    <col min="12023" max="12023" width="1.5" style="2" customWidth="1"/>
    <col min="12024" max="12024" width="11.125" style="2" customWidth="1"/>
    <col min="12025" max="12025" width="1.125" style="2" customWidth="1"/>
    <col min="12026" max="12026" width="8.625" style="2" customWidth="1"/>
    <col min="12027" max="12027" width="1.5" style="2" customWidth="1"/>
    <col min="12028" max="12028" width="10.5" style="2" customWidth="1"/>
    <col min="12029" max="12029" width="1.125" style="2" customWidth="1"/>
    <col min="12030" max="12030" width="9.125" style="2" customWidth="1"/>
    <col min="12031" max="12031" width="1.625" style="2" customWidth="1"/>
    <col min="12032" max="12032" width="8.625" style="2" customWidth="1"/>
    <col min="12033" max="12275" width="8.625" style="2"/>
    <col min="12276" max="12276" width="4.125" style="2" customWidth="1"/>
    <col min="12277" max="12277" width="0.625" style="2" customWidth="1"/>
    <col min="12278" max="12278" width="16.125" style="2" customWidth="1"/>
    <col min="12279" max="12279" width="1.5" style="2" customWidth="1"/>
    <col min="12280" max="12280" width="11.125" style="2" customWidth="1"/>
    <col min="12281" max="12281" width="1.125" style="2" customWidth="1"/>
    <col min="12282" max="12282" width="8.625" style="2" customWidth="1"/>
    <col min="12283" max="12283" width="1.5" style="2" customWidth="1"/>
    <col min="12284" max="12284" width="10.5" style="2" customWidth="1"/>
    <col min="12285" max="12285" width="1.125" style="2" customWidth="1"/>
    <col min="12286" max="12286" width="9.125" style="2" customWidth="1"/>
    <col min="12287" max="12287" width="1.625" style="2" customWidth="1"/>
    <col min="12288" max="12288" width="8.625" style="2" customWidth="1"/>
    <col min="12289" max="12531" width="8.625" style="2"/>
    <col min="12532" max="12532" width="4.125" style="2" customWidth="1"/>
    <col min="12533" max="12533" width="0.625" style="2" customWidth="1"/>
    <col min="12534" max="12534" width="16.125" style="2" customWidth="1"/>
    <col min="12535" max="12535" width="1.5" style="2" customWidth="1"/>
    <col min="12536" max="12536" width="11.125" style="2" customWidth="1"/>
    <col min="12537" max="12537" width="1.125" style="2" customWidth="1"/>
    <col min="12538" max="12538" width="8.625" style="2" customWidth="1"/>
    <col min="12539" max="12539" width="1.5" style="2" customWidth="1"/>
    <col min="12540" max="12540" width="10.5" style="2" customWidth="1"/>
    <col min="12541" max="12541" width="1.125" style="2" customWidth="1"/>
    <col min="12542" max="12542" width="9.125" style="2" customWidth="1"/>
    <col min="12543" max="12543" width="1.625" style="2" customWidth="1"/>
    <col min="12544" max="12544" width="8.625" style="2" customWidth="1"/>
    <col min="12545" max="12787" width="8.625" style="2"/>
    <col min="12788" max="12788" width="4.125" style="2" customWidth="1"/>
    <col min="12789" max="12789" width="0.625" style="2" customWidth="1"/>
    <col min="12790" max="12790" width="16.125" style="2" customWidth="1"/>
    <col min="12791" max="12791" width="1.5" style="2" customWidth="1"/>
    <col min="12792" max="12792" width="11.125" style="2" customWidth="1"/>
    <col min="12793" max="12793" width="1.125" style="2" customWidth="1"/>
    <col min="12794" max="12794" width="8.625" style="2" customWidth="1"/>
    <col min="12795" max="12795" width="1.5" style="2" customWidth="1"/>
    <col min="12796" max="12796" width="10.5" style="2" customWidth="1"/>
    <col min="12797" max="12797" width="1.125" style="2" customWidth="1"/>
    <col min="12798" max="12798" width="9.125" style="2" customWidth="1"/>
    <col min="12799" max="12799" width="1.625" style="2" customWidth="1"/>
    <col min="12800" max="12800" width="8.625" style="2" customWidth="1"/>
    <col min="12801" max="13043" width="8.625" style="2"/>
    <col min="13044" max="13044" width="4.125" style="2" customWidth="1"/>
    <col min="13045" max="13045" width="0.625" style="2" customWidth="1"/>
    <col min="13046" max="13046" width="16.125" style="2" customWidth="1"/>
    <col min="13047" max="13047" width="1.5" style="2" customWidth="1"/>
    <col min="13048" max="13048" width="11.125" style="2" customWidth="1"/>
    <col min="13049" max="13049" width="1.125" style="2" customWidth="1"/>
    <col min="13050" max="13050" width="8.625" style="2" customWidth="1"/>
    <col min="13051" max="13051" width="1.5" style="2" customWidth="1"/>
    <col min="13052" max="13052" width="10.5" style="2" customWidth="1"/>
    <col min="13053" max="13053" width="1.125" style="2" customWidth="1"/>
    <col min="13054" max="13054" width="9.125" style="2" customWidth="1"/>
    <col min="13055" max="13055" width="1.625" style="2" customWidth="1"/>
    <col min="13056" max="13056" width="8.625" style="2" customWidth="1"/>
    <col min="13057" max="13299" width="8.625" style="2"/>
    <col min="13300" max="13300" width="4.125" style="2" customWidth="1"/>
    <col min="13301" max="13301" width="0.625" style="2" customWidth="1"/>
    <col min="13302" max="13302" width="16.125" style="2" customWidth="1"/>
    <col min="13303" max="13303" width="1.5" style="2" customWidth="1"/>
    <col min="13304" max="13304" width="11.125" style="2" customWidth="1"/>
    <col min="13305" max="13305" width="1.125" style="2" customWidth="1"/>
    <col min="13306" max="13306" width="8.625" style="2" customWidth="1"/>
    <col min="13307" max="13307" width="1.5" style="2" customWidth="1"/>
    <col min="13308" max="13308" width="10.5" style="2" customWidth="1"/>
    <col min="13309" max="13309" width="1.125" style="2" customWidth="1"/>
    <col min="13310" max="13310" width="9.125" style="2" customWidth="1"/>
    <col min="13311" max="13311" width="1.625" style="2" customWidth="1"/>
    <col min="13312" max="13312" width="8.625" style="2" customWidth="1"/>
    <col min="13313" max="13555" width="8.625" style="2"/>
    <col min="13556" max="13556" width="4.125" style="2" customWidth="1"/>
    <col min="13557" max="13557" width="0.625" style="2" customWidth="1"/>
    <col min="13558" max="13558" width="16.125" style="2" customWidth="1"/>
    <col min="13559" max="13559" width="1.5" style="2" customWidth="1"/>
    <col min="13560" max="13560" width="11.125" style="2" customWidth="1"/>
    <col min="13561" max="13561" width="1.125" style="2" customWidth="1"/>
    <col min="13562" max="13562" width="8.625" style="2" customWidth="1"/>
    <col min="13563" max="13563" width="1.5" style="2" customWidth="1"/>
    <col min="13564" max="13564" width="10.5" style="2" customWidth="1"/>
    <col min="13565" max="13565" width="1.125" style="2" customWidth="1"/>
    <col min="13566" max="13566" width="9.125" style="2" customWidth="1"/>
    <col min="13567" max="13567" width="1.625" style="2" customWidth="1"/>
    <col min="13568" max="13568" width="8.625" style="2" customWidth="1"/>
    <col min="13569" max="13811" width="8.625" style="2"/>
    <col min="13812" max="13812" width="4.125" style="2" customWidth="1"/>
    <col min="13813" max="13813" width="0.625" style="2" customWidth="1"/>
    <col min="13814" max="13814" width="16.125" style="2" customWidth="1"/>
    <col min="13815" max="13815" width="1.5" style="2" customWidth="1"/>
    <col min="13816" max="13816" width="11.125" style="2" customWidth="1"/>
    <col min="13817" max="13817" width="1.125" style="2" customWidth="1"/>
    <col min="13818" max="13818" width="8.625" style="2" customWidth="1"/>
    <col min="13819" max="13819" width="1.5" style="2" customWidth="1"/>
    <col min="13820" max="13820" width="10.5" style="2" customWidth="1"/>
    <col min="13821" max="13821" width="1.125" style="2" customWidth="1"/>
    <col min="13822" max="13822" width="9.125" style="2" customWidth="1"/>
    <col min="13823" max="13823" width="1.625" style="2" customWidth="1"/>
    <col min="13824" max="13824" width="8.625" style="2" customWidth="1"/>
    <col min="13825" max="14067" width="8.625" style="2"/>
    <col min="14068" max="14068" width="4.125" style="2" customWidth="1"/>
    <col min="14069" max="14069" width="0.625" style="2" customWidth="1"/>
    <col min="14070" max="14070" width="16.125" style="2" customWidth="1"/>
    <col min="14071" max="14071" width="1.5" style="2" customWidth="1"/>
    <col min="14072" max="14072" width="11.125" style="2" customWidth="1"/>
    <col min="14073" max="14073" width="1.125" style="2" customWidth="1"/>
    <col min="14074" max="14074" width="8.625" style="2" customWidth="1"/>
    <col min="14075" max="14075" width="1.5" style="2" customWidth="1"/>
    <col min="14076" max="14076" width="10.5" style="2" customWidth="1"/>
    <col min="14077" max="14077" width="1.125" style="2" customWidth="1"/>
    <col min="14078" max="14078" width="9.125" style="2" customWidth="1"/>
    <col min="14079" max="14079" width="1.625" style="2" customWidth="1"/>
    <col min="14080" max="14080" width="8.625" style="2" customWidth="1"/>
    <col min="14081" max="14323" width="8.625" style="2"/>
    <col min="14324" max="14324" width="4.125" style="2" customWidth="1"/>
    <col min="14325" max="14325" width="0.625" style="2" customWidth="1"/>
    <col min="14326" max="14326" width="16.125" style="2" customWidth="1"/>
    <col min="14327" max="14327" width="1.5" style="2" customWidth="1"/>
    <col min="14328" max="14328" width="11.125" style="2" customWidth="1"/>
    <col min="14329" max="14329" width="1.125" style="2" customWidth="1"/>
    <col min="14330" max="14330" width="8.625" style="2" customWidth="1"/>
    <col min="14331" max="14331" width="1.5" style="2" customWidth="1"/>
    <col min="14332" max="14332" width="10.5" style="2" customWidth="1"/>
    <col min="14333" max="14333" width="1.125" style="2" customWidth="1"/>
    <col min="14334" max="14334" width="9.125" style="2" customWidth="1"/>
    <col min="14335" max="14335" width="1.625" style="2" customWidth="1"/>
    <col min="14336" max="14336" width="8.625" style="2" customWidth="1"/>
    <col min="14337" max="14579" width="8.625" style="2"/>
    <col min="14580" max="14580" width="4.125" style="2" customWidth="1"/>
    <col min="14581" max="14581" width="0.625" style="2" customWidth="1"/>
    <col min="14582" max="14582" width="16.125" style="2" customWidth="1"/>
    <col min="14583" max="14583" width="1.5" style="2" customWidth="1"/>
    <col min="14584" max="14584" width="11.125" style="2" customWidth="1"/>
    <col min="14585" max="14585" width="1.125" style="2" customWidth="1"/>
    <col min="14586" max="14586" width="8.625" style="2" customWidth="1"/>
    <col min="14587" max="14587" width="1.5" style="2" customWidth="1"/>
    <col min="14588" max="14588" width="10.5" style="2" customWidth="1"/>
    <col min="14589" max="14589" width="1.125" style="2" customWidth="1"/>
    <col min="14590" max="14590" width="9.125" style="2" customWidth="1"/>
    <col min="14591" max="14591" width="1.625" style="2" customWidth="1"/>
    <col min="14592" max="14592" width="8.625" style="2" customWidth="1"/>
    <col min="14593" max="14835" width="8.625" style="2"/>
    <col min="14836" max="14836" width="4.125" style="2" customWidth="1"/>
    <col min="14837" max="14837" width="0.625" style="2" customWidth="1"/>
    <col min="14838" max="14838" width="16.125" style="2" customWidth="1"/>
    <col min="14839" max="14839" width="1.5" style="2" customWidth="1"/>
    <col min="14840" max="14840" width="11.125" style="2" customWidth="1"/>
    <col min="14841" max="14841" width="1.125" style="2" customWidth="1"/>
    <col min="14842" max="14842" width="8.625" style="2" customWidth="1"/>
    <col min="14843" max="14843" width="1.5" style="2" customWidth="1"/>
    <col min="14844" max="14844" width="10.5" style="2" customWidth="1"/>
    <col min="14845" max="14845" width="1.125" style="2" customWidth="1"/>
    <col min="14846" max="14846" width="9.125" style="2" customWidth="1"/>
    <col min="14847" max="14847" width="1.625" style="2" customWidth="1"/>
    <col min="14848" max="14848" width="8.625" style="2" customWidth="1"/>
    <col min="14849" max="15091" width="8.625" style="2"/>
    <col min="15092" max="15092" width="4.125" style="2" customWidth="1"/>
    <col min="15093" max="15093" width="0.625" style="2" customWidth="1"/>
    <col min="15094" max="15094" width="16.125" style="2" customWidth="1"/>
    <col min="15095" max="15095" width="1.5" style="2" customWidth="1"/>
    <col min="15096" max="15096" width="11.125" style="2" customWidth="1"/>
    <col min="15097" max="15097" width="1.125" style="2" customWidth="1"/>
    <col min="15098" max="15098" width="8.625" style="2" customWidth="1"/>
    <col min="15099" max="15099" width="1.5" style="2" customWidth="1"/>
    <col min="15100" max="15100" width="10.5" style="2" customWidth="1"/>
    <col min="15101" max="15101" width="1.125" style="2" customWidth="1"/>
    <col min="15102" max="15102" width="9.125" style="2" customWidth="1"/>
    <col min="15103" max="15103" width="1.625" style="2" customWidth="1"/>
    <col min="15104" max="15104" width="8.625" style="2" customWidth="1"/>
    <col min="15105" max="15347" width="8.625" style="2"/>
    <col min="15348" max="15348" width="4.125" style="2" customWidth="1"/>
    <col min="15349" max="15349" width="0.625" style="2" customWidth="1"/>
    <col min="15350" max="15350" width="16.125" style="2" customWidth="1"/>
    <col min="15351" max="15351" width="1.5" style="2" customWidth="1"/>
    <col min="15352" max="15352" width="11.125" style="2" customWidth="1"/>
    <col min="15353" max="15353" width="1.125" style="2" customWidth="1"/>
    <col min="15354" max="15354" width="8.625" style="2" customWidth="1"/>
    <col min="15355" max="15355" width="1.5" style="2" customWidth="1"/>
    <col min="15356" max="15356" width="10.5" style="2" customWidth="1"/>
    <col min="15357" max="15357" width="1.125" style="2" customWidth="1"/>
    <col min="15358" max="15358" width="9.125" style="2" customWidth="1"/>
    <col min="15359" max="15359" width="1.625" style="2" customWidth="1"/>
    <col min="15360" max="15360" width="8.625" style="2" customWidth="1"/>
    <col min="15361" max="15603" width="8.625" style="2"/>
    <col min="15604" max="15604" width="4.125" style="2" customWidth="1"/>
    <col min="15605" max="15605" width="0.625" style="2" customWidth="1"/>
    <col min="15606" max="15606" width="16.125" style="2" customWidth="1"/>
    <col min="15607" max="15607" width="1.5" style="2" customWidth="1"/>
    <col min="15608" max="15608" width="11.125" style="2" customWidth="1"/>
    <col min="15609" max="15609" width="1.125" style="2" customWidth="1"/>
    <col min="15610" max="15610" width="8.625" style="2" customWidth="1"/>
    <col min="15611" max="15611" width="1.5" style="2" customWidth="1"/>
    <col min="15612" max="15612" width="10.5" style="2" customWidth="1"/>
    <col min="15613" max="15613" width="1.125" style="2" customWidth="1"/>
    <col min="15614" max="15614" width="9.125" style="2" customWidth="1"/>
    <col min="15615" max="15615" width="1.625" style="2" customWidth="1"/>
    <col min="15616" max="15616" width="8.625" style="2" customWidth="1"/>
    <col min="15617" max="15859" width="8.625" style="2"/>
    <col min="15860" max="15860" width="4.125" style="2" customWidth="1"/>
    <col min="15861" max="15861" width="0.625" style="2" customWidth="1"/>
    <col min="15862" max="15862" width="16.125" style="2" customWidth="1"/>
    <col min="15863" max="15863" width="1.5" style="2" customWidth="1"/>
    <col min="15864" max="15864" width="11.125" style="2" customWidth="1"/>
    <col min="15865" max="15865" width="1.125" style="2" customWidth="1"/>
    <col min="15866" max="15866" width="8.625" style="2" customWidth="1"/>
    <col min="15867" max="15867" width="1.5" style="2" customWidth="1"/>
    <col min="15868" max="15868" width="10.5" style="2" customWidth="1"/>
    <col min="15869" max="15869" width="1.125" style="2" customWidth="1"/>
    <col min="15870" max="15870" width="9.125" style="2" customWidth="1"/>
    <col min="15871" max="15871" width="1.625" style="2" customWidth="1"/>
    <col min="15872" max="15872" width="8.625" style="2" customWidth="1"/>
    <col min="15873" max="16115" width="8.625" style="2"/>
    <col min="16116" max="16116" width="4.125" style="2" customWidth="1"/>
    <col min="16117" max="16117" width="0.625" style="2" customWidth="1"/>
    <col min="16118" max="16118" width="16.125" style="2" customWidth="1"/>
    <col min="16119" max="16119" width="1.5" style="2" customWidth="1"/>
    <col min="16120" max="16120" width="11.125" style="2" customWidth="1"/>
    <col min="16121" max="16121" width="1.125" style="2" customWidth="1"/>
    <col min="16122" max="16122" width="8.625" style="2" customWidth="1"/>
    <col min="16123" max="16123" width="1.5" style="2" customWidth="1"/>
    <col min="16124" max="16124" width="10.5" style="2" customWidth="1"/>
    <col min="16125" max="16125" width="1.125" style="2" customWidth="1"/>
    <col min="16126" max="16126" width="9.125" style="2" customWidth="1"/>
    <col min="16127" max="16127" width="1.625" style="2" customWidth="1"/>
    <col min="16128" max="16128" width="8.625" style="2" customWidth="1"/>
    <col min="16129" max="16382" width="8.625" style="2"/>
    <col min="16383" max="16384" width="7.625" style="2" customWidth="1"/>
  </cols>
  <sheetData>
    <row r="2" spans="2:42" ht="42" customHeight="1">
      <c r="B2" s="2"/>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M2" s="68">
        <f>F19-H19-J19-N19-P19-R19</f>
        <v>527.94203257962488</v>
      </c>
    </row>
    <row r="3" spans="2:42">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2:42">
      <c r="B4" s="1312" t="s">
        <v>493</v>
      </c>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444"/>
    </row>
    <row r="5" spans="2:42">
      <c r="B5" s="1311" t="s">
        <v>494</v>
      </c>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443"/>
    </row>
    <row r="6" spans="2:42">
      <c r="B6" s="447"/>
      <c r="C6" s="447"/>
      <c r="D6" s="447"/>
      <c r="E6" s="447"/>
    </row>
    <row r="7" spans="2:42" s="13" customFormat="1">
      <c r="C7" s="254"/>
      <c r="D7" s="254"/>
      <c r="E7" s="254"/>
      <c r="F7" s="4" t="s">
        <v>495</v>
      </c>
      <c r="G7" s="256"/>
      <c r="H7" s="1313" t="s">
        <v>496</v>
      </c>
      <c r="I7" s="1313"/>
      <c r="J7" s="1313"/>
      <c r="K7" s="1313"/>
      <c r="L7" s="1313"/>
      <c r="M7" s="1313"/>
      <c r="N7" s="1313"/>
      <c r="O7" s="1313"/>
      <c r="P7" s="1313"/>
      <c r="Q7" s="1313"/>
      <c r="R7" s="1313"/>
      <c r="S7" s="1313"/>
      <c r="T7" s="2"/>
      <c r="U7" s="2"/>
      <c r="V7" s="1315" t="s">
        <v>497</v>
      </c>
      <c r="W7" s="1315"/>
      <c r="X7" s="1315"/>
      <c r="Y7" s="1315"/>
      <c r="Z7" s="1315"/>
      <c r="AA7" s="1315"/>
      <c r="AB7" s="1315"/>
      <c r="AC7" s="1315"/>
      <c r="AD7" s="1315"/>
      <c r="AE7" s="1315"/>
      <c r="AF7" s="1315"/>
      <c r="AG7" s="1315"/>
      <c r="AH7" s="1315"/>
      <c r="AI7" s="2"/>
      <c r="AJ7" s="2"/>
      <c r="AK7" s="2"/>
      <c r="AL7" s="430"/>
    </row>
    <row r="8" spans="2:42">
      <c r="B8" s="254" t="s">
        <v>1</v>
      </c>
      <c r="C8" s="256"/>
      <c r="E8" s="4"/>
      <c r="F8" s="33" t="s">
        <v>498</v>
      </c>
      <c r="G8" s="130"/>
      <c r="H8" s="33"/>
      <c r="I8" s="130"/>
      <c r="J8" s="33" t="s">
        <v>499</v>
      </c>
      <c r="K8" s="33"/>
      <c r="L8" s="130"/>
      <c r="M8" s="130"/>
      <c r="N8" s="33" t="s">
        <v>500</v>
      </c>
      <c r="O8" s="33"/>
      <c r="P8" s="33"/>
      <c r="Q8" s="33"/>
      <c r="R8" s="33" t="s">
        <v>501</v>
      </c>
      <c r="S8" s="33"/>
      <c r="T8" s="33" t="s">
        <v>502</v>
      </c>
      <c r="U8" s="130"/>
      <c r="V8" s="448" t="s">
        <v>503</v>
      </c>
      <c r="W8" s="130"/>
      <c r="X8" s="13"/>
      <c r="Y8" s="33"/>
      <c r="Z8" s="33"/>
      <c r="AA8" s="130"/>
      <c r="AB8" s="33" t="s">
        <v>499</v>
      </c>
      <c r="AC8" s="130"/>
      <c r="AD8" s="143" t="s">
        <v>500</v>
      </c>
      <c r="AE8" s="143"/>
      <c r="AF8" s="143"/>
      <c r="AG8" s="143"/>
      <c r="AH8" s="143" t="s">
        <v>501</v>
      </c>
      <c r="AI8" s="33"/>
      <c r="AJ8" s="33" t="s">
        <v>6</v>
      </c>
      <c r="AK8" s="33"/>
      <c r="AL8" s="431" t="s">
        <v>192</v>
      </c>
    </row>
    <row r="9" spans="2:42">
      <c r="B9" s="255" t="s">
        <v>2</v>
      </c>
      <c r="C9" s="256"/>
      <c r="D9" s="449" t="s">
        <v>453</v>
      </c>
      <c r="E9" s="4"/>
      <c r="F9" s="19" t="s">
        <v>504</v>
      </c>
      <c r="G9" s="130"/>
      <c r="H9" s="19" t="s">
        <v>505</v>
      </c>
      <c r="I9" s="130"/>
      <c r="J9" s="19" t="s">
        <v>506</v>
      </c>
      <c r="K9" s="33"/>
      <c r="L9" s="450"/>
      <c r="M9" s="450"/>
      <c r="N9" s="19" t="s">
        <v>507</v>
      </c>
      <c r="O9" s="33"/>
      <c r="P9" s="19" t="s">
        <v>508</v>
      </c>
      <c r="Q9" s="33"/>
      <c r="R9" s="19" t="s">
        <v>509</v>
      </c>
      <c r="S9" s="33"/>
      <c r="T9" s="19" t="s">
        <v>503</v>
      </c>
      <c r="U9" s="130"/>
      <c r="V9" s="451" t="s">
        <v>510</v>
      </c>
      <c r="W9" s="130"/>
      <c r="X9" s="19" t="s">
        <v>511</v>
      </c>
      <c r="Y9" s="33"/>
      <c r="Z9" s="19"/>
      <c r="AA9" s="130"/>
      <c r="AB9" s="19" t="s">
        <v>506</v>
      </c>
      <c r="AC9" s="130"/>
      <c r="AD9" s="215" t="s">
        <v>507</v>
      </c>
      <c r="AE9" s="143"/>
      <c r="AF9" s="215" t="s">
        <v>508</v>
      </c>
      <c r="AG9" s="143"/>
      <c r="AH9" s="215" t="s">
        <v>509</v>
      </c>
      <c r="AI9" s="33"/>
      <c r="AJ9" s="19" t="s">
        <v>512</v>
      </c>
      <c r="AK9" s="33"/>
      <c r="AL9" s="432" t="s">
        <v>513</v>
      </c>
    </row>
    <row r="10" spans="2:42">
      <c r="B10" s="4"/>
      <c r="C10" s="256"/>
      <c r="D10" s="256"/>
      <c r="E10" s="4"/>
      <c r="F10" s="4" t="s">
        <v>8</v>
      </c>
      <c r="G10" s="134"/>
      <c r="H10" s="4" t="s">
        <v>9</v>
      </c>
      <c r="I10" s="4"/>
      <c r="J10" s="4" t="s">
        <v>370</v>
      </c>
      <c r="K10" s="4"/>
      <c r="L10" s="4"/>
      <c r="M10" s="4"/>
      <c r="N10" s="4" t="s">
        <v>79</v>
      </c>
      <c r="O10" s="4"/>
      <c r="P10" s="4" t="s">
        <v>115</v>
      </c>
      <c r="Q10" s="4"/>
      <c r="R10" s="4" t="s">
        <v>81</v>
      </c>
      <c r="S10" s="4"/>
      <c r="T10" s="4" t="s">
        <v>514</v>
      </c>
      <c r="V10" s="437" t="s">
        <v>515</v>
      </c>
      <c r="W10" s="1"/>
      <c r="X10" s="1" t="s">
        <v>84</v>
      </c>
      <c r="Y10" s="1"/>
      <c r="Z10" s="1"/>
      <c r="AA10" s="1"/>
      <c r="AB10" s="1" t="s">
        <v>516</v>
      </c>
      <c r="AC10" s="1"/>
      <c r="AD10" s="1" t="s">
        <v>517</v>
      </c>
      <c r="AE10" s="1"/>
      <c r="AF10" s="1" t="s">
        <v>518</v>
      </c>
      <c r="AG10" s="1"/>
      <c r="AH10" s="1" t="s">
        <v>519</v>
      </c>
      <c r="AJ10" s="2" t="s">
        <v>520</v>
      </c>
      <c r="AL10" s="426" t="s">
        <v>521</v>
      </c>
    </row>
    <row r="11" spans="2:42">
      <c r="B11" s="4"/>
      <c r="C11" s="256"/>
      <c r="D11" s="6" t="s">
        <v>11</v>
      </c>
      <c r="E11" s="4"/>
      <c r="F11" s="134"/>
      <c r="G11" s="64"/>
      <c r="H11" s="4"/>
      <c r="I11" s="65"/>
      <c r="J11" s="65"/>
      <c r="K11" s="65"/>
      <c r="L11" s="65"/>
      <c r="M11" s="65"/>
      <c r="N11" s="4"/>
      <c r="O11" s="4"/>
      <c r="P11" s="4"/>
      <c r="Q11" s="4"/>
      <c r="R11" s="4"/>
      <c r="S11" s="4"/>
      <c r="T11" s="4"/>
      <c r="AN11" s="2" t="s">
        <v>522</v>
      </c>
    </row>
    <row r="12" spans="2:42">
      <c r="B12" s="4">
        <v>1</v>
      </c>
      <c r="C12" s="256"/>
      <c r="D12" s="7" t="s">
        <v>162</v>
      </c>
      <c r="E12" s="4"/>
      <c r="F12" s="35">
        <v>2210008.0985691352</v>
      </c>
      <c r="G12" s="35"/>
      <c r="H12" s="35">
        <v>44808.586642691822</v>
      </c>
      <c r="I12" s="35"/>
      <c r="J12" s="35">
        <v>15787.788096522025</v>
      </c>
      <c r="K12" s="35"/>
      <c r="L12" s="35"/>
      <c r="M12" s="35"/>
      <c r="N12" s="35">
        <v>530.0902523540974</v>
      </c>
      <c r="O12" s="35"/>
      <c r="P12" s="35">
        <v>13027.395706562269</v>
      </c>
      <c r="Q12" s="35"/>
      <c r="R12" s="35">
        <v>5985.1968992662751</v>
      </c>
      <c r="S12" s="452"/>
      <c r="T12" s="68">
        <f t="shared" ref="T12:T18" si="0">F12-SUM(H12:R12)</f>
        <v>2129869.0409717388</v>
      </c>
      <c r="V12" s="35">
        <v>26282.828627243453</v>
      </c>
      <c r="W12" s="35"/>
      <c r="X12" s="68">
        <v>68940.216666327775</v>
      </c>
      <c r="Y12" s="68"/>
      <c r="Z12" s="68"/>
      <c r="AA12" s="35"/>
      <c r="AB12" s="68">
        <v>15733.138523330314</v>
      </c>
      <c r="AC12" s="135"/>
      <c r="AD12" s="68">
        <v>443.30283568334914</v>
      </c>
      <c r="AE12" s="35"/>
      <c r="AF12" s="68">
        <v>14276.994192075203</v>
      </c>
      <c r="AH12" s="68">
        <v>5345.7130368717535</v>
      </c>
      <c r="AJ12" s="68">
        <f t="shared" ref="AJ12:AJ21" si="1">SUM(T12:AH12)</f>
        <v>2260891.2348532709</v>
      </c>
      <c r="AK12" s="68"/>
      <c r="AL12" s="424">
        <f>(AJ12-F12)/F12</f>
        <v>2.3023959195932323E-2</v>
      </c>
      <c r="AN12" s="140">
        <v>2260891.2348532705</v>
      </c>
      <c r="AO12" s="68">
        <f t="shared" ref="AO12:AO40" si="2">AJ12-AN12</f>
        <v>0</v>
      </c>
      <c r="AP12" s="397"/>
    </row>
    <row r="13" spans="2:42">
      <c r="B13" s="4">
        <f>MAX(B$12:B12)+1</f>
        <v>2</v>
      </c>
      <c r="C13" s="256"/>
      <c r="D13" s="7" t="s">
        <v>163</v>
      </c>
      <c r="E13" s="4"/>
      <c r="F13" s="35">
        <v>1191040.9980783353</v>
      </c>
      <c r="G13" s="35"/>
      <c r="H13" s="35">
        <v>23394.302391068148</v>
      </c>
      <c r="I13" s="35"/>
      <c r="J13" s="35">
        <v>14219.390273088122</v>
      </c>
      <c r="K13" s="35"/>
      <c r="L13" s="35"/>
      <c r="M13" s="35"/>
      <c r="N13" s="35">
        <v>507.62961049273036</v>
      </c>
      <c r="O13" s="35"/>
      <c r="P13" s="35">
        <v>12313.689619333923</v>
      </c>
      <c r="Q13" s="35"/>
      <c r="R13" s="35">
        <v>4882.6596804294222</v>
      </c>
      <c r="S13" s="452"/>
      <c r="T13" s="68">
        <f t="shared" si="0"/>
        <v>1135723.3265039229</v>
      </c>
      <c r="V13" s="35">
        <v>11068.75807531771</v>
      </c>
      <c r="W13" s="35"/>
      <c r="X13" s="68">
        <v>31443.589421405886</v>
      </c>
      <c r="Y13" s="68"/>
      <c r="Z13" s="68"/>
      <c r="AA13" s="35"/>
      <c r="AB13" s="68">
        <v>14170.169723336643</v>
      </c>
      <c r="AC13" s="135"/>
      <c r="AD13" s="68">
        <v>424.51949419726384</v>
      </c>
      <c r="AE13" s="35"/>
      <c r="AF13" s="68">
        <v>13494.828831344281</v>
      </c>
      <c r="AH13" s="68">
        <v>4360.9755781767817</v>
      </c>
      <c r="AJ13" s="68">
        <f t="shared" si="1"/>
        <v>1210686.1676277015</v>
      </c>
      <c r="AK13" s="68"/>
      <c r="AL13" s="424">
        <f t="shared" ref="AL13:AL23" si="3">(AJ13-F13)/F13</f>
        <v>1.6494116979232778E-2</v>
      </c>
      <c r="AN13" s="140">
        <v>1210686.1676277018</v>
      </c>
      <c r="AO13" s="68">
        <f t="shared" si="2"/>
        <v>0</v>
      </c>
      <c r="AP13" s="397"/>
    </row>
    <row r="14" spans="2:42">
      <c r="B14" s="4">
        <f>MAX(B$12:B13)+1</f>
        <v>3</v>
      </c>
      <c r="C14" s="256"/>
      <c r="D14" s="7" t="s">
        <v>164</v>
      </c>
      <c r="E14" s="4"/>
      <c r="F14" s="35">
        <v>5587.4928492138761</v>
      </c>
      <c r="G14" s="35"/>
      <c r="H14" s="35">
        <v>0</v>
      </c>
      <c r="I14" s="35"/>
      <c r="J14" s="35">
        <v>0</v>
      </c>
      <c r="K14" s="35"/>
      <c r="L14" s="35"/>
      <c r="M14" s="35"/>
      <c r="N14" s="35">
        <v>2.9012610510117431</v>
      </c>
      <c r="O14" s="35"/>
      <c r="P14" s="35">
        <v>58.27058444301003</v>
      </c>
      <c r="Q14" s="35"/>
      <c r="R14" s="35">
        <v>0</v>
      </c>
      <c r="S14" s="452"/>
      <c r="T14" s="68">
        <f t="shared" si="0"/>
        <v>5526.3210037198542</v>
      </c>
      <c r="V14" s="35">
        <v>55.559014001954267</v>
      </c>
      <c r="W14" s="35"/>
      <c r="X14" s="68">
        <v>272.41532868845394</v>
      </c>
      <c r="Y14" s="68"/>
      <c r="Z14" s="68"/>
      <c r="AA14" s="35"/>
      <c r="AB14" s="68">
        <v>0</v>
      </c>
      <c r="AC14" s="135"/>
      <c r="AD14" s="68">
        <v>2.4262608966294046</v>
      </c>
      <c r="AE14" s="35"/>
      <c r="AF14" s="68">
        <v>63.859946715414175</v>
      </c>
      <c r="AH14" s="68">
        <v>0</v>
      </c>
      <c r="AJ14" s="68">
        <f t="shared" si="1"/>
        <v>5920.5815540223057</v>
      </c>
      <c r="AK14" s="68"/>
      <c r="AL14" s="424">
        <f t="shared" si="3"/>
        <v>5.9613267309199872E-2</v>
      </c>
      <c r="AN14" s="140">
        <v>5920.5815540223057</v>
      </c>
      <c r="AO14" s="68">
        <f t="shared" si="2"/>
        <v>0</v>
      </c>
      <c r="AP14" s="397"/>
    </row>
    <row r="15" spans="2:42">
      <c r="B15" s="4">
        <f>MAX(B$12:B14)+1</f>
        <v>4</v>
      </c>
      <c r="C15" s="256"/>
      <c r="D15" s="7" t="s">
        <v>165</v>
      </c>
      <c r="E15" s="4"/>
      <c r="F15" s="35">
        <v>68051.261389183273</v>
      </c>
      <c r="G15" s="35"/>
      <c r="H15" s="35">
        <v>2516.360725763338</v>
      </c>
      <c r="I15" s="35"/>
      <c r="J15" s="35">
        <v>730.61878451440805</v>
      </c>
      <c r="K15" s="35"/>
      <c r="L15" s="35"/>
      <c r="M15" s="35"/>
      <c r="N15" s="35">
        <v>112.99521739962435</v>
      </c>
      <c r="O15" s="35"/>
      <c r="P15" s="35">
        <v>2382.67535616847</v>
      </c>
      <c r="Q15" s="35"/>
      <c r="R15" s="35">
        <v>143.22101713704333</v>
      </c>
      <c r="S15" s="452"/>
      <c r="T15" s="68">
        <f t="shared" si="0"/>
        <v>62165.390288200389</v>
      </c>
      <c r="V15" s="35">
        <v>903.21223736244065</v>
      </c>
      <c r="W15" s="35"/>
      <c r="X15" s="68">
        <v>2395.7420134112795</v>
      </c>
      <c r="Y15" s="68"/>
      <c r="Z15" s="68"/>
      <c r="AA15" s="35"/>
      <c r="AB15" s="68">
        <v>728.08974089566607</v>
      </c>
      <c r="AC15" s="135"/>
      <c r="AD15" s="68">
        <v>94.495418599867804</v>
      </c>
      <c r="AE15" s="35"/>
      <c r="AF15" s="68">
        <v>2611.2235313833621</v>
      </c>
      <c r="AH15" s="68">
        <v>127.91867524982882</v>
      </c>
      <c r="AJ15" s="68">
        <f t="shared" si="1"/>
        <v>69026.071905102843</v>
      </c>
      <c r="AK15" s="68"/>
      <c r="AL15" s="424">
        <f t="shared" si="3"/>
        <v>1.4324650212501648E-2</v>
      </c>
      <c r="AN15" s="140">
        <v>69026.071905102843</v>
      </c>
      <c r="AO15" s="68">
        <f t="shared" si="2"/>
        <v>0</v>
      </c>
      <c r="AP15" s="397"/>
    </row>
    <row r="16" spans="2:42">
      <c r="B16" s="4">
        <f>MAX(B$12:B15)+1</f>
        <v>5</v>
      </c>
      <c r="C16" s="256"/>
      <c r="D16" s="7" t="s">
        <v>166</v>
      </c>
      <c r="E16" s="4"/>
      <c r="F16" s="35">
        <v>9493.6962365030449</v>
      </c>
      <c r="G16" s="35"/>
      <c r="H16" s="35">
        <v>1434.7567768481215</v>
      </c>
      <c r="I16" s="35"/>
      <c r="J16" s="35">
        <v>88.058747902106859</v>
      </c>
      <c r="K16" s="35"/>
      <c r="L16" s="35"/>
      <c r="M16" s="35"/>
      <c r="N16" s="35">
        <v>40.391816945015499</v>
      </c>
      <c r="O16" s="35"/>
      <c r="P16" s="35">
        <v>822.74413908553538</v>
      </c>
      <c r="Q16" s="35"/>
      <c r="R16" s="35">
        <v>20.314503846852869</v>
      </c>
      <c r="S16" s="452"/>
      <c r="T16" s="68">
        <f t="shared" si="0"/>
        <v>7087.430251875413</v>
      </c>
      <c r="V16" s="35">
        <v>146.33212944935784</v>
      </c>
      <c r="W16" s="35"/>
      <c r="X16" s="68">
        <v>1046.4385347200052</v>
      </c>
      <c r="Y16" s="68"/>
      <c r="Z16" s="68"/>
      <c r="AA16" s="35"/>
      <c r="AB16" s="68">
        <v>87.753931739182406</v>
      </c>
      <c r="AC16" s="135"/>
      <c r="AD16" s="68">
        <v>33.778789386542314</v>
      </c>
      <c r="AE16" s="35"/>
      <c r="AF16" s="68">
        <v>901.66243199100404</v>
      </c>
      <c r="AH16" s="68">
        <v>18.144015957940407</v>
      </c>
      <c r="AJ16" s="68">
        <f t="shared" si="1"/>
        <v>9321.5400851194445</v>
      </c>
      <c r="AK16" s="68"/>
      <c r="AL16" s="424">
        <f t="shared" si="3"/>
        <v>-1.8133732857563315E-2</v>
      </c>
      <c r="AN16" s="140">
        <v>9321.5400851194445</v>
      </c>
      <c r="AO16" s="68">
        <f t="shared" si="2"/>
        <v>0</v>
      </c>
      <c r="AP16" s="397"/>
    </row>
    <row r="17" spans="2:42">
      <c r="B17" s="4">
        <f>MAX(B$12:B16)+1</f>
        <v>6</v>
      </c>
      <c r="C17" s="256"/>
      <c r="D17" s="7" t="s">
        <v>167</v>
      </c>
      <c r="E17" s="4"/>
      <c r="F17" s="35">
        <v>13074.499676417412</v>
      </c>
      <c r="G17" s="35"/>
      <c r="H17" s="35">
        <v>166.42587763804715</v>
      </c>
      <c r="I17" s="35"/>
      <c r="J17" s="35">
        <v>0</v>
      </c>
      <c r="K17" s="35"/>
      <c r="L17" s="35"/>
      <c r="M17" s="35"/>
      <c r="N17" s="35">
        <v>0</v>
      </c>
      <c r="O17" s="35"/>
      <c r="P17" s="35">
        <v>588.24265500000001</v>
      </c>
      <c r="Q17" s="35"/>
      <c r="R17" s="35">
        <v>0</v>
      </c>
      <c r="S17" s="452"/>
      <c r="T17" s="68">
        <f t="shared" si="0"/>
        <v>12319.831143779365</v>
      </c>
      <c r="V17" s="35">
        <v>332.20642079423192</v>
      </c>
      <c r="W17" s="35"/>
      <c r="X17" s="68">
        <v>174.66061005879783</v>
      </c>
      <c r="Y17" s="68"/>
      <c r="Z17" s="68"/>
      <c r="AA17" s="35"/>
      <c r="AB17" s="68">
        <v>0</v>
      </c>
      <c r="AC17" s="135"/>
      <c r="AD17" s="68">
        <v>0</v>
      </c>
      <c r="AE17" s="35"/>
      <c r="AF17" s="68">
        <v>717.82949090787918</v>
      </c>
      <c r="AH17" s="68">
        <v>0</v>
      </c>
      <c r="AJ17" s="68">
        <f t="shared" si="1"/>
        <v>13544.527665540274</v>
      </c>
      <c r="AK17" s="68"/>
      <c r="AL17" s="424">
        <f t="shared" si="3"/>
        <v>3.5949979024486538E-2</v>
      </c>
      <c r="AN17" s="140">
        <v>13544.527665540274</v>
      </c>
      <c r="AO17" s="68">
        <f t="shared" si="2"/>
        <v>0</v>
      </c>
      <c r="AP17" s="397"/>
    </row>
    <row r="18" spans="2:42">
      <c r="B18" s="4">
        <f>MAX(B$12:B17)+1</f>
        <v>7</v>
      </c>
      <c r="C18" s="256"/>
      <c r="D18" s="7" t="s">
        <v>168</v>
      </c>
      <c r="E18" s="4"/>
      <c r="F18" s="35">
        <v>2310.4304437860669</v>
      </c>
      <c r="G18" s="35"/>
      <c r="H18" s="35">
        <v>272.10434456292859</v>
      </c>
      <c r="I18" s="35"/>
      <c r="J18" s="35">
        <v>0</v>
      </c>
      <c r="K18" s="35"/>
      <c r="L18" s="35"/>
      <c r="M18" s="35"/>
      <c r="N18" s="35">
        <v>5.5685738769876725</v>
      </c>
      <c r="O18" s="35"/>
      <c r="P18" s="35">
        <v>111.84241907945309</v>
      </c>
      <c r="Q18" s="35"/>
      <c r="R18" s="35">
        <v>0</v>
      </c>
      <c r="S18" s="452"/>
      <c r="T18" s="68">
        <f t="shared" si="0"/>
        <v>1920.9151062666974</v>
      </c>
      <c r="V18" s="35">
        <v>32.052927143164091</v>
      </c>
      <c r="W18" s="35"/>
      <c r="X18" s="68">
        <v>979.65831828089802</v>
      </c>
      <c r="Y18" s="68"/>
      <c r="Z18" s="68"/>
      <c r="AA18" s="35"/>
      <c r="AB18" s="68">
        <v>0</v>
      </c>
      <c r="AC18" s="135"/>
      <c r="AD18" s="68">
        <v>4.6568760308610049</v>
      </c>
      <c r="AE18" s="35"/>
      <c r="AF18" s="68">
        <v>122.57043568736097</v>
      </c>
      <c r="AH18" s="68">
        <v>0</v>
      </c>
      <c r="AJ18" s="68">
        <f t="shared" si="1"/>
        <v>3059.8536634089819</v>
      </c>
      <c r="AK18" s="68"/>
      <c r="AL18" s="424">
        <f t="shared" si="3"/>
        <v>0.32436519421673071</v>
      </c>
      <c r="AN18" s="140">
        <v>3059.8536634089819</v>
      </c>
      <c r="AO18" s="68">
        <f t="shared" si="2"/>
        <v>0</v>
      </c>
      <c r="AP18" s="397"/>
    </row>
    <row r="19" spans="2:42">
      <c r="B19" s="4">
        <f>MAX(B$12:B18)+1</f>
        <v>8</v>
      </c>
      <c r="C19" s="256"/>
      <c r="D19" s="7" t="s">
        <v>169</v>
      </c>
      <c r="E19" s="4"/>
      <c r="F19" s="35">
        <v>1802.0488245146307</v>
      </c>
      <c r="G19" s="35"/>
      <c r="H19" s="35">
        <v>1207.1106419743426</v>
      </c>
      <c r="I19" s="35"/>
      <c r="J19" s="35">
        <v>23.910450696564268</v>
      </c>
      <c r="K19" s="35"/>
      <c r="L19" s="35"/>
      <c r="M19" s="35"/>
      <c r="N19" s="35">
        <v>1.662079898703499</v>
      </c>
      <c r="O19" s="35"/>
      <c r="P19" s="35">
        <v>36.932415941470516</v>
      </c>
      <c r="Q19" s="35"/>
      <c r="R19" s="35">
        <v>4.4912034239250485</v>
      </c>
      <c r="S19" s="452"/>
      <c r="T19" s="68">
        <v>849.43658465516273</v>
      </c>
      <c r="V19" s="35">
        <v>18.823911078746807</v>
      </c>
      <c r="W19" s="35"/>
      <c r="X19" s="68">
        <v>319.36496185339922</v>
      </c>
      <c r="Y19" s="68"/>
      <c r="Z19" s="68"/>
      <c r="AA19" s="35"/>
      <c r="AB19" s="68">
        <v>23.82768445233804</v>
      </c>
      <c r="AC19" s="135"/>
      <c r="AD19" s="68">
        <v>1.3899609150620136</v>
      </c>
      <c r="AE19" s="35"/>
      <c r="AF19" s="68">
        <v>40.475003582647929</v>
      </c>
      <c r="AH19" s="68">
        <v>4.0113441710601698</v>
      </c>
      <c r="AJ19" s="68">
        <f t="shared" si="1"/>
        <v>1257.329450708417</v>
      </c>
      <c r="AK19" s="68"/>
      <c r="AL19" s="424">
        <f t="shared" si="3"/>
        <v>-0.30227781089834238</v>
      </c>
      <c r="AN19" s="140">
        <v>1257.3294507084172</v>
      </c>
      <c r="AO19" s="68">
        <f t="shared" si="2"/>
        <v>0</v>
      </c>
      <c r="AP19" s="397"/>
    </row>
    <row r="20" spans="2:42">
      <c r="B20" s="4">
        <f>MAX(B$12:B19)+1</f>
        <v>9</v>
      </c>
      <c r="C20" s="256"/>
      <c r="D20" s="7" t="s">
        <v>170</v>
      </c>
      <c r="E20" s="4"/>
      <c r="F20" s="35">
        <v>2264.6184227117315</v>
      </c>
      <c r="G20" s="35"/>
      <c r="H20" s="35">
        <v>2367.9615555349337</v>
      </c>
      <c r="I20" s="35"/>
      <c r="J20" s="35">
        <v>215.84879949943192</v>
      </c>
      <c r="K20" s="35"/>
      <c r="L20" s="35"/>
      <c r="M20" s="35"/>
      <c r="N20" s="35">
        <v>34.191490404322586</v>
      </c>
      <c r="O20" s="35"/>
      <c r="P20" s="35">
        <v>719.46119587671501</v>
      </c>
      <c r="Q20" s="35"/>
      <c r="R20" s="35">
        <v>41.417029465537894</v>
      </c>
      <c r="S20" s="452"/>
      <c r="T20" s="68">
        <v>606.64088545762479</v>
      </c>
      <c r="V20" s="35">
        <v>63.560504774719455</v>
      </c>
      <c r="W20" s="35"/>
      <c r="X20" s="68">
        <v>367.27241531614288</v>
      </c>
      <c r="Y20" s="68"/>
      <c r="Z20" s="68"/>
      <c r="AA20" s="35"/>
      <c r="AB20" s="68">
        <v>215.10163690170319</v>
      </c>
      <c r="AC20" s="135"/>
      <c r="AD20" s="68">
        <v>28.593592478194282</v>
      </c>
      <c r="AE20" s="35"/>
      <c r="AF20" s="68">
        <v>788.47250412307449</v>
      </c>
      <c r="AH20" s="68">
        <v>36.991858094020145</v>
      </c>
      <c r="AJ20" s="68">
        <f t="shared" si="1"/>
        <v>2106.6333971454796</v>
      </c>
      <c r="AK20" s="68"/>
      <c r="AL20" s="424">
        <f t="shared" si="3"/>
        <v>-6.9762315797588167E-2</v>
      </c>
      <c r="AN20" s="140">
        <v>2106.6333971454792</v>
      </c>
      <c r="AO20" s="68">
        <f t="shared" si="2"/>
        <v>0</v>
      </c>
      <c r="AP20" s="397"/>
    </row>
    <row r="21" spans="2:42">
      <c r="B21" s="4">
        <f>MAX(B$12:B20)+1</f>
        <v>10</v>
      </c>
      <c r="C21" s="256"/>
      <c r="D21" s="7" t="s">
        <v>171</v>
      </c>
      <c r="E21" s="4"/>
      <c r="F21" s="35">
        <v>38608.05887712157</v>
      </c>
      <c r="G21" s="35"/>
      <c r="H21" s="35">
        <v>40.750410090988815</v>
      </c>
      <c r="I21" s="35"/>
      <c r="J21" s="35">
        <v>550.32869750354416</v>
      </c>
      <c r="K21" s="35"/>
      <c r="L21" s="35"/>
      <c r="M21" s="35"/>
      <c r="N21" s="35">
        <v>19.975437885703734</v>
      </c>
      <c r="O21" s="35"/>
      <c r="P21" s="35">
        <v>484.16838165175238</v>
      </c>
      <c r="Q21" s="35"/>
      <c r="R21" s="35">
        <v>150.91966472771608</v>
      </c>
      <c r="S21" s="452"/>
      <c r="T21" s="68">
        <f>F21-SUM(H21:R21)</f>
        <v>37361.916285261861</v>
      </c>
      <c r="V21" s="35">
        <v>123.92922228622955</v>
      </c>
      <c r="W21" s="35"/>
      <c r="X21" s="68">
        <v>42.257140600837147</v>
      </c>
      <c r="Y21" s="68"/>
      <c r="Z21" s="68"/>
      <c r="AA21" s="35"/>
      <c r="AB21" s="68">
        <v>548.42372967335484</v>
      </c>
      <c r="AC21" s="135"/>
      <c r="AD21" s="68">
        <v>16.705019983717541</v>
      </c>
      <c r="AE21" s="35"/>
      <c r="AF21" s="68">
        <v>530.61021009337355</v>
      </c>
      <c r="AH21" s="68">
        <v>134.79476662733822</v>
      </c>
      <c r="AJ21" s="68">
        <f t="shared" si="1"/>
        <v>38758.636374526708</v>
      </c>
      <c r="AK21" s="68"/>
      <c r="AL21" s="424">
        <f t="shared" si="3"/>
        <v>3.900157163673612E-3</v>
      </c>
      <c r="AN21" s="140">
        <v>38758.636374526715</v>
      </c>
      <c r="AO21" s="68">
        <f t="shared" si="2"/>
        <v>0</v>
      </c>
      <c r="AP21" s="397"/>
    </row>
    <row r="22" spans="2:42">
      <c r="B22" s="4">
        <f>MAX(B$12:B21)+1</f>
        <v>11</v>
      </c>
      <c r="C22" s="256"/>
      <c r="D22" s="7" t="s">
        <v>455</v>
      </c>
      <c r="E22" s="4"/>
      <c r="F22" s="35">
        <v>0</v>
      </c>
      <c r="G22" s="35"/>
      <c r="H22" s="35">
        <v>0</v>
      </c>
      <c r="I22" s="35"/>
      <c r="J22" s="35">
        <v>0</v>
      </c>
      <c r="K22" s="35"/>
      <c r="L22" s="35"/>
      <c r="M22" s="35"/>
      <c r="N22" s="35">
        <v>0</v>
      </c>
      <c r="O22" s="35"/>
      <c r="P22" s="35">
        <v>0</v>
      </c>
      <c r="Q22" s="35"/>
      <c r="R22" s="35">
        <v>0</v>
      </c>
      <c r="S22" s="452"/>
      <c r="T22" s="68">
        <v>0</v>
      </c>
      <c r="V22" s="35">
        <v>0</v>
      </c>
      <c r="W22" s="35"/>
      <c r="X22" s="68">
        <v>0</v>
      </c>
      <c r="Y22" s="68"/>
      <c r="Z22" s="68"/>
      <c r="AA22" s="35"/>
      <c r="AB22" s="68">
        <v>0</v>
      </c>
      <c r="AC22" s="135"/>
      <c r="AD22" s="68">
        <v>0</v>
      </c>
      <c r="AE22" s="35"/>
      <c r="AF22" s="68">
        <v>0</v>
      </c>
      <c r="AH22" s="68">
        <v>0</v>
      </c>
      <c r="AJ22" s="68">
        <v>0</v>
      </c>
      <c r="AK22" s="68"/>
      <c r="AL22" s="424">
        <v>0</v>
      </c>
      <c r="AO22" s="68">
        <f t="shared" si="2"/>
        <v>0</v>
      </c>
      <c r="AP22" s="397"/>
    </row>
    <row r="23" spans="2:42">
      <c r="B23" s="4">
        <f>MAX(B$12:B22)+1</f>
        <v>12</v>
      </c>
      <c r="C23" s="256"/>
      <c r="D23" s="2" t="s">
        <v>467</v>
      </c>
      <c r="E23" s="4"/>
      <c r="F23" s="137">
        <f>SUM(F12:F22)</f>
        <v>3542241.2033669222</v>
      </c>
      <c r="G23" s="453"/>
      <c r="H23" s="137">
        <f>SUM(H12:H22)</f>
        <v>76208.359366172677</v>
      </c>
      <c r="I23" s="453"/>
      <c r="J23" s="137">
        <f>SUM(J12:J22)</f>
        <v>31615.943849726202</v>
      </c>
      <c r="K23" s="453"/>
      <c r="L23" s="137"/>
      <c r="M23" s="453"/>
      <c r="N23" s="137">
        <f>SUM(N12:N22)</f>
        <v>1255.405740308197</v>
      </c>
      <c r="O23" s="453"/>
      <c r="P23" s="137">
        <f>SUM(P12:P22)</f>
        <v>30545.422473142604</v>
      </c>
      <c r="Q23" s="453"/>
      <c r="R23" s="137">
        <f>SUM(R12:R22)</f>
        <v>11228.219998296772</v>
      </c>
      <c r="S23" s="67"/>
      <c r="T23" s="137">
        <f>SUM(T12:T22)</f>
        <v>3393430.2490248773</v>
      </c>
      <c r="V23" s="137">
        <f>SUM(V12:V22)</f>
        <v>39027.263069452012</v>
      </c>
      <c r="W23" s="135"/>
      <c r="X23" s="137">
        <f>SUM(X12:X22)</f>
        <v>105981.61541066345</v>
      </c>
      <c r="Y23" s="135"/>
      <c r="Z23" s="135"/>
      <c r="AA23" s="135"/>
      <c r="AB23" s="137">
        <f>SUM(AB12:AB22)</f>
        <v>31506.504970329202</v>
      </c>
      <c r="AC23" s="135"/>
      <c r="AD23" s="137">
        <f>SUM(AD12:AD22)</f>
        <v>1049.8682481714873</v>
      </c>
      <c r="AE23" s="135"/>
      <c r="AF23" s="137">
        <f>SUM(AF12:AF22)</f>
        <v>33548.526577903598</v>
      </c>
      <c r="AH23" s="137">
        <f>SUM(AH12:AH22)</f>
        <v>10028.54927514872</v>
      </c>
      <c r="AJ23" s="137">
        <f>SUM(AJ12:AJ22)</f>
        <v>3614572.5765765472</v>
      </c>
      <c r="AK23" s="453"/>
      <c r="AL23" s="425">
        <f t="shared" si="3"/>
        <v>2.0419663443831435E-2</v>
      </c>
      <c r="AN23" s="140">
        <v>3614572.5765765468</v>
      </c>
      <c r="AO23" s="68">
        <f t="shared" si="2"/>
        <v>0</v>
      </c>
      <c r="AP23" s="397"/>
    </row>
    <row r="24" spans="2:42">
      <c r="B24" s="4"/>
      <c r="C24" s="256"/>
      <c r="D24" s="256"/>
      <c r="E24" s="4"/>
      <c r="F24" s="138"/>
      <c r="G24" s="138"/>
      <c r="H24" s="453"/>
      <c r="I24" s="138"/>
      <c r="J24" s="138"/>
      <c r="K24" s="138"/>
      <c r="L24" s="138"/>
      <c r="M24" s="138"/>
      <c r="N24" s="453"/>
      <c r="O24" s="138"/>
      <c r="P24" s="138"/>
      <c r="Q24" s="138"/>
      <c r="R24" s="454"/>
      <c r="S24" s="67"/>
      <c r="T24" s="4"/>
      <c r="V24" s="135"/>
      <c r="W24" s="135"/>
      <c r="X24" s="135"/>
      <c r="Y24" s="135"/>
      <c r="Z24" s="135"/>
      <c r="AA24" s="135"/>
      <c r="AB24" s="135"/>
      <c r="AC24" s="135"/>
      <c r="AD24" s="135"/>
      <c r="AE24" s="135"/>
      <c r="AO24" s="68">
        <f t="shared" si="2"/>
        <v>0</v>
      </c>
      <c r="AP24" s="397"/>
    </row>
    <row r="25" spans="2:42">
      <c r="B25" s="4"/>
      <c r="C25" s="256"/>
      <c r="D25" s="6" t="s">
        <v>172</v>
      </c>
      <c r="E25" s="4"/>
      <c r="F25" s="138"/>
      <c r="G25" s="138"/>
      <c r="H25" s="453"/>
      <c r="I25" s="138"/>
      <c r="J25" s="138"/>
      <c r="K25" s="138"/>
      <c r="L25" s="138"/>
      <c r="M25" s="138"/>
      <c r="N25" s="453"/>
      <c r="O25" s="138"/>
      <c r="P25" s="138"/>
      <c r="Q25" s="138"/>
      <c r="R25" s="66"/>
      <c r="S25" s="67"/>
      <c r="T25" s="4"/>
      <c r="V25" s="135"/>
      <c r="W25" s="135"/>
      <c r="X25" s="135"/>
      <c r="Y25" s="135"/>
      <c r="Z25" s="135"/>
      <c r="AA25" s="135"/>
      <c r="AB25" s="135"/>
      <c r="AC25" s="135"/>
      <c r="AD25" s="135"/>
      <c r="AE25" s="135"/>
      <c r="AO25" s="68">
        <f t="shared" si="2"/>
        <v>0</v>
      </c>
      <c r="AP25" s="397"/>
    </row>
    <row r="26" spans="2:42">
      <c r="B26" s="4">
        <f>MAX(B$12:B25)+1</f>
        <v>13</v>
      </c>
      <c r="C26" s="256"/>
      <c r="D26" s="7" t="s">
        <v>173</v>
      </c>
      <c r="E26" s="4"/>
      <c r="F26" s="35">
        <v>469533.79413068452</v>
      </c>
      <c r="G26" s="35"/>
      <c r="H26" s="35">
        <v>5811.0881205523092</v>
      </c>
      <c r="I26" s="35"/>
      <c r="J26" s="35">
        <v>2800.9558375251618</v>
      </c>
      <c r="K26" s="35"/>
      <c r="L26" s="35"/>
      <c r="M26" s="35"/>
      <c r="N26" s="35">
        <v>633.99502918357121</v>
      </c>
      <c r="O26" s="35"/>
      <c r="P26" s="35">
        <v>419.94052423709411</v>
      </c>
      <c r="Q26" s="35"/>
      <c r="R26" s="35">
        <v>1855.1570796763663</v>
      </c>
      <c r="S26" s="452"/>
      <c r="T26" s="68">
        <f>F26-SUM(H26:R26)</f>
        <v>458012.65753950999</v>
      </c>
      <c r="V26" s="35">
        <v>5833.48858412355</v>
      </c>
      <c r="W26" s="35"/>
      <c r="X26" s="35">
        <v>12031.445193721327</v>
      </c>
      <c r="Y26" s="135"/>
      <c r="Z26" s="135"/>
      <c r="AA26" s="35"/>
      <c r="AB26" s="35">
        <v>2723.3095686261609</v>
      </c>
      <c r="AC26" s="135"/>
      <c r="AD26" s="35">
        <v>594.2901811550862</v>
      </c>
      <c r="AE26" s="35"/>
      <c r="AF26" s="35">
        <v>515.85658031353819</v>
      </c>
      <c r="AH26" s="35">
        <v>1857.2479959658408</v>
      </c>
      <c r="AJ26" s="68">
        <f>SUM(T26:AH26)</f>
        <v>481568.29564341548</v>
      </c>
      <c r="AK26" s="68"/>
      <c r="AL26" s="424">
        <f t="shared" ref="AL26:AL31" si="4">(AJ26-F26)/F26</f>
        <v>2.5630746206483739E-2</v>
      </c>
      <c r="AN26" s="24">
        <v>481568.29564341548</v>
      </c>
      <c r="AO26" s="68">
        <f t="shared" si="2"/>
        <v>0</v>
      </c>
      <c r="AP26" s="397"/>
    </row>
    <row r="27" spans="2:42">
      <c r="B27" s="4">
        <f>MAX(B$12:B26)+1</f>
        <v>14</v>
      </c>
      <c r="C27" s="256"/>
      <c r="D27" s="7" t="s">
        <v>174</v>
      </c>
      <c r="E27" s="4"/>
      <c r="F27" s="35">
        <v>85101.25513030446</v>
      </c>
      <c r="G27" s="35"/>
      <c r="H27" s="35">
        <v>3115.369769787249</v>
      </c>
      <c r="I27" s="35"/>
      <c r="J27" s="35">
        <v>734.4360465019023</v>
      </c>
      <c r="K27" s="35"/>
      <c r="L27" s="35"/>
      <c r="M27" s="35"/>
      <c r="N27" s="35">
        <v>54.6662150220398</v>
      </c>
      <c r="O27" s="35"/>
      <c r="P27" s="35">
        <v>128.39221721433157</v>
      </c>
      <c r="Q27" s="35"/>
      <c r="R27" s="35">
        <v>578.56725669838522</v>
      </c>
      <c r="S27" s="452"/>
      <c r="T27" s="68">
        <f>F27-SUM(H27:R27)</f>
        <v>80489.823625080549</v>
      </c>
      <c r="V27" s="35">
        <v>751.38661548193966</v>
      </c>
      <c r="W27" s="35"/>
      <c r="X27" s="35">
        <v>1653.5839539086912</v>
      </c>
      <c r="Y27" s="135"/>
      <c r="Z27" s="135"/>
      <c r="AA27" s="35"/>
      <c r="AB27" s="35">
        <v>714.07648995630973</v>
      </c>
      <c r="AC27" s="135"/>
      <c r="AD27" s="35">
        <v>51.24266489967107</v>
      </c>
      <c r="AE27" s="35"/>
      <c r="AF27" s="35">
        <v>157.71750114229079</v>
      </c>
      <c r="AH27" s="35">
        <v>579.21935010591403</v>
      </c>
      <c r="AJ27" s="68">
        <f>SUM(T27:AH27)</f>
        <v>84397.050200575366</v>
      </c>
      <c r="AK27" s="68"/>
      <c r="AL27" s="424">
        <f t="shared" si="4"/>
        <v>-8.2749065057952081E-3</v>
      </c>
      <c r="AN27" s="24">
        <v>84397.050200575381</v>
      </c>
      <c r="AO27" s="68">
        <f t="shared" si="2"/>
        <v>0</v>
      </c>
      <c r="AP27" s="397"/>
    </row>
    <row r="28" spans="2:42">
      <c r="B28" s="4">
        <f>MAX(B$12:B27)+1</f>
        <v>15</v>
      </c>
      <c r="C28" s="256"/>
      <c r="D28" s="7" t="s">
        <v>175</v>
      </c>
      <c r="E28" s="4"/>
      <c r="F28" s="35">
        <v>40514.07925320814</v>
      </c>
      <c r="G28" s="35"/>
      <c r="H28" s="35">
        <v>1925.7154706035999</v>
      </c>
      <c r="I28" s="35"/>
      <c r="J28" s="35">
        <v>196.90344974972743</v>
      </c>
      <c r="K28" s="35"/>
      <c r="L28" s="35"/>
      <c r="M28" s="35"/>
      <c r="N28" s="35">
        <v>67.252376714950017</v>
      </c>
      <c r="O28" s="35"/>
      <c r="P28" s="35">
        <v>40.689596186354336</v>
      </c>
      <c r="Q28" s="35"/>
      <c r="R28" s="35">
        <v>166.77869668835763</v>
      </c>
      <c r="S28" s="452"/>
      <c r="T28" s="68">
        <f>F28-SUM(H28:R28)</f>
        <v>38116.739663265151</v>
      </c>
      <c r="V28" s="35">
        <v>774.11949731113589</v>
      </c>
      <c r="W28" s="35"/>
      <c r="X28" s="35">
        <v>1314.4475566860162</v>
      </c>
      <c r="Y28" s="135"/>
      <c r="Z28" s="135"/>
      <c r="AA28" s="35"/>
      <c r="AB28" s="35">
        <v>191.4450208799899</v>
      </c>
      <c r="AC28" s="135"/>
      <c r="AD28" s="35">
        <v>63.040600164493227</v>
      </c>
      <c r="AE28" s="35"/>
      <c r="AF28" s="35">
        <v>49.983258894016153</v>
      </c>
      <c r="AH28" s="35">
        <v>166.96667014756673</v>
      </c>
      <c r="AJ28" s="68">
        <f>SUM(T28:AH28)</f>
        <v>40676.742267348367</v>
      </c>
      <c r="AK28" s="68"/>
      <c r="AL28" s="424">
        <f t="shared" si="4"/>
        <v>4.0149749701481087E-3</v>
      </c>
      <c r="AN28" s="24">
        <v>40676.742267348374</v>
      </c>
      <c r="AO28" s="68">
        <f t="shared" si="2"/>
        <v>0</v>
      </c>
      <c r="AP28" s="397"/>
    </row>
    <row r="29" spans="2:42">
      <c r="B29" s="4">
        <f>MAX(B$12:B28)+1</f>
        <v>16</v>
      </c>
      <c r="C29" s="256"/>
      <c r="D29" s="7" t="s">
        <v>176</v>
      </c>
      <c r="E29" s="4"/>
      <c r="F29" s="35">
        <v>6183.5873631430495</v>
      </c>
      <c r="G29" s="35"/>
      <c r="H29" s="35">
        <v>40.181023528609991</v>
      </c>
      <c r="I29" s="35"/>
      <c r="J29" s="35">
        <v>0</v>
      </c>
      <c r="K29" s="35"/>
      <c r="L29" s="35"/>
      <c r="M29" s="35"/>
      <c r="N29" s="35">
        <v>14.737676449939997</v>
      </c>
      <c r="O29" s="35"/>
      <c r="P29" s="35">
        <v>0</v>
      </c>
      <c r="Q29" s="35"/>
      <c r="R29" s="35">
        <v>0</v>
      </c>
      <c r="S29" s="452"/>
      <c r="T29" s="68">
        <f>F29-SUM(H29:R29)</f>
        <v>6128.6686631644998</v>
      </c>
      <c r="V29" s="35">
        <v>130.09858400395507</v>
      </c>
      <c r="W29" s="35"/>
      <c r="X29" s="35">
        <v>78.99750173563443</v>
      </c>
      <c r="Y29" s="135"/>
      <c r="Z29" s="135"/>
      <c r="AA29" s="35"/>
      <c r="AB29" s="35">
        <v>0</v>
      </c>
      <c r="AC29" s="135"/>
      <c r="AD29" s="35">
        <v>13.814708324320168</v>
      </c>
      <c r="AE29" s="35"/>
      <c r="AF29" s="35">
        <v>0</v>
      </c>
      <c r="AH29" s="35">
        <v>0</v>
      </c>
      <c r="AJ29" s="68">
        <f>SUM(T29:AH29)</f>
        <v>6351.5794572284094</v>
      </c>
      <c r="AK29" s="68"/>
      <c r="AL29" s="424">
        <f t="shared" si="4"/>
        <v>2.7167416617523352E-2</v>
      </c>
      <c r="AN29" s="24">
        <v>6351.5794572284094</v>
      </c>
      <c r="AO29" s="68">
        <f t="shared" si="2"/>
        <v>0</v>
      </c>
      <c r="AP29" s="397"/>
    </row>
    <row r="30" spans="2:42">
      <c r="B30" s="4">
        <f>MAX(B$12:B29)+1</f>
        <v>17</v>
      </c>
      <c r="C30" s="256"/>
      <c r="D30" s="7" t="s">
        <v>164</v>
      </c>
      <c r="E30" s="4"/>
      <c r="F30" s="35">
        <v>11827.382435304869</v>
      </c>
      <c r="G30" s="35"/>
      <c r="H30" s="35">
        <v>1224.9183929174201</v>
      </c>
      <c r="I30" s="35"/>
      <c r="J30" s="35">
        <v>13.760700020675317</v>
      </c>
      <c r="K30" s="35"/>
      <c r="L30" s="35"/>
      <c r="M30" s="35"/>
      <c r="N30" s="35">
        <v>23.194032140369998</v>
      </c>
      <c r="O30" s="35"/>
      <c r="P30" s="35">
        <v>0</v>
      </c>
      <c r="Q30" s="35"/>
      <c r="R30" s="35">
        <v>0</v>
      </c>
      <c r="S30" s="452"/>
      <c r="T30" s="68">
        <f>F30-SUM(H30:R30)</f>
        <v>10565.509310226404</v>
      </c>
      <c r="V30" s="35">
        <v>284.90082297846345</v>
      </c>
      <c r="W30" s="35"/>
      <c r="X30" s="35">
        <v>905.45719952283821</v>
      </c>
      <c r="Y30" s="135"/>
      <c r="Z30" s="135"/>
      <c r="AA30" s="35"/>
      <c r="AB30" s="35">
        <v>13.37923487947986</v>
      </c>
      <c r="AC30" s="135"/>
      <c r="AD30" s="35">
        <v>21.741472610862168</v>
      </c>
      <c r="AE30" s="35"/>
      <c r="AF30" s="35">
        <v>0</v>
      </c>
      <c r="AH30" s="35">
        <v>0</v>
      </c>
      <c r="AJ30" s="68">
        <f>SUM(T30:AH30)</f>
        <v>11790.988040218046</v>
      </c>
      <c r="AK30" s="68"/>
      <c r="AL30" s="424">
        <f t="shared" si="4"/>
        <v>-3.0771301499633321E-3</v>
      </c>
      <c r="AN30" s="24">
        <v>11790.988040218046</v>
      </c>
      <c r="AO30" s="68">
        <f t="shared" si="2"/>
        <v>0</v>
      </c>
      <c r="AP30" s="397"/>
    </row>
    <row r="31" spans="2:42">
      <c r="B31" s="4">
        <f>MAX(B$12:B30)+1</f>
        <v>18</v>
      </c>
      <c r="C31" s="256"/>
      <c r="D31" s="2" t="s">
        <v>475</v>
      </c>
      <c r="E31" s="4"/>
      <c r="F31" s="137">
        <f>SUM(F26:F30)</f>
        <v>613160.09831264499</v>
      </c>
      <c r="G31" s="453"/>
      <c r="H31" s="137">
        <f>SUM(H26:H30)</f>
        <v>12117.272777389187</v>
      </c>
      <c r="I31" s="453"/>
      <c r="J31" s="137">
        <f>SUM(J26:J30)</f>
        <v>3746.0560337974666</v>
      </c>
      <c r="K31" s="453"/>
      <c r="L31" s="137"/>
      <c r="M31" s="453"/>
      <c r="N31" s="137">
        <f>SUM(N26:N30)</f>
        <v>793.84532951087101</v>
      </c>
      <c r="O31" s="453"/>
      <c r="P31" s="137">
        <f>SUM(P26:P30)</f>
        <v>589.02233763778008</v>
      </c>
      <c r="Q31" s="453"/>
      <c r="R31" s="137">
        <f>SUM(R26:R30)</f>
        <v>2600.5030330631093</v>
      </c>
      <c r="S31" s="67"/>
      <c r="T31" s="137">
        <f>SUM(T26:T30)</f>
        <v>593313.39880124666</v>
      </c>
      <c r="V31" s="137">
        <f>SUM(V26:V30)</f>
        <v>7773.9941038990437</v>
      </c>
      <c r="W31" s="135"/>
      <c r="X31" s="137">
        <f>SUM(X26:X30)</f>
        <v>15983.931405574507</v>
      </c>
      <c r="Y31" s="135"/>
      <c r="Z31" s="135"/>
      <c r="AA31" s="135"/>
      <c r="AB31" s="137">
        <f>SUM(AB26:AB30)</f>
        <v>3642.2103143419404</v>
      </c>
      <c r="AC31" s="135"/>
      <c r="AD31" s="137">
        <f>SUM(AD26:AD30)</f>
        <v>744.1296271544328</v>
      </c>
      <c r="AE31" s="135"/>
      <c r="AF31" s="137">
        <f>SUM(AF26:AF30)</f>
        <v>723.55734034984505</v>
      </c>
      <c r="AH31" s="137">
        <f>SUM(AH26:AH30)</f>
        <v>2603.4340162193216</v>
      </c>
      <c r="AJ31" s="137">
        <f>SUM(AJ26:AJ30)</f>
        <v>624784.65560878557</v>
      </c>
      <c r="AK31" s="453"/>
      <c r="AL31" s="425">
        <f t="shared" si="4"/>
        <v>1.8958437328407702E-2</v>
      </c>
      <c r="AN31" s="137">
        <f>SUM(AN26:AN30)</f>
        <v>624784.65560878557</v>
      </c>
      <c r="AO31" s="68">
        <f t="shared" si="2"/>
        <v>0</v>
      </c>
      <c r="AP31" s="397"/>
    </row>
    <row r="32" spans="2:42">
      <c r="B32" s="4"/>
      <c r="C32" s="256"/>
      <c r="D32" s="256"/>
      <c r="E32" s="4"/>
      <c r="F32" s="138"/>
      <c r="G32" s="138"/>
      <c r="H32" s="453"/>
      <c r="I32" s="138"/>
      <c r="J32" s="138"/>
      <c r="K32" s="138"/>
      <c r="L32" s="138"/>
      <c r="M32" s="138"/>
      <c r="N32" s="453"/>
      <c r="O32" s="138"/>
      <c r="P32" s="138"/>
      <c r="Q32" s="138"/>
      <c r="R32" s="454"/>
      <c r="S32" s="144"/>
      <c r="T32" s="4"/>
      <c r="V32" s="135"/>
      <c r="W32" s="135"/>
      <c r="X32" s="135"/>
      <c r="Y32" s="135"/>
      <c r="Z32" s="135"/>
      <c r="AA32" s="135"/>
      <c r="AB32" s="135"/>
      <c r="AC32" s="135"/>
      <c r="AD32" s="135"/>
      <c r="AE32" s="135"/>
      <c r="AO32" s="68">
        <f t="shared" si="2"/>
        <v>0</v>
      </c>
      <c r="AP32" s="397"/>
    </row>
    <row r="33" spans="2:42">
      <c r="B33" s="4"/>
      <c r="C33" s="256"/>
      <c r="D33" s="10" t="s">
        <v>177</v>
      </c>
      <c r="E33" s="4"/>
      <c r="F33" s="138"/>
      <c r="G33" s="138"/>
      <c r="H33" s="453"/>
      <c r="I33" s="138"/>
      <c r="J33" s="138"/>
      <c r="K33" s="138"/>
      <c r="L33" s="138"/>
      <c r="M33" s="138"/>
      <c r="N33" s="453"/>
      <c r="O33" s="138"/>
      <c r="P33" s="138"/>
      <c r="Q33" s="138"/>
      <c r="R33" s="454"/>
      <c r="S33" s="67"/>
      <c r="T33" s="4"/>
      <c r="V33" s="135"/>
      <c r="W33" s="135"/>
      <c r="X33" s="135"/>
      <c r="Y33" s="135"/>
      <c r="Z33" s="135"/>
      <c r="AA33" s="135"/>
      <c r="AB33" s="135"/>
      <c r="AC33" s="135"/>
      <c r="AD33" s="135"/>
      <c r="AE33" s="135"/>
      <c r="AO33" s="68">
        <f t="shared" si="2"/>
        <v>0</v>
      </c>
      <c r="AP33" s="397"/>
    </row>
    <row r="34" spans="2:42">
      <c r="B34" s="4">
        <f>MAX(B$12:B33)+1</f>
        <v>19</v>
      </c>
      <c r="C34" s="256"/>
      <c r="D34" s="455" t="s">
        <v>178</v>
      </c>
      <c r="E34" s="4"/>
      <c r="F34" s="35">
        <v>1183713.1308576674</v>
      </c>
      <c r="G34" s="35"/>
      <c r="H34" s="35">
        <v>28884.146068647893</v>
      </c>
      <c r="I34" s="35"/>
      <c r="J34" s="35">
        <v>7786.8639725367757</v>
      </c>
      <c r="K34" s="35"/>
      <c r="L34" s="35"/>
      <c r="M34" s="35"/>
      <c r="N34" s="35">
        <v>1662.2711717529742</v>
      </c>
      <c r="O34" s="35"/>
      <c r="P34" s="35">
        <v>2033.0541288685467</v>
      </c>
      <c r="Q34" s="35"/>
      <c r="R34" s="35">
        <v>2183.0645940097743</v>
      </c>
      <c r="S34" s="452"/>
      <c r="T34" s="68">
        <f t="shared" ref="T34:T42" si="5">F34-SUM(H34:R34)</f>
        <v>1141163.7309218515</v>
      </c>
      <c r="V34" s="35">
        <v>13772.742342162532</v>
      </c>
      <c r="W34" s="35"/>
      <c r="X34" s="35">
        <v>39316.961995591795</v>
      </c>
      <c r="Y34" s="135"/>
      <c r="Z34" s="135"/>
      <c r="AA34" s="35"/>
      <c r="AB34" s="35">
        <v>7570.9035169613735</v>
      </c>
      <c r="AC34" s="135"/>
      <c r="AD34" s="35">
        <v>1558.1690554610284</v>
      </c>
      <c r="AE34" s="35"/>
      <c r="AF34" s="35">
        <v>2497.4116332681588</v>
      </c>
      <c r="AH34" s="35">
        <v>2185.5250893341854</v>
      </c>
      <c r="AJ34" s="68">
        <f t="shared" ref="AJ34:AJ42" si="6">SUM(T34:AH34)</f>
        <v>1208065.4445546307</v>
      </c>
      <c r="AK34" s="68"/>
      <c r="AL34" s="424">
        <f t="shared" ref="AL34:AL60" si="7">(AJ34-F34)/F34</f>
        <v>2.0572817063639913E-2</v>
      </c>
      <c r="AN34" s="24">
        <v>1208065.4445546307</v>
      </c>
      <c r="AO34" s="68">
        <f t="shared" si="2"/>
        <v>0</v>
      </c>
      <c r="AP34" s="397"/>
    </row>
    <row r="35" spans="2:42">
      <c r="B35" s="4">
        <f>MAX(B$12:B34)+1</f>
        <v>20</v>
      </c>
      <c r="C35" s="256"/>
      <c r="D35" s="455" t="s">
        <v>179</v>
      </c>
      <c r="E35" s="4"/>
      <c r="F35" s="35">
        <v>242478.99694227398</v>
      </c>
      <c r="G35" s="35"/>
      <c r="H35" s="35">
        <v>12067.962053130181</v>
      </c>
      <c r="I35" s="35"/>
      <c r="J35" s="35">
        <v>2655.5326168623533</v>
      </c>
      <c r="K35" s="35"/>
      <c r="L35" s="35"/>
      <c r="M35" s="35"/>
      <c r="N35" s="35">
        <v>179.18666996406699</v>
      </c>
      <c r="O35" s="35"/>
      <c r="P35" s="35">
        <v>775.9686179721092</v>
      </c>
      <c r="Q35" s="35"/>
      <c r="R35" s="35">
        <v>884.99160096949186</v>
      </c>
      <c r="S35" s="452"/>
      <c r="T35" s="68">
        <f t="shared" si="5"/>
        <v>225915.35538337578</v>
      </c>
      <c r="V35" s="35">
        <v>2129.783815038536</v>
      </c>
      <c r="W35" s="35"/>
      <c r="X35" s="35">
        <v>7054.8124410259497</v>
      </c>
      <c r="Y35" s="135"/>
      <c r="Z35" s="135"/>
      <c r="AA35" s="35"/>
      <c r="AB35" s="35">
        <v>2581.3361329181394</v>
      </c>
      <c r="AC35" s="135"/>
      <c r="AD35" s="35">
        <v>167.96484775385909</v>
      </c>
      <c r="AE35" s="35"/>
      <c r="AF35" s="35">
        <v>953.2028813483023</v>
      </c>
      <c r="AH35" s="35">
        <v>885.98906009292</v>
      </c>
      <c r="AJ35" s="68">
        <f t="shared" si="6"/>
        <v>239688.44456155348</v>
      </c>
      <c r="AK35" s="68"/>
      <c r="AL35" s="424">
        <f t="shared" si="7"/>
        <v>-1.1508429249172614E-2</v>
      </c>
      <c r="AN35" s="24">
        <v>239688.44456155348</v>
      </c>
      <c r="AO35" s="68">
        <f t="shared" si="2"/>
        <v>0</v>
      </c>
      <c r="AP35" s="397"/>
    </row>
    <row r="36" spans="2:42">
      <c r="B36" s="4">
        <f>MAX(B$12:B35)+1</f>
        <v>21</v>
      </c>
      <c r="C36" s="256"/>
      <c r="D36" s="455" t="s">
        <v>180</v>
      </c>
      <c r="E36" s="4"/>
      <c r="F36" s="35">
        <v>48579.546556543355</v>
      </c>
      <c r="G36" s="35"/>
      <c r="H36" s="35">
        <v>5157.8186822260795</v>
      </c>
      <c r="I36" s="35"/>
      <c r="J36" s="35">
        <v>407.9442644714328</v>
      </c>
      <c r="K36" s="35"/>
      <c r="L36" s="35"/>
      <c r="M36" s="35"/>
      <c r="N36" s="35">
        <v>118.18766861766194</v>
      </c>
      <c r="O36" s="35"/>
      <c r="P36" s="35">
        <v>563.35125717319295</v>
      </c>
      <c r="Q36" s="35"/>
      <c r="R36" s="35">
        <v>650.01899891327685</v>
      </c>
      <c r="S36" s="452"/>
      <c r="T36" s="68">
        <f t="shared" si="5"/>
        <v>41682.225685141711</v>
      </c>
      <c r="V36" s="35">
        <v>791.65020089495863</v>
      </c>
      <c r="W36" s="35"/>
      <c r="X36" s="35">
        <v>5535.3551001856013</v>
      </c>
      <c r="Y36" s="135"/>
      <c r="Z36" s="135"/>
      <c r="AA36" s="35"/>
      <c r="AB36" s="35">
        <v>396.63549993091812</v>
      </c>
      <c r="AC36" s="135"/>
      <c r="AD36" s="35">
        <v>110.78599635636968</v>
      </c>
      <c r="AE36" s="35"/>
      <c r="AF36" s="35">
        <v>692.02288483266614</v>
      </c>
      <c r="AH36" s="35">
        <v>650.75162437566246</v>
      </c>
      <c r="AJ36" s="68">
        <f t="shared" si="6"/>
        <v>49859.42699171789</v>
      </c>
      <c r="AK36" s="68"/>
      <c r="AL36" s="424">
        <f t="shared" si="7"/>
        <v>2.6346076196591076E-2</v>
      </c>
      <c r="AN36" s="24">
        <v>49859.42699171789</v>
      </c>
      <c r="AO36" s="68">
        <f t="shared" si="2"/>
        <v>0</v>
      </c>
      <c r="AP36" s="397"/>
    </row>
    <row r="37" spans="2:42">
      <c r="B37" s="4">
        <f>MAX(B$12:B36)+1</f>
        <v>22</v>
      </c>
      <c r="C37" s="256"/>
      <c r="D37" s="455" t="s">
        <v>181</v>
      </c>
      <c r="E37" s="4"/>
      <c r="F37" s="35">
        <v>3213.8734753506542</v>
      </c>
      <c r="G37" s="35"/>
      <c r="H37" s="35">
        <v>513.786125051</v>
      </c>
      <c r="I37" s="35"/>
      <c r="J37" s="35">
        <v>504.22309514895608</v>
      </c>
      <c r="K37" s="35"/>
      <c r="L37" s="35"/>
      <c r="M37" s="35"/>
      <c r="N37" s="35">
        <v>9.0967746290458837</v>
      </c>
      <c r="O37" s="35"/>
      <c r="P37" s="35">
        <v>47.995515664411222</v>
      </c>
      <c r="Q37" s="35"/>
      <c r="R37" s="35">
        <v>36.626981708674684</v>
      </c>
      <c r="S37" s="452"/>
      <c r="T37" s="68">
        <f t="shared" si="5"/>
        <v>2102.1449831485661</v>
      </c>
      <c r="V37" s="35">
        <v>44.644424493685733</v>
      </c>
      <c r="W37" s="35"/>
      <c r="X37" s="35">
        <v>388.73937828172734</v>
      </c>
      <c r="Y37" s="135"/>
      <c r="Z37" s="135"/>
      <c r="AA37" s="35"/>
      <c r="AB37" s="35">
        <v>490.24535172776291</v>
      </c>
      <c r="AC37" s="135"/>
      <c r="AD37" s="35">
        <v>8.5270760705875244</v>
      </c>
      <c r="AE37" s="35"/>
      <c r="AF37" s="35">
        <v>58.95787891870485</v>
      </c>
      <c r="AH37" s="35">
        <v>36.668263362680136</v>
      </c>
      <c r="AJ37" s="68">
        <f t="shared" si="6"/>
        <v>3129.9273560037141</v>
      </c>
      <c r="AK37" s="68"/>
      <c r="AL37" s="424">
        <f t="shared" si="7"/>
        <v>-2.611992039847837E-2</v>
      </c>
      <c r="AN37" s="24">
        <v>3129.927356003715</v>
      </c>
      <c r="AO37" s="68">
        <f t="shared" si="2"/>
        <v>0</v>
      </c>
      <c r="AP37" s="397"/>
    </row>
    <row r="38" spans="2:42">
      <c r="B38" s="4">
        <f>MAX(B$12:B37)+1</f>
        <v>23</v>
      </c>
      <c r="C38" s="256"/>
      <c r="D38" s="455" t="s">
        <v>182</v>
      </c>
      <c r="E38" s="4"/>
      <c r="F38" s="35">
        <v>37165.148965774591</v>
      </c>
      <c r="G38" s="35"/>
      <c r="H38" s="35">
        <v>2364.1091183112503</v>
      </c>
      <c r="I38" s="35"/>
      <c r="J38" s="35">
        <v>143.02737771982905</v>
      </c>
      <c r="K38" s="35"/>
      <c r="L38" s="35"/>
      <c r="M38" s="35"/>
      <c r="N38" s="35">
        <v>106.71630746656433</v>
      </c>
      <c r="O38" s="35"/>
      <c r="P38" s="35">
        <v>665.37093368938702</v>
      </c>
      <c r="Q38" s="35"/>
      <c r="R38" s="35">
        <v>966.64360229889542</v>
      </c>
      <c r="S38" s="452"/>
      <c r="T38" s="68">
        <f t="shared" si="5"/>
        <v>32919.281626288663</v>
      </c>
      <c r="V38" s="35">
        <v>688.25431113211539</v>
      </c>
      <c r="W38" s="35"/>
      <c r="X38" s="35">
        <v>4188.4720524989989</v>
      </c>
      <c r="Y38" s="135"/>
      <c r="Z38" s="135"/>
      <c r="AA38" s="35"/>
      <c r="AB38" s="35">
        <v>139.06246614158559</v>
      </c>
      <c r="AC38" s="135"/>
      <c r="AD38" s="35">
        <v>100.03304565049389</v>
      </c>
      <c r="AE38" s="35"/>
      <c r="AF38" s="35">
        <v>817.34425396689221</v>
      </c>
      <c r="AH38" s="35">
        <v>967.733090017378</v>
      </c>
      <c r="AJ38" s="68">
        <f t="shared" si="6"/>
        <v>39820.180845696123</v>
      </c>
      <c r="AK38" s="68"/>
      <c r="AL38" s="424">
        <f t="shared" si="7"/>
        <v>7.14387525357843E-2</v>
      </c>
      <c r="AN38" s="24">
        <v>39820.180845696123</v>
      </c>
      <c r="AO38" s="68">
        <f t="shared" si="2"/>
        <v>0</v>
      </c>
      <c r="AP38" s="397"/>
    </row>
    <row r="39" spans="2:42">
      <c r="B39" s="4">
        <f>MAX(B$12:B38)+1</f>
        <v>24</v>
      </c>
      <c r="C39" s="256"/>
      <c r="D39" s="455" t="s">
        <v>183</v>
      </c>
      <c r="E39" s="4"/>
      <c r="F39" s="35">
        <v>5162.6512662408004</v>
      </c>
      <c r="G39" s="35"/>
      <c r="H39" s="35">
        <v>16.88309688</v>
      </c>
      <c r="I39" s="35"/>
      <c r="J39" s="35">
        <v>65.613483750987882</v>
      </c>
      <c r="K39" s="35"/>
      <c r="L39" s="35"/>
      <c r="M39" s="35"/>
      <c r="N39" s="35">
        <v>2.8522366222343125</v>
      </c>
      <c r="O39" s="35"/>
      <c r="P39" s="35">
        <v>53.547075007156863</v>
      </c>
      <c r="Q39" s="35"/>
      <c r="R39" s="35">
        <v>75.954499308342562</v>
      </c>
      <c r="S39" s="452"/>
      <c r="T39" s="68">
        <f t="shared" si="5"/>
        <v>4947.8008746720789</v>
      </c>
      <c r="V39" s="35">
        <v>45.62420638554272</v>
      </c>
      <c r="W39" s="35"/>
      <c r="X39" s="35">
        <v>17.720613264513492</v>
      </c>
      <c r="Y39" s="135"/>
      <c r="Z39" s="135"/>
      <c r="AA39" s="35"/>
      <c r="AB39" s="35">
        <v>63.794589595473241</v>
      </c>
      <c r="AC39" s="135"/>
      <c r="AD39" s="35">
        <v>2.6736112128633147</v>
      </c>
      <c r="AE39" s="35"/>
      <c r="AF39" s="35">
        <v>65.777436100425092</v>
      </c>
      <c r="AH39" s="35">
        <v>76.040106344858529</v>
      </c>
      <c r="AJ39" s="68">
        <f t="shared" si="6"/>
        <v>5219.4314375757558</v>
      </c>
      <c r="AK39" s="68"/>
      <c r="AL39" s="424">
        <f t="shared" si="7"/>
        <v>1.0998258144269361E-2</v>
      </c>
      <c r="AN39" s="24">
        <v>5219.4314375757549</v>
      </c>
      <c r="AO39" s="68">
        <f t="shared" si="2"/>
        <v>0</v>
      </c>
      <c r="AP39" s="397"/>
    </row>
    <row r="40" spans="2:42">
      <c r="B40" s="4">
        <f>MAX(B$12:B39)+1</f>
        <v>25</v>
      </c>
      <c r="D40" s="455" t="s">
        <v>184</v>
      </c>
      <c r="E40" s="4"/>
      <c r="F40" s="35">
        <v>14792.815020216502</v>
      </c>
      <c r="G40" s="35"/>
      <c r="H40" s="35">
        <v>1634.7029693331499</v>
      </c>
      <c r="I40" s="35"/>
      <c r="J40" s="35">
        <v>0</v>
      </c>
      <c r="K40" s="35"/>
      <c r="L40" s="35"/>
      <c r="M40" s="35"/>
      <c r="N40" s="35">
        <v>31.389357744205046</v>
      </c>
      <c r="O40" s="35"/>
      <c r="P40" s="35">
        <v>154.05655875252384</v>
      </c>
      <c r="Q40" s="35"/>
      <c r="R40" s="35">
        <v>244.41388709747616</v>
      </c>
      <c r="S40" s="452"/>
      <c r="T40" s="68">
        <f t="shared" si="5"/>
        <v>12728.252247289147</v>
      </c>
      <c r="V40" s="35">
        <v>341.82395241691881</v>
      </c>
      <c r="W40" s="35"/>
      <c r="X40" s="35">
        <v>965.15650932865947</v>
      </c>
      <c r="Y40" s="135"/>
      <c r="Z40" s="135"/>
      <c r="AA40" s="35"/>
      <c r="AB40" s="35">
        <v>0</v>
      </c>
      <c r="AC40" s="135"/>
      <c r="AD40" s="35">
        <v>29.423554194372251</v>
      </c>
      <c r="AE40" s="35"/>
      <c r="AF40" s="35">
        <v>187.99442747031659</v>
      </c>
      <c r="AH40" s="35">
        <v>243.07409816296237</v>
      </c>
      <c r="AJ40" s="68">
        <f t="shared" si="6"/>
        <v>14495.724788862375</v>
      </c>
      <c r="AK40" s="68"/>
      <c r="AL40" s="424">
        <f t="shared" si="7"/>
        <v>-2.008341420805371E-2</v>
      </c>
      <c r="AN40" s="24">
        <v>14495.724788862375</v>
      </c>
      <c r="AO40" s="68">
        <f t="shared" si="2"/>
        <v>0</v>
      </c>
      <c r="AP40" s="397"/>
    </row>
    <row r="41" spans="2:42">
      <c r="B41" s="4">
        <f>MAX(B$12:B40)+1</f>
        <v>26</v>
      </c>
      <c r="D41" s="455" t="s">
        <v>185</v>
      </c>
      <c r="E41" s="4"/>
      <c r="F41" s="35">
        <v>83779.159081868158</v>
      </c>
      <c r="G41" s="35"/>
      <c r="H41" s="35">
        <v>4800.1659263247493</v>
      </c>
      <c r="I41" s="35"/>
      <c r="J41" s="35">
        <v>0</v>
      </c>
      <c r="K41" s="35"/>
      <c r="L41" s="35"/>
      <c r="M41" s="35"/>
      <c r="N41" s="35">
        <v>109.9260462507728</v>
      </c>
      <c r="O41" s="35"/>
      <c r="P41" s="35">
        <v>2565.4189413444342</v>
      </c>
      <c r="Q41" s="35"/>
      <c r="R41" s="35">
        <v>1387.0988552155645</v>
      </c>
      <c r="S41" s="452"/>
      <c r="T41" s="68">
        <f t="shared" si="5"/>
        <v>74916.549312732634</v>
      </c>
      <c r="V41" s="35">
        <v>2006.0112150111829</v>
      </c>
      <c r="W41" s="35"/>
      <c r="X41" s="35">
        <v>3537.6584435522946</v>
      </c>
      <c r="Y41" s="135"/>
      <c r="Z41" s="135"/>
      <c r="AA41" s="35"/>
      <c r="AB41" s="35">
        <v>0</v>
      </c>
      <c r="AC41" s="135"/>
      <c r="AD41" s="35">
        <v>103.04176993967982</v>
      </c>
      <c r="AE41" s="35"/>
      <c r="AF41" s="35">
        <v>3130.5675591150493</v>
      </c>
      <c r="AH41" s="35">
        <v>1379.4952786783876</v>
      </c>
      <c r="AJ41" s="68">
        <f t="shared" si="6"/>
        <v>85073.323579029224</v>
      </c>
      <c r="AK41" s="68"/>
      <c r="AL41" s="424">
        <f t="shared" si="7"/>
        <v>1.5447332144936203E-2</v>
      </c>
      <c r="AN41" s="24">
        <v>85073.323579029209</v>
      </c>
      <c r="AP41" s="397"/>
    </row>
    <row r="42" spans="2:42">
      <c r="B42" s="4">
        <f>MAX(B$12:B41)+1</f>
        <v>27</v>
      </c>
      <c r="D42" s="455" t="s">
        <v>186</v>
      </c>
      <c r="E42" s="4"/>
      <c r="F42" s="35">
        <v>8182.6378750708709</v>
      </c>
      <c r="G42" s="35"/>
      <c r="H42" s="35">
        <v>106.2576</v>
      </c>
      <c r="I42" s="35"/>
      <c r="J42" s="35">
        <v>0</v>
      </c>
      <c r="K42" s="35"/>
      <c r="L42" s="35"/>
      <c r="M42" s="35"/>
      <c r="N42" s="35">
        <v>10.217205964270001</v>
      </c>
      <c r="O42" s="35"/>
      <c r="P42" s="35">
        <v>163.59611982924099</v>
      </c>
      <c r="Q42" s="35"/>
      <c r="R42" s="35">
        <v>205.02580077075902</v>
      </c>
      <c r="S42" s="452"/>
      <c r="T42" s="68">
        <f t="shared" si="5"/>
        <v>7697.5411485066006</v>
      </c>
      <c r="V42" s="35">
        <v>207.5655554055943</v>
      </c>
      <c r="W42" s="35"/>
      <c r="X42" s="35">
        <v>111.50384979625936</v>
      </c>
      <c r="Y42" s="135"/>
      <c r="Z42" s="135"/>
      <c r="AA42" s="35"/>
      <c r="AB42" s="35">
        <v>0</v>
      </c>
      <c r="AC42" s="135"/>
      <c r="AD42" s="35">
        <v>9.5773387864319055</v>
      </c>
      <c r="AE42" s="35"/>
      <c r="AF42" s="35">
        <v>199.63550486070835</v>
      </c>
      <c r="AH42" s="35">
        <v>203.90192314488201</v>
      </c>
      <c r="AJ42" s="68">
        <f t="shared" si="6"/>
        <v>8429.7253205004763</v>
      </c>
      <c r="AK42" s="68"/>
      <c r="AL42" s="424">
        <f t="shared" si="7"/>
        <v>3.0196551430239766E-2</v>
      </c>
      <c r="AN42" s="24">
        <v>8429.7253205004781</v>
      </c>
      <c r="AP42" s="397"/>
    </row>
    <row r="43" spans="2:42">
      <c r="B43" s="4">
        <f>MAX(B$12:B42)+1</f>
        <v>28</v>
      </c>
      <c r="C43" s="256"/>
      <c r="D43" s="256" t="s">
        <v>490</v>
      </c>
      <c r="F43" s="137">
        <f>SUM(F34:F42)</f>
        <v>1627067.9600410061</v>
      </c>
      <c r="G43" s="453"/>
      <c r="H43" s="137">
        <f>SUM(H34:H42)</f>
        <v>55545.831639904303</v>
      </c>
      <c r="I43" s="453"/>
      <c r="J43" s="137">
        <f>SUM(J34:J42)</f>
        <v>11563.204810490335</v>
      </c>
      <c r="K43" s="453"/>
      <c r="L43" s="453"/>
      <c r="M43" s="453"/>
      <c r="N43" s="137">
        <f>SUM(N34:N42)</f>
        <v>2229.8434390117955</v>
      </c>
      <c r="O43" s="453"/>
      <c r="P43" s="137">
        <f>SUM(P34:P42)</f>
        <v>7022.3591483010023</v>
      </c>
      <c r="Q43" s="453"/>
      <c r="R43" s="137">
        <f>SUM(R34:R42)</f>
        <v>6633.8388202922551</v>
      </c>
      <c r="S43" s="67"/>
      <c r="T43" s="137">
        <f>SUM(T34:T42)</f>
        <v>1544072.8821830065</v>
      </c>
      <c r="V43" s="137">
        <f>SUM(V34:V42)</f>
        <v>20028.100022941064</v>
      </c>
      <c r="X43" s="137">
        <f>SUM(X34:X42)</f>
        <v>61116.380383525808</v>
      </c>
      <c r="AB43" s="137">
        <f>SUM(AB34:AB42)</f>
        <v>11241.977557275253</v>
      </c>
      <c r="AD43" s="137">
        <f>SUM(AD34:AD42)</f>
        <v>2090.196295425686</v>
      </c>
      <c r="AF43" s="137">
        <f>SUM(AF34:AF42)</f>
        <v>8602.9144598812236</v>
      </c>
      <c r="AH43" s="137">
        <f>SUM(AH34:AH42)</f>
        <v>6629.1785335139175</v>
      </c>
      <c r="AJ43" s="137">
        <f>SUM(AJ34:AJ42)</f>
        <v>1653781.6294355695</v>
      </c>
      <c r="AK43" s="453"/>
      <c r="AL43" s="425">
        <f t="shared" si="7"/>
        <v>1.6418287404473361E-2</v>
      </c>
      <c r="AN43" s="137">
        <f>SUM(AN34:AN42)</f>
        <v>1653781.6294355695</v>
      </c>
      <c r="AP43" s="397"/>
    </row>
    <row r="44" spans="2:42">
      <c r="B44" s="12"/>
      <c r="C44" s="256"/>
      <c r="D44" s="4"/>
      <c r="F44" s="138"/>
      <c r="G44" s="138"/>
      <c r="H44" s="138"/>
      <c r="I44" s="138"/>
      <c r="J44" s="138"/>
      <c r="K44" s="138"/>
      <c r="L44" s="138"/>
      <c r="M44" s="138"/>
      <c r="N44" s="138"/>
      <c r="O44" s="35"/>
      <c r="P44" s="35"/>
      <c r="Q44" s="138"/>
      <c r="R44" s="138"/>
      <c r="S44" s="144"/>
      <c r="T44" s="138"/>
      <c r="V44" s="138"/>
      <c r="X44" s="138"/>
      <c r="AB44" s="138"/>
      <c r="AD44" s="138"/>
      <c r="AF44" s="138"/>
      <c r="AH44" s="138"/>
      <c r="AJ44" s="138"/>
      <c r="AK44" s="138"/>
      <c r="AL44" s="424"/>
      <c r="AN44" s="138"/>
      <c r="AP44" s="397"/>
    </row>
    <row r="45" spans="2:42">
      <c r="B45" s="4">
        <f>MAX(B$12:B44)+1</f>
        <v>29</v>
      </c>
      <c r="C45" s="256"/>
      <c r="D45" s="447" t="s">
        <v>523</v>
      </c>
      <c r="F45" s="137">
        <f>F23+F31+F43</f>
        <v>5782469.2617205735</v>
      </c>
      <c r="G45" s="453"/>
      <c r="H45" s="137">
        <f>H23+H31+H43</f>
        <v>143871.46378346617</v>
      </c>
      <c r="I45" s="453"/>
      <c r="J45" s="137">
        <f>J23+J31+J43</f>
        <v>46925.204694014006</v>
      </c>
      <c r="K45" s="453"/>
      <c r="L45" s="453"/>
      <c r="M45" s="453"/>
      <c r="N45" s="137">
        <f>N23+N31+N43</f>
        <v>4279.0945088308636</v>
      </c>
      <c r="O45" s="453"/>
      <c r="P45" s="137">
        <f>P23+P31+P43</f>
        <v>38156.803959081386</v>
      </c>
      <c r="Q45" s="453"/>
      <c r="R45" s="137">
        <f>R23+R31+R43</f>
        <v>20462.561851652135</v>
      </c>
      <c r="S45" s="67"/>
      <c r="T45" s="137">
        <f>T23+T31+T43</f>
        <v>5530816.53000913</v>
      </c>
      <c r="U45" s="68"/>
      <c r="V45" s="137">
        <f>V23+V31+V43</f>
        <v>66829.357196292112</v>
      </c>
      <c r="X45" s="137">
        <f>X23+X31+X43</f>
        <v>183081.92719976377</v>
      </c>
      <c r="AB45" s="137">
        <f>AB23+AB31+AB43</f>
        <v>46390.692841946395</v>
      </c>
      <c r="AD45" s="137">
        <f>AD23+AD31+AD43</f>
        <v>3884.1941707516062</v>
      </c>
      <c r="AF45" s="137">
        <f>AF23+AF31+AF43</f>
        <v>42874.998378134667</v>
      </c>
      <c r="AH45" s="137">
        <f>AH23+AH31+AH43</f>
        <v>19261.161824881958</v>
      </c>
      <c r="AJ45" s="137">
        <f>AJ23+AJ31+AJ43</f>
        <v>5893138.861620903</v>
      </c>
      <c r="AK45" s="453"/>
      <c r="AL45" s="425">
        <f t="shared" si="7"/>
        <v>1.9138813349679571E-2</v>
      </c>
      <c r="AN45" s="137">
        <f>AN23+AN31+AN43</f>
        <v>5893138.8616209012</v>
      </c>
      <c r="AP45" s="397"/>
    </row>
    <row r="46" spans="2:42">
      <c r="B46" s="4"/>
      <c r="C46" s="256"/>
      <c r="D46" s="256"/>
      <c r="E46" s="4"/>
      <c r="F46" s="138"/>
      <c r="G46" s="138"/>
      <c r="H46" s="453"/>
      <c r="I46" s="138"/>
      <c r="J46" s="138"/>
      <c r="K46" s="138"/>
      <c r="L46" s="138"/>
      <c r="M46" s="138"/>
      <c r="N46" s="453"/>
      <c r="O46" s="453"/>
      <c r="P46" s="453"/>
      <c r="Q46" s="138"/>
      <c r="R46" s="454"/>
      <c r="S46" s="404"/>
      <c r="T46" s="4"/>
      <c r="AL46" s="424"/>
      <c r="AP46" s="397"/>
    </row>
    <row r="47" spans="2:42" ht="12.75" customHeight="1">
      <c r="B47" s="4"/>
      <c r="C47" s="256"/>
      <c r="D47" s="10" t="s">
        <v>524</v>
      </c>
      <c r="E47" s="4"/>
      <c r="F47" s="138"/>
      <c r="G47" s="138"/>
      <c r="H47" s="453"/>
      <c r="I47" s="138"/>
      <c r="J47" s="138"/>
      <c r="K47" s="138"/>
      <c r="L47" s="138"/>
      <c r="M47" s="138"/>
      <c r="N47" s="453"/>
      <c r="O47" s="453"/>
      <c r="P47" s="453"/>
      <c r="Q47" s="138"/>
      <c r="R47" s="454"/>
      <c r="S47" s="456"/>
      <c r="T47" s="4"/>
      <c r="AL47" s="424"/>
      <c r="AP47" s="397"/>
    </row>
    <row r="48" spans="2:42" ht="12.75" customHeight="1">
      <c r="B48" s="4">
        <f>MAX(B$12:B47)+1</f>
        <v>30</v>
      </c>
      <c r="C48" s="256"/>
      <c r="D48" s="7" t="s">
        <v>525</v>
      </c>
      <c r="F48" s="35">
        <v>169.00033449599997</v>
      </c>
      <c r="G48" s="35"/>
      <c r="H48" s="35">
        <v>0</v>
      </c>
      <c r="I48" s="35"/>
      <c r="J48" s="35">
        <v>0</v>
      </c>
      <c r="K48" s="35"/>
      <c r="L48" s="35"/>
      <c r="M48" s="35"/>
      <c r="N48" s="35">
        <v>0</v>
      </c>
      <c r="O48" s="35"/>
      <c r="P48" s="35">
        <v>0</v>
      </c>
      <c r="Q48" s="35"/>
      <c r="R48" s="35">
        <v>0</v>
      </c>
      <c r="S48" s="452"/>
      <c r="T48" s="68">
        <f t="shared" ref="T48:T55" si="8">F48-SUM(H48:R48)</f>
        <v>169.00033449599997</v>
      </c>
      <c r="V48" s="35">
        <v>4.8098413440000343</v>
      </c>
      <c r="X48" s="35">
        <v>0</v>
      </c>
      <c r="AA48" s="68"/>
      <c r="AB48" s="35">
        <v>0</v>
      </c>
      <c r="AD48" s="35">
        <v>0</v>
      </c>
      <c r="AF48" s="35">
        <v>0</v>
      </c>
      <c r="AH48" s="35">
        <v>0</v>
      </c>
      <c r="AJ48" s="68">
        <f t="shared" ref="AJ48:AJ55" si="9">SUM(T48:AH48)</f>
        <v>173.81017584</v>
      </c>
      <c r="AK48" s="68"/>
      <c r="AL48" s="424">
        <f t="shared" si="7"/>
        <v>2.8460543337645746E-2</v>
      </c>
      <c r="AN48" s="24">
        <v>173.81017584</v>
      </c>
      <c r="AO48" s="68">
        <f t="shared" ref="AO48:AO55" si="10">AJ48-AN48</f>
        <v>0</v>
      </c>
      <c r="AP48" s="397"/>
    </row>
    <row r="49" spans="2:42" ht="12.75" customHeight="1">
      <c r="B49" s="4">
        <f>MAX(B$12:B48)+1</f>
        <v>31</v>
      </c>
      <c r="C49" s="256"/>
      <c r="D49" s="7" t="s">
        <v>526</v>
      </c>
      <c r="E49" s="4"/>
      <c r="F49" s="35">
        <v>19179.468000000001</v>
      </c>
      <c r="G49" s="35"/>
      <c r="H49" s="35">
        <v>0</v>
      </c>
      <c r="I49" s="35"/>
      <c r="J49" s="35">
        <v>0</v>
      </c>
      <c r="K49" s="138"/>
      <c r="L49" s="35"/>
      <c r="M49" s="35"/>
      <c r="N49" s="35">
        <v>0</v>
      </c>
      <c r="O49" s="35"/>
      <c r="P49" s="35">
        <v>0</v>
      </c>
      <c r="Q49" s="35"/>
      <c r="R49" s="35">
        <v>0</v>
      </c>
      <c r="S49" s="452"/>
      <c r="T49" s="68">
        <f t="shared" si="8"/>
        <v>19179.468000000001</v>
      </c>
      <c r="V49" s="35">
        <v>517.17773909869356</v>
      </c>
      <c r="X49" s="35">
        <v>0</v>
      </c>
      <c r="AA49" s="68"/>
      <c r="AB49" s="35">
        <v>0</v>
      </c>
      <c r="AD49" s="35">
        <v>0</v>
      </c>
      <c r="AF49" s="35">
        <v>0</v>
      </c>
      <c r="AH49" s="35">
        <v>0</v>
      </c>
      <c r="AJ49" s="68">
        <f t="shared" si="9"/>
        <v>19696.645739098694</v>
      </c>
      <c r="AK49" s="68"/>
      <c r="AL49" s="424">
        <f t="shared" si="7"/>
        <v>2.6965176463637757E-2</v>
      </c>
      <c r="AN49" s="24">
        <v>19696.645739098694</v>
      </c>
      <c r="AO49" s="68">
        <f t="shared" si="10"/>
        <v>0</v>
      </c>
      <c r="AP49" s="397"/>
    </row>
    <row r="50" spans="2:42" ht="12.75" customHeight="1">
      <c r="B50" s="4">
        <f>MAX(B$12:B49)+1</f>
        <v>32</v>
      </c>
      <c r="C50" s="256"/>
      <c r="D50" s="7" t="s">
        <v>527</v>
      </c>
      <c r="F50" s="35">
        <v>3560.977942268019</v>
      </c>
      <c r="G50" s="35"/>
      <c r="H50" s="35">
        <v>0</v>
      </c>
      <c r="I50" s="35"/>
      <c r="J50" s="35">
        <v>0</v>
      </c>
      <c r="L50" s="35"/>
      <c r="M50" s="35"/>
      <c r="N50" s="35">
        <v>0</v>
      </c>
      <c r="O50" s="35"/>
      <c r="P50" s="35">
        <v>0</v>
      </c>
      <c r="Q50" s="35"/>
      <c r="R50" s="35">
        <v>0</v>
      </c>
      <c r="S50" s="452"/>
      <c r="T50" s="68">
        <f t="shared" si="8"/>
        <v>3560.977942268019</v>
      </c>
      <c r="V50" s="35">
        <v>0</v>
      </c>
      <c r="X50" s="35">
        <v>0</v>
      </c>
      <c r="AA50" s="68"/>
      <c r="AB50" s="35">
        <v>0</v>
      </c>
      <c r="AD50" s="35">
        <v>0</v>
      </c>
      <c r="AF50" s="35">
        <v>0</v>
      </c>
      <c r="AH50" s="35">
        <v>0</v>
      </c>
      <c r="AJ50" s="68">
        <f t="shared" si="9"/>
        <v>3560.977942268019</v>
      </c>
      <c r="AK50" s="68"/>
      <c r="AL50" s="424">
        <f t="shared" si="7"/>
        <v>0</v>
      </c>
      <c r="AN50" s="24">
        <v>3560.977942268019</v>
      </c>
      <c r="AO50" s="68">
        <f t="shared" si="10"/>
        <v>0</v>
      </c>
      <c r="AP50" s="397"/>
    </row>
    <row r="51" spans="2:42" ht="12.75" customHeight="1">
      <c r="B51" s="4">
        <f>MAX(B$12:B50)+1</f>
        <v>33</v>
      </c>
      <c r="C51" s="256"/>
      <c r="D51" s="455" t="s">
        <v>528</v>
      </c>
      <c r="E51" s="4"/>
      <c r="F51" s="35">
        <v>123641.88959884401</v>
      </c>
      <c r="G51" s="35"/>
      <c r="H51" s="35">
        <v>0</v>
      </c>
      <c r="I51" s="35"/>
      <c r="J51" s="35">
        <v>0</v>
      </c>
      <c r="K51" s="35"/>
      <c r="L51" s="35"/>
      <c r="M51" s="35"/>
      <c r="N51" s="35">
        <v>0</v>
      </c>
      <c r="O51" s="35"/>
      <c r="P51" s="35">
        <v>5279.6927770919001</v>
      </c>
      <c r="Q51" s="35"/>
      <c r="R51" s="35">
        <v>13711.593585752131</v>
      </c>
      <c r="S51" s="452"/>
      <c r="T51" s="68">
        <f t="shared" si="8"/>
        <v>104650.60323599997</v>
      </c>
      <c r="V51" s="35">
        <v>2821.9219832848885</v>
      </c>
      <c r="X51" s="35">
        <v>0</v>
      </c>
      <c r="AA51" s="68"/>
      <c r="AB51" s="35">
        <v>0</v>
      </c>
      <c r="AD51" s="35">
        <v>0</v>
      </c>
      <c r="AF51" s="35">
        <v>6442.7819814084814</v>
      </c>
      <c r="AH51" s="35">
        <v>13636.931566200377</v>
      </c>
      <c r="AJ51" s="68">
        <f t="shared" si="9"/>
        <v>127552.23876689372</v>
      </c>
      <c r="AK51" s="68"/>
      <c r="AL51" s="424">
        <f t="shared" si="7"/>
        <v>3.1626410601915213E-2</v>
      </c>
      <c r="AN51" s="24">
        <v>127551.73876689374</v>
      </c>
      <c r="AO51" s="68">
        <f t="shared" si="10"/>
        <v>0.49999999997089617</v>
      </c>
      <c r="AP51" s="397"/>
    </row>
    <row r="52" spans="2:42" ht="12.75" customHeight="1">
      <c r="B52" s="4">
        <f>MAX(B$12:B51)+1</f>
        <v>34</v>
      </c>
      <c r="C52" s="256"/>
      <c r="D52" s="455" t="s">
        <v>529</v>
      </c>
      <c r="E52" s="36"/>
      <c r="F52" s="35">
        <v>17410.917282836475</v>
      </c>
      <c r="G52" s="35"/>
      <c r="H52" s="35">
        <v>0</v>
      </c>
      <c r="I52" s="35"/>
      <c r="J52" s="35">
        <v>0</v>
      </c>
      <c r="K52" s="35"/>
      <c r="L52" s="35"/>
      <c r="M52" s="35"/>
      <c r="N52" s="35">
        <v>0</v>
      </c>
      <c r="O52" s="35"/>
      <c r="P52" s="35">
        <v>855.84692561625934</v>
      </c>
      <c r="Q52" s="35"/>
      <c r="R52" s="35">
        <v>2293.1176027203392</v>
      </c>
      <c r="S52" s="452"/>
      <c r="T52" s="68">
        <f t="shared" si="8"/>
        <v>14261.952754499876</v>
      </c>
      <c r="V52" s="35">
        <v>54.904903793568309</v>
      </c>
      <c r="X52" s="35">
        <v>0</v>
      </c>
      <c r="AA52" s="68"/>
      <c r="AB52" s="35">
        <v>0</v>
      </c>
      <c r="AD52" s="35">
        <v>0</v>
      </c>
      <c r="AF52" s="35">
        <v>1054.2860905620514</v>
      </c>
      <c r="AH52" s="35">
        <v>2283.1252504359059</v>
      </c>
      <c r="AJ52" s="68">
        <f t="shared" si="9"/>
        <v>17654.268999291402</v>
      </c>
      <c r="AK52" s="68"/>
      <c r="AL52" s="424">
        <f t="shared" si="7"/>
        <v>1.3976961265264327E-2</v>
      </c>
      <c r="AN52" s="24">
        <v>17654.268999291402</v>
      </c>
      <c r="AO52" s="68">
        <f t="shared" si="10"/>
        <v>0</v>
      </c>
      <c r="AP52" s="397"/>
    </row>
    <row r="53" spans="2:42" ht="12.75" customHeight="1">
      <c r="B53" s="4">
        <f>MAX(B$12:B52)+1</f>
        <v>35</v>
      </c>
      <c r="C53" s="256"/>
      <c r="D53" s="455" t="s">
        <v>530</v>
      </c>
      <c r="E53" s="4"/>
      <c r="F53" s="35">
        <v>424.03364183333326</v>
      </c>
      <c r="G53" s="35"/>
      <c r="H53" s="35">
        <v>0</v>
      </c>
      <c r="I53" s="35"/>
      <c r="J53" s="35">
        <v>0</v>
      </c>
      <c r="K53" s="35"/>
      <c r="L53" s="35"/>
      <c r="M53" s="35"/>
      <c r="N53" s="35">
        <v>0</v>
      </c>
      <c r="O53" s="35"/>
      <c r="P53" s="35">
        <v>43.120009500000002</v>
      </c>
      <c r="Q53" s="35"/>
      <c r="R53" s="35">
        <v>0</v>
      </c>
      <c r="S53" s="452"/>
      <c r="T53" s="68">
        <f t="shared" si="8"/>
        <v>380.91363233333328</v>
      </c>
      <c r="V53" s="35">
        <v>4.9093410311874663</v>
      </c>
      <c r="X53" s="35">
        <v>0</v>
      </c>
      <c r="AA53" s="68"/>
      <c r="AB53" s="35">
        <v>0</v>
      </c>
      <c r="AD53" s="35">
        <v>0</v>
      </c>
      <c r="AF53" s="35">
        <v>53.702699847298454</v>
      </c>
      <c r="AH53" s="35">
        <v>0</v>
      </c>
      <c r="AJ53" s="68">
        <f t="shared" si="9"/>
        <v>439.5256732118192</v>
      </c>
      <c r="AK53" s="68"/>
      <c r="AL53" s="424">
        <f t="shared" si="7"/>
        <v>3.6534911030891952E-2</v>
      </c>
      <c r="AN53" s="24">
        <v>439.52567321181925</v>
      </c>
      <c r="AO53" s="68">
        <f t="shared" si="10"/>
        <v>0</v>
      </c>
      <c r="AP53" s="397"/>
    </row>
    <row r="54" spans="2:42" ht="12.75" customHeight="1">
      <c r="B54" s="4">
        <f>MAX(B$12:B53)+1</f>
        <v>36</v>
      </c>
      <c r="C54" s="256"/>
      <c r="D54" s="455" t="s">
        <v>531</v>
      </c>
      <c r="E54" s="4"/>
      <c r="F54" s="35">
        <v>638.42606352170299</v>
      </c>
      <c r="G54" s="35"/>
      <c r="H54" s="35">
        <v>0</v>
      </c>
      <c r="I54" s="35"/>
      <c r="J54" s="35">
        <v>0</v>
      </c>
      <c r="K54" s="35"/>
      <c r="L54" s="35"/>
      <c r="M54" s="35"/>
      <c r="N54" s="35">
        <v>0</v>
      </c>
      <c r="O54" s="35"/>
      <c r="P54" s="35">
        <v>99.780409569172775</v>
      </c>
      <c r="Q54" s="35"/>
      <c r="R54" s="35">
        <v>96.428791883564699</v>
      </c>
      <c r="S54" s="452"/>
      <c r="T54" s="68">
        <f t="shared" si="8"/>
        <v>442.2168620689655</v>
      </c>
      <c r="V54" s="35">
        <v>11.924455720885845</v>
      </c>
      <c r="X54" s="35">
        <v>0</v>
      </c>
      <c r="AA54" s="68"/>
      <c r="AB54" s="35">
        <v>0</v>
      </c>
      <c r="AD54" s="35">
        <v>0</v>
      </c>
      <c r="AF54" s="35">
        <v>121.84208305606758</v>
      </c>
      <c r="AH54" s="35">
        <v>96.021835502270051</v>
      </c>
      <c r="AJ54" s="68">
        <f t="shared" si="9"/>
        <v>672.00523634818899</v>
      </c>
      <c r="AK54" s="68"/>
      <c r="AL54" s="424">
        <f t="shared" si="7"/>
        <v>5.259680759468946E-2</v>
      </c>
      <c r="AN54" s="24">
        <v>672.00523634818899</v>
      </c>
      <c r="AO54" s="68">
        <f t="shared" si="10"/>
        <v>0</v>
      </c>
      <c r="AP54" s="397"/>
    </row>
    <row r="55" spans="2:42" ht="12.75" customHeight="1">
      <c r="B55" s="4">
        <f>MAX(B$12:B54)+1</f>
        <v>37</v>
      </c>
      <c r="D55" s="455" t="s">
        <v>532</v>
      </c>
      <c r="E55" s="36"/>
      <c r="F55" s="35">
        <v>570.28478551477679</v>
      </c>
      <c r="G55" s="35"/>
      <c r="H55" s="35">
        <v>0</v>
      </c>
      <c r="I55" s="35"/>
      <c r="J55" s="35">
        <v>0</v>
      </c>
      <c r="K55" s="35"/>
      <c r="L55" s="35"/>
      <c r="M55" s="35"/>
      <c r="N55" s="35">
        <v>0</v>
      </c>
      <c r="O55" s="35"/>
      <c r="P55" s="35">
        <v>11.973151205783873</v>
      </c>
      <c r="Q55" s="35"/>
      <c r="R55" s="35">
        <v>29.198154308992827</v>
      </c>
      <c r="S55" s="452"/>
      <c r="T55" s="68">
        <f t="shared" si="8"/>
        <v>529.1134800000001</v>
      </c>
      <c r="V55" s="35">
        <v>14.267638357489496</v>
      </c>
      <c r="X55" s="35">
        <v>0</v>
      </c>
      <c r="AA55" s="68"/>
      <c r="AB55" s="35">
        <v>0</v>
      </c>
      <c r="AD55" s="35">
        <v>0</v>
      </c>
      <c r="AF55" s="35">
        <v>14.61077492690648</v>
      </c>
      <c r="AH55" s="35">
        <v>29.038100539070125</v>
      </c>
      <c r="AJ55" s="68">
        <f t="shared" si="9"/>
        <v>587.02999382346627</v>
      </c>
      <c r="AK55" s="68"/>
      <c r="AL55" s="424">
        <f t="shared" si="7"/>
        <v>2.9362888041233909E-2</v>
      </c>
      <c r="AN55" s="24">
        <v>587.02999382346616</v>
      </c>
      <c r="AO55" s="68">
        <f t="shared" si="10"/>
        <v>0</v>
      </c>
      <c r="AP55" s="397"/>
    </row>
    <row r="56" spans="2:42" ht="12.75" customHeight="1">
      <c r="B56" s="4">
        <f>MAX(B$12:B55)+1</f>
        <v>38</v>
      </c>
      <c r="D56" s="256" t="s">
        <v>533</v>
      </c>
      <c r="F56" s="137">
        <f>SUM(F48:F55)</f>
        <v>165594.99764931435</v>
      </c>
      <c r="G56" s="457"/>
      <c r="H56" s="137">
        <f>SUM(H48:H55)</f>
        <v>0</v>
      </c>
      <c r="I56" s="457"/>
      <c r="J56" s="137">
        <f>SUM(J48:J55)</f>
        <v>0</v>
      </c>
      <c r="K56" s="457"/>
      <c r="L56" s="137"/>
      <c r="M56" s="453"/>
      <c r="N56" s="137">
        <f>SUM(N48:N55)</f>
        <v>0</v>
      </c>
      <c r="O56" s="457"/>
      <c r="P56" s="137">
        <f>SUM(P48:P55)</f>
        <v>6290.4132729831172</v>
      </c>
      <c r="Q56" s="457"/>
      <c r="R56" s="137">
        <f>SUM(R48:R55)</f>
        <v>16130.338134665028</v>
      </c>
      <c r="S56" s="457"/>
      <c r="T56" s="137">
        <f>SUM(T48:T55)</f>
        <v>143174.24624166617</v>
      </c>
      <c r="U56" s="457"/>
      <c r="V56" s="137">
        <f>SUM(V48:V55)</f>
        <v>3429.9159026307134</v>
      </c>
      <c r="X56" s="137">
        <f>SUM(X48:X55)</f>
        <v>0</v>
      </c>
      <c r="AB56" s="137">
        <f>SUM(AB48:AB55)</f>
        <v>0</v>
      </c>
      <c r="AD56" s="137">
        <f>SUM(AD48:AD55)</f>
        <v>0</v>
      </c>
      <c r="AF56" s="137">
        <f>SUM(AF48:AF55)</f>
        <v>7687.2236298008047</v>
      </c>
      <c r="AH56" s="137">
        <f>SUM(AH48:AH55)</f>
        <v>16045.116752677623</v>
      </c>
      <c r="AJ56" s="137">
        <f>SUM(AJ48:AJ55)</f>
        <v>170336.50252677532</v>
      </c>
      <c r="AK56" s="453"/>
      <c r="AL56" s="425">
        <f t="shared" si="7"/>
        <v>2.863314076372166E-2</v>
      </c>
      <c r="AN56" s="137">
        <f>SUM(AN48:AN55)</f>
        <v>170336.00252677535</v>
      </c>
      <c r="AP56" s="397"/>
    </row>
    <row r="57" spans="2:42" ht="12.75" customHeight="1">
      <c r="B57" s="4"/>
      <c r="C57" s="256"/>
      <c r="G57" s="68"/>
      <c r="O57" s="68"/>
      <c r="S57" s="405"/>
      <c r="T57" s="4"/>
      <c r="U57" s="68"/>
      <c r="AL57" s="424"/>
      <c r="AP57" s="397"/>
    </row>
    <row r="58" spans="2:42" ht="12.75" customHeight="1">
      <c r="B58" s="4">
        <f>MAX(B$12:B57)+1</f>
        <v>39</v>
      </c>
      <c r="C58" s="256"/>
      <c r="D58" s="133" t="s">
        <v>534</v>
      </c>
      <c r="F58" s="35">
        <v>1196.9395495536583</v>
      </c>
      <c r="G58" s="35"/>
      <c r="H58" s="35">
        <v>0</v>
      </c>
      <c r="I58" s="35"/>
      <c r="J58" s="35">
        <v>0</v>
      </c>
      <c r="K58" s="35"/>
      <c r="L58" s="35"/>
      <c r="M58" s="35"/>
      <c r="N58" s="35">
        <v>0</v>
      </c>
      <c r="O58" s="35"/>
      <c r="P58" s="35">
        <v>0</v>
      </c>
      <c r="Q58" s="35"/>
      <c r="R58" s="35">
        <v>0</v>
      </c>
      <c r="S58" s="67"/>
      <c r="T58" s="68">
        <f>F58-SUM(H58:R58)</f>
        <v>1196.9395495536583</v>
      </c>
      <c r="U58" s="68"/>
      <c r="V58" s="68">
        <f>AJ58-T58</f>
        <v>12.998163194410154</v>
      </c>
      <c r="X58" s="35">
        <v>0</v>
      </c>
      <c r="AB58" s="35">
        <v>0</v>
      </c>
      <c r="AD58" s="35">
        <v>0</v>
      </c>
      <c r="AF58" s="35">
        <v>0</v>
      </c>
      <c r="AH58" s="35">
        <v>0</v>
      </c>
      <c r="AJ58" s="68">
        <f>'Schedule 25'!I48</f>
        <v>1209.9377127480684</v>
      </c>
      <c r="AK58" s="68"/>
      <c r="AL58" s="424">
        <f t="shared" si="7"/>
        <v>1.0859498459431139E-2</v>
      </c>
      <c r="AN58" s="24">
        <f>AJ58</f>
        <v>1209.9377127480684</v>
      </c>
      <c r="AO58" s="68">
        <f>AJ58-AN58</f>
        <v>0</v>
      </c>
      <c r="AP58" s="397"/>
    </row>
    <row r="59" spans="2:42" ht="12.75" customHeight="1">
      <c r="S59" s="405"/>
      <c r="T59" s="4"/>
      <c r="AJ59" s="68">
        <f>SUM(T59:AH59)</f>
        <v>0</v>
      </c>
      <c r="AK59" s="68"/>
      <c r="AL59" s="424"/>
      <c r="AP59" s="397"/>
    </row>
    <row r="60" spans="2:42" ht="12.75" customHeight="1" thickBot="1">
      <c r="B60" s="4">
        <f>MAX(B$12:B58)+1</f>
        <v>40</v>
      </c>
      <c r="C60" s="256"/>
      <c r="D60" s="447" t="s">
        <v>100</v>
      </c>
      <c r="F60" s="458">
        <f>ROUND(F45+F56+F58,0)</f>
        <v>5949261</v>
      </c>
      <c r="G60" s="457"/>
      <c r="H60" s="458">
        <f>ROUND(H45+H56+H58,0)</f>
        <v>143871</v>
      </c>
      <c r="I60" s="457"/>
      <c r="J60" s="458">
        <f>ROUND(J45+J56+J58,0)</f>
        <v>46925</v>
      </c>
      <c r="K60" s="457"/>
      <c r="L60" s="457"/>
      <c r="M60" s="453"/>
      <c r="N60" s="458">
        <f>ROUND(N45+N56+N58,0)</f>
        <v>4279</v>
      </c>
      <c r="O60" s="457"/>
      <c r="P60" s="458">
        <f>ROUND(P45+P56+P58,0)</f>
        <v>44447</v>
      </c>
      <c r="Q60" s="457"/>
      <c r="R60" s="458">
        <f>ROUND(R45+R56+R58,0)</f>
        <v>36593</v>
      </c>
      <c r="S60" s="457"/>
      <c r="T60" s="458">
        <f>ROUND(T45+T56+T58,0)</f>
        <v>5675188</v>
      </c>
      <c r="V60" s="458">
        <f>ROUND(V45+V56+V58,0)</f>
        <v>70272</v>
      </c>
      <c r="W60" s="36"/>
      <c r="X60" s="458">
        <f>ROUND(X45+X56+X58,0)</f>
        <v>183082</v>
      </c>
      <c r="AB60" s="458">
        <f>ROUND(AB45+AB56+AB58,0)</f>
        <v>46391</v>
      </c>
      <c r="AD60" s="458">
        <f>ROUND(AD45+AD56+AD58,0)</f>
        <v>3884</v>
      </c>
      <c r="AF60" s="458">
        <f>ROUND(AF45+AF56+AF58,0)</f>
        <v>50562</v>
      </c>
      <c r="AH60" s="458">
        <f>ROUND(AH45+AH56+AH58,4)</f>
        <v>35306.278599999998</v>
      </c>
      <c r="AJ60" s="458">
        <f>ROUND(AJ45+AJ56+AJ58,0)</f>
        <v>6064685</v>
      </c>
      <c r="AK60" s="453"/>
      <c r="AL60" s="427">
        <f t="shared" si="7"/>
        <v>1.9401401283285435E-2</v>
      </c>
      <c r="AN60" s="68">
        <f>AJ132+AJ208</f>
        <v>6064685</v>
      </c>
      <c r="AP60" s="397"/>
    </row>
    <row r="61" spans="2:42" ht="11.85" customHeight="1" thickTop="1">
      <c r="E61" s="256"/>
      <c r="F61" s="256"/>
      <c r="G61" s="12"/>
      <c r="H61" s="12"/>
      <c r="I61" s="12"/>
      <c r="J61" s="12"/>
      <c r="K61" s="12"/>
      <c r="L61" s="12"/>
      <c r="M61" s="12"/>
      <c r="N61" s="12"/>
      <c r="O61" s="139"/>
      <c r="P61" s="12"/>
      <c r="Q61" s="12"/>
      <c r="R61" s="12"/>
      <c r="S61" s="12"/>
      <c r="T61" s="12"/>
      <c r="V61" s="68"/>
    </row>
    <row r="62" spans="2:42" ht="11.85" customHeight="1">
      <c r="B62" s="61" t="s">
        <v>39</v>
      </c>
      <c r="C62" s="256"/>
      <c r="D62" s="256"/>
      <c r="E62" s="12"/>
      <c r="F62" s="139"/>
      <c r="G62" s="12"/>
      <c r="S62" s="12"/>
      <c r="T62" s="12"/>
      <c r="V62" s="2" t="s">
        <v>38</v>
      </c>
      <c r="AJ62" s="68"/>
    </row>
    <row r="63" spans="2:42" ht="13.9" customHeight="1">
      <c r="B63" s="69" t="s">
        <v>357</v>
      </c>
      <c r="C63" s="256"/>
      <c r="D63" s="256" t="s">
        <v>535</v>
      </c>
      <c r="E63" s="12"/>
      <c r="F63" s="139"/>
      <c r="G63" s="12"/>
      <c r="S63" s="12"/>
      <c r="T63" s="12"/>
    </row>
    <row r="64" spans="2:42" ht="14.25">
      <c r="B64" s="69" t="s">
        <v>448</v>
      </c>
      <c r="D64" s="12" t="s">
        <v>536</v>
      </c>
      <c r="E64" s="12"/>
      <c r="F64" s="12"/>
      <c r="V64" s="457"/>
      <c r="W64" s="457"/>
      <c r="X64" s="457"/>
      <c r="Y64" s="457"/>
      <c r="Z64" s="457"/>
      <c r="AA64" s="457"/>
      <c r="AB64" s="457"/>
      <c r="AC64" s="457"/>
      <c r="AD64" s="457"/>
      <c r="AE64" s="457"/>
      <c r="AF64" s="457"/>
    </row>
    <row r="65" spans="2:42" ht="14.25">
      <c r="B65" s="69" t="s">
        <v>537</v>
      </c>
      <c r="D65" s="2" t="s">
        <v>538</v>
      </c>
      <c r="V65" s="457" t="s">
        <v>38</v>
      </c>
      <c r="W65" s="457"/>
      <c r="X65" s="457"/>
      <c r="Y65" s="457"/>
      <c r="Z65" s="457"/>
      <c r="AA65" s="457"/>
      <c r="AB65" s="457"/>
      <c r="AC65" s="457"/>
      <c r="AD65" s="457"/>
      <c r="AE65" s="457"/>
      <c r="AF65" s="457"/>
      <c r="AL65" s="433"/>
      <c r="AM65" s="68"/>
      <c r="AN65" s="68"/>
      <c r="AO65" s="68"/>
      <c r="AP65" s="68"/>
    </row>
    <row r="66" spans="2:42" ht="14.25">
      <c r="B66" s="69" t="s">
        <v>539</v>
      </c>
      <c r="D66" s="438" t="s">
        <v>540</v>
      </c>
      <c r="E66" s="439"/>
      <c r="F66" s="439"/>
      <c r="G66" s="439"/>
      <c r="H66" s="439"/>
      <c r="I66" s="439"/>
      <c r="J66" s="439"/>
      <c r="K66" s="439"/>
      <c r="L66" s="439"/>
      <c r="M66" s="439"/>
      <c r="N66" s="439"/>
      <c r="O66" s="439"/>
      <c r="P66" s="439"/>
      <c r="Q66" s="439"/>
      <c r="R66" s="439"/>
      <c r="S66" s="439"/>
      <c r="T66" s="439"/>
      <c r="U66" s="439"/>
      <c r="V66" s="459"/>
      <c r="W66" s="459"/>
      <c r="X66" s="459"/>
      <c r="Y66" s="457"/>
      <c r="Z66" s="457"/>
      <c r="AA66" s="457"/>
      <c r="AB66" s="457"/>
      <c r="AC66" s="457"/>
      <c r="AD66" s="457"/>
      <c r="AE66" s="457"/>
      <c r="AF66" s="457"/>
    </row>
    <row r="67" spans="2:42" ht="14.25">
      <c r="B67" s="69" t="s">
        <v>541</v>
      </c>
      <c r="C67" s="12"/>
      <c r="D67" s="12" t="s">
        <v>542</v>
      </c>
      <c r="V67" s="457"/>
      <c r="W67" s="457"/>
      <c r="X67" s="457"/>
      <c r="Y67" s="457"/>
      <c r="Z67" s="457"/>
      <c r="AA67" s="457"/>
      <c r="AB67" s="457"/>
      <c r="AC67" s="457"/>
      <c r="AD67" s="457"/>
      <c r="AE67" s="457"/>
      <c r="AF67" s="457"/>
    </row>
    <row r="68" spans="2:42">
      <c r="B68" s="69" t="s">
        <v>543</v>
      </c>
      <c r="C68" s="12"/>
      <c r="D68" s="12" t="s">
        <v>544</v>
      </c>
    </row>
    <row r="69" spans="2:42">
      <c r="B69" s="69"/>
      <c r="D69" s="12"/>
    </row>
    <row r="71" spans="2:42" ht="14.25">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row>
    <row r="72" spans="2:42" ht="14.25">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row>
    <row r="74" spans="2:42">
      <c r="B74" s="1312" t="s">
        <v>545</v>
      </c>
      <c r="C74" s="1312"/>
      <c r="D74" s="1312"/>
      <c r="E74" s="1312"/>
      <c r="F74" s="1312"/>
      <c r="G74" s="1312"/>
      <c r="H74" s="1312"/>
      <c r="I74" s="1312"/>
      <c r="J74" s="1312"/>
      <c r="K74" s="1312"/>
      <c r="L74" s="1312"/>
      <c r="M74" s="1312"/>
      <c r="N74" s="1312"/>
      <c r="O74" s="1312"/>
      <c r="P74" s="1312"/>
      <c r="Q74" s="1312"/>
      <c r="R74" s="1312"/>
      <c r="S74" s="1312"/>
      <c r="T74" s="1312"/>
      <c r="U74" s="1312"/>
      <c r="V74" s="1312"/>
      <c r="W74" s="1312"/>
      <c r="X74" s="1312"/>
      <c r="Y74" s="1312"/>
      <c r="Z74" s="1312"/>
      <c r="AA74" s="1312"/>
      <c r="AB74" s="1312"/>
      <c r="AC74" s="1312"/>
      <c r="AD74" s="1312"/>
      <c r="AE74" s="1312"/>
      <c r="AF74" s="1312"/>
      <c r="AG74" s="1312"/>
      <c r="AH74" s="1312"/>
      <c r="AI74" s="1312"/>
      <c r="AJ74" s="1312"/>
      <c r="AK74" s="444"/>
    </row>
    <row r="75" spans="2:42" s="13" customFormat="1">
      <c r="B75" s="1312"/>
      <c r="C75" s="1312"/>
      <c r="D75" s="1312"/>
      <c r="E75" s="1312"/>
      <c r="F75" s="1312"/>
      <c r="G75" s="1312"/>
      <c r="H75" s="1312"/>
      <c r="I75" s="1312"/>
      <c r="J75" s="1312"/>
      <c r="K75" s="1312"/>
      <c r="L75" s="1312"/>
      <c r="M75" s="1312"/>
      <c r="N75" s="1312"/>
      <c r="O75" s="1312"/>
      <c r="P75" s="1312"/>
      <c r="Q75" s="1312"/>
      <c r="R75" s="1312"/>
      <c r="S75" s="1312"/>
      <c r="T75" s="1312"/>
      <c r="U75" s="1312"/>
      <c r="V75" s="1312"/>
      <c r="W75" s="1312"/>
      <c r="X75" s="1312"/>
      <c r="Y75" s="1312"/>
      <c r="Z75" s="1312"/>
      <c r="AA75" s="1312"/>
      <c r="AB75" s="1312"/>
      <c r="AC75" s="1312"/>
      <c r="AD75" s="1312"/>
      <c r="AE75" s="1312"/>
      <c r="AF75" s="1312"/>
      <c r="AG75" s="1312"/>
      <c r="AH75" s="1312"/>
      <c r="AI75" s="1312"/>
      <c r="AJ75" s="1312"/>
      <c r="AK75" s="444"/>
      <c r="AL75" s="430"/>
    </row>
    <row r="76" spans="2:42">
      <c r="B76" s="1311" t="s">
        <v>546</v>
      </c>
      <c r="C76" s="1311"/>
      <c r="D76" s="1311"/>
      <c r="E76" s="1311"/>
      <c r="F76" s="1311"/>
      <c r="G76" s="1311"/>
      <c r="H76" s="1311"/>
      <c r="I76" s="1311"/>
      <c r="J76" s="1311"/>
      <c r="K76" s="1311"/>
      <c r="L76" s="1311"/>
      <c r="M76" s="1311"/>
      <c r="N76" s="1311"/>
      <c r="O76" s="1311"/>
      <c r="P76" s="1311"/>
      <c r="Q76" s="1311"/>
      <c r="R76" s="1311"/>
      <c r="S76" s="1311"/>
      <c r="T76" s="1311"/>
      <c r="U76" s="1311"/>
      <c r="V76" s="1311"/>
      <c r="W76" s="1311"/>
      <c r="X76" s="1311"/>
      <c r="Y76" s="1311"/>
      <c r="Z76" s="1311"/>
      <c r="AA76" s="1311"/>
      <c r="AB76" s="1311"/>
      <c r="AC76" s="1311"/>
      <c r="AD76" s="1311"/>
      <c r="AE76" s="1311"/>
      <c r="AF76" s="1311"/>
      <c r="AG76" s="1311"/>
      <c r="AH76" s="1311"/>
      <c r="AI76" s="1311"/>
      <c r="AJ76" s="1311"/>
      <c r="AK76" s="443"/>
    </row>
    <row r="77" spans="2:42">
      <c r="B77" s="385"/>
      <c r="C77" s="385"/>
      <c r="D77" s="385"/>
      <c r="E77" s="385"/>
      <c r="F77" s="447"/>
      <c r="G77" s="447"/>
      <c r="H77" s="385"/>
      <c r="I77" s="385"/>
      <c r="J77" s="385"/>
      <c r="K77" s="385"/>
      <c r="L77" s="385"/>
      <c r="M77" s="385"/>
      <c r="N77" s="385"/>
      <c r="O77" s="385"/>
      <c r="P77" s="385"/>
      <c r="Q77" s="385"/>
      <c r="R77" s="3"/>
      <c r="S77" s="3"/>
    </row>
    <row r="78" spans="2:42">
      <c r="B78" s="447"/>
      <c r="C78" s="447"/>
      <c r="D78" s="447"/>
      <c r="E78" s="447"/>
      <c r="F78" s="1314"/>
      <c r="G78" s="1314"/>
    </row>
    <row r="79" spans="2:42">
      <c r="B79" s="254"/>
      <c r="C79" s="254"/>
      <c r="D79" s="254"/>
      <c r="E79" s="254"/>
      <c r="F79" s="4" t="s">
        <v>495</v>
      </c>
      <c r="G79" s="256"/>
      <c r="H79" s="1313" t="s">
        <v>496</v>
      </c>
      <c r="I79" s="1313"/>
      <c r="J79" s="1313"/>
      <c r="K79" s="1313"/>
      <c r="L79" s="1313"/>
      <c r="M79" s="1313"/>
      <c r="N79" s="1313"/>
      <c r="O79" s="1313"/>
      <c r="P79" s="1313"/>
      <c r="Q79" s="1313"/>
      <c r="R79" s="1313"/>
      <c r="S79" s="1313"/>
      <c r="V79" s="1315" t="s">
        <v>497</v>
      </c>
      <c r="W79" s="1315"/>
      <c r="X79" s="1315"/>
      <c r="Y79" s="1315"/>
      <c r="Z79" s="1315"/>
      <c r="AA79" s="1315"/>
      <c r="AB79" s="1315"/>
      <c r="AC79" s="1315"/>
      <c r="AD79" s="1315"/>
      <c r="AE79" s="1315"/>
      <c r="AF79" s="1315"/>
      <c r="AG79" s="1315"/>
      <c r="AH79" s="1315"/>
    </row>
    <row r="80" spans="2:42">
      <c r="B80" s="254" t="s">
        <v>1</v>
      </c>
      <c r="C80" s="256"/>
      <c r="E80" s="4"/>
      <c r="F80" s="33" t="s">
        <v>498</v>
      </c>
      <c r="G80" s="130"/>
      <c r="H80" s="33"/>
      <c r="I80" s="130"/>
      <c r="J80" s="33" t="s">
        <v>499</v>
      </c>
      <c r="K80" s="33"/>
      <c r="L80" s="130"/>
      <c r="M80" s="130"/>
      <c r="N80" s="33" t="s">
        <v>500</v>
      </c>
      <c r="O80" s="33"/>
      <c r="P80" s="33"/>
      <c r="Q80" s="33"/>
      <c r="R80" s="33" t="s">
        <v>501</v>
      </c>
      <c r="S80" s="33"/>
      <c r="T80" s="33" t="s">
        <v>502</v>
      </c>
      <c r="U80" s="130"/>
      <c r="V80" s="143" t="s">
        <v>503</v>
      </c>
      <c r="W80" s="130"/>
      <c r="X80" s="13"/>
      <c r="Y80" s="33"/>
      <c r="Z80" s="33"/>
      <c r="AA80" s="130"/>
      <c r="AB80" s="33" t="s">
        <v>499</v>
      </c>
      <c r="AC80" s="130"/>
      <c r="AD80" s="143" t="s">
        <v>500</v>
      </c>
      <c r="AE80" s="143"/>
      <c r="AF80" s="143"/>
      <c r="AG80" s="143"/>
      <c r="AH80" s="143" t="s">
        <v>501</v>
      </c>
      <c r="AI80" s="33"/>
      <c r="AJ80" s="33" t="s">
        <v>6</v>
      </c>
      <c r="AK80" s="33"/>
      <c r="AL80" s="431" t="s">
        <v>192</v>
      </c>
    </row>
    <row r="81" spans="2:42">
      <c r="B81" s="255" t="s">
        <v>2</v>
      </c>
      <c r="C81" s="256"/>
      <c r="D81" s="449" t="s">
        <v>453</v>
      </c>
      <c r="E81" s="4"/>
      <c r="F81" s="19" t="s">
        <v>504</v>
      </c>
      <c r="G81" s="130"/>
      <c r="H81" s="19" t="s">
        <v>505</v>
      </c>
      <c r="I81" s="130"/>
      <c r="J81" s="19" t="s">
        <v>547</v>
      </c>
      <c r="K81" s="33"/>
      <c r="L81" s="450"/>
      <c r="M81" s="450"/>
      <c r="N81" s="19" t="s">
        <v>507</v>
      </c>
      <c r="O81" s="33"/>
      <c r="P81" s="19" t="s">
        <v>508</v>
      </c>
      <c r="Q81" s="33"/>
      <c r="R81" s="19" t="s">
        <v>509</v>
      </c>
      <c r="S81" s="33"/>
      <c r="T81" s="19" t="s">
        <v>503</v>
      </c>
      <c r="U81" s="130"/>
      <c r="V81" s="215" t="s">
        <v>510</v>
      </c>
      <c r="W81" s="130"/>
      <c r="X81" s="19" t="s">
        <v>511</v>
      </c>
      <c r="Y81" s="33"/>
      <c r="Z81" s="19"/>
      <c r="AA81" s="130"/>
      <c r="AB81" s="19" t="s">
        <v>506</v>
      </c>
      <c r="AC81" s="130"/>
      <c r="AD81" s="215" t="s">
        <v>507</v>
      </c>
      <c r="AE81" s="143"/>
      <c r="AF81" s="215" t="s">
        <v>508</v>
      </c>
      <c r="AG81" s="143"/>
      <c r="AH81" s="215" t="s">
        <v>509</v>
      </c>
      <c r="AI81" s="33"/>
      <c r="AJ81" s="19" t="s">
        <v>512</v>
      </c>
      <c r="AK81" s="33"/>
      <c r="AL81" s="432" t="s">
        <v>513</v>
      </c>
    </row>
    <row r="82" spans="2:42">
      <c r="B82" s="4"/>
      <c r="C82" s="256"/>
      <c r="D82" s="256"/>
      <c r="E82" s="4"/>
      <c r="F82" s="4" t="s">
        <v>8</v>
      </c>
      <c r="G82" s="134"/>
      <c r="H82" s="4" t="s">
        <v>9</v>
      </c>
      <c r="I82" s="4"/>
      <c r="J82" s="4" t="s">
        <v>370</v>
      </c>
      <c r="K82" s="4"/>
      <c r="L82" s="4"/>
      <c r="M82" s="4"/>
      <c r="N82" s="4" t="s">
        <v>79</v>
      </c>
      <c r="O82" s="4"/>
      <c r="P82" s="4" t="s">
        <v>115</v>
      </c>
      <c r="Q82" s="4"/>
      <c r="R82" s="4" t="s">
        <v>81</v>
      </c>
      <c r="S82" s="4"/>
      <c r="T82" s="4" t="s">
        <v>548</v>
      </c>
      <c r="V82" s="1" t="s">
        <v>515</v>
      </c>
      <c r="W82" s="1"/>
      <c r="X82" s="1" t="s">
        <v>84</v>
      </c>
      <c r="Y82" s="1"/>
      <c r="Z82" s="1"/>
      <c r="AA82" s="1"/>
      <c r="AB82" s="1" t="s">
        <v>516</v>
      </c>
      <c r="AC82" s="1"/>
      <c r="AD82" s="1" t="s">
        <v>517</v>
      </c>
      <c r="AE82" s="1"/>
      <c r="AF82" s="1" t="s">
        <v>518</v>
      </c>
      <c r="AG82" s="1"/>
      <c r="AH82" s="1" t="s">
        <v>519</v>
      </c>
      <c r="AJ82" s="2" t="s">
        <v>520</v>
      </c>
      <c r="AL82" s="426" t="s">
        <v>521</v>
      </c>
    </row>
    <row r="83" spans="2:42">
      <c r="B83" s="4"/>
      <c r="C83" s="256"/>
      <c r="D83" s="6" t="s">
        <v>11</v>
      </c>
      <c r="E83" s="4"/>
      <c r="F83" s="134"/>
      <c r="G83" s="64"/>
      <c r="H83" s="4"/>
      <c r="I83" s="65"/>
      <c r="J83" s="65"/>
      <c r="K83" s="65"/>
      <c r="L83" s="65"/>
      <c r="M83" s="65"/>
      <c r="N83" s="4"/>
      <c r="O83" s="4"/>
      <c r="P83" s="4"/>
      <c r="Q83" s="4"/>
      <c r="R83" s="4"/>
      <c r="S83" s="4"/>
      <c r="T83" s="4"/>
    </row>
    <row r="84" spans="2:42">
      <c r="B84" s="4">
        <v>1</v>
      </c>
      <c r="C84" s="256"/>
      <c r="D84" s="7" t="s">
        <v>162</v>
      </c>
      <c r="E84" s="4"/>
      <c r="F84" s="35">
        <v>1035291.5955431826</v>
      </c>
      <c r="G84" s="35"/>
      <c r="H84" s="35">
        <v>44808.586642691822</v>
      </c>
      <c r="I84" s="35"/>
      <c r="J84" s="35">
        <v>15787.788096522025</v>
      </c>
      <c r="K84" s="35"/>
      <c r="L84" s="35"/>
      <c r="M84" s="35"/>
      <c r="N84" s="35">
        <v>0</v>
      </c>
      <c r="O84" s="35"/>
      <c r="P84" s="35">
        <v>0</v>
      </c>
      <c r="Q84" s="35"/>
      <c r="R84" s="35">
        <v>0</v>
      </c>
      <c r="S84" s="452"/>
      <c r="T84" s="68">
        <f t="shared" ref="T84:T90" si="11">F84-SUM(H84:R84)</f>
        <v>974695.22080396872</v>
      </c>
      <c r="V84" s="35">
        <v>26282.828627243453</v>
      </c>
      <c r="W84" s="35"/>
      <c r="X84" s="35">
        <v>68940.216666327775</v>
      </c>
      <c r="Y84" s="68"/>
      <c r="Z84" s="68"/>
      <c r="AA84" s="35"/>
      <c r="AB84" s="35">
        <v>15733.138523330314</v>
      </c>
      <c r="AC84" s="135"/>
      <c r="AD84" s="35">
        <v>0</v>
      </c>
      <c r="AE84" s="35"/>
      <c r="AF84" s="35">
        <v>0</v>
      </c>
      <c r="AH84" s="35">
        <v>0</v>
      </c>
      <c r="AJ84" s="68">
        <f t="shared" ref="AJ84:AJ93" si="12">SUM(T84:AH84)</f>
        <v>1085651.40462087</v>
      </c>
      <c r="AK84" s="68"/>
      <c r="AL84" s="424">
        <f>(AJ84-F84)/F84</f>
        <v>4.8643115905200943E-2</v>
      </c>
      <c r="AP84" s="397"/>
    </row>
    <row r="85" spans="2:42">
      <c r="B85" s="4">
        <v>2</v>
      </c>
      <c r="C85" s="256"/>
      <c r="D85" s="7" t="s">
        <v>163</v>
      </c>
      <c r="E85" s="4"/>
      <c r="F85" s="35">
        <v>448097.12080874079</v>
      </c>
      <c r="G85" s="35"/>
      <c r="H85" s="35">
        <v>23394.302391068148</v>
      </c>
      <c r="I85" s="35"/>
      <c r="J85" s="35">
        <v>14219.390273088122</v>
      </c>
      <c r="K85" s="35"/>
      <c r="L85" s="35"/>
      <c r="M85" s="35"/>
      <c r="N85" s="35">
        <v>0</v>
      </c>
      <c r="O85" s="35"/>
      <c r="P85" s="35">
        <v>0</v>
      </c>
      <c r="Q85" s="35"/>
      <c r="R85" s="35">
        <v>0</v>
      </c>
      <c r="S85" s="452"/>
      <c r="T85" s="68">
        <f t="shared" si="11"/>
        <v>410483.42814458453</v>
      </c>
      <c r="V85" s="35">
        <v>11068.75807531771</v>
      </c>
      <c r="W85" s="35"/>
      <c r="X85" s="35">
        <v>31443.589421405886</v>
      </c>
      <c r="Y85" s="68"/>
      <c r="Z85" s="68"/>
      <c r="AA85" s="35"/>
      <c r="AB85" s="35">
        <v>14170.169723336643</v>
      </c>
      <c r="AC85" s="135"/>
      <c r="AD85" s="35">
        <v>0</v>
      </c>
      <c r="AE85" s="35"/>
      <c r="AF85" s="35">
        <v>0</v>
      </c>
      <c r="AH85" s="35">
        <v>0</v>
      </c>
      <c r="AJ85" s="68">
        <f t="shared" si="12"/>
        <v>467165.94536464475</v>
      </c>
      <c r="AK85" s="68"/>
      <c r="AL85" s="424">
        <f t="shared" ref="AL85:AL95" si="13">(AJ85-F85)/F85</f>
        <v>4.2555115108724437E-2</v>
      </c>
      <c r="AP85" s="397"/>
    </row>
    <row r="86" spans="2:42">
      <c r="B86" s="4">
        <v>3</v>
      </c>
      <c r="C86" s="256"/>
      <c r="D86" s="7" t="s">
        <v>164</v>
      </c>
      <c r="E86" s="4"/>
      <c r="F86" s="35">
        <v>2060.3986803822677</v>
      </c>
      <c r="G86" s="35"/>
      <c r="H86" s="35">
        <v>0</v>
      </c>
      <c r="I86" s="35"/>
      <c r="J86" s="35">
        <v>0</v>
      </c>
      <c r="K86" s="35"/>
      <c r="L86" s="35"/>
      <c r="M86" s="35"/>
      <c r="N86" s="35">
        <v>0</v>
      </c>
      <c r="O86" s="35"/>
      <c r="P86" s="35">
        <v>0</v>
      </c>
      <c r="Q86" s="35"/>
      <c r="R86" s="35">
        <v>0</v>
      </c>
      <c r="S86" s="452"/>
      <c r="T86" s="68">
        <f t="shared" si="11"/>
        <v>2060.3986803822677</v>
      </c>
      <c r="V86" s="35">
        <v>55.559014001954267</v>
      </c>
      <c r="W86" s="35"/>
      <c r="X86" s="35">
        <v>272.41532868845394</v>
      </c>
      <c r="Y86" s="68"/>
      <c r="Z86" s="68"/>
      <c r="AA86" s="35"/>
      <c r="AB86" s="35">
        <v>0</v>
      </c>
      <c r="AC86" s="135"/>
      <c r="AD86" s="35">
        <v>0</v>
      </c>
      <c r="AE86" s="35"/>
      <c r="AF86" s="35">
        <v>0</v>
      </c>
      <c r="AH86" s="35">
        <v>0</v>
      </c>
      <c r="AJ86" s="68">
        <f t="shared" si="12"/>
        <v>2388.373023072676</v>
      </c>
      <c r="AK86" s="68"/>
      <c r="AL86" s="424">
        <f t="shared" si="13"/>
        <v>0.15918003919006535</v>
      </c>
      <c r="AP86" s="397"/>
    </row>
    <row r="87" spans="2:42">
      <c r="B87" s="4">
        <v>4</v>
      </c>
      <c r="C87" s="256"/>
      <c r="D87" s="7" t="s">
        <v>165</v>
      </c>
      <c r="E87" s="4"/>
      <c r="F87" s="35">
        <v>36742.485782243326</v>
      </c>
      <c r="G87" s="35"/>
      <c r="H87" s="35">
        <v>2516.360725763338</v>
      </c>
      <c r="I87" s="35"/>
      <c r="J87" s="35">
        <v>730.61878451440805</v>
      </c>
      <c r="K87" s="35"/>
      <c r="L87" s="35"/>
      <c r="M87" s="35"/>
      <c r="N87" s="35">
        <v>0</v>
      </c>
      <c r="O87" s="35"/>
      <c r="P87" s="35">
        <v>0</v>
      </c>
      <c r="Q87" s="35"/>
      <c r="R87" s="35">
        <v>0</v>
      </c>
      <c r="S87" s="452"/>
      <c r="T87" s="68">
        <f t="shared" si="11"/>
        <v>33495.506271965583</v>
      </c>
      <c r="V87" s="35">
        <v>903.21223736244065</v>
      </c>
      <c r="W87" s="35"/>
      <c r="X87" s="35">
        <v>2395.7420134112795</v>
      </c>
      <c r="Y87" s="68"/>
      <c r="Z87" s="68"/>
      <c r="AA87" s="35"/>
      <c r="AB87" s="35">
        <v>728.08974089566607</v>
      </c>
      <c r="AC87" s="135"/>
      <c r="AD87" s="35">
        <v>0</v>
      </c>
      <c r="AE87" s="35"/>
      <c r="AF87" s="35">
        <v>0</v>
      </c>
      <c r="AH87" s="35">
        <v>0</v>
      </c>
      <c r="AJ87" s="68">
        <f t="shared" si="12"/>
        <v>37522.55026363497</v>
      </c>
      <c r="AK87" s="68"/>
      <c r="AL87" s="424">
        <f t="shared" si="13"/>
        <v>2.1230585377776178E-2</v>
      </c>
      <c r="AP87" s="397"/>
    </row>
    <row r="88" spans="2:42">
      <c r="B88" s="4">
        <v>5</v>
      </c>
      <c r="C88" s="256"/>
      <c r="D88" s="7" t="s">
        <v>166</v>
      </c>
      <c r="E88" s="4"/>
      <c r="F88" s="35">
        <v>6949.5231766242996</v>
      </c>
      <c r="G88" s="35"/>
      <c r="H88" s="35">
        <v>1434.7567768481215</v>
      </c>
      <c r="I88" s="35"/>
      <c r="J88" s="35">
        <v>88.058747902106859</v>
      </c>
      <c r="K88" s="35"/>
      <c r="L88" s="35"/>
      <c r="M88" s="35"/>
      <c r="N88" s="35">
        <v>0</v>
      </c>
      <c r="O88" s="35"/>
      <c r="P88" s="35">
        <v>0</v>
      </c>
      <c r="Q88" s="35"/>
      <c r="R88" s="35">
        <v>0</v>
      </c>
      <c r="S88" s="452"/>
      <c r="T88" s="68">
        <f t="shared" si="11"/>
        <v>5426.7076518740714</v>
      </c>
      <c r="V88" s="35">
        <v>146.33212944935784</v>
      </c>
      <c r="W88" s="35"/>
      <c r="X88" s="35">
        <v>1046.4385347200052</v>
      </c>
      <c r="Y88" s="68"/>
      <c r="Z88" s="68"/>
      <c r="AA88" s="35"/>
      <c r="AB88" s="35">
        <v>87.753931739182406</v>
      </c>
      <c r="AC88" s="135"/>
      <c r="AD88" s="35">
        <v>0</v>
      </c>
      <c r="AE88" s="35"/>
      <c r="AF88" s="35">
        <v>0</v>
      </c>
      <c r="AH88" s="35">
        <v>0</v>
      </c>
      <c r="AJ88" s="68">
        <f t="shared" si="12"/>
        <v>6707.2322477826165</v>
      </c>
      <c r="AK88" s="68"/>
      <c r="AL88" s="424">
        <f t="shared" si="13"/>
        <v>-3.4864396115213026E-2</v>
      </c>
      <c r="AP88" s="397"/>
    </row>
    <row r="89" spans="2:42">
      <c r="B89" s="4">
        <v>6</v>
      </c>
      <c r="C89" s="256"/>
      <c r="D89" s="7" t="s">
        <v>167</v>
      </c>
      <c r="E89" s="4"/>
      <c r="F89" s="35">
        <v>12486.257021417412</v>
      </c>
      <c r="G89" s="35"/>
      <c r="H89" s="35">
        <v>166.42587763804715</v>
      </c>
      <c r="I89" s="35"/>
      <c r="J89" s="35">
        <v>0</v>
      </c>
      <c r="K89" s="35"/>
      <c r="L89" s="35"/>
      <c r="M89" s="35"/>
      <c r="N89" s="35">
        <v>0</v>
      </c>
      <c r="O89" s="35"/>
      <c r="P89" s="35">
        <v>0</v>
      </c>
      <c r="Q89" s="35"/>
      <c r="R89" s="35">
        <v>0</v>
      </c>
      <c r="S89" s="452"/>
      <c r="T89" s="68">
        <f t="shared" si="11"/>
        <v>12319.831143779365</v>
      </c>
      <c r="V89" s="35">
        <v>332.20642079423192</v>
      </c>
      <c r="W89" s="35"/>
      <c r="X89" s="35">
        <v>174.66061005879783</v>
      </c>
      <c r="Y89" s="68"/>
      <c r="Z89" s="68"/>
      <c r="AA89" s="35"/>
      <c r="AB89" s="35">
        <v>0</v>
      </c>
      <c r="AC89" s="135"/>
      <c r="AD89" s="35">
        <v>0</v>
      </c>
      <c r="AE89" s="35"/>
      <c r="AF89" s="35">
        <v>0</v>
      </c>
      <c r="AH89" s="35">
        <v>0</v>
      </c>
      <c r="AJ89" s="68">
        <f t="shared" si="12"/>
        <v>12826.698174632395</v>
      </c>
      <c r="AK89" s="68"/>
      <c r="AL89" s="424">
        <f t="shared" si="13"/>
        <v>2.7265268737543282E-2</v>
      </c>
      <c r="AP89" s="397"/>
    </row>
    <row r="90" spans="2:42">
      <c r="B90" s="4">
        <v>7</v>
      </c>
      <c r="C90" s="256"/>
      <c r="D90" s="7" t="s">
        <v>168</v>
      </c>
      <c r="E90" s="4"/>
      <c r="F90" s="35">
        <v>1460.7829050903183</v>
      </c>
      <c r="G90" s="35"/>
      <c r="H90" s="35">
        <v>272.10434456292859</v>
      </c>
      <c r="I90" s="35"/>
      <c r="J90" s="35">
        <v>0</v>
      </c>
      <c r="K90" s="35"/>
      <c r="L90" s="35"/>
      <c r="M90" s="35"/>
      <c r="N90" s="35">
        <v>0</v>
      </c>
      <c r="O90" s="35"/>
      <c r="P90" s="35">
        <v>0</v>
      </c>
      <c r="Q90" s="35"/>
      <c r="R90" s="35">
        <v>0</v>
      </c>
      <c r="S90" s="452"/>
      <c r="T90" s="68">
        <f t="shared" si="11"/>
        <v>1188.6785605273897</v>
      </c>
      <c r="V90" s="35">
        <v>32.052927143164091</v>
      </c>
      <c r="W90" s="35"/>
      <c r="X90" s="35">
        <v>979.65831828089802</v>
      </c>
      <c r="Y90" s="68"/>
      <c r="Z90" s="68"/>
      <c r="AA90" s="35"/>
      <c r="AB90" s="35">
        <v>0</v>
      </c>
      <c r="AC90" s="135"/>
      <c r="AD90" s="35">
        <v>0</v>
      </c>
      <c r="AE90" s="35"/>
      <c r="AF90" s="35">
        <v>0</v>
      </c>
      <c r="AH90" s="35">
        <v>0</v>
      </c>
      <c r="AJ90" s="68">
        <f t="shared" si="12"/>
        <v>2200.3898059514518</v>
      </c>
      <c r="AK90" s="68"/>
      <c r="AL90" s="424">
        <f t="shared" si="13"/>
        <v>0.50630856801778124</v>
      </c>
      <c r="AP90" s="397"/>
    </row>
    <row r="91" spans="2:42">
      <c r="B91" s="4">
        <v>8</v>
      </c>
      <c r="C91" s="256"/>
      <c r="D91" s="7" t="s">
        <v>169</v>
      </c>
      <c r="E91" s="4"/>
      <c r="F91" s="35">
        <v>1607.6087913876304</v>
      </c>
      <c r="G91" s="35"/>
      <c r="H91" s="35">
        <v>1207.1106419743426</v>
      </c>
      <c r="I91" s="35"/>
      <c r="J91" s="35">
        <v>23.910450696564268</v>
      </c>
      <c r="K91" s="35"/>
      <c r="L91" s="35"/>
      <c r="M91" s="35"/>
      <c r="N91" s="35">
        <v>0</v>
      </c>
      <c r="O91" s="35"/>
      <c r="P91" s="35">
        <v>0</v>
      </c>
      <c r="Q91" s="35"/>
      <c r="R91" s="35">
        <v>0</v>
      </c>
      <c r="S91" s="452"/>
      <c r="T91" s="68">
        <v>698.08225079226156</v>
      </c>
      <c r="V91" s="35">
        <v>18.823911078746807</v>
      </c>
      <c r="W91" s="35"/>
      <c r="X91" s="35">
        <v>319.36496185339922</v>
      </c>
      <c r="Y91" s="68"/>
      <c r="Z91" s="68"/>
      <c r="AA91" s="35"/>
      <c r="AB91" s="35">
        <v>23.82768445233804</v>
      </c>
      <c r="AC91" s="135"/>
      <c r="AD91" s="35">
        <v>0</v>
      </c>
      <c r="AE91" s="35"/>
      <c r="AF91" s="35">
        <v>0</v>
      </c>
      <c r="AH91" s="35">
        <v>0</v>
      </c>
      <c r="AJ91" s="68">
        <f t="shared" si="12"/>
        <v>1060.0988081767455</v>
      </c>
      <c r="AK91" s="68"/>
      <c r="AL91" s="424">
        <f t="shared" si="13"/>
        <v>-0.34057414101243744</v>
      </c>
      <c r="AP91" s="397"/>
    </row>
    <row r="92" spans="2:42">
      <c r="B92" s="4">
        <v>9</v>
      </c>
      <c r="C92" s="256"/>
      <c r="D92" s="7" t="s">
        <v>170</v>
      </c>
      <c r="E92" s="4"/>
      <c r="F92" s="35">
        <v>3220.0407281076373</v>
      </c>
      <c r="G92" s="35"/>
      <c r="H92" s="35">
        <v>2367.9615555349337</v>
      </c>
      <c r="I92" s="35"/>
      <c r="J92" s="35">
        <v>215.84879949943192</v>
      </c>
      <c r="K92" s="35"/>
      <c r="L92" s="35"/>
      <c r="M92" s="35"/>
      <c r="N92" s="35">
        <v>0</v>
      </c>
      <c r="O92" s="35"/>
      <c r="P92" s="35">
        <v>0</v>
      </c>
      <c r="Q92" s="35"/>
      <c r="R92" s="35">
        <v>0</v>
      </c>
      <c r="S92" s="452"/>
      <c r="T92" s="68">
        <v>2357.1329066001058</v>
      </c>
      <c r="V92" s="35">
        <v>63.560504774719455</v>
      </c>
      <c r="W92" s="35"/>
      <c r="X92" s="35">
        <v>367.27241531614288</v>
      </c>
      <c r="Y92" s="68"/>
      <c r="Z92" s="68"/>
      <c r="AA92" s="35"/>
      <c r="AB92" s="35">
        <v>215.10163690170319</v>
      </c>
      <c r="AC92" s="135"/>
      <c r="AD92" s="35">
        <v>0</v>
      </c>
      <c r="AE92" s="35"/>
      <c r="AF92" s="35">
        <v>0</v>
      </c>
      <c r="AH92" s="35">
        <v>0</v>
      </c>
      <c r="AJ92" s="68">
        <f t="shared" si="12"/>
        <v>3003.0674635926716</v>
      </c>
      <c r="AK92" s="68"/>
      <c r="AL92" s="424">
        <f t="shared" si="13"/>
        <v>-6.7382149120355103E-2</v>
      </c>
      <c r="AP92" s="397"/>
    </row>
    <row r="93" spans="2:42">
      <c r="B93" s="4">
        <v>10</v>
      </c>
      <c r="C93" s="256"/>
      <c r="D93" s="7" t="s">
        <v>171</v>
      </c>
      <c r="E93" s="4"/>
      <c r="F93" s="35">
        <v>5186.9779126087069</v>
      </c>
      <c r="G93" s="35"/>
      <c r="H93" s="35">
        <v>40.750410090988815</v>
      </c>
      <c r="I93" s="35"/>
      <c r="J93" s="35">
        <v>550.32869750354416</v>
      </c>
      <c r="K93" s="35"/>
      <c r="L93" s="35"/>
      <c r="M93" s="35"/>
      <c r="N93" s="35">
        <v>0</v>
      </c>
      <c r="O93" s="35"/>
      <c r="P93" s="35">
        <v>0</v>
      </c>
      <c r="Q93" s="35"/>
      <c r="R93" s="35">
        <v>0</v>
      </c>
      <c r="S93" s="452"/>
      <c r="T93" s="68">
        <f>F93-SUM(H93:R93)</f>
        <v>4595.8988050141743</v>
      </c>
      <c r="V93" s="35">
        <v>123.92922228622955</v>
      </c>
      <c r="W93" s="35"/>
      <c r="X93" s="35">
        <v>42.257140600837147</v>
      </c>
      <c r="Y93" s="68"/>
      <c r="Z93" s="68"/>
      <c r="AA93" s="35"/>
      <c r="AB93" s="35">
        <v>548.42372967335484</v>
      </c>
      <c r="AC93" s="135"/>
      <c r="AD93" s="35">
        <v>0</v>
      </c>
      <c r="AE93" s="35"/>
      <c r="AF93" s="35">
        <v>0</v>
      </c>
      <c r="AH93" s="35">
        <v>0</v>
      </c>
      <c r="AJ93" s="68">
        <f t="shared" si="12"/>
        <v>5310.5088975745957</v>
      </c>
      <c r="AK93" s="68"/>
      <c r="AL93" s="424">
        <f t="shared" si="13"/>
        <v>2.3815598802841422E-2</v>
      </c>
      <c r="AP93" s="397"/>
    </row>
    <row r="94" spans="2:42">
      <c r="B94" s="4">
        <v>11</v>
      </c>
      <c r="C94" s="256"/>
      <c r="D94" s="7" t="s">
        <v>455</v>
      </c>
      <c r="E94" s="4"/>
      <c r="F94" s="35">
        <v>0</v>
      </c>
      <c r="G94" s="35"/>
      <c r="H94" s="35">
        <v>0</v>
      </c>
      <c r="I94" s="35"/>
      <c r="J94" s="35">
        <v>0</v>
      </c>
      <c r="K94" s="35"/>
      <c r="L94" s="35"/>
      <c r="M94" s="35"/>
      <c r="N94" s="35">
        <v>0</v>
      </c>
      <c r="O94" s="35"/>
      <c r="P94" s="35">
        <v>0</v>
      </c>
      <c r="Q94" s="35"/>
      <c r="R94" s="35">
        <v>0</v>
      </c>
      <c r="S94" s="144"/>
      <c r="V94" s="35">
        <v>0</v>
      </c>
      <c r="W94" s="35"/>
      <c r="X94" s="35">
        <v>0</v>
      </c>
      <c r="Y94" s="135"/>
      <c r="Z94" s="135"/>
      <c r="AA94" s="35"/>
      <c r="AB94" s="35">
        <v>0</v>
      </c>
      <c r="AC94" s="135"/>
      <c r="AD94" s="35">
        <v>0</v>
      </c>
      <c r="AE94" s="35"/>
      <c r="AF94" s="35">
        <v>0</v>
      </c>
      <c r="AH94" s="35">
        <v>0</v>
      </c>
      <c r="AL94" s="424"/>
      <c r="AP94" s="397"/>
    </row>
    <row r="95" spans="2:42">
      <c r="B95" s="4">
        <v>12</v>
      </c>
      <c r="C95" s="256"/>
      <c r="D95" s="2" t="s">
        <v>467</v>
      </c>
      <c r="E95" s="4"/>
      <c r="F95" s="137">
        <f>SUM(F84:F94)</f>
        <v>1553102.7913497847</v>
      </c>
      <c r="G95" s="453"/>
      <c r="H95" s="137">
        <f>SUM(H84:H94)</f>
        <v>76208.359366172677</v>
      </c>
      <c r="I95" s="453"/>
      <c r="J95" s="137">
        <f>SUM(J84:J94)</f>
        <v>31615.943849726202</v>
      </c>
      <c r="K95" s="453"/>
      <c r="L95" s="137"/>
      <c r="M95" s="453"/>
      <c r="N95" s="137">
        <f>SUM(N84:N94)</f>
        <v>0</v>
      </c>
      <c r="O95" s="453"/>
      <c r="P95" s="137">
        <f>SUM(P84:P94)</f>
        <v>0</v>
      </c>
      <c r="Q95" s="453"/>
      <c r="R95" s="137">
        <f>SUM(R84:R94)</f>
        <v>0</v>
      </c>
      <c r="S95" s="67"/>
      <c r="T95" s="137">
        <f>SUM(T84:T94)</f>
        <v>1447320.8852194883</v>
      </c>
      <c r="V95" s="137">
        <f>SUM(V84:V94)</f>
        <v>39027.263069452012</v>
      </c>
      <c r="W95" s="135"/>
      <c r="X95" s="137">
        <f>SUM(X84:X94)</f>
        <v>105981.61541066345</v>
      </c>
      <c r="Y95" s="135"/>
      <c r="Z95" s="135"/>
      <c r="AA95" s="135"/>
      <c r="AB95" s="137">
        <f>SUM(AB84:AB94)</f>
        <v>31506.504970329202</v>
      </c>
      <c r="AC95" s="135"/>
      <c r="AD95" s="137">
        <f>SUM(AD84:AD94)</f>
        <v>0</v>
      </c>
      <c r="AE95" s="135"/>
      <c r="AF95" s="137">
        <f>SUM(AF84:AF94)</f>
        <v>0</v>
      </c>
      <c r="AH95" s="137">
        <f>SUM(AH84:AH94)</f>
        <v>0</v>
      </c>
      <c r="AJ95" s="137">
        <f>SUM(AJ84:AJ94)</f>
        <v>1623836.2686699328</v>
      </c>
      <c r="AK95" s="453"/>
      <c r="AL95" s="425">
        <f t="shared" si="13"/>
        <v>4.5543332813583089E-2</v>
      </c>
      <c r="AP95" s="397"/>
    </row>
    <row r="96" spans="2:42">
      <c r="B96" s="4"/>
      <c r="C96" s="256"/>
      <c r="D96" s="256"/>
      <c r="E96" s="4"/>
      <c r="F96" s="138"/>
      <c r="G96" s="138"/>
      <c r="H96" s="453"/>
      <c r="I96" s="138"/>
      <c r="J96" s="138"/>
      <c r="K96" s="138"/>
      <c r="L96" s="138"/>
      <c r="M96" s="138"/>
      <c r="N96" s="453"/>
      <c r="O96" s="138"/>
      <c r="P96" s="138"/>
      <c r="Q96" s="138"/>
      <c r="R96" s="454"/>
      <c r="S96" s="67"/>
      <c r="T96" s="4"/>
      <c r="V96" s="135"/>
      <c r="W96" s="135"/>
      <c r="X96" s="135"/>
      <c r="Y96" s="135"/>
      <c r="Z96" s="135"/>
      <c r="AA96" s="135"/>
      <c r="AB96" s="135"/>
      <c r="AC96" s="135"/>
      <c r="AD96" s="135"/>
      <c r="AE96" s="135"/>
      <c r="AP96" s="397"/>
    </row>
    <row r="97" spans="2:42">
      <c r="B97" s="4"/>
      <c r="C97" s="256"/>
      <c r="D97" s="6" t="s">
        <v>172</v>
      </c>
      <c r="E97" s="4"/>
      <c r="F97" s="138"/>
      <c r="G97" s="138"/>
      <c r="H97" s="453"/>
      <c r="I97" s="138"/>
      <c r="J97" s="138"/>
      <c r="K97" s="138"/>
      <c r="L97" s="138"/>
      <c r="M97" s="138"/>
      <c r="N97" s="453"/>
      <c r="O97" s="138"/>
      <c r="P97" s="138"/>
      <c r="Q97" s="138"/>
      <c r="R97" s="66"/>
      <c r="S97" s="67"/>
      <c r="T97" s="4"/>
      <c r="V97" s="135"/>
      <c r="W97" s="135"/>
      <c r="X97" s="135"/>
      <c r="Y97" s="135"/>
      <c r="Z97" s="135"/>
      <c r="AA97" s="135"/>
      <c r="AB97" s="135"/>
      <c r="AC97" s="135"/>
      <c r="AD97" s="135"/>
      <c r="AE97" s="135"/>
      <c r="AP97" s="397"/>
    </row>
    <row r="98" spans="2:42">
      <c r="B98" s="4">
        <v>13</v>
      </c>
      <c r="C98" s="256"/>
      <c r="D98" s="7" t="s">
        <v>173</v>
      </c>
      <c r="E98" s="4"/>
      <c r="F98" s="35">
        <v>224946.19597039357</v>
      </c>
      <c r="G98" s="35"/>
      <c r="H98" s="35">
        <v>5811.0881205523092</v>
      </c>
      <c r="I98" s="35"/>
      <c r="J98" s="35">
        <v>2800.9558375251618</v>
      </c>
      <c r="K98" s="35"/>
      <c r="L98" s="35"/>
      <c r="M98" s="35"/>
      <c r="N98" s="35">
        <v>0</v>
      </c>
      <c r="O98" s="35"/>
      <c r="P98" s="35">
        <v>0</v>
      </c>
      <c r="Q98" s="35"/>
      <c r="R98" s="35">
        <v>0</v>
      </c>
      <c r="S98" s="452"/>
      <c r="T98" s="68">
        <f>F98-SUM(H98:R98)</f>
        <v>216334.1520123161</v>
      </c>
      <c r="V98" s="35">
        <v>5833.48858412355</v>
      </c>
      <c r="W98" s="35"/>
      <c r="X98" s="35">
        <v>12031.445193721327</v>
      </c>
      <c r="Y98" s="135"/>
      <c r="Z98" s="135"/>
      <c r="AA98" s="35"/>
      <c r="AB98" s="35">
        <v>2723.3095686261609</v>
      </c>
      <c r="AC98" s="135"/>
      <c r="AD98" s="35">
        <v>0</v>
      </c>
      <c r="AE98" s="35"/>
      <c r="AF98" s="35">
        <v>0</v>
      </c>
      <c r="AG98" s="35"/>
      <c r="AH98" s="35">
        <v>0</v>
      </c>
      <c r="AJ98" s="68">
        <f>SUM(T98:AH98)</f>
        <v>236922.39535878715</v>
      </c>
      <c r="AK98" s="68"/>
      <c r="AL98" s="424">
        <f t="shared" ref="AL98:AL103" si="14">(AJ98-F98)/F98</f>
        <v>5.3240284134299536E-2</v>
      </c>
      <c r="AP98" s="397"/>
    </row>
    <row r="99" spans="2:42">
      <c r="B99" s="4">
        <v>14</v>
      </c>
      <c r="C99" s="256"/>
      <c r="D99" s="7" t="s">
        <v>174</v>
      </c>
      <c r="E99" s="4"/>
      <c r="F99" s="35">
        <v>31714.878996699263</v>
      </c>
      <c r="G99" s="35"/>
      <c r="H99" s="35">
        <v>3115.369769787249</v>
      </c>
      <c r="I99" s="35"/>
      <c r="J99" s="35">
        <v>734.4360465019023</v>
      </c>
      <c r="K99" s="35"/>
      <c r="L99" s="35"/>
      <c r="M99" s="35"/>
      <c r="N99" s="35">
        <v>0</v>
      </c>
      <c r="O99" s="35"/>
      <c r="P99" s="35">
        <v>0</v>
      </c>
      <c r="Q99" s="35"/>
      <c r="R99" s="35">
        <v>0</v>
      </c>
      <c r="S99" s="452"/>
      <c r="T99" s="68">
        <f>F99-SUM(H99:R99)</f>
        <v>27865.073180410112</v>
      </c>
      <c r="V99" s="35">
        <v>751.38661548193966</v>
      </c>
      <c r="W99" s="35"/>
      <c r="X99" s="35">
        <v>1653.5839539086912</v>
      </c>
      <c r="Y99" s="135"/>
      <c r="Z99" s="135"/>
      <c r="AA99" s="35"/>
      <c r="AB99" s="35">
        <v>714.07648995630962</v>
      </c>
      <c r="AC99" s="135"/>
      <c r="AD99" s="35">
        <v>0</v>
      </c>
      <c r="AE99" s="35"/>
      <c r="AF99" s="35">
        <v>0</v>
      </c>
      <c r="AG99" s="35"/>
      <c r="AH99" s="35">
        <v>0</v>
      </c>
      <c r="AJ99" s="68">
        <f>SUM(T99:AH99)</f>
        <v>30984.120239757056</v>
      </c>
      <c r="AK99" s="68"/>
      <c r="AL99" s="424">
        <f t="shared" si="14"/>
        <v>-2.3041511746529464E-2</v>
      </c>
      <c r="AP99" s="397"/>
    </row>
    <row r="100" spans="2:42">
      <c r="B100" s="4">
        <v>15</v>
      </c>
      <c r="C100" s="256"/>
      <c r="D100" s="7" t="s">
        <v>175</v>
      </c>
      <c r="E100" s="4"/>
      <c r="F100" s="35">
        <v>30830.738014438422</v>
      </c>
      <c r="G100" s="35"/>
      <c r="H100" s="35">
        <v>1925.7154706035999</v>
      </c>
      <c r="I100" s="35"/>
      <c r="J100" s="35">
        <v>196.90344974972743</v>
      </c>
      <c r="K100" s="35"/>
      <c r="L100" s="35"/>
      <c r="M100" s="35"/>
      <c r="N100" s="35">
        <v>0</v>
      </c>
      <c r="O100" s="35"/>
      <c r="P100" s="35">
        <v>0</v>
      </c>
      <c r="Q100" s="35"/>
      <c r="R100" s="35">
        <v>0</v>
      </c>
      <c r="S100" s="452"/>
      <c r="T100" s="68">
        <f>F100-SUM(H100:R100)</f>
        <v>28708.119094085094</v>
      </c>
      <c r="V100" s="35">
        <v>774.11949731113589</v>
      </c>
      <c r="W100" s="35"/>
      <c r="X100" s="35">
        <v>1314.4475566860162</v>
      </c>
      <c r="Y100" s="135"/>
      <c r="Z100" s="135"/>
      <c r="AA100" s="35"/>
      <c r="AB100" s="35">
        <v>191.44502087998987</v>
      </c>
      <c r="AC100" s="135"/>
      <c r="AD100" s="35">
        <v>0</v>
      </c>
      <c r="AE100" s="35"/>
      <c r="AF100" s="35">
        <v>0</v>
      </c>
      <c r="AG100" s="35"/>
      <c r="AH100" s="35">
        <v>0</v>
      </c>
      <c r="AJ100" s="68">
        <f>SUM(T100:AH100)</f>
        <v>30988.131168962234</v>
      </c>
      <c r="AK100" s="68"/>
      <c r="AL100" s="424">
        <f t="shared" si="14"/>
        <v>5.1050725561646556E-3</v>
      </c>
      <c r="AP100" s="397"/>
    </row>
    <row r="101" spans="2:42">
      <c r="B101" s="4">
        <v>16</v>
      </c>
      <c r="C101" s="256"/>
      <c r="D101" s="7" t="s">
        <v>176</v>
      </c>
      <c r="E101" s="4"/>
      <c r="F101" s="35">
        <v>4864.8697912580355</v>
      </c>
      <c r="G101" s="35"/>
      <c r="H101" s="35">
        <v>40.181023528609991</v>
      </c>
      <c r="I101" s="35"/>
      <c r="J101" s="35">
        <v>0</v>
      </c>
      <c r="K101" s="35"/>
      <c r="L101" s="35"/>
      <c r="M101" s="35"/>
      <c r="N101" s="35">
        <v>0</v>
      </c>
      <c r="O101" s="35"/>
      <c r="P101" s="35">
        <v>0</v>
      </c>
      <c r="Q101" s="35"/>
      <c r="R101" s="35">
        <v>0</v>
      </c>
      <c r="S101" s="452"/>
      <c r="T101" s="68">
        <f>F101-SUM(H101:R101)</f>
        <v>4824.6887677294253</v>
      </c>
      <c r="V101" s="35">
        <v>130.09858400395507</v>
      </c>
      <c r="W101" s="35"/>
      <c r="X101" s="35">
        <v>78.99750173563443</v>
      </c>
      <c r="Y101" s="135"/>
      <c r="Z101" s="135"/>
      <c r="AA101" s="35"/>
      <c r="AB101" s="35">
        <v>0</v>
      </c>
      <c r="AC101" s="135"/>
      <c r="AD101" s="35">
        <v>0</v>
      </c>
      <c r="AE101" s="35"/>
      <c r="AF101" s="35">
        <v>0</v>
      </c>
      <c r="AG101" s="35"/>
      <c r="AH101" s="35">
        <v>0</v>
      </c>
      <c r="AJ101" s="68">
        <f>SUM(T101:AH101)</f>
        <v>5033.7848534690147</v>
      </c>
      <c r="AK101" s="68"/>
      <c r="AL101" s="424">
        <f t="shared" si="14"/>
        <v>3.4721394293946439E-2</v>
      </c>
      <c r="AP101" s="397"/>
    </row>
    <row r="102" spans="2:42">
      <c r="B102" s="4">
        <v>17</v>
      </c>
      <c r="C102" s="256"/>
      <c r="D102" s="7" t="s">
        <v>164</v>
      </c>
      <c r="E102" s="4"/>
      <c r="F102" s="35">
        <v>11804.1884031645</v>
      </c>
      <c r="G102" s="35"/>
      <c r="H102" s="35">
        <v>1224.9183929174201</v>
      </c>
      <c r="I102" s="35"/>
      <c r="J102" s="35">
        <v>13.760700020675317</v>
      </c>
      <c r="K102" s="35"/>
      <c r="L102" s="35"/>
      <c r="M102" s="35"/>
      <c r="N102" s="35">
        <v>0</v>
      </c>
      <c r="O102" s="35"/>
      <c r="P102" s="35">
        <v>0</v>
      </c>
      <c r="Q102" s="35"/>
      <c r="R102" s="35">
        <v>0</v>
      </c>
      <c r="S102" s="452"/>
      <c r="T102" s="68">
        <f>F102-SUM(H102:R102)</f>
        <v>10565.509310226405</v>
      </c>
      <c r="V102" s="35">
        <v>284.90082297846345</v>
      </c>
      <c r="W102" s="35"/>
      <c r="X102" s="35">
        <v>905.45719952283821</v>
      </c>
      <c r="Y102" s="135"/>
      <c r="Z102" s="135"/>
      <c r="AA102" s="35"/>
      <c r="AB102" s="35">
        <v>13.37923487947986</v>
      </c>
      <c r="AC102" s="135"/>
      <c r="AD102" s="35">
        <v>0</v>
      </c>
      <c r="AE102" s="35"/>
      <c r="AF102" s="35">
        <v>0</v>
      </c>
      <c r="AG102" s="35"/>
      <c r="AH102" s="35">
        <v>0</v>
      </c>
      <c r="AJ102" s="68">
        <f>SUM(T102:AH102)</f>
        <v>11769.246567607186</v>
      </c>
      <c r="AK102" s="68"/>
      <c r="AL102" s="424">
        <f t="shared" si="14"/>
        <v>-2.9601218113349519E-3</v>
      </c>
      <c r="AP102" s="397"/>
    </row>
    <row r="103" spans="2:42">
      <c r="B103" s="4">
        <v>18</v>
      </c>
      <c r="C103" s="256"/>
      <c r="D103" s="2" t="s">
        <v>475</v>
      </c>
      <c r="E103" s="4"/>
      <c r="F103" s="137">
        <f>SUM(F98:F102)</f>
        <v>304160.87117595377</v>
      </c>
      <c r="G103" s="453"/>
      <c r="H103" s="137">
        <f>SUM(H98:H102)</f>
        <v>12117.272777389187</v>
      </c>
      <c r="I103" s="453"/>
      <c r="J103" s="137">
        <f>SUM(J98:J102)</f>
        <v>3746.0560337974666</v>
      </c>
      <c r="K103" s="453"/>
      <c r="L103" s="137"/>
      <c r="M103" s="453"/>
      <c r="N103" s="137">
        <f>SUM(N98:N102)</f>
        <v>0</v>
      </c>
      <c r="O103" s="453"/>
      <c r="P103" s="137">
        <f>SUM(P98:P102)</f>
        <v>0</v>
      </c>
      <c r="Q103" s="453"/>
      <c r="R103" s="137">
        <f>SUM(R98:R102)</f>
        <v>0</v>
      </c>
      <c r="S103" s="67"/>
      <c r="T103" s="137">
        <f>SUM(T98:T102)</f>
        <v>288297.54236476717</v>
      </c>
      <c r="V103" s="137">
        <f>SUM(V98:V102)</f>
        <v>7773.9941038990437</v>
      </c>
      <c r="W103" s="135"/>
      <c r="X103" s="137">
        <f>SUM(X98:X102)</f>
        <v>15983.931405574507</v>
      </c>
      <c r="Y103" s="135"/>
      <c r="Z103" s="135"/>
      <c r="AA103" s="135"/>
      <c r="AB103" s="137">
        <f>SUM(AB98:AB102)</f>
        <v>3642.2103143419404</v>
      </c>
      <c r="AC103" s="135"/>
      <c r="AD103" s="137">
        <f>SUM(AD98:AD102)</f>
        <v>0</v>
      </c>
      <c r="AE103" s="135"/>
      <c r="AF103" s="137">
        <f>SUM(AF98:AF102)</f>
        <v>0</v>
      </c>
      <c r="AH103" s="137">
        <f>SUM(AH98:AH102)</f>
        <v>0</v>
      </c>
      <c r="AJ103" s="137">
        <f>SUM(AJ98:AJ102)</f>
        <v>315697.67818858259</v>
      </c>
      <c r="AK103" s="453"/>
      <c r="AL103" s="425">
        <f t="shared" si="14"/>
        <v>3.7929951239371956E-2</v>
      </c>
      <c r="AP103" s="397"/>
    </row>
    <row r="104" spans="2:42">
      <c r="B104" s="4"/>
      <c r="C104" s="256"/>
      <c r="D104" s="256"/>
      <c r="E104" s="4"/>
      <c r="F104" s="138"/>
      <c r="G104" s="138"/>
      <c r="H104" s="138"/>
      <c r="I104" s="138"/>
      <c r="J104" s="138"/>
      <c r="K104" s="138"/>
      <c r="L104" s="138"/>
      <c r="M104" s="138"/>
      <c r="N104" s="453"/>
      <c r="O104" s="138"/>
      <c r="P104" s="138"/>
      <c r="Q104" s="138"/>
      <c r="R104" s="454"/>
      <c r="S104" s="144"/>
      <c r="T104" s="4"/>
      <c r="V104" s="138"/>
      <c r="W104" s="135"/>
      <c r="X104" s="138"/>
      <c r="Y104" s="135"/>
      <c r="Z104" s="135"/>
      <c r="AA104" s="135"/>
      <c r="AB104" s="138"/>
      <c r="AC104" s="135"/>
      <c r="AD104" s="135"/>
      <c r="AE104" s="135"/>
      <c r="AP104" s="397"/>
    </row>
    <row r="105" spans="2:42">
      <c r="B105" s="4"/>
      <c r="C105" s="256"/>
      <c r="D105" s="10" t="s">
        <v>177</v>
      </c>
      <c r="E105" s="4"/>
      <c r="F105" s="138"/>
      <c r="G105" s="138"/>
      <c r="H105" s="138"/>
      <c r="I105" s="138"/>
      <c r="J105" s="138"/>
      <c r="K105" s="138"/>
      <c r="L105" s="138"/>
      <c r="M105" s="138"/>
      <c r="N105" s="453"/>
      <c r="O105" s="138"/>
      <c r="P105" s="138"/>
      <c r="Q105" s="138"/>
      <c r="R105" s="454"/>
      <c r="S105" s="67"/>
      <c r="T105" s="4"/>
      <c r="V105" s="138"/>
      <c r="W105" s="135"/>
      <c r="X105" s="138"/>
      <c r="Y105" s="135"/>
      <c r="Z105" s="135"/>
      <c r="AA105" s="135"/>
      <c r="AB105" s="138"/>
      <c r="AC105" s="135"/>
      <c r="AD105" s="135"/>
      <c r="AE105" s="135"/>
      <c r="AP105" s="397"/>
    </row>
    <row r="106" spans="2:42">
      <c r="B106" s="4">
        <v>19</v>
      </c>
      <c r="C106" s="256"/>
      <c r="D106" s="455" t="s">
        <v>178</v>
      </c>
      <c r="E106" s="4"/>
      <c r="F106" s="35">
        <v>547431.3368180152</v>
      </c>
      <c r="G106" s="35"/>
      <c r="H106" s="35">
        <v>28884.146068647893</v>
      </c>
      <c r="I106" s="35"/>
      <c r="J106" s="35">
        <v>7786.8639725367757</v>
      </c>
      <c r="K106" s="35"/>
      <c r="L106" s="35"/>
      <c r="M106" s="35"/>
      <c r="N106" s="35">
        <v>0</v>
      </c>
      <c r="O106" s="35"/>
      <c r="P106" s="35">
        <v>0</v>
      </c>
      <c r="Q106" s="35"/>
      <c r="R106" s="35">
        <v>0</v>
      </c>
      <c r="S106" s="452"/>
      <c r="T106" s="68">
        <f t="shared" ref="T106:T114" si="15">F106-SUM(H106:R106)</f>
        <v>510760.32677683054</v>
      </c>
      <c r="V106" s="35">
        <v>13772.742342162532</v>
      </c>
      <c r="W106" s="35"/>
      <c r="X106" s="35">
        <v>39316.961995591795</v>
      </c>
      <c r="Y106" s="135"/>
      <c r="Z106" s="135"/>
      <c r="AA106" s="35"/>
      <c r="AB106" s="35">
        <v>7570.9035169613735</v>
      </c>
      <c r="AC106" s="135"/>
      <c r="AD106" s="35">
        <v>0</v>
      </c>
      <c r="AE106" s="35"/>
      <c r="AF106" s="35">
        <v>0</v>
      </c>
      <c r="AG106" s="35"/>
      <c r="AH106" s="35">
        <v>0</v>
      </c>
      <c r="AJ106" s="68">
        <f t="shared" ref="AJ106:AJ114" si="16">SUM(T106:AH106)</f>
        <v>571420.93463154626</v>
      </c>
      <c r="AK106" s="68"/>
      <c r="AL106" s="424">
        <f t="shared" ref="AL106:AL132" si="17">(AJ106-F106)/F106</f>
        <v>4.3822112838794273E-2</v>
      </c>
      <c r="AP106" s="397"/>
    </row>
    <row r="107" spans="2:42">
      <c r="B107" s="4">
        <v>20</v>
      </c>
      <c r="C107" s="256"/>
      <c r="D107" s="455" t="s">
        <v>179</v>
      </c>
      <c r="E107" s="4"/>
      <c r="F107" s="35">
        <v>93706.245549094863</v>
      </c>
      <c r="G107" s="35"/>
      <c r="H107" s="35">
        <v>12067.962053130181</v>
      </c>
      <c r="I107" s="35"/>
      <c r="J107" s="35">
        <v>2655.5326168623533</v>
      </c>
      <c r="K107" s="35"/>
      <c r="L107" s="35"/>
      <c r="M107" s="35"/>
      <c r="N107" s="35">
        <v>0</v>
      </c>
      <c r="O107" s="35"/>
      <c r="P107" s="35">
        <v>0</v>
      </c>
      <c r="Q107" s="35"/>
      <c r="R107" s="35">
        <v>0</v>
      </c>
      <c r="S107" s="452"/>
      <c r="T107" s="68">
        <f t="shared" si="15"/>
        <v>78982.750879102328</v>
      </c>
      <c r="V107" s="35">
        <v>2129.783815038536</v>
      </c>
      <c r="W107" s="35"/>
      <c r="X107" s="35">
        <v>7054.8124410259497</v>
      </c>
      <c r="Y107" s="135"/>
      <c r="Z107" s="135"/>
      <c r="AA107" s="35"/>
      <c r="AB107" s="35">
        <v>2581.3361329181394</v>
      </c>
      <c r="AC107" s="135"/>
      <c r="AD107" s="35">
        <v>0</v>
      </c>
      <c r="AE107" s="35"/>
      <c r="AF107" s="35">
        <v>0</v>
      </c>
      <c r="AG107" s="35"/>
      <c r="AH107" s="35">
        <v>0</v>
      </c>
      <c r="AJ107" s="68">
        <f t="shared" si="16"/>
        <v>90748.683268084947</v>
      </c>
      <c r="AK107" s="68"/>
      <c r="AL107" s="424">
        <f t="shared" si="17"/>
        <v>-3.1562061457903363E-2</v>
      </c>
      <c r="AP107" s="397"/>
    </row>
    <row r="108" spans="2:42">
      <c r="B108" s="4">
        <v>21</v>
      </c>
      <c r="C108" s="256"/>
      <c r="D108" s="455" t="s">
        <v>180</v>
      </c>
      <c r="E108" s="4"/>
      <c r="F108" s="35">
        <v>34924.005862796672</v>
      </c>
      <c r="G108" s="35"/>
      <c r="H108" s="35">
        <v>5157.8186822260795</v>
      </c>
      <c r="I108" s="35"/>
      <c r="J108" s="35">
        <v>407.9442644714328</v>
      </c>
      <c r="K108" s="35"/>
      <c r="L108" s="35"/>
      <c r="M108" s="35"/>
      <c r="N108" s="35">
        <v>0</v>
      </c>
      <c r="O108" s="35"/>
      <c r="P108" s="35">
        <v>0</v>
      </c>
      <c r="Q108" s="35"/>
      <c r="R108" s="35">
        <v>0</v>
      </c>
      <c r="S108" s="452"/>
      <c r="T108" s="68">
        <f t="shared" si="15"/>
        <v>29358.24291609916</v>
      </c>
      <c r="V108" s="35">
        <v>791.65020089495863</v>
      </c>
      <c r="W108" s="35"/>
      <c r="X108" s="35">
        <v>5535.3551001856013</v>
      </c>
      <c r="Y108" s="135"/>
      <c r="Z108" s="135"/>
      <c r="AA108" s="35"/>
      <c r="AB108" s="35">
        <v>396.63549993091806</v>
      </c>
      <c r="AC108" s="135"/>
      <c r="AD108" s="35">
        <v>0</v>
      </c>
      <c r="AE108" s="35"/>
      <c r="AF108" s="35">
        <v>0</v>
      </c>
      <c r="AG108" s="35"/>
      <c r="AH108" s="35">
        <v>0</v>
      </c>
      <c r="AJ108" s="68">
        <f t="shared" si="16"/>
        <v>36081.883717110635</v>
      </c>
      <c r="AK108" s="68"/>
      <c r="AL108" s="424">
        <f t="shared" si="17"/>
        <v>3.3154210856075082E-2</v>
      </c>
      <c r="AP108" s="397"/>
    </row>
    <row r="109" spans="2:42">
      <c r="B109" s="4">
        <v>22</v>
      </c>
      <c r="C109" s="256"/>
      <c r="D109" s="455" t="s">
        <v>181</v>
      </c>
      <c r="E109" s="4"/>
      <c r="F109" s="35">
        <v>2673.6417933406542</v>
      </c>
      <c r="G109" s="35"/>
      <c r="H109" s="35">
        <v>513.786125051</v>
      </c>
      <c r="I109" s="35"/>
      <c r="J109" s="35">
        <v>504.22309514895608</v>
      </c>
      <c r="K109" s="35"/>
      <c r="L109" s="35"/>
      <c r="M109" s="35"/>
      <c r="N109" s="35">
        <v>0</v>
      </c>
      <c r="O109" s="35"/>
      <c r="P109" s="35">
        <v>0</v>
      </c>
      <c r="Q109" s="35"/>
      <c r="R109" s="35">
        <v>0</v>
      </c>
      <c r="S109" s="452"/>
      <c r="T109" s="68">
        <f t="shared" si="15"/>
        <v>1655.6325731406982</v>
      </c>
      <c r="V109" s="35">
        <v>44.644424493685733</v>
      </c>
      <c r="W109" s="35"/>
      <c r="X109" s="35">
        <v>388.73937828172734</v>
      </c>
      <c r="Y109" s="135"/>
      <c r="Z109" s="135"/>
      <c r="AA109" s="35"/>
      <c r="AB109" s="35">
        <v>490.24535172776291</v>
      </c>
      <c r="AC109" s="135"/>
      <c r="AD109" s="35">
        <v>0</v>
      </c>
      <c r="AE109" s="35"/>
      <c r="AF109" s="35">
        <v>0</v>
      </c>
      <c r="AG109" s="35"/>
      <c r="AH109" s="35">
        <v>0</v>
      </c>
      <c r="AJ109" s="68">
        <f t="shared" si="16"/>
        <v>2579.2617276438741</v>
      </c>
      <c r="AK109" s="68"/>
      <c r="AL109" s="424">
        <f t="shared" si="17"/>
        <v>-3.5300190897619967E-2</v>
      </c>
      <c r="AP109" s="397"/>
    </row>
    <row r="110" spans="2:42">
      <c r="B110" s="4">
        <v>23</v>
      </c>
      <c r="C110" s="256"/>
      <c r="D110" s="455" t="s">
        <v>182</v>
      </c>
      <c r="E110" s="4"/>
      <c r="F110" s="35">
        <v>28030.956525920945</v>
      </c>
      <c r="G110" s="35"/>
      <c r="H110" s="35">
        <v>2364.1091183112503</v>
      </c>
      <c r="I110" s="35"/>
      <c r="J110" s="35">
        <v>143.02737771982905</v>
      </c>
      <c r="K110" s="35"/>
      <c r="L110" s="35"/>
      <c r="M110" s="35"/>
      <c r="N110" s="35">
        <v>0</v>
      </c>
      <c r="O110" s="35"/>
      <c r="P110" s="35">
        <v>0</v>
      </c>
      <c r="Q110" s="35"/>
      <c r="R110" s="35">
        <v>0</v>
      </c>
      <c r="S110" s="452"/>
      <c r="T110" s="68">
        <f t="shared" si="15"/>
        <v>25523.820029889866</v>
      </c>
      <c r="V110" s="35">
        <v>688.25431113211539</v>
      </c>
      <c r="W110" s="35"/>
      <c r="X110" s="35">
        <v>4188.4720524989989</v>
      </c>
      <c r="Y110" s="135"/>
      <c r="Z110" s="135"/>
      <c r="AA110" s="35"/>
      <c r="AB110" s="35">
        <v>139.06246614158559</v>
      </c>
      <c r="AC110" s="135"/>
      <c r="AD110" s="35">
        <v>0</v>
      </c>
      <c r="AE110" s="35"/>
      <c r="AF110" s="35">
        <v>0</v>
      </c>
      <c r="AG110" s="35"/>
      <c r="AH110" s="35">
        <v>0</v>
      </c>
      <c r="AJ110" s="68">
        <f t="shared" si="16"/>
        <v>30539.608859662563</v>
      </c>
      <c r="AK110" s="68"/>
      <c r="AL110" s="424">
        <f t="shared" si="17"/>
        <v>8.9495780546118828E-2</v>
      </c>
      <c r="AP110" s="397"/>
    </row>
    <row r="111" spans="2:42">
      <c r="B111" s="4">
        <v>24</v>
      </c>
      <c r="C111" s="256"/>
      <c r="D111" s="455" t="s">
        <v>183</v>
      </c>
      <c r="E111" s="4"/>
      <c r="F111" s="35">
        <v>1774.4642355456999</v>
      </c>
      <c r="G111" s="35"/>
      <c r="H111" s="35">
        <v>16.88309688</v>
      </c>
      <c r="I111" s="35"/>
      <c r="J111" s="35">
        <v>65.613483750987882</v>
      </c>
      <c r="K111" s="35"/>
      <c r="L111" s="35"/>
      <c r="M111" s="35"/>
      <c r="N111" s="35">
        <v>0</v>
      </c>
      <c r="O111" s="35"/>
      <c r="P111" s="35">
        <v>0</v>
      </c>
      <c r="Q111" s="35"/>
      <c r="R111" s="35">
        <v>0</v>
      </c>
      <c r="S111" s="452"/>
      <c r="T111" s="68">
        <f t="shared" si="15"/>
        <v>1691.9676549147121</v>
      </c>
      <c r="V111" s="35">
        <v>45.62420638554272</v>
      </c>
      <c r="W111" s="35"/>
      <c r="X111" s="35">
        <v>17.720613264513492</v>
      </c>
      <c r="Y111" s="135"/>
      <c r="Z111" s="135"/>
      <c r="AA111" s="35"/>
      <c r="AB111" s="35">
        <v>63.794589595473241</v>
      </c>
      <c r="AC111" s="135"/>
      <c r="AD111" s="35">
        <v>0</v>
      </c>
      <c r="AE111" s="35"/>
      <c r="AF111" s="35">
        <v>0</v>
      </c>
      <c r="AG111" s="35"/>
      <c r="AH111" s="35">
        <v>0</v>
      </c>
      <c r="AJ111" s="68">
        <f t="shared" si="16"/>
        <v>1819.1070641602416</v>
      </c>
      <c r="AK111" s="68"/>
      <c r="AL111" s="424">
        <f t="shared" si="17"/>
        <v>2.515848317495829E-2</v>
      </c>
      <c r="AP111" s="397"/>
    </row>
    <row r="112" spans="2:42">
      <c r="B112" s="4">
        <v>25</v>
      </c>
      <c r="D112" s="455" t="s">
        <v>184</v>
      </c>
      <c r="E112" s="4"/>
      <c r="F112" s="35">
        <v>14311.19900034794</v>
      </c>
      <c r="G112" s="35"/>
      <c r="H112" s="35">
        <v>1634.7029693331499</v>
      </c>
      <c r="I112" s="35"/>
      <c r="J112" s="35">
        <v>0</v>
      </c>
      <c r="K112" s="35"/>
      <c r="L112" s="35"/>
      <c r="M112" s="35"/>
      <c r="N112" s="35">
        <v>0</v>
      </c>
      <c r="O112" s="35"/>
      <c r="P112" s="35">
        <v>0</v>
      </c>
      <c r="Q112" s="35"/>
      <c r="R112" s="35">
        <v>0</v>
      </c>
      <c r="S112" s="452"/>
      <c r="T112" s="68">
        <f t="shared" si="15"/>
        <v>12676.496031014791</v>
      </c>
      <c r="V112" s="35">
        <v>341.82395241691881</v>
      </c>
      <c r="W112" s="35"/>
      <c r="X112" s="35">
        <v>965.15650932865947</v>
      </c>
      <c r="Y112" s="135"/>
      <c r="Z112" s="135"/>
      <c r="AA112" s="35"/>
      <c r="AB112" s="35">
        <v>0</v>
      </c>
      <c r="AC112" s="135"/>
      <c r="AD112" s="35">
        <v>0</v>
      </c>
      <c r="AE112" s="35"/>
      <c r="AF112" s="35">
        <v>0</v>
      </c>
      <c r="AG112" s="35"/>
      <c r="AH112" s="35">
        <v>0</v>
      </c>
      <c r="AJ112" s="68">
        <f t="shared" si="16"/>
        <v>13983.476492760368</v>
      </c>
      <c r="AK112" s="68"/>
      <c r="AL112" s="424">
        <f t="shared" si="17"/>
        <v>-2.2899724025890803E-2</v>
      </c>
      <c r="AP112" s="397"/>
    </row>
    <row r="113" spans="2:42">
      <c r="B113" s="4">
        <v>26</v>
      </c>
      <c r="D113" s="455" t="s">
        <v>185</v>
      </c>
      <c r="E113" s="4"/>
      <c r="F113" s="35">
        <v>79192.826316152365</v>
      </c>
      <c r="G113" s="35"/>
      <c r="H113" s="35">
        <v>4800.1659263247493</v>
      </c>
      <c r="I113" s="35"/>
      <c r="J113" s="35">
        <v>0</v>
      </c>
      <c r="K113" s="35"/>
      <c r="L113" s="35"/>
      <c r="M113" s="35"/>
      <c r="N113" s="35">
        <v>0</v>
      </c>
      <c r="O113" s="35"/>
      <c r="P113" s="35">
        <v>0</v>
      </c>
      <c r="Q113" s="35"/>
      <c r="R113" s="35">
        <v>0</v>
      </c>
      <c r="S113" s="452"/>
      <c r="T113" s="68">
        <f t="shared" si="15"/>
        <v>74392.660389827623</v>
      </c>
      <c r="V113" s="35">
        <v>2006.0112150111829</v>
      </c>
      <c r="W113" s="35"/>
      <c r="X113" s="35">
        <v>3537.6584435522946</v>
      </c>
      <c r="Y113" s="135"/>
      <c r="Z113" s="135"/>
      <c r="AA113" s="35"/>
      <c r="AB113" s="35">
        <v>0</v>
      </c>
      <c r="AC113" s="135"/>
      <c r="AD113" s="35">
        <v>0</v>
      </c>
      <c r="AE113" s="35"/>
      <c r="AF113" s="35">
        <v>0</v>
      </c>
      <c r="AG113" s="35"/>
      <c r="AH113" s="35">
        <v>0</v>
      </c>
      <c r="AJ113" s="68">
        <f t="shared" si="16"/>
        <v>79936.330048391101</v>
      </c>
      <c r="AK113" s="68"/>
      <c r="AL113" s="424">
        <f t="shared" si="17"/>
        <v>9.3885237694451285E-3</v>
      </c>
      <c r="AP113" s="397"/>
    </row>
    <row r="114" spans="2:42">
      <c r="B114" s="4">
        <v>27</v>
      </c>
      <c r="D114" s="455" t="s">
        <v>186</v>
      </c>
      <c r="E114" s="4"/>
      <c r="F114" s="35">
        <v>7803.7987485066014</v>
      </c>
      <c r="G114" s="35"/>
      <c r="H114" s="35">
        <v>106.2576</v>
      </c>
      <c r="I114" s="35"/>
      <c r="J114" s="35">
        <v>0</v>
      </c>
      <c r="K114" s="35"/>
      <c r="L114" s="35"/>
      <c r="M114" s="35"/>
      <c r="N114" s="35">
        <v>0</v>
      </c>
      <c r="O114" s="35"/>
      <c r="P114" s="35">
        <v>0</v>
      </c>
      <c r="Q114" s="35"/>
      <c r="R114" s="35">
        <v>0</v>
      </c>
      <c r="S114" s="452"/>
      <c r="T114" s="68">
        <f t="shared" si="15"/>
        <v>7697.5411485066015</v>
      </c>
      <c r="V114" s="35">
        <v>207.5655554055943</v>
      </c>
      <c r="W114" s="35"/>
      <c r="X114" s="35">
        <v>111.50384979625936</v>
      </c>
      <c r="Y114" s="135"/>
      <c r="Z114" s="135"/>
      <c r="AA114" s="35"/>
      <c r="AB114" s="35">
        <v>0</v>
      </c>
      <c r="AC114" s="135"/>
      <c r="AD114" s="35">
        <v>0</v>
      </c>
      <c r="AE114" s="35"/>
      <c r="AF114" s="35">
        <v>0</v>
      </c>
      <c r="AG114" s="35"/>
      <c r="AH114" s="35">
        <v>0</v>
      </c>
      <c r="AJ114" s="68">
        <f t="shared" si="16"/>
        <v>8016.610553708455</v>
      </c>
      <c r="AK114" s="68"/>
      <c r="AL114" s="424">
        <f t="shared" si="17"/>
        <v>2.7270283622137095E-2</v>
      </c>
      <c r="AP114" s="397"/>
    </row>
    <row r="115" spans="2:42">
      <c r="B115" s="4">
        <v>28</v>
      </c>
      <c r="C115" s="256"/>
      <c r="D115" s="256" t="s">
        <v>490</v>
      </c>
      <c r="F115" s="137">
        <f>SUM(F106:F114)</f>
        <v>809848.47484972095</v>
      </c>
      <c r="G115" s="453"/>
      <c r="H115" s="137">
        <f>SUM(H106:H114)</f>
        <v>55545.831639904303</v>
      </c>
      <c r="I115" s="453"/>
      <c r="J115" s="137">
        <f>SUM(J106:J114)</f>
        <v>11563.204810490335</v>
      </c>
      <c r="K115" s="453"/>
      <c r="L115" s="453"/>
      <c r="M115" s="453"/>
      <c r="N115" s="137">
        <f>SUM(N106:N114)</f>
        <v>0</v>
      </c>
      <c r="O115" s="453"/>
      <c r="P115" s="137">
        <f>SUM(P106:P114)</f>
        <v>0</v>
      </c>
      <c r="Q115" s="453"/>
      <c r="R115" s="137">
        <f>SUM(R106:R114)</f>
        <v>0</v>
      </c>
      <c r="S115" s="67"/>
      <c r="T115" s="137">
        <f>SUM(T106:T114)</f>
        <v>742739.43839932629</v>
      </c>
      <c r="V115" s="137">
        <f>SUM(V106:V114)</f>
        <v>20028.100022941064</v>
      </c>
      <c r="X115" s="137">
        <f>SUM(X106:X114)</f>
        <v>61116.380383525808</v>
      </c>
      <c r="AB115" s="137">
        <f>SUM(AB106:AB114)</f>
        <v>11241.977557275253</v>
      </c>
      <c r="AD115" s="137">
        <f>SUM(AD106:AD114)</f>
        <v>0</v>
      </c>
      <c r="AF115" s="137">
        <f>SUM(AF106:AF114)</f>
        <v>0</v>
      </c>
      <c r="AH115" s="137">
        <f>SUM(AH106:AH114)</f>
        <v>0</v>
      </c>
      <c r="AJ115" s="137">
        <f>SUM(AJ106:AJ114)</f>
        <v>835125.89636306849</v>
      </c>
      <c r="AK115" s="453"/>
      <c r="AL115" s="425">
        <f t="shared" si="17"/>
        <v>3.1212532095017068E-2</v>
      </c>
      <c r="AP115" s="397"/>
    </row>
    <row r="116" spans="2:42">
      <c r="B116" s="12"/>
      <c r="C116" s="256"/>
      <c r="D116" s="4"/>
      <c r="F116" s="138"/>
      <c r="G116" s="138"/>
      <c r="H116" s="138"/>
      <c r="I116" s="138"/>
      <c r="J116" s="138"/>
      <c r="K116" s="138"/>
      <c r="L116" s="138"/>
      <c r="M116" s="138"/>
      <c r="N116" s="138"/>
      <c r="O116" s="35"/>
      <c r="P116" s="35"/>
      <c r="Q116" s="138"/>
      <c r="R116" s="138"/>
      <c r="S116" s="144"/>
      <c r="T116" s="138"/>
      <c r="V116" s="138"/>
      <c r="X116" s="138"/>
      <c r="AB116" s="138"/>
      <c r="AD116" s="138"/>
      <c r="AF116" s="138"/>
      <c r="AH116" s="138"/>
      <c r="AJ116" s="138"/>
      <c r="AK116" s="138"/>
      <c r="AL116" s="424"/>
      <c r="AP116" s="397"/>
    </row>
    <row r="117" spans="2:42">
      <c r="B117" s="4">
        <v>29</v>
      </c>
      <c r="C117" s="256"/>
      <c r="D117" s="447" t="s">
        <v>523</v>
      </c>
      <c r="F117" s="137">
        <f>F95+F103+F115</f>
        <v>2667112.1373754595</v>
      </c>
      <c r="G117" s="453"/>
      <c r="H117" s="137">
        <f>H95+H103+H115</f>
        <v>143871.46378346617</v>
      </c>
      <c r="I117" s="453"/>
      <c r="J117" s="137">
        <f>J95+J103+J115</f>
        <v>46925.204694014006</v>
      </c>
      <c r="K117" s="453"/>
      <c r="L117" s="453"/>
      <c r="M117" s="453"/>
      <c r="N117" s="137">
        <f>N95+N103+N115</f>
        <v>0</v>
      </c>
      <c r="O117" s="453"/>
      <c r="P117" s="137">
        <f>P95+P103+P115</f>
        <v>0</v>
      </c>
      <c r="Q117" s="453"/>
      <c r="R117" s="137">
        <f>R95+R103+R115</f>
        <v>0</v>
      </c>
      <c r="S117" s="67"/>
      <c r="T117" s="137">
        <f>T95+T103+T115</f>
        <v>2478357.8659835821</v>
      </c>
      <c r="U117" s="68"/>
      <c r="V117" s="137">
        <f>V95+V103+V115</f>
        <v>66829.357196292112</v>
      </c>
      <c r="X117" s="137">
        <f>X95+X103+X115</f>
        <v>183081.92719976377</v>
      </c>
      <c r="AB117" s="137">
        <f>AB95+AB103+AB115</f>
        <v>46390.692841946395</v>
      </c>
      <c r="AD117" s="137">
        <f>AD95+AD103+AD115</f>
        <v>0</v>
      </c>
      <c r="AF117" s="137">
        <f>AF95+AF103+AF115</f>
        <v>0</v>
      </c>
      <c r="AH117" s="137">
        <f>AH95+AH103+AH115</f>
        <v>0</v>
      </c>
      <c r="AJ117" s="137">
        <f>AJ95+AJ103+AJ115</f>
        <v>2774659.8432215839</v>
      </c>
      <c r="AK117" s="453"/>
      <c r="AL117" s="425">
        <f t="shared" si="17"/>
        <v>4.0323653564846129E-2</v>
      </c>
      <c r="AN117" s="140">
        <v>2774659.8432215839</v>
      </c>
      <c r="AO117" s="68">
        <f>AN117-AJ117</f>
        <v>0</v>
      </c>
      <c r="AP117" s="397"/>
    </row>
    <row r="118" spans="2:42">
      <c r="B118" s="4"/>
      <c r="C118" s="256"/>
      <c r="D118" s="256"/>
      <c r="E118" s="4"/>
      <c r="F118" s="138"/>
      <c r="G118" s="138"/>
      <c r="H118" s="453"/>
      <c r="I118" s="138"/>
      <c r="J118" s="138"/>
      <c r="K118" s="138"/>
      <c r="L118" s="138"/>
      <c r="M118" s="138"/>
      <c r="N118" s="453"/>
      <c r="O118" s="453"/>
      <c r="P118" s="453"/>
      <c r="Q118" s="138"/>
      <c r="R118" s="454"/>
      <c r="S118" s="404"/>
      <c r="T118" s="4"/>
      <c r="AJ118" s="68"/>
      <c r="AK118" s="68"/>
      <c r="AL118" s="424"/>
      <c r="AP118" s="397"/>
    </row>
    <row r="119" spans="2:42">
      <c r="B119" s="4"/>
      <c r="C119" s="256"/>
      <c r="D119" s="10" t="s">
        <v>524</v>
      </c>
      <c r="E119" s="4"/>
      <c r="F119" s="138"/>
      <c r="G119" s="138"/>
      <c r="H119" s="453"/>
      <c r="I119" s="138"/>
      <c r="J119" s="138"/>
      <c r="K119" s="138"/>
      <c r="L119" s="138"/>
      <c r="M119" s="138"/>
      <c r="N119" s="453"/>
      <c r="O119" s="453"/>
      <c r="P119" s="453"/>
      <c r="Q119" s="138"/>
      <c r="R119" s="454"/>
      <c r="S119" s="456"/>
      <c r="T119" s="4"/>
      <c r="AL119" s="424"/>
      <c r="AP119" s="397"/>
    </row>
    <row r="120" spans="2:42">
      <c r="B120" s="4">
        <v>30</v>
      </c>
      <c r="C120" s="256"/>
      <c r="D120" s="7" t="s">
        <v>525</v>
      </c>
      <c r="F120" s="35">
        <v>169.00033449599999</v>
      </c>
      <c r="G120" s="35"/>
      <c r="H120" s="35">
        <v>0</v>
      </c>
      <c r="I120" s="35"/>
      <c r="J120" s="35">
        <v>0</v>
      </c>
      <c r="K120" s="35"/>
      <c r="L120" s="35"/>
      <c r="M120" s="35"/>
      <c r="N120" s="35">
        <v>0</v>
      </c>
      <c r="O120" s="35"/>
      <c r="P120" s="35">
        <v>0</v>
      </c>
      <c r="Q120" s="35"/>
      <c r="R120" s="35">
        <v>0</v>
      </c>
      <c r="S120" s="452"/>
      <c r="T120" s="68">
        <f t="shared" ref="T120:T127" si="18">F120-SUM(H120:R120)</f>
        <v>169.00033449599999</v>
      </c>
      <c r="V120" s="35">
        <v>4.5571238420984628</v>
      </c>
      <c r="X120" s="35">
        <v>0</v>
      </c>
      <c r="Y120" s="35"/>
      <c r="Z120" s="35">
        <v>0</v>
      </c>
      <c r="AA120" s="35"/>
      <c r="AB120" s="35">
        <v>0</v>
      </c>
      <c r="AC120" s="35"/>
      <c r="AD120" s="35">
        <v>0</v>
      </c>
      <c r="AE120" s="35"/>
      <c r="AF120" s="35">
        <v>0</v>
      </c>
      <c r="AG120" s="35"/>
      <c r="AH120" s="35">
        <v>0</v>
      </c>
      <c r="AJ120" s="68">
        <f t="shared" ref="AJ120:AJ127" si="19">SUM(T120:AH120)</f>
        <v>173.55745833809846</v>
      </c>
      <c r="AK120" s="68"/>
      <c r="AL120" s="424">
        <f t="shared" si="17"/>
        <v>2.6965176463637851E-2</v>
      </c>
      <c r="AP120" s="397"/>
    </row>
    <row r="121" spans="2:42">
      <c r="B121" s="4">
        <v>31</v>
      </c>
      <c r="C121" s="256"/>
      <c r="D121" s="7" t="s">
        <v>526</v>
      </c>
      <c r="E121" s="4"/>
      <c r="F121" s="35">
        <v>19179.468000000001</v>
      </c>
      <c r="G121" s="35"/>
      <c r="H121" s="35">
        <v>0</v>
      </c>
      <c r="I121" s="35"/>
      <c r="J121" s="35">
        <v>0</v>
      </c>
      <c r="K121" s="35"/>
      <c r="L121" s="35"/>
      <c r="M121" s="35"/>
      <c r="N121" s="35">
        <v>0</v>
      </c>
      <c r="O121" s="35"/>
      <c r="P121" s="35">
        <v>0</v>
      </c>
      <c r="Q121" s="35"/>
      <c r="R121" s="35">
        <v>0</v>
      </c>
      <c r="S121" s="452"/>
      <c r="T121" s="68">
        <f t="shared" si="18"/>
        <v>19179.468000000001</v>
      </c>
      <c r="V121" s="35">
        <v>517.17773909869356</v>
      </c>
      <c r="X121" s="35">
        <v>0</v>
      </c>
      <c r="Y121" s="35"/>
      <c r="Z121" s="35">
        <v>0</v>
      </c>
      <c r="AA121" s="35"/>
      <c r="AB121" s="35">
        <v>0</v>
      </c>
      <c r="AC121" s="35"/>
      <c r="AD121" s="35">
        <v>0</v>
      </c>
      <c r="AE121" s="35"/>
      <c r="AF121" s="35">
        <v>0</v>
      </c>
      <c r="AG121" s="35"/>
      <c r="AH121" s="35">
        <v>0</v>
      </c>
      <c r="AJ121" s="68">
        <f t="shared" si="19"/>
        <v>19696.645739098694</v>
      </c>
      <c r="AK121" s="68"/>
      <c r="AL121" s="424">
        <f t="shared" si="17"/>
        <v>2.6965176463637757E-2</v>
      </c>
      <c r="AP121" s="397"/>
    </row>
    <row r="122" spans="2:42">
      <c r="B122" s="4">
        <v>32</v>
      </c>
      <c r="C122" s="256"/>
      <c r="D122" s="7" t="s">
        <v>527</v>
      </c>
      <c r="F122" s="35">
        <v>3560.977942268019</v>
      </c>
      <c r="G122" s="35"/>
      <c r="H122" s="35">
        <v>0</v>
      </c>
      <c r="I122" s="35"/>
      <c r="J122" s="35">
        <v>0</v>
      </c>
      <c r="K122" s="35"/>
      <c r="L122" s="35"/>
      <c r="M122" s="35"/>
      <c r="N122" s="35">
        <v>0</v>
      </c>
      <c r="O122" s="35"/>
      <c r="P122" s="35">
        <v>0</v>
      </c>
      <c r="Q122" s="35"/>
      <c r="R122" s="35">
        <v>0</v>
      </c>
      <c r="S122" s="452"/>
      <c r="T122" s="68">
        <f t="shared" si="18"/>
        <v>3560.977942268019</v>
      </c>
      <c r="V122" s="35">
        <v>0</v>
      </c>
      <c r="X122" s="35">
        <v>0</v>
      </c>
      <c r="Y122" s="35"/>
      <c r="Z122" s="35">
        <v>0</v>
      </c>
      <c r="AA122" s="35"/>
      <c r="AB122" s="35">
        <v>0</v>
      </c>
      <c r="AC122" s="35"/>
      <c r="AD122" s="35">
        <v>0</v>
      </c>
      <c r="AE122" s="35"/>
      <c r="AF122" s="35">
        <v>0</v>
      </c>
      <c r="AG122" s="35"/>
      <c r="AH122" s="35">
        <v>0</v>
      </c>
      <c r="AJ122" s="68">
        <f t="shared" si="19"/>
        <v>3560.977942268019</v>
      </c>
      <c r="AK122" s="68"/>
      <c r="AL122" s="424">
        <f t="shared" si="17"/>
        <v>0</v>
      </c>
      <c r="AP122" s="397"/>
    </row>
    <row r="123" spans="2:42">
      <c r="B123" s="4">
        <v>33</v>
      </c>
      <c r="C123" s="256"/>
      <c r="D123" s="455" t="s">
        <v>528</v>
      </c>
      <c r="E123" s="4"/>
      <c r="F123" s="35">
        <v>104650.60323599997</v>
      </c>
      <c r="G123" s="35"/>
      <c r="H123" s="35">
        <v>0</v>
      </c>
      <c r="I123" s="35"/>
      <c r="J123" s="35">
        <v>0</v>
      </c>
      <c r="K123" s="35"/>
      <c r="L123" s="35"/>
      <c r="M123" s="35"/>
      <c r="N123" s="35">
        <v>0</v>
      </c>
      <c r="O123" s="35"/>
      <c r="P123" s="35">
        <v>0</v>
      </c>
      <c r="Q123" s="35"/>
      <c r="R123" s="35">
        <v>0</v>
      </c>
      <c r="S123" s="452"/>
      <c r="T123" s="68">
        <f t="shared" si="18"/>
        <v>104650.60323599997</v>
      </c>
      <c r="V123" s="35">
        <v>2821.9219832848885</v>
      </c>
      <c r="X123" s="35">
        <v>0</v>
      </c>
      <c r="Y123" s="35"/>
      <c r="Z123" s="35">
        <v>0</v>
      </c>
      <c r="AA123" s="35"/>
      <c r="AB123" s="35">
        <v>0</v>
      </c>
      <c r="AC123" s="35"/>
      <c r="AD123" s="35">
        <v>0</v>
      </c>
      <c r="AE123" s="35"/>
      <c r="AF123" s="35">
        <v>0</v>
      </c>
      <c r="AG123" s="35"/>
      <c r="AH123" s="35">
        <v>0</v>
      </c>
      <c r="AJ123" s="68">
        <f t="shared" si="19"/>
        <v>107472.52521928486</v>
      </c>
      <c r="AK123" s="68"/>
      <c r="AL123" s="424">
        <f t="shared" si="17"/>
        <v>2.6965176463637861E-2</v>
      </c>
      <c r="AP123" s="397"/>
    </row>
    <row r="124" spans="2:42">
      <c r="B124" s="4">
        <v>34</v>
      </c>
      <c r="C124" s="256"/>
      <c r="D124" s="455" t="s">
        <v>529</v>
      </c>
      <c r="E124" s="36"/>
      <c r="F124" s="35">
        <v>14191.052914499876</v>
      </c>
      <c r="G124" s="35"/>
      <c r="H124" s="35">
        <v>0</v>
      </c>
      <c r="I124" s="35"/>
      <c r="J124" s="35">
        <v>0</v>
      </c>
      <c r="K124" s="35"/>
      <c r="L124" s="35"/>
      <c r="M124" s="35"/>
      <c r="N124" s="35">
        <v>0</v>
      </c>
      <c r="O124" s="35"/>
      <c r="P124" s="35">
        <v>0</v>
      </c>
      <c r="Q124" s="35"/>
      <c r="R124" s="35">
        <v>0</v>
      </c>
      <c r="S124" s="452"/>
      <c r="T124" s="68">
        <f t="shared" si="18"/>
        <v>14191.052914499876</v>
      </c>
      <c r="V124" s="35">
        <v>55.342266069599745</v>
      </c>
      <c r="X124" s="35">
        <v>0</v>
      </c>
      <c r="Y124" s="35"/>
      <c r="Z124" s="35">
        <v>0</v>
      </c>
      <c r="AA124" s="35"/>
      <c r="AB124" s="35">
        <v>0</v>
      </c>
      <c r="AC124" s="35"/>
      <c r="AD124" s="35">
        <v>0</v>
      </c>
      <c r="AE124" s="35"/>
      <c r="AF124" s="35">
        <v>0</v>
      </c>
      <c r="AG124" s="35"/>
      <c r="AH124" s="35">
        <v>0</v>
      </c>
      <c r="AJ124" s="68">
        <f t="shared" si="19"/>
        <v>14246.395180569476</v>
      </c>
      <c r="AK124" s="68"/>
      <c r="AL124" s="424">
        <f t="shared" si="17"/>
        <v>3.8997998529801147E-3</v>
      </c>
      <c r="AP124" s="397"/>
    </row>
    <row r="125" spans="2:42">
      <c r="B125" s="4">
        <v>35</v>
      </c>
      <c r="C125" s="256"/>
      <c r="D125" s="455" t="s">
        <v>530</v>
      </c>
      <c r="E125" s="4"/>
      <c r="F125" s="35">
        <v>380.91363233333334</v>
      </c>
      <c r="G125" s="35"/>
      <c r="H125" s="35">
        <v>0</v>
      </c>
      <c r="I125" s="35"/>
      <c r="J125" s="35">
        <v>0</v>
      </c>
      <c r="K125" s="35"/>
      <c r="L125" s="35"/>
      <c r="M125" s="35"/>
      <c r="N125" s="35">
        <v>0</v>
      </c>
      <c r="O125" s="35"/>
      <c r="P125" s="35">
        <v>0</v>
      </c>
      <c r="Q125" s="35"/>
      <c r="R125" s="35">
        <v>0</v>
      </c>
      <c r="S125" s="452"/>
      <c r="T125" s="68">
        <f t="shared" si="18"/>
        <v>380.91363233333334</v>
      </c>
      <c r="V125" s="35">
        <v>4.9093410311874663</v>
      </c>
      <c r="X125" s="35">
        <v>0</v>
      </c>
      <c r="Y125" s="35"/>
      <c r="Z125" s="35">
        <v>0</v>
      </c>
      <c r="AA125" s="35"/>
      <c r="AB125" s="35">
        <v>0</v>
      </c>
      <c r="AC125" s="35"/>
      <c r="AD125" s="35">
        <v>0</v>
      </c>
      <c r="AE125" s="35"/>
      <c r="AF125" s="35">
        <v>0</v>
      </c>
      <c r="AG125" s="35"/>
      <c r="AH125" s="35">
        <v>0</v>
      </c>
      <c r="AJ125" s="68">
        <f t="shared" si="19"/>
        <v>385.82297336452081</v>
      </c>
      <c r="AK125" s="68"/>
      <c r="AL125" s="424">
        <f t="shared" si="17"/>
        <v>1.2888331145080562E-2</v>
      </c>
      <c r="AP125" s="397"/>
    </row>
    <row r="126" spans="2:42">
      <c r="B126" s="4">
        <v>36</v>
      </c>
      <c r="C126" s="256"/>
      <c r="D126" s="455" t="s">
        <v>531</v>
      </c>
      <c r="E126" s="4"/>
      <c r="F126" s="35">
        <v>428.13686206896551</v>
      </c>
      <c r="G126" s="35"/>
      <c r="H126" s="35">
        <v>0</v>
      </c>
      <c r="I126" s="35"/>
      <c r="J126" s="35">
        <v>0</v>
      </c>
      <c r="K126" s="35"/>
      <c r="L126" s="35"/>
      <c r="M126" s="35"/>
      <c r="N126" s="35">
        <v>0</v>
      </c>
      <c r="O126" s="35"/>
      <c r="P126" s="35">
        <v>0</v>
      </c>
      <c r="Q126" s="35"/>
      <c r="R126" s="35">
        <v>0</v>
      </c>
      <c r="S126" s="452"/>
      <c r="T126" s="68">
        <f t="shared" si="18"/>
        <v>428.13686206896551</v>
      </c>
      <c r="V126" s="35">
        <v>11.544786036277827</v>
      </c>
      <c r="X126" s="35">
        <v>0</v>
      </c>
      <c r="Y126" s="35"/>
      <c r="Z126" s="35">
        <v>0</v>
      </c>
      <c r="AA126" s="35"/>
      <c r="AB126" s="35">
        <v>0</v>
      </c>
      <c r="AC126" s="35"/>
      <c r="AD126" s="35">
        <v>0</v>
      </c>
      <c r="AE126" s="35"/>
      <c r="AF126" s="35">
        <v>0</v>
      </c>
      <c r="AG126" s="35"/>
      <c r="AH126" s="35">
        <v>0</v>
      </c>
      <c r="AJ126" s="68">
        <f t="shared" si="19"/>
        <v>439.68164810524331</v>
      </c>
      <c r="AK126" s="68"/>
      <c r="AL126" s="424">
        <f t="shared" si="17"/>
        <v>2.6965176463637767E-2</v>
      </c>
      <c r="AP126" s="397"/>
    </row>
    <row r="127" spans="2:42" ht="12.75" customHeight="1">
      <c r="B127" s="4">
        <v>37</v>
      </c>
      <c r="D127" s="455" t="s">
        <v>532</v>
      </c>
      <c r="E127" s="36"/>
      <c r="F127" s="35">
        <v>529.11347999999998</v>
      </c>
      <c r="G127" s="35"/>
      <c r="H127" s="35">
        <v>0</v>
      </c>
      <c r="I127" s="35"/>
      <c r="J127" s="35">
        <v>0</v>
      </c>
      <c r="K127" s="35"/>
      <c r="L127" s="35"/>
      <c r="M127" s="35"/>
      <c r="N127" s="35">
        <v>0</v>
      </c>
      <c r="O127" s="35"/>
      <c r="P127" s="35">
        <v>0</v>
      </c>
      <c r="Q127" s="35"/>
      <c r="R127" s="35">
        <v>0</v>
      </c>
      <c r="S127" s="452"/>
      <c r="T127" s="68">
        <f t="shared" si="18"/>
        <v>529.11347999999998</v>
      </c>
      <c r="V127" s="35">
        <v>14.267638357489496</v>
      </c>
      <c r="X127" s="35">
        <v>0</v>
      </c>
      <c r="Y127" s="35"/>
      <c r="Z127" s="35">
        <v>0</v>
      </c>
      <c r="AA127" s="35"/>
      <c r="AB127" s="35">
        <v>0</v>
      </c>
      <c r="AC127" s="35"/>
      <c r="AD127" s="35">
        <v>0</v>
      </c>
      <c r="AE127" s="35"/>
      <c r="AF127" s="35">
        <v>0</v>
      </c>
      <c r="AG127" s="35"/>
      <c r="AH127" s="35">
        <v>0</v>
      </c>
      <c r="AJ127" s="68">
        <f t="shared" si="19"/>
        <v>543.38111835748953</v>
      </c>
      <c r="AK127" s="68"/>
      <c r="AL127" s="424">
        <f t="shared" si="17"/>
        <v>2.6965176463637906E-2</v>
      </c>
      <c r="AP127" s="397"/>
    </row>
    <row r="128" spans="2:42" ht="12.75" customHeight="1">
      <c r="B128" s="4">
        <v>38</v>
      </c>
      <c r="D128" s="256" t="s">
        <v>533</v>
      </c>
      <c r="F128" s="137">
        <f>SUM(F120:F127)</f>
        <v>143089.26640166616</v>
      </c>
      <c r="G128" s="457"/>
      <c r="H128" s="137">
        <f>SUM(H120:H127)</f>
        <v>0</v>
      </c>
      <c r="I128" s="457"/>
      <c r="J128" s="137">
        <f>SUM(J120:J127)</f>
        <v>0</v>
      </c>
      <c r="K128" s="457"/>
      <c r="L128" s="137"/>
      <c r="M128" s="453"/>
      <c r="N128" s="137">
        <f>SUM(N120:N127)</f>
        <v>0</v>
      </c>
      <c r="O128" s="457"/>
      <c r="P128" s="137">
        <f>SUM(P120:P127)</f>
        <v>0</v>
      </c>
      <c r="Q128" s="457"/>
      <c r="R128" s="137">
        <f>SUM(R120:R127)</f>
        <v>0</v>
      </c>
      <c r="S128" s="457"/>
      <c r="T128" s="137">
        <f>SUM(T120:T127)</f>
        <v>143089.26640166616</v>
      </c>
      <c r="U128" s="457"/>
      <c r="V128" s="137">
        <f>SUM(V120:V127)</f>
        <v>3429.720877720235</v>
      </c>
      <c r="X128" s="137">
        <f>SUM(X120:X127)</f>
        <v>0</v>
      </c>
      <c r="AB128" s="137">
        <f>SUM(AB120:AB127)</f>
        <v>0</v>
      </c>
      <c r="AD128" s="137">
        <f>SUM(AD120:AD127)</f>
        <v>0</v>
      </c>
      <c r="AF128" s="137">
        <f>SUM(AF120:AF127)</f>
        <v>0</v>
      </c>
      <c r="AH128" s="137">
        <f>SUM(AH120:AH127)</f>
        <v>0</v>
      </c>
      <c r="AJ128" s="137">
        <f>SUM(AJ120:AJ127)</f>
        <v>146518.98727938641</v>
      </c>
      <c r="AK128" s="453"/>
      <c r="AL128" s="425">
        <f t="shared" si="17"/>
        <v>2.396909959753844E-2</v>
      </c>
      <c r="AP128" s="397"/>
    </row>
    <row r="129" spans="2:42" ht="12.75" customHeight="1">
      <c r="B129" s="4"/>
      <c r="C129" s="256"/>
      <c r="G129" s="68"/>
      <c r="O129" s="68"/>
      <c r="S129" s="405"/>
      <c r="T129" s="4"/>
      <c r="U129" s="68"/>
      <c r="AL129" s="424"/>
      <c r="AP129" s="397"/>
    </row>
    <row r="130" spans="2:42" ht="12.75" customHeight="1">
      <c r="B130" s="4">
        <v>39</v>
      </c>
      <c r="C130" s="256"/>
      <c r="D130" s="133" t="s">
        <v>534</v>
      </c>
      <c r="F130" s="35">
        <v>1196.9395495536583</v>
      </c>
      <c r="G130" s="35"/>
      <c r="H130" s="35">
        <v>0</v>
      </c>
      <c r="I130" s="35"/>
      <c r="J130" s="35">
        <v>0</v>
      </c>
      <c r="K130" s="35"/>
      <c r="L130" s="35"/>
      <c r="M130" s="35"/>
      <c r="N130" s="35">
        <v>0</v>
      </c>
      <c r="O130" s="35"/>
      <c r="P130" s="35">
        <v>0</v>
      </c>
      <c r="Q130" s="35"/>
      <c r="R130" s="35">
        <v>0</v>
      </c>
      <c r="S130" s="67"/>
      <c r="T130" s="68">
        <f>F130-SUM(H130:R130)</f>
        <v>1196.9395495536583</v>
      </c>
      <c r="U130" s="68"/>
      <c r="V130" s="68">
        <f>AJ130-T130</f>
        <v>12.998163194410154</v>
      </c>
      <c r="X130" s="35">
        <v>0</v>
      </c>
      <c r="Y130" s="35"/>
      <c r="Z130" s="35">
        <v>0</v>
      </c>
      <c r="AA130" s="35"/>
      <c r="AB130" s="35">
        <v>0</v>
      </c>
      <c r="AC130" s="35"/>
      <c r="AD130" s="35">
        <v>0</v>
      </c>
      <c r="AE130" s="35"/>
      <c r="AF130" s="35">
        <v>0</v>
      </c>
      <c r="AG130" s="35"/>
      <c r="AH130" s="35">
        <v>0</v>
      </c>
      <c r="AJ130" s="68">
        <f>'Schedule 25'!I48</f>
        <v>1209.9377127480684</v>
      </c>
      <c r="AK130" s="68"/>
      <c r="AL130" s="424">
        <f t="shared" si="17"/>
        <v>1.0859498459431139E-2</v>
      </c>
      <c r="AP130" s="397"/>
    </row>
    <row r="131" spans="2:42" ht="12.75" customHeight="1">
      <c r="S131" s="405"/>
      <c r="T131" s="4"/>
      <c r="AJ131" s="68">
        <f>SUM(T131:AH131)</f>
        <v>0</v>
      </c>
      <c r="AK131" s="68"/>
      <c r="AL131" s="424"/>
      <c r="AP131" s="397"/>
    </row>
    <row r="132" spans="2:42" ht="12.75" customHeight="1" thickBot="1">
      <c r="B132" s="4">
        <v>40</v>
      </c>
      <c r="C132" s="256"/>
      <c r="D132" s="447" t="s">
        <v>100</v>
      </c>
      <c r="F132" s="458">
        <f>ROUND(F117+F128+F130,0)</f>
        <v>2811398</v>
      </c>
      <c r="G132" s="457"/>
      <c r="H132" s="458">
        <f>ROUND(H117+H128+H130,0)</f>
        <v>143871</v>
      </c>
      <c r="I132" s="457"/>
      <c r="J132" s="458">
        <f>ROUND(J117+J128+J130,0)</f>
        <v>46925</v>
      </c>
      <c r="K132" s="457"/>
      <c r="L132" s="457"/>
      <c r="M132" s="453"/>
      <c r="N132" s="458">
        <f>ROUND(N117+N128+N130,0)</f>
        <v>0</v>
      </c>
      <c r="O132" s="457"/>
      <c r="P132" s="458">
        <f>ROUND(P117+P128+P130,0)</f>
        <v>0</v>
      </c>
      <c r="Q132" s="457"/>
      <c r="R132" s="458">
        <f>ROUND(R117+R128+R130,0)</f>
        <v>0</v>
      </c>
      <c r="S132" s="457"/>
      <c r="T132" s="458">
        <f>ROUND(T117+T128+T130,0)</f>
        <v>2622644</v>
      </c>
      <c r="V132" s="458">
        <f>ROUND(V117+V128+V130,0)</f>
        <v>70272</v>
      </c>
      <c r="W132" s="36"/>
      <c r="X132" s="458">
        <f>ROUND(X117+X128+X130,0)</f>
        <v>183082</v>
      </c>
      <c r="AB132" s="458">
        <f>ROUND(AB117+AB128+AB130,0)</f>
        <v>46391</v>
      </c>
      <c r="AD132" s="458">
        <f>ROUND(AD117+AD128+AD130,0)</f>
        <v>0</v>
      </c>
      <c r="AF132" s="458">
        <f>ROUND(AF117+AF128+AF130,0)</f>
        <v>0</v>
      </c>
      <c r="AH132" s="458">
        <f>ROUND(AH117+AH128+AH130,0)</f>
        <v>0</v>
      </c>
      <c r="AJ132" s="458">
        <f>ROUND(AJ117+AJ128+AJ130,0)</f>
        <v>2922389</v>
      </c>
      <c r="AK132" s="453"/>
      <c r="AL132" s="427">
        <f t="shared" si="17"/>
        <v>3.9478935390862481E-2</v>
      </c>
      <c r="AP132" s="397"/>
    </row>
    <row r="133" spans="2:42" ht="12.75" customHeight="1" thickTop="1">
      <c r="E133" s="256"/>
      <c r="F133" s="256"/>
      <c r="G133" s="12"/>
      <c r="H133" s="12"/>
      <c r="I133" s="12"/>
      <c r="J133" s="12"/>
      <c r="K133" s="12"/>
      <c r="L133" s="12"/>
      <c r="M133" s="12"/>
      <c r="N133" s="12"/>
      <c r="O133" s="139"/>
      <c r="P133" s="12"/>
      <c r="Q133" s="12"/>
      <c r="R133" s="12"/>
      <c r="S133" s="12"/>
      <c r="T133" s="12"/>
      <c r="V133" s="68"/>
      <c r="AP133" s="397"/>
    </row>
    <row r="134" spans="2:42" ht="12.75" customHeight="1">
      <c r="B134" s="61" t="s">
        <v>39</v>
      </c>
      <c r="C134" s="256"/>
      <c r="D134" s="256"/>
      <c r="E134" s="12"/>
      <c r="F134" s="139"/>
      <c r="G134" s="12"/>
      <c r="H134" s="12"/>
      <c r="I134" s="12"/>
      <c r="J134" s="12"/>
      <c r="K134" s="12"/>
      <c r="L134" s="12"/>
      <c r="M134" s="12"/>
      <c r="N134" s="12"/>
      <c r="O134" s="12"/>
      <c r="P134" s="12"/>
      <c r="Q134" s="12"/>
      <c r="R134" s="12"/>
      <c r="S134" s="12"/>
      <c r="T134" s="12"/>
    </row>
    <row r="135" spans="2:42" ht="12.75" customHeight="1">
      <c r="B135" s="69" t="s">
        <v>357</v>
      </c>
      <c r="C135" s="256"/>
      <c r="D135" s="256" t="s">
        <v>549</v>
      </c>
      <c r="E135" s="12"/>
      <c r="F135" s="139"/>
      <c r="G135" s="12"/>
      <c r="I135" s="12"/>
      <c r="J135" s="12"/>
      <c r="K135" s="12"/>
      <c r="L135" s="12"/>
      <c r="M135" s="12"/>
      <c r="N135" s="12"/>
      <c r="O135" s="12"/>
      <c r="P135" s="12"/>
      <c r="Q135" s="12"/>
      <c r="R135" s="12"/>
      <c r="S135" s="12"/>
      <c r="T135" s="12"/>
    </row>
    <row r="136" spans="2:42" ht="12.75" customHeight="1">
      <c r="B136" s="69" t="s">
        <v>448</v>
      </c>
      <c r="D136" s="12" t="s">
        <v>536</v>
      </c>
      <c r="E136" s="12"/>
      <c r="F136" s="12"/>
      <c r="V136" s="457"/>
      <c r="W136" s="457"/>
      <c r="X136" s="457"/>
      <c r="Y136" s="457"/>
      <c r="Z136" s="457"/>
      <c r="AA136" s="457"/>
      <c r="AB136" s="457"/>
      <c r="AC136" s="457"/>
      <c r="AD136" s="457"/>
      <c r="AE136" s="457"/>
      <c r="AF136" s="457"/>
    </row>
    <row r="137" spans="2:42" ht="12.75" customHeight="1">
      <c r="B137" s="69" t="s">
        <v>537</v>
      </c>
      <c r="D137" s="2" t="s">
        <v>538</v>
      </c>
      <c r="V137" s="457"/>
      <c r="W137" s="457"/>
      <c r="X137" s="457"/>
      <c r="Y137" s="457"/>
      <c r="Z137" s="457"/>
      <c r="AA137" s="457"/>
      <c r="AB137" s="457"/>
      <c r="AC137" s="457"/>
      <c r="AD137" s="457"/>
      <c r="AE137" s="457"/>
      <c r="AF137" s="457"/>
    </row>
    <row r="138" spans="2:42" ht="12.75" customHeight="1">
      <c r="B138" s="69" t="s">
        <v>539</v>
      </c>
      <c r="D138" s="438" t="s">
        <v>540</v>
      </c>
      <c r="E138" s="439"/>
      <c r="F138" s="439"/>
      <c r="G138" s="439"/>
      <c r="H138" s="439"/>
      <c r="I138" s="439"/>
      <c r="J138" s="439"/>
      <c r="K138" s="439"/>
      <c r="L138" s="439"/>
      <c r="M138" s="439"/>
      <c r="N138" s="439"/>
      <c r="O138" s="439"/>
      <c r="P138" s="439"/>
      <c r="Q138" s="439"/>
      <c r="R138" s="439"/>
      <c r="S138" s="439"/>
      <c r="T138" s="439"/>
      <c r="U138" s="439"/>
      <c r="V138" s="459"/>
      <c r="W138" s="459"/>
      <c r="X138" s="459"/>
      <c r="Y138" s="457"/>
      <c r="Z138" s="457"/>
      <c r="AA138" s="457"/>
      <c r="AB138" s="457"/>
      <c r="AC138" s="457"/>
      <c r="AD138" s="457"/>
      <c r="AE138" s="457"/>
      <c r="AF138" s="457"/>
    </row>
    <row r="139" spans="2:42" ht="12.75" customHeight="1">
      <c r="B139" s="69" t="s">
        <v>541</v>
      </c>
      <c r="C139" s="12"/>
      <c r="D139" s="12" t="s">
        <v>542</v>
      </c>
      <c r="V139" s="457"/>
      <c r="W139" s="457"/>
      <c r="X139" s="457"/>
      <c r="Y139" s="457"/>
      <c r="Z139" s="457"/>
      <c r="AA139" s="457"/>
      <c r="AB139" s="457"/>
      <c r="AC139" s="457"/>
      <c r="AD139" s="457"/>
      <c r="AE139" s="457"/>
      <c r="AF139" s="457"/>
    </row>
    <row r="140" spans="2:42" ht="12.75" customHeight="1">
      <c r="B140" s="69" t="s">
        <v>543</v>
      </c>
      <c r="C140" s="12"/>
      <c r="D140" s="12" t="s">
        <v>550</v>
      </c>
    </row>
    <row r="141" spans="2:42">
      <c r="B141" s="69"/>
      <c r="D141" s="12"/>
    </row>
    <row r="142" spans="2:42" ht="14.25">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row>
    <row r="143" spans="2:42" s="13" customFormat="1" ht="14.25">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30"/>
    </row>
    <row r="144" spans="2:42" ht="14.25">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row>
    <row r="145" spans="1:42" ht="14.25">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row>
    <row r="146" spans="1:42" ht="14.25">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row>
    <row r="147" spans="1:42" ht="14.25">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row>
    <row r="148" spans="1:42" ht="14.25">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row>
    <row r="150" spans="1:42">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42">
      <c r="B151" s="1312" t="s">
        <v>493</v>
      </c>
      <c r="C151" s="1312"/>
      <c r="D151" s="1312"/>
      <c r="E151" s="1312"/>
      <c r="F151" s="1312"/>
      <c r="G151" s="1312"/>
      <c r="H151" s="1312"/>
      <c r="I151" s="1312"/>
      <c r="J151" s="1312"/>
      <c r="K151" s="1312"/>
      <c r="L151" s="1312"/>
      <c r="M151" s="1312"/>
      <c r="N151" s="1312"/>
      <c r="O151" s="1312"/>
      <c r="P151" s="1312"/>
      <c r="Q151" s="1312"/>
      <c r="R151" s="1312"/>
      <c r="S151" s="1312"/>
      <c r="T151" s="1312"/>
      <c r="U151" s="1312"/>
      <c r="V151" s="1312"/>
      <c r="W151" s="1312"/>
      <c r="X151" s="1312"/>
      <c r="Y151" s="1312"/>
      <c r="Z151" s="1312"/>
      <c r="AA151" s="1312"/>
      <c r="AB151" s="1312"/>
      <c r="AC151" s="1312"/>
      <c r="AD151" s="1312"/>
      <c r="AE151" s="1312"/>
      <c r="AF151" s="1312"/>
      <c r="AG151" s="1312"/>
      <c r="AH151" s="1312"/>
      <c r="AI151" s="1312"/>
      <c r="AJ151" s="1312"/>
      <c r="AK151" s="444"/>
    </row>
    <row r="152" spans="1:42">
      <c r="B152" s="1311" t="s">
        <v>551</v>
      </c>
      <c r="C152" s="1311"/>
      <c r="D152" s="1311"/>
      <c r="E152" s="1311"/>
      <c r="F152" s="1311"/>
      <c r="G152" s="1311"/>
      <c r="H152" s="1311"/>
      <c r="I152" s="1311"/>
      <c r="J152" s="1311"/>
      <c r="K152" s="1311"/>
      <c r="L152" s="1311"/>
      <c r="M152" s="1311"/>
      <c r="N152" s="1311"/>
      <c r="O152" s="1311"/>
      <c r="P152" s="1311"/>
      <c r="Q152" s="1311"/>
      <c r="R152" s="1311"/>
      <c r="S152" s="1311"/>
      <c r="T152" s="1311"/>
      <c r="U152" s="1311"/>
      <c r="V152" s="1311"/>
      <c r="W152" s="1311"/>
      <c r="X152" s="1311"/>
      <c r="Y152" s="1311"/>
      <c r="Z152" s="1311"/>
      <c r="AA152" s="1311"/>
      <c r="AB152" s="1311"/>
      <c r="AC152" s="1311"/>
      <c r="AD152" s="1311"/>
      <c r="AE152" s="1311"/>
      <c r="AF152" s="1311"/>
      <c r="AG152" s="1311"/>
      <c r="AH152" s="1311"/>
      <c r="AI152" s="1311"/>
      <c r="AJ152" s="1311"/>
      <c r="AK152" s="443"/>
    </row>
    <row r="153" spans="1:42">
      <c r="B153" s="4"/>
      <c r="C153" s="4"/>
      <c r="D153" s="4"/>
      <c r="E153" s="4"/>
      <c r="F153" s="447"/>
      <c r="G153" s="447"/>
      <c r="H153" s="4"/>
      <c r="I153" s="4"/>
      <c r="J153" s="4"/>
      <c r="K153" s="4"/>
      <c r="L153" s="4"/>
      <c r="M153" s="4"/>
      <c r="N153" s="4"/>
      <c r="O153" s="4"/>
      <c r="P153" s="4"/>
      <c r="Q153" s="4"/>
      <c r="R153" s="1"/>
      <c r="S153" s="1"/>
      <c r="AL153" s="426" t="s">
        <v>552</v>
      </c>
    </row>
    <row r="154" spans="1:42">
      <c r="B154" s="447"/>
      <c r="C154" s="447"/>
      <c r="D154" s="447"/>
      <c r="E154" s="447"/>
      <c r="F154" s="1314"/>
      <c r="G154" s="1314"/>
      <c r="H154" s="1314"/>
      <c r="I154" s="1314"/>
      <c r="J154" s="1314"/>
      <c r="K154" s="1314"/>
      <c r="L154" s="1314"/>
      <c r="M154" s="1314"/>
      <c r="N154" s="1314"/>
      <c r="O154" s="1314"/>
      <c r="P154" s="1314"/>
      <c r="Q154" s="1314"/>
      <c r="R154" s="1314"/>
      <c r="S154" s="1314"/>
      <c r="V154" s="1316"/>
      <c r="W154" s="1316"/>
      <c r="X154" s="1316"/>
      <c r="Y154" s="1316"/>
      <c r="Z154" s="1316"/>
      <c r="AA154" s="1316"/>
      <c r="AB154" s="1316"/>
      <c r="AC154" s="1316"/>
      <c r="AD154" s="1316"/>
      <c r="AE154" s="1316"/>
      <c r="AF154" s="1316"/>
      <c r="AG154" s="1316"/>
      <c r="AH154" s="1316"/>
    </row>
    <row r="155" spans="1:42">
      <c r="A155" s="13"/>
      <c r="B155" s="254"/>
      <c r="C155" s="254"/>
      <c r="D155" s="254"/>
      <c r="E155" s="254"/>
      <c r="F155" s="4" t="s">
        <v>495</v>
      </c>
      <c r="G155" s="256"/>
      <c r="H155" s="1313" t="s">
        <v>496</v>
      </c>
      <c r="I155" s="1313"/>
      <c r="J155" s="1313"/>
      <c r="K155" s="1313"/>
      <c r="L155" s="1313"/>
      <c r="M155" s="1313"/>
      <c r="N155" s="1313"/>
      <c r="O155" s="1313"/>
      <c r="P155" s="1313"/>
      <c r="Q155" s="1313"/>
      <c r="R155" s="1313"/>
      <c r="S155" s="1313"/>
      <c r="V155" s="1315" t="s">
        <v>497</v>
      </c>
      <c r="W155" s="1315"/>
      <c r="X155" s="1315"/>
      <c r="Y155" s="1315"/>
      <c r="Z155" s="1315"/>
      <c r="AA155" s="1315"/>
      <c r="AB155" s="1315"/>
      <c r="AC155" s="1315"/>
      <c r="AD155" s="1315"/>
      <c r="AE155" s="1315"/>
      <c r="AF155" s="1315"/>
      <c r="AG155" s="1315"/>
      <c r="AH155" s="1315"/>
      <c r="AL155" s="430"/>
      <c r="AM155" s="13"/>
      <c r="AN155" s="13"/>
      <c r="AO155" s="13"/>
    </row>
    <row r="156" spans="1:42">
      <c r="B156" s="254" t="s">
        <v>1</v>
      </c>
      <c r="C156" s="256"/>
      <c r="E156" s="4"/>
      <c r="F156" s="33" t="s">
        <v>498</v>
      </c>
      <c r="G156" s="130"/>
      <c r="H156" s="33"/>
      <c r="I156" s="130"/>
      <c r="J156" s="33" t="s">
        <v>499</v>
      </c>
      <c r="K156" s="33"/>
      <c r="L156" s="130"/>
      <c r="M156" s="130"/>
      <c r="N156" s="33" t="s">
        <v>500</v>
      </c>
      <c r="O156" s="33"/>
      <c r="P156" s="33"/>
      <c r="Q156" s="33"/>
      <c r="R156" s="33" t="s">
        <v>501</v>
      </c>
      <c r="S156" s="33"/>
      <c r="T156" s="33" t="s">
        <v>502</v>
      </c>
      <c r="U156" s="130"/>
      <c r="V156" s="143" t="s">
        <v>503</v>
      </c>
      <c r="W156" s="130"/>
      <c r="X156" s="13"/>
      <c r="Y156" s="33"/>
      <c r="Z156" s="33"/>
      <c r="AA156" s="130"/>
      <c r="AB156" s="33" t="s">
        <v>499</v>
      </c>
      <c r="AC156" s="130"/>
      <c r="AD156" s="143" t="s">
        <v>500</v>
      </c>
      <c r="AE156" s="143"/>
      <c r="AF156" s="143"/>
      <c r="AG156" s="143"/>
      <c r="AH156" s="143" t="s">
        <v>501</v>
      </c>
      <c r="AI156" s="33"/>
      <c r="AJ156" s="33" t="s">
        <v>6</v>
      </c>
      <c r="AK156" s="33"/>
      <c r="AL156" s="431" t="s">
        <v>192</v>
      </c>
    </row>
    <row r="157" spans="1:42">
      <c r="B157" s="255" t="s">
        <v>2</v>
      </c>
      <c r="C157" s="256"/>
      <c r="D157" s="449" t="s">
        <v>453</v>
      </c>
      <c r="E157" s="4"/>
      <c r="F157" s="19" t="s">
        <v>504</v>
      </c>
      <c r="G157" s="130"/>
      <c r="H157" s="19" t="s">
        <v>505</v>
      </c>
      <c r="I157" s="130"/>
      <c r="J157" s="19" t="s">
        <v>547</v>
      </c>
      <c r="K157" s="33"/>
      <c r="L157" s="450"/>
      <c r="M157" s="450"/>
      <c r="N157" s="19" t="s">
        <v>507</v>
      </c>
      <c r="O157" s="33"/>
      <c r="P157" s="19" t="s">
        <v>508</v>
      </c>
      <c r="Q157" s="33"/>
      <c r="R157" s="19" t="s">
        <v>509</v>
      </c>
      <c r="S157" s="33"/>
      <c r="T157" s="19" t="s">
        <v>503</v>
      </c>
      <c r="U157" s="130"/>
      <c r="V157" s="215" t="s">
        <v>510</v>
      </c>
      <c r="W157" s="130"/>
      <c r="X157" s="19" t="s">
        <v>511</v>
      </c>
      <c r="Y157" s="33"/>
      <c r="Z157" s="19"/>
      <c r="AA157" s="130"/>
      <c r="AB157" s="19" t="s">
        <v>506</v>
      </c>
      <c r="AC157" s="130"/>
      <c r="AD157" s="215" t="s">
        <v>507</v>
      </c>
      <c r="AE157" s="143"/>
      <c r="AF157" s="215" t="s">
        <v>508</v>
      </c>
      <c r="AG157" s="143"/>
      <c r="AH157" s="215" t="s">
        <v>509</v>
      </c>
      <c r="AI157" s="33"/>
      <c r="AJ157" s="19" t="s">
        <v>512</v>
      </c>
      <c r="AK157" s="33"/>
      <c r="AL157" s="432" t="s">
        <v>513</v>
      </c>
    </row>
    <row r="158" spans="1:42">
      <c r="B158" s="4"/>
      <c r="C158" s="256"/>
      <c r="D158" s="256"/>
      <c r="E158" s="4"/>
      <c r="F158" s="4" t="s">
        <v>8</v>
      </c>
      <c r="G158" s="134"/>
      <c r="H158" s="4" t="s">
        <v>9</v>
      </c>
      <c r="I158" s="4"/>
      <c r="J158" s="4" t="s">
        <v>370</v>
      </c>
      <c r="K158" s="4"/>
      <c r="L158" s="4"/>
      <c r="M158" s="4"/>
      <c r="N158" s="4" t="s">
        <v>79</v>
      </c>
      <c r="O158" s="4"/>
      <c r="P158" s="4" t="s">
        <v>115</v>
      </c>
      <c r="Q158" s="4"/>
      <c r="R158" s="4" t="s">
        <v>81</v>
      </c>
      <c r="S158" s="4"/>
      <c r="T158" s="4" t="s">
        <v>548</v>
      </c>
      <c r="V158" s="1" t="s">
        <v>515</v>
      </c>
      <c r="W158" s="1"/>
      <c r="X158" s="1" t="s">
        <v>84</v>
      </c>
      <c r="Y158" s="1"/>
      <c r="Z158" s="1"/>
      <c r="AA158" s="1"/>
      <c r="AB158" s="1" t="s">
        <v>516</v>
      </c>
      <c r="AC158" s="1"/>
      <c r="AD158" s="1" t="s">
        <v>517</v>
      </c>
      <c r="AE158" s="1"/>
      <c r="AF158" s="1" t="s">
        <v>518</v>
      </c>
      <c r="AG158" s="1"/>
      <c r="AH158" s="1" t="s">
        <v>519</v>
      </c>
      <c r="AJ158" s="2" t="s">
        <v>520</v>
      </c>
      <c r="AL158" s="426" t="s">
        <v>521</v>
      </c>
    </row>
    <row r="159" spans="1:42">
      <c r="B159" s="4"/>
      <c r="C159" s="256"/>
      <c r="D159" s="6" t="s">
        <v>11</v>
      </c>
      <c r="E159" s="4"/>
      <c r="F159" s="134"/>
      <c r="G159" s="64"/>
      <c r="H159" s="4"/>
      <c r="I159" s="65"/>
      <c r="J159" s="65"/>
      <c r="K159" s="65"/>
      <c r="L159" s="65"/>
      <c r="M159" s="65"/>
      <c r="N159" s="4"/>
      <c r="O159" s="4"/>
      <c r="P159" s="4"/>
      <c r="Q159" s="4"/>
      <c r="R159" s="4"/>
      <c r="S159" s="4"/>
      <c r="T159" s="4"/>
      <c r="AN159" s="2" t="s">
        <v>522</v>
      </c>
    </row>
    <row r="160" spans="1:42">
      <c r="B160" s="4">
        <v>1</v>
      </c>
      <c r="C160" s="256"/>
      <c r="D160" s="7" t="s">
        <v>162</v>
      </c>
      <c r="E160" s="4"/>
      <c r="F160" s="35">
        <v>1174716.5030259527</v>
      </c>
      <c r="G160" s="35"/>
      <c r="H160" s="35">
        <v>0</v>
      </c>
      <c r="I160" s="35"/>
      <c r="J160" s="35">
        <v>0</v>
      </c>
      <c r="K160" s="35"/>
      <c r="L160" s="35"/>
      <c r="M160" s="35"/>
      <c r="N160" s="35">
        <v>530.0902523540974</v>
      </c>
      <c r="O160" s="35"/>
      <c r="P160" s="35">
        <v>13027.395706562269</v>
      </c>
      <c r="Q160" s="35"/>
      <c r="R160" s="35">
        <v>5985.1968992662751</v>
      </c>
      <c r="S160" s="452"/>
      <c r="T160" s="68">
        <f t="shared" ref="T160:T169" si="20">F160-SUM(H160:R160)</f>
        <v>1155173.8201677701</v>
      </c>
      <c r="V160" s="35">
        <v>0</v>
      </c>
      <c r="W160" s="35"/>
      <c r="X160" s="35">
        <v>0</v>
      </c>
      <c r="Y160" s="68"/>
      <c r="Z160" s="68"/>
      <c r="AA160" s="35"/>
      <c r="AB160" s="35">
        <v>0</v>
      </c>
      <c r="AC160" s="135"/>
      <c r="AD160" s="35">
        <v>443.30283568334914</v>
      </c>
      <c r="AE160" s="35"/>
      <c r="AF160" s="35">
        <v>14276.994192075203</v>
      </c>
      <c r="AH160" s="35">
        <v>5345.7130368717526</v>
      </c>
      <c r="AJ160" s="68">
        <f t="shared" ref="AJ160:AJ169" si="21">SUM(T160:AH160)</f>
        <v>1175239.8302324004</v>
      </c>
      <c r="AK160" s="68"/>
      <c r="AL160" s="424">
        <f>(AJ160-F160)/F160</f>
        <v>4.4549234227976006E-4</v>
      </c>
      <c r="AN160" s="140"/>
      <c r="AO160" s="68"/>
      <c r="AP160" s="397"/>
    </row>
    <row r="161" spans="2:42">
      <c r="B161" s="4">
        <v>2</v>
      </c>
      <c r="C161" s="256"/>
      <c r="D161" s="7" t="s">
        <v>163</v>
      </c>
      <c r="E161" s="4"/>
      <c r="F161" s="35">
        <v>742943.8772695947</v>
      </c>
      <c r="G161" s="35"/>
      <c r="H161" s="35">
        <v>0</v>
      </c>
      <c r="I161" s="35"/>
      <c r="J161" s="35">
        <v>0</v>
      </c>
      <c r="K161" s="35"/>
      <c r="L161" s="35"/>
      <c r="M161" s="35"/>
      <c r="N161" s="35">
        <v>507.62961049273036</v>
      </c>
      <c r="O161" s="35"/>
      <c r="P161" s="35">
        <v>12313.689619333923</v>
      </c>
      <c r="Q161" s="35"/>
      <c r="R161" s="35">
        <v>4882.6596804294222</v>
      </c>
      <c r="S161" s="452"/>
      <c r="T161" s="68">
        <f t="shared" si="20"/>
        <v>725239.89835933864</v>
      </c>
      <c r="V161" s="35">
        <v>0</v>
      </c>
      <c r="W161" s="35"/>
      <c r="X161" s="35">
        <v>0</v>
      </c>
      <c r="Y161" s="68"/>
      <c r="Z161" s="68"/>
      <c r="AA161" s="35"/>
      <c r="AB161" s="35">
        <v>0</v>
      </c>
      <c r="AC161" s="135"/>
      <c r="AD161" s="35">
        <v>424.5194941972639</v>
      </c>
      <c r="AE161" s="35"/>
      <c r="AF161" s="35">
        <v>13494.828831344279</v>
      </c>
      <c r="AH161" s="35">
        <v>4360.9755781767817</v>
      </c>
      <c r="AJ161" s="68">
        <f t="shared" si="21"/>
        <v>743520.2222630569</v>
      </c>
      <c r="AK161" s="68"/>
      <c r="AL161" s="424">
        <f t="shared" ref="AL161:AL171" si="22">(AJ161-F161)/F161</f>
        <v>7.7575845376145905E-4</v>
      </c>
      <c r="AN161" s="140"/>
      <c r="AO161" s="68"/>
      <c r="AP161" s="397"/>
    </row>
    <row r="162" spans="2:42">
      <c r="B162" s="4">
        <v>3</v>
      </c>
      <c r="C162" s="256"/>
      <c r="D162" s="7" t="s">
        <v>164</v>
      </c>
      <c r="E162" s="4"/>
      <c r="F162" s="35">
        <v>3527.0941688316079</v>
      </c>
      <c r="G162" s="35"/>
      <c r="H162" s="35">
        <v>0</v>
      </c>
      <c r="I162" s="35"/>
      <c r="J162" s="35">
        <v>0</v>
      </c>
      <c r="K162" s="35"/>
      <c r="L162" s="35"/>
      <c r="M162" s="35"/>
      <c r="N162" s="35">
        <v>2.9012610510117431</v>
      </c>
      <c r="O162" s="35"/>
      <c r="P162" s="35">
        <v>58.27058444301003</v>
      </c>
      <c r="Q162" s="35"/>
      <c r="R162" s="35">
        <v>0</v>
      </c>
      <c r="S162" s="452"/>
      <c r="T162" s="68">
        <f t="shared" si="20"/>
        <v>3465.922323337586</v>
      </c>
      <c r="V162" s="35">
        <v>0</v>
      </c>
      <c r="W162" s="35"/>
      <c r="X162" s="35">
        <v>0</v>
      </c>
      <c r="Y162" s="68"/>
      <c r="Z162" s="68"/>
      <c r="AA162" s="35"/>
      <c r="AB162" s="35">
        <v>0</v>
      </c>
      <c r="AC162" s="135"/>
      <c r="AD162" s="35">
        <v>2.4262608966294046</v>
      </c>
      <c r="AE162" s="35"/>
      <c r="AF162" s="35">
        <v>63.859946715414175</v>
      </c>
      <c r="AH162" s="35">
        <v>0</v>
      </c>
      <c r="AJ162" s="68">
        <f t="shared" si="21"/>
        <v>3532.2085309496297</v>
      </c>
      <c r="AK162" s="68"/>
      <c r="AL162" s="424">
        <f t="shared" si="22"/>
        <v>1.4500214264809206E-3</v>
      </c>
      <c r="AN162" s="140"/>
      <c r="AO162" s="68"/>
      <c r="AP162" s="397"/>
    </row>
    <row r="163" spans="2:42">
      <c r="B163" s="4">
        <v>4</v>
      </c>
      <c r="C163" s="256"/>
      <c r="D163" s="7" t="s">
        <v>165</v>
      </c>
      <c r="E163" s="4"/>
      <c r="F163" s="35">
        <v>31308.77560693994</v>
      </c>
      <c r="G163" s="35"/>
      <c r="H163" s="35">
        <v>0</v>
      </c>
      <c r="I163" s="35"/>
      <c r="J163" s="35">
        <v>0</v>
      </c>
      <c r="K163" s="35"/>
      <c r="L163" s="35"/>
      <c r="M163" s="35"/>
      <c r="N163" s="35">
        <v>112.99521739962435</v>
      </c>
      <c r="O163" s="35"/>
      <c r="P163" s="35">
        <v>2382.67535616847</v>
      </c>
      <c r="Q163" s="35"/>
      <c r="R163" s="35">
        <v>143.22101713704333</v>
      </c>
      <c r="S163" s="452"/>
      <c r="T163" s="68">
        <f t="shared" si="20"/>
        <v>28669.884016234802</v>
      </c>
      <c r="V163" s="35">
        <v>0</v>
      </c>
      <c r="W163" s="35"/>
      <c r="X163" s="35">
        <v>0</v>
      </c>
      <c r="Y163" s="68"/>
      <c r="Z163" s="68"/>
      <c r="AA163" s="35"/>
      <c r="AB163" s="35">
        <v>0</v>
      </c>
      <c r="AC163" s="135"/>
      <c r="AD163" s="35">
        <v>94.495418599867804</v>
      </c>
      <c r="AE163" s="35"/>
      <c r="AF163" s="35">
        <v>2611.2235313833617</v>
      </c>
      <c r="AH163" s="35">
        <v>127.91867524982882</v>
      </c>
      <c r="AJ163" s="68">
        <f t="shared" si="21"/>
        <v>31503.521641467862</v>
      </c>
      <c r="AK163" s="68"/>
      <c r="AL163" s="424">
        <f t="shared" si="22"/>
        <v>6.220174080673848E-3</v>
      </c>
      <c r="AN163" s="140"/>
      <c r="AO163" s="68"/>
      <c r="AP163" s="397"/>
    </row>
    <row r="164" spans="2:42">
      <c r="B164" s="4">
        <v>5</v>
      </c>
      <c r="C164" s="256"/>
      <c r="D164" s="7" t="s">
        <v>166</v>
      </c>
      <c r="E164" s="4"/>
      <c r="F164" s="35">
        <v>2544.1730598787467</v>
      </c>
      <c r="G164" s="35"/>
      <c r="H164" s="35">
        <v>0</v>
      </c>
      <c r="I164" s="35"/>
      <c r="J164" s="35">
        <v>0</v>
      </c>
      <c r="K164" s="35"/>
      <c r="L164" s="35"/>
      <c r="M164" s="35"/>
      <c r="N164" s="35">
        <v>40.391816945015499</v>
      </c>
      <c r="O164" s="35"/>
      <c r="P164" s="35">
        <v>822.74413908553538</v>
      </c>
      <c r="Q164" s="35"/>
      <c r="R164" s="35">
        <v>20.314503846852869</v>
      </c>
      <c r="S164" s="452"/>
      <c r="T164" s="68">
        <f t="shared" si="20"/>
        <v>1660.7226000013429</v>
      </c>
      <c r="V164" s="35">
        <v>0</v>
      </c>
      <c r="W164" s="35"/>
      <c r="X164" s="35">
        <v>0</v>
      </c>
      <c r="Y164" s="68"/>
      <c r="Z164" s="68"/>
      <c r="AA164" s="35"/>
      <c r="AB164" s="35">
        <v>0</v>
      </c>
      <c r="AC164" s="135"/>
      <c r="AD164" s="35">
        <v>33.778789386542314</v>
      </c>
      <c r="AE164" s="35"/>
      <c r="AF164" s="35">
        <v>901.66243199100415</v>
      </c>
      <c r="AH164" s="35">
        <v>18.144015957940407</v>
      </c>
      <c r="AJ164" s="68">
        <f t="shared" si="21"/>
        <v>2614.3078373368298</v>
      </c>
      <c r="AK164" s="68"/>
      <c r="AL164" s="424">
        <f t="shared" si="22"/>
        <v>2.7566826551266802E-2</v>
      </c>
      <c r="AN164" s="140"/>
      <c r="AO164" s="68"/>
      <c r="AP164" s="397"/>
    </row>
    <row r="165" spans="2:42">
      <c r="B165" s="4">
        <v>6</v>
      </c>
      <c r="C165" s="256"/>
      <c r="D165" s="7" t="s">
        <v>167</v>
      </c>
      <c r="E165" s="4"/>
      <c r="F165" s="35">
        <v>588.24265500000001</v>
      </c>
      <c r="G165" s="35"/>
      <c r="H165" s="35">
        <v>0</v>
      </c>
      <c r="I165" s="35"/>
      <c r="J165" s="35">
        <v>0</v>
      </c>
      <c r="K165" s="35"/>
      <c r="L165" s="35"/>
      <c r="M165" s="35"/>
      <c r="N165" s="35">
        <v>0</v>
      </c>
      <c r="O165" s="35"/>
      <c r="P165" s="35">
        <v>588.24265500000001</v>
      </c>
      <c r="Q165" s="35"/>
      <c r="R165" s="35">
        <v>0</v>
      </c>
      <c r="S165" s="452"/>
      <c r="T165" s="68">
        <f t="shared" si="20"/>
        <v>0</v>
      </c>
      <c r="V165" s="35">
        <v>0</v>
      </c>
      <c r="W165" s="35"/>
      <c r="X165" s="35">
        <v>0</v>
      </c>
      <c r="Y165" s="68"/>
      <c r="Z165" s="68"/>
      <c r="AA165" s="35"/>
      <c r="AB165" s="35">
        <v>0</v>
      </c>
      <c r="AC165" s="135"/>
      <c r="AD165" s="35">
        <v>0</v>
      </c>
      <c r="AE165" s="35"/>
      <c r="AF165" s="35">
        <v>717.82949090787918</v>
      </c>
      <c r="AH165" s="35">
        <v>0</v>
      </c>
      <c r="AJ165" s="68">
        <f t="shared" si="21"/>
        <v>717.82949090787918</v>
      </c>
      <c r="AK165" s="68"/>
      <c r="AL165" s="424">
        <f t="shared" si="22"/>
        <v>0.2202948643836091</v>
      </c>
      <c r="AN165" s="140"/>
      <c r="AO165" s="68"/>
      <c r="AP165" s="397"/>
    </row>
    <row r="166" spans="2:42">
      <c r="B166" s="4">
        <v>7</v>
      </c>
      <c r="C166" s="256"/>
      <c r="D166" s="7" t="s">
        <v>168</v>
      </c>
      <c r="E166" s="4"/>
      <c r="F166" s="35">
        <v>849.64753869574849</v>
      </c>
      <c r="G166" s="35"/>
      <c r="H166" s="35">
        <v>0</v>
      </c>
      <c r="I166" s="35"/>
      <c r="J166" s="35">
        <v>0</v>
      </c>
      <c r="K166" s="35"/>
      <c r="L166" s="35"/>
      <c r="M166" s="35"/>
      <c r="N166" s="35">
        <v>5.5685738769876725</v>
      </c>
      <c r="O166" s="35"/>
      <c r="P166" s="35">
        <v>111.84241907945309</v>
      </c>
      <c r="Q166" s="35"/>
      <c r="R166" s="35">
        <v>0</v>
      </c>
      <c r="S166" s="452"/>
      <c r="T166" s="68">
        <f t="shared" si="20"/>
        <v>732.23654573930776</v>
      </c>
      <c r="V166" s="35">
        <v>0</v>
      </c>
      <c r="W166" s="35"/>
      <c r="X166" s="35">
        <v>0</v>
      </c>
      <c r="Y166" s="68"/>
      <c r="Z166" s="68"/>
      <c r="AA166" s="35"/>
      <c r="AB166" s="35">
        <v>0</v>
      </c>
      <c r="AC166" s="135"/>
      <c r="AD166" s="35">
        <v>4.6568760308610049</v>
      </c>
      <c r="AE166" s="35"/>
      <c r="AF166" s="35">
        <v>122.57043568736097</v>
      </c>
      <c r="AH166" s="35">
        <v>0</v>
      </c>
      <c r="AJ166" s="68">
        <f t="shared" si="21"/>
        <v>859.46385745752968</v>
      </c>
      <c r="AK166" s="68"/>
      <c r="AL166" s="424">
        <f t="shared" si="22"/>
        <v>1.1553401045390811E-2</v>
      </c>
      <c r="AN166" s="140"/>
      <c r="AO166" s="68"/>
      <c r="AP166" s="397"/>
    </row>
    <row r="167" spans="2:42">
      <c r="B167" s="4">
        <v>8</v>
      </c>
      <c r="C167" s="256"/>
      <c r="D167" s="7" t="s">
        <v>169</v>
      </c>
      <c r="E167" s="4"/>
      <c r="F167" s="35">
        <v>194.44003312700028</v>
      </c>
      <c r="G167" s="35"/>
      <c r="H167" s="35">
        <v>0</v>
      </c>
      <c r="I167" s="35"/>
      <c r="J167" s="35">
        <v>0</v>
      </c>
      <c r="K167" s="35"/>
      <c r="L167" s="35"/>
      <c r="M167" s="35"/>
      <c r="N167" s="35">
        <v>1.662079898703499</v>
      </c>
      <c r="O167" s="35"/>
      <c r="P167" s="35">
        <v>36.932415941470516</v>
      </c>
      <c r="Q167" s="35"/>
      <c r="R167" s="35">
        <v>4.4912034239250485</v>
      </c>
      <c r="S167" s="452"/>
      <c r="T167" s="68">
        <f t="shared" si="20"/>
        <v>151.35433386290123</v>
      </c>
      <c r="V167" s="35">
        <v>0</v>
      </c>
      <c r="W167" s="35"/>
      <c r="X167" s="35">
        <v>0</v>
      </c>
      <c r="Y167" s="68"/>
      <c r="Z167" s="68"/>
      <c r="AA167" s="35"/>
      <c r="AB167" s="35">
        <v>0</v>
      </c>
      <c r="AC167" s="135"/>
      <c r="AD167" s="35">
        <v>1.3899609150620136</v>
      </c>
      <c r="AE167" s="35"/>
      <c r="AF167" s="35">
        <v>40.475003582647929</v>
      </c>
      <c r="AH167" s="35">
        <v>4.0113441710601707</v>
      </c>
      <c r="AJ167" s="68">
        <f t="shared" si="21"/>
        <v>197.23064253167132</v>
      </c>
      <c r="AK167" s="68"/>
      <c r="AL167" s="424">
        <f t="shared" si="22"/>
        <v>1.4352031111043542E-2</v>
      </c>
      <c r="AN167" s="140"/>
      <c r="AO167" s="68"/>
      <c r="AP167" s="397"/>
    </row>
    <row r="168" spans="2:42">
      <c r="B168" s="4">
        <v>9</v>
      </c>
      <c r="C168" s="256"/>
      <c r="D168" s="7" t="s">
        <v>170</v>
      </c>
      <c r="E168" s="4"/>
      <c r="F168" s="35">
        <v>-955.42230539590537</v>
      </c>
      <c r="G168" s="35"/>
      <c r="H168" s="35">
        <v>0</v>
      </c>
      <c r="I168" s="35"/>
      <c r="J168" s="35">
        <v>0</v>
      </c>
      <c r="K168" s="35"/>
      <c r="L168" s="35"/>
      <c r="M168" s="35"/>
      <c r="N168" s="35">
        <v>34.191490404322586</v>
      </c>
      <c r="O168" s="35"/>
      <c r="P168" s="35">
        <v>719.46119587671501</v>
      </c>
      <c r="Q168" s="35"/>
      <c r="R168" s="35">
        <v>41.417029465537894</v>
      </c>
      <c r="S168" s="452"/>
      <c r="T168" s="68">
        <f t="shared" si="20"/>
        <v>-1750.492021142481</v>
      </c>
      <c r="V168" s="35">
        <v>0</v>
      </c>
      <c r="W168" s="35"/>
      <c r="X168" s="35">
        <v>0</v>
      </c>
      <c r="Y168" s="68"/>
      <c r="Z168" s="68"/>
      <c r="AA168" s="35"/>
      <c r="AB168" s="35">
        <v>0</v>
      </c>
      <c r="AC168" s="135"/>
      <c r="AD168" s="35">
        <v>28.593592478194282</v>
      </c>
      <c r="AE168" s="35"/>
      <c r="AF168" s="35">
        <v>788.47250412307449</v>
      </c>
      <c r="AH168" s="35">
        <v>36.991858094020145</v>
      </c>
      <c r="AJ168" s="68">
        <f t="shared" si="21"/>
        <v>-896.43406644719209</v>
      </c>
      <c r="AK168" s="68"/>
      <c r="AL168" s="424">
        <f t="shared" si="22"/>
        <v>-6.1740487547304941E-2</v>
      </c>
      <c r="AN168" s="140"/>
      <c r="AO168" s="68"/>
      <c r="AP168" s="397"/>
    </row>
    <row r="169" spans="2:42">
      <c r="B169" s="4">
        <v>10</v>
      </c>
      <c r="C169" s="256"/>
      <c r="D169" s="7" t="s">
        <v>171</v>
      </c>
      <c r="E169" s="4"/>
      <c r="F169" s="35">
        <v>33421.080964512868</v>
      </c>
      <c r="G169" s="35"/>
      <c r="H169" s="35">
        <v>0</v>
      </c>
      <c r="I169" s="35"/>
      <c r="J169" s="35">
        <v>0</v>
      </c>
      <c r="K169" s="35"/>
      <c r="L169" s="35"/>
      <c r="M169" s="35"/>
      <c r="N169" s="35">
        <v>19.975437885703734</v>
      </c>
      <c r="O169" s="35"/>
      <c r="P169" s="35">
        <v>484.16838165175238</v>
      </c>
      <c r="Q169" s="35"/>
      <c r="R169" s="35">
        <v>150.91966472771608</v>
      </c>
      <c r="S169" s="452"/>
      <c r="T169" s="68">
        <f t="shared" si="20"/>
        <v>32766.017480247698</v>
      </c>
      <c r="V169" s="35">
        <v>0</v>
      </c>
      <c r="W169" s="35"/>
      <c r="X169" s="35">
        <v>0</v>
      </c>
      <c r="Y169" s="68"/>
      <c r="Z169" s="68"/>
      <c r="AA169" s="35"/>
      <c r="AB169" s="35">
        <v>0</v>
      </c>
      <c r="AC169" s="135"/>
      <c r="AD169" s="35">
        <v>16.705019983717541</v>
      </c>
      <c r="AE169" s="35"/>
      <c r="AF169" s="35">
        <v>530.61021009337355</v>
      </c>
      <c r="AH169" s="35">
        <v>134.79476662733822</v>
      </c>
      <c r="AJ169" s="68">
        <f t="shared" si="21"/>
        <v>33448.127476952126</v>
      </c>
      <c r="AK169" s="68"/>
      <c r="AL169" s="424">
        <f t="shared" si="22"/>
        <v>8.0926504046880277E-4</v>
      </c>
      <c r="AN169" s="140"/>
      <c r="AO169" s="68"/>
      <c r="AP169" s="397"/>
    </row>
    <row r="170" spans="2:42">
      <c r="B170" s="4">
        <v>11</v>
      </c>
      <c r="C170" s="256"/>
      <c r="D170" s="7" t="s">
        <v>455</v>
      </c>
      <c r="E170" s="4"/>
      <c r="F170" s="35">
        <v>0</v>
      </c>
      <c r="G170" s="35"/>
      <c r="H170" s="35">
        <v>0</v>
      </c>
      <c r="I170" s="35"/>
      <c r="J170" s="35">
        <v>0</v>
      </c>
      <c r="K170" s="35"/>
      <c r="L170" s="35"/>
      <c r="M170" s="35"/>
      <c r="N170" s="35">
        <v>0</v>
      </c>
      <c r="O170" s="35"/>
      <c r="P170" s="35">
        <v>0</v>
      </c>
      <c r="Q170" s="35"/>
      <c r="R170" s="35">
        <v>0</v>
      </c>
      <c r="S170" s="144"/>
      <c r="V170" s="35">
        <v>0</v>
      </c>
      <c r="W170" s="35"/>
      <c r="X170" s="35">
        <v>0</v>
      </c>
      <c r="Y170" s="135"/>
      <c r="Z170" s="135"/>
      <c r="AA170" s="35"/>
      <c r="AB170" s="35">
        <v>0</v>
      </c>
      <c r="AC170" s="135"/>
      <c r="AD170" s="35">
        <v>0</v>
      </c>
      <c r="AE170" s="35"/>
      <c r="AF170" s="35">
        <v>0</v>
      </c>
      <c r="AH170" s="35">
        <v>0</v>
      </c>
      <c r="AL170" s="424"/>
      <c r="AO170" s="68"/>
      <c r="AP170" s="397"/>
    </row>
    <row r="171" spans="2:42">
      <c r="B171" s="4">
        <v>12</v>
      </c>
      <c r="C171" s="256"/>
      <c r="D171" s="2" t="s">
        <v>467</v>
      </c>
      <c r="E171" s="4"/>
      <c r="F171" s="137">
        <f>SUM(F160:F170)</f>
        <v>1989138.4120171375</v>
      </c>
      <c r="G171" s="453"/>
      <c r="H171" s="137">
        <f>SUM(H160:H170)</f>
        <v>0</v>
      </c>
      <c r="I171" s="453"/>
      <c r="J171" s="137">
        <f>SUM(J160:J170)</f>
        <v>0</v>
      </c>
      <c r="K171" s="453"/>
      <c r="L171" s="137"/>
      <c r="M171" s="453"/>
      <c r="N171" s="137">
        <f>SUM(N160:N170)</f>
        <v>1255.405740308197</v>
      </c>
      <c r="O171" s="453"/>
      <c r="P171" s="137">
        <f>SUM(P160:P170)</f>
        <v>30545.422473142604</v>
      </c>
      <c r="Q171" s="453"/>
      <c r="R171" s="137">
        <f>SUM(R160:R170)</f>
        <v>11228.219998296772</v>
      </c>
      <c r="S171" s="67"/>
      <c r="T171" s="137">
        <f>SUM(T160:T170)</f>
        <v>1946109.36380539</v>
      </c>
      <c r="V171" s="137">
        <f>SUM(V160:V170)</f>
        <v>0</v>
      </c>
      <c r="W171" s="135"/>
      <c r="X171" s="137">
        <f>SUM(X160:X170)</f>
        <v>0</v>
      </c>
      <c r="Y171" s="135"/>
      <c r="Z171" s="135"/>
      <c r="AA171" s="135"/>
      <c r="AB171" s="137">
        <f>SUM(AB160:AB170)</f>
        <v>0</v>
      </c>
      <c r="AC171" s="135"/>
      <c r="AD171" s="137">
        <f>SUM(AD160:AD170)</f>
        <v>1049.8682481714875</v>
      </c>
      <c r="AE171" s="135"/>
      <c r="AF171" s="137">
        <f>SUM(AF160:AF170)</f>
        <v>33548.526577903598</v>
      </c>
      <c r="AH171" s="137">
        <f>SUM(AH160:AH170)</f>
        <v>10028.549275148718</v>
      </c>
      <c r="AJ171" s="137">
        <f>SUM(AJ160:AJ170)</f>
        <v>1990736.3079066137</v>
      </c>
      <c r="AK171" s="453"/>
      <c r="AL171" s="425">
        <f t="shared" si="22"/>
        <v>8.0331055889458524E-4</v>
      </c>
      <c r="AN171" s="140"/>
      <c r="AO171" s="68"/>
      <c r="AP171" s="397"/>
    </row>
    <row r="172" spans="2:42">
      <c r="B172" s="4"/>
      <c r="C172" s="256"/>
      <c r="D172" s="256"/>
      <c r="E172" s="4"/>
      <c r="F172" s="138"/>
      <c r="G172" s="138"/>
      <c r="H172" s="453"/>
      <c r="I172" s="138"/>
      <c r="J172" s="138"/>
      <c r="K172" s="138"/>
      <c r="L172" s="138"/>
      <c r="M172" s="138"/>
      <c r="N172" s="138"/>
      <c r="O172" s="138"/>
      <c r="P172" s="138"/>
      <c r="Q172" s="138"/>
      <c r="R172" s="138"/>
      <c r="S172" s="67"/>
      <c r="T172" s="4"/>
      <c r="V172" s="135"/>
      <c r="W172" s="135"/>
      <c r="X172" s="135"/>
      <c r="Y172" s="135"/>
      <c r="Z172" s="135"/>
      <c r="AA172" s="135"/>
      <c r="AB172" s="135"/>
      <c r="AC172" s="135"/>
      <c r="AD172" s="138"/>
      <c r="AE172" s="135"/>
      <c r="AF172" s="138"/>
      <c r="AH172" s="138"/>
      <c r="AO172" s="68"/>
      <c r="AP172" s="397"/>
    </row>
    <row r="173" spans="2:42">
      <c r="B173" s="4"/>
      <c r="C173" s="256"/>
      <c r="D173" s="6" t="s">
        <v>172</v>
      </c>
      <c r="E173" s="4"/>
      <c r="F173" s="138"/>
      <c r="G173" s="138"/>
      <c r="H173" s="453"/>
      <c r="I173" s="138"/>
      <c r="J173" s="138"/>
      <c r="K173" s="138"/>
      <c r="L173" s="138"/>
      <c r="M173" s="138"/>
      <c r="N173" s="138"/>
      <c r="O173" s="138"/>
      <c r="P173" s="138"/>
      <c r="Q173" s="138"/>
      <c r="R173" s="138"/>
      <c r="S173" s="67"/>
      <c r="T173" s="4"/>
      <c r="V173" s="135"/>
      <c r="W173" s="135"/>
      <c r="X173" s="135"/>
      <c r="Y173" s="135"/>
      <c r="Z173" s="135"/>
      <c r="AA173" s="135"/>
      <c r="AB173" s="135"/>
      <c r="AC173" s="135"/>
      <c r="AD173" s="138"/>
      <c r="AE173" s="135"/>
      <c r="AF173" s="138"/>
      <c r="AH173" s="138"/>
      <c r="AO173" s="68"/>
      <c r="AP173" s="397"/>
    </row>
    <row r="174" spans="2:42">
      <c r="B174" s="4">
        <v>13</v>
      </c>
      <c r="C174" s="256"/>
      <c r="D174" s="7" t="s">
        <v>173</v>
      </c>
      <c r="E174" s="4"/>
      <c r="F174" s="35">
        <v>244587.59816029092</v>
      </c>
      <c r="G174" s="35"/>
      <c r="H174" s="35">
        <v>0</v>
      </c>
      <c r="I174" s="35"/>
      <c r="J174" s="35">
        <v>0</v>
      </c>
      <c r="K174" s="35"/>
      <c r="L174" s="35"/>
      <c r="M174" s="35"/>
      <c r="N174" s="35">
        <v>633.99502918357121</v>
      </c>
      <c r="O174" s="35"/>
      <c r="P174" s="35">
        <v>419.94052423709411</v>
      </c>
      <c r="Q174" s="35"/>
      <c r="R174" s="35">
        <v>1855.1570796763663</v>
      </c>
      <c r="S174" s="452"/>
      <c r="T174" s="68">
        <f>F174-SUM(H174:R174)</f>
        <v>241678.50552719389</v>
      </c>
      <c r="V174" s="35">
        <v>0</v>
      </c>
      <c r="W174" s="35"/>
      <c r="X174" s="35">
        <v>0</v>
      </c>
      <c r="Y174" s="135"/>
      <c r="Z174" s="135"/>
      <c r="AA174" s="35"/>
      <c r="AB174" s="35">
        <v>0</v>
      </c>
      <c r="AC174" s="135"/>
      <c r="AD174" s="35">
        <v>594.2901811550862</v>
      </c>
      <c r="AE174" s="35"/>
      <c r="AF174" s="35">
        <v>515.8565803135383</v>
      </c>
      <c r="AH174" s="35">
        <v>1857.2479959658408</v>
      </c>
      <c r="AJ174" s="68">
        <f>SUM(T174:AH174)</f>
        <v>244645.90028462835</v>
      </c>
      <c r="AK174" s="68"/>
      <c r="AL174" s="424">
        <f t="shared" ref="AL174:AL179" si="23">(AJ174-F174)/F174</f>
        <v>2.3836909465552839E-4</v>
      </c>
      <c r="AN174" s="24"/>
      <c r="AO174" s="68"/>
      <c r="AP174" s="397"/>
    </row>
    <row r="175" spans="2:42">
      <c r="B175" s="4">
        <v>14</v>
      </c>
      <c r="C175" s="256"/>
      <c r="D175" s="7" t="s">
        <v>174</v>
      </c>
      <c r="E175" s="4"/>
      <c r="F175" s="35">
        <v>53386.376133605205</v>
      </c>
      <c r="G175" s="35"/>
      <c r="H175" s="35">
        <v>0</v>
      </c>
      <c r="I175" s="35"/>
      <c r="J175" s="35">
        <v>0</v>
      </c>
      <c r="K175" s="35"/>
      <c r="L175" s="35"/>
      <c r="M175" s="35"/>
      <c r="N175" s="35">
        <v>54.6662150220398</v>
      </c>
      <c r="O175" s="35"/>
      <c r="P175" s="35">
        <v>128.39221721433157</v>
      </c>
      <c r="Q175" s="35"/>
      <c r="R175" s="35">
        <v>578.56725669838522</v>
      </c>
      <c r="S175" s="452"/>
      <c r="T175" s="68">
        <f>F175-SUM(H175:R175)</f>
        <v>52624.750444670448</v>
      </c>
      <c r="V175" s="35">
        <v>0</v>
      </c>
      <c r="W175" s="35"/>
      <c r="X175" s="35">
        <v>0</v>
      </c>
      <c r="Y175" s="135"/>
      <c r="Z175" s="135"/>
      <c r="AA175" s="35"/>
      <c r="AB175" s="35">
        <v>0</v>
      </c>
      <c r="AC175" s="135"/>
      <c r="AD175" s="35">
        <v>51.24266489967107</v>
      </c>
      <c r="AE175" s="35"/>
      <c r="AF175" s="35">
        <v>157.71750114229079</v>
      </c>
      <c r="AH175" s="35">
        <v>579.21935010591403</v>
      </c>
      <c r="AJ175" s="68">
        <f>SUM(T175:AH175)</f>
        <v>53412.929960818321</v>
      </c>
      <c r="AK175" s="68"/>
      <c r="AL175" s="424">
        <f t="shared" si="23"/>
        <v>4.9738958019293774E-4</v>
      </c>
      <c r="AN175" s="24"/>
      <c r="AO175" s="68"/>
      <c r="AP175" s="397"/>
    </row>
    <row r="176" spans="2:42">
      <c r="B176" s="4">
        <v>15</v>
      </c>
      <c r="C176" s="256"/>
      <c r="D176" s="7" t="s">
        <v>175</v>
      </c>
      <c r="E176" s="4"/>
      <c r="F176" s="35">
        <v>9683.3412387697226</v>
      </c>
      <c r="G176" s="35"/>
      <c r="H176" s="35">
        <v>0</v>
      </c>
      <c r="I176" s="35"/>
      <c r="J176" s="35">
        <v>0</v>
      </c>
      <c r="K176" s="35"/>
      <c r="L176" s="35"/>
      <c r="M176" s="35"/>
      <c r="N176" s="35">
        <v>67.252376714950017</v>
      </c>
      <c r="O176" s="35"/>
      <c r="P176" s="35">
        <v>40.689596186354336</v>
      </c>
      <c r="Q176" s="35"/>
      <c r="R176" s="35">
        <v>166.77869668835763</v>
      </c>
      <c r="S176" s="452"/>
      <c r="T176" s="68">
        <f>F176-SUM(H176:R176)</f>
        <v>9408.6205691800606</v>
      </c>
      <c r="V176" s="35">
        <v>0</v>
      </c>
      <c r="W176" s="35"/>
      <c r="X176" s="35">
        <v>0</v>
      </c>
      <c r="Y176" s="135"/>
      <c r="Z176" s="135"/>
      <c r="AA176" s="35"/>
      <c r="AB176" s="35">
        <v>0</v>
      </c>
      <c r="AC176" s="135"/>
      <c r="AD176" s="35">
        <v>63.040600164493235</v>
      </c>
      <c r="AE176" s="35"/>
      <c r="AF176" s="35">
        <v>49.983258894016146</v>
      </c>
      <c r="AH176" s="35">
        <v>166.96667014756673</v>
      </c>
      <c r="AJ176" s="68">
        <f>SUM(T176:AH176)</f>
        <v>9688.6110983861363</v>
      </c>
      <c r="AK176" s="68"/>
      <c r="AL176" s="424">
        <f t="shared" si="23"/>
        <v>5.4421913743103918E-4</v>
      </c>
      <c r="AN176" s="24"/>
      <c r="AO176" s="68"/>
      <c r="AP176" s="397"/>
    </row>
    <row r="177" spans="2:42">
      <c r="B177" s="4">
        <v>16</v>
      </c>
      <c r="C177" s="256"/>
      <c r="D177" s="7" t="s">
        <v>176</v>
      </c>
      <c r="E177" s="4"/>
      <c r="F177" s="35">
        <v>1318.7175718850137</v>
      </c>
      <c r="G177" s="35"/>
      <c r="H177" s="35">
        <v>0</v>
      </c>
      <c r="I177" s="35"/>
      <c r="J177" s="35">
        <v>0</v>
      </c>
      <c r="K177" s="35"/>
      <c r="L177" s="35"/>
      <c r="M177" s="35"/>
      <c r="N177" s="35">
        <v>14.737676449939997</v>
      </c>
      <c r="O177" s="35"/>
      <c r="P177" s="35">
        <v>0</v>
      </c>
      <c r="Q177" s="35"/>
      <c r="R177" s="35">
        <v>0</v>
      </c>
      <c r="S177" s="452"/>
      <c r="T177" s="68">
        <f>F177-SUM(H177:R177)</f>
        <v>1303.9798954350738</v>
      </c>
      <c r="V177" s="35">
        <v>0</v>
      </c>
      <c r="W177" s="35"/>
      <c r="X177" s="35">
        <v>0</v>
      </c>
      <c r="Y177" s="135"/>
      <c r="Z177" s="135"/>
      <c r="AA177" s="35"/>
      <c r="AB177" s="35">
        <v>0</v>
      </c>
      <c r="AC177" s="135"/>
      <c r="AD177" s="35">
        <v>13.814708324320168</v>
      </c>
      <c r="AE177" s="35"/>
      <c r="AF177" s="35">
        <v>0</v>
      </c>
      <c r="AH177" s="35">
        <v>0</v>
      </c>
      <c r="AJ177" s="68">
        <f>SUM(T177:AH177)</f>
        <v>1317.794603759394</v>
      </c>
      <c r="AK177" s="68"/>
      <c r="AL177" s="424">
        <f t="shared" si="23"/>
        <v>-6.9989825364987011E-4</v>
      </c>
      <c r="AN177" s="24"/>
      <c r="AO177" s="68"/>
      <c r="AP177" s="397"/>
    </row>
    <row r="178" spans="2:42">
      <c r="B178" s="4">
        <v>17</v>
      </c>
      <c r="C178" s="256"/>
      <c r="D178" s="7" t="s">
        <v>164</v>
      </c>
      <c r="E178" s="4"/>
      <c r="F178" s="35">
        <v>23.194032140369998</v>
      </c>
      <c r="G178" s="35"/>
      <c r="H178" s="35">
        <v>0</v>
      </c>
      <c r="I178" s="35"/>
      <c r="J178" s="35">
        <v>0</v>
      </c>
      <c r="K178" s="35"/>
      <c r="L178" s="35"/>
      <c r="M178" s="35"/>
      <c r="N178" s="35">
        <v>23.194032140369998</v>
      </c>
      <c r="O178" s="35"/>
      <c r="P178" s="35">
        <v>0</v>
      </c>
      <c r="Q178" s="35"/>
      <c r="R178" s="35">
        <v>0</v>
      </c>
      <c r="S178" s="452"/>
      <c r="T178" s="68">
        <f>F178-SUM(H178:R178)</f>
        <v>0</v>
      </c>
      <c r="V178" s="35">
        <v>0</v>
      </c>
      <c r="W178" s="35"/>
      <c r="X178" s="35">
        <v>0</v>
      </c>
      <c r="Y178" s="135"/>
      <c r="Z178" s="135"/>
      <c r="AA178" s="35"/>
      <c r="AB178" s="35">
        <v>0</v>
      </c>
      <c r="AC178" s="135"/>
      <c r="AD178" s="35">
        <v>21.741472610862168</v>
      </c>
      <c r="AE178" s="35"/>
      <c r="AF178" s="35">
        <v>0</v>
      </c>
      <c r="AH178" s="35">
        <v>0</v>
      </c>
      <c r="AJ178" s="68">
        <f>SUM(T178:AH178)</f>
        <v>21.741472610862168</v>
      </c>
      <c r="AK178" s="68"/>
      <c r="AL178" s="424">
        <f t="shared" si="23"/>
        <v>-6.2626434279169654E-2</v>
      </c>
      <c r="AN178" s="24"/>
      <c r="AO178" s="68"/>
      <c r="AP178" s="397"/>
    </row>
    <row r="179" spans="2:42">
      <c r="B179" s="4">
        <v>18</v>
      </c>
      <c r="C179" s="256"/>
      <c r="D179" s="2" t="s">
        <v>475</v>
      </c>
      <c r="E179" s="4"/>
      <c r="F179" s="137">
        <f>SUM(F174:F178)</f>
        <v>308999.22713669122</v>
      </c>
      <c r="G179" s="453"/>
      <c r="H179" s="137">
        <f>SUM(H174:H178)</f>
        <v>0</v>
      </c>
      <c r="I179" s="453"/>
      <c r="J179" s="137">
        <f>SUM(J174:J178)</f>
        <v>0</v>
      </c>
      <c r="K179" s="453"/>
      <c r="L179" s="137"/>
      <c r="M179" s="453"/>
      <c r="N179" s="137">
        <f>SUM(N174:N178)</f>
        <v>793.84532951087101</v>
      </c>
      <c r="O179" s="453"/>
      <c r="P179" s="137">
        <f>SUM(P174:P178)</f>
        <v>589.02233763778008</v>
      </c>
      <c r="Q179" s="453"/>
      <c r="R179" s="137">
        <f>SUM(R174:R178)</f>
        <v>2600.5030330631093</v>
      </c>
      <c r="S179" s="67"/>
      <c r="T179" s="137">
        <f>SUM(T174:T178)</f>
        <v>305015.85643647949</v>
      </c>
      <c r="V179" s="137">
        <f>SUM(V174:V178)</f>
        <v>0</v>
      </c>
      <c r="W179" s="135"/>
      <c r="X179" s="137">
        <f>SUM(X174:X178)</f>
        <v>0</v>
      </c>
      <c r="Y179" s="135"/>
      <c r="Z179" s="135"/>
      <c r="AA179" s="135"/>
      <c r="AB179" s="137">
        <f>SUM(AB174:AB178)</f>
        <v>0</v>
      </c>
      <c r="AC179" s="135"/>
      <c r="AD179" s="137">
        <f>SUM(AD174:AD178)</f>
        <v>744.1296271544328</v>
      </c>
      <c r="AE179" s="135"/>
      <c r="AF179" s="137">
        <f>SUM(AF174:AF178)</f>
        <v>723.55734034984516</v>
      </c>
      <c r="AH179" s="137">
        <f>SUM(AH174:AH178)</f>
        <v>2603.4340162193216</v>
      </c>
      <c r="AJ179" s="137">
        <f>SUM(AJ174:AJ178)</f>
        <v>309086.97742020304</v>
      </c>
      <c r="AK179" s="453"/>
      <c r="AL179" s="425">
        <f t="shared" si="23"/>
        <v>2.8398221032767602E-4</v>
      </c>
      <c r="AN179" s="137"/>
      <c r="AO179" s="68"/>
      <c r="AP179" s="397"/>
    </row>
    <row r="180" spans="2:42">
      <c r="B180" s="4"/>
      <c r="C180" s="256"/>
      <c r="D180" s="256"/>
      <c r="E180" s="4"/>
      <c r="F180" s="138"/>
      <c r="G180" s="138"/>
      <c r="H180" s="453"/>
      <c r="I180" s="138"/>
      <c r="J180" s="138"/>
      <c r="K180" s="138"/>
      <c r="L180" s="138"/>
      <c r="M180" s="138"/>
      <c r="N180" s="138"/>
      <c r="O180" s="138"/>
      <c r="P180" s="138"/>
      <c r="Q180" s="138"/>
      <c r="R180" s="138"/>
      <c r="S180" s="144"/>
      <c r="T180" s="4"/>
      <c r="V180" s="135"/>
      <c r="W180" s="135"/>
      <c r="X180" s="135"/>
      <c r="Y180" s="135"/>
      <c r="Z180" s="135"/>
      <c r="AA180" s="135"/>
      <c r="AB180" s="135"/>
      <c r="AC180" s="135"/>
      <c r="AD180" s="138"/>
      <c r="AE180" s="135"/>
      <c r="AF180" s="138"/>
      <c r="AH180" s="138"/>
      <c r="AO180" s="68"/>
      <c r="AP180" s="397"/>
    </row>
    <row r="181" spans="2:42">
      <c r="B181" s="4"/>
      <c r="C181" s="256"/>
      <c r="D181" s="10" t="s">
        <v>177</v>
      </c>
      <c r="E181" s="4"/>
      <c r="F181" s="138"/>
      <c r="G181" s="138"/>
      <c r="H181" s="453"/>
      <c r="I181" s="138"/>
      <c r="J181" s="138"/>
      <c r="K181" s="138"/>
      <c r="L181" s="138"/>
      <c r="M181" s="138"/>
      <c r="N181" s="138"/>
      <c r="O181" s="138"/>
      <c r="P181" s="138"/>
      <c r="Q181" s="138"/>
      <c r="R181" s="138"/>
      <c r="S181" s="67"/>
      <c r="T181" s="4"/>
      <c r="V181" s="135"/>
      <c r="W181" s="135"/>
      <c r="X181" s="135"/>
      <c r="Y181" s="135"/>
      <c r="Z181" s="135"/>
      <c r="AA181" s="135"/>
      <c r="AB181" s="135"/>
      <c r="AC181" s="135"/>
      <c r="AD181" s="138"/>
      <c r="AE181" s="135"/>
      <c r="AF181" s="138"/>
      <c r="AH181" s="138"/>
      <c r="AO181" s="68"/>
      <c r="AP181" s="397"/>
    </row>
    <row r="182" spans="2:42">
      <c r="B182" s="4">
        <v>19</v>
      </c>
      <c r="C182" s="256"/>
      <c r="D182" s="455" t="s">
        <v>178</v>
      </c>
      <c r="E182" s="4"/>
      <c r="F182" s="35">
        <v>636281.79403965222</v>
      </c>
      <c r="G182" s="35"/>
      <c r="H182" s="35">
        <v>0</v>
      </c>
      <c r="I182" s="35"/>
      <c r="J182" s="35">
        <v>0</v>
      </c>
      <c r="K182" s="35"/>
      <c r="L182" s="35"/>
      <c r="M182" s="35"/>
      <c r="N182" s="35">
        <v>1662.2711717529742</v>
      </c>
      <c r="O182" s="35"/>
      <c r="P182" s="35">
        <v>2033.0541288685467</v>
      </c>
      <c r="Q182" s="35"/>
      <c r="R182" s="35">
        <v>2183.0645940097743</v>
      </c>
      <c r="S182" s="452"/>
      <c r="T182" s="68">
        <f t="shared" ref="T182:T190" si="24">F182-SUM(H182:R182)</f>
        <v>630403.40414502088</v>
      </c>
      <c r="V182" s="35">
        <v>0</v>
      </c>
      <c r="W182" s="35"/>
      <c r="X182" s="35">
        <v>0</v>
      </c>
      <c r="Y182" s="135"/>
      <c r="Z182" s="135"/>
      <c r="AA182" s="35"/>
      <c r="AB182" s="35">
        <v>0</v>
      </c>
      <c r="AC182" s="135"/>
      <c r="AD182" s="35">
        <v>1558.1690554610284</v>
      </c>
      <c r="AE182" s="35"/>
      <c r="AF182" s="35">
        <v>2497.4116332681588</v>
      </c>
      <c r="AH182" s="35">
        <v>2185.5250893341849</v>
      </c>
      <c r="AJ182" s="68">
        <f t="shared" ref="AJ182:AJ190" si="25">SUM(T182:AH182)</f>
        <v>636644.50992308429</v>
      </c>
      <c r="AK182" s="68"/>
      <c r="AL182" s="424">
        <f t="shared" ref="AL182:AL208" si="26">(AJ182-F182)/F182</f>
        <v>5.7005541700202826E-4</v>
      </c>
      <c r="AN182" s="24"/>
      <c r="AO182" s="68"/>
      <c r="AP182" s="397"/>
    </row>
    <row r="183" spans="2:42">
      <c r="B183" s="4">
        <v>20</v>
      </c>
      <c r="C183" s="256"/>
      <c r="D183" s="455" t="s">
        <v>179</v>
      </c>
      <c r="E183" s="4"/>
      <c r="F183" s="35">
        <v>148772.75139317909</v>
      </c>
      <c r="G183" s="35"/>
      <c r="H183" s="35">
        <v>0</v>
      </c>
      <c r="I183" s="35"/>
      <c r="J183" s="35">
        <v>0</v>
      </c>
      <c r="K183" s="35"/>
      <c r="L183" s="35"/>
      <c r="M183" s="35"/>
      <c r="N183" s="35">
        <v>179.18666996406699</v>
      </c>
      <c r="O183" s="35"/>
      <c r="P183" s="35">
        <v>775.9686179721092</v>
      </c>
      <c r="Q183" s="35"/>
      <c r="R183" s="35">
        <v>884.99160096949186</v>
      </c>
      <c r="S183" s="452"/>
      <c r="T183" s="68">
        <f t="shared" si="24"/>
        <v>146932.60450427342</v>
      </c>
      <c r="V183" s="35">
        <v>0</v>
      </c>
      <c r="W183" s="35"/>
      <c r="X183" s="35">
        <v>0</v>
      </c>
      <c r="Y183" s="135"/>
      <c r="Z183" s="135"/>
      <c r="AA183" s="35"/>
      <c r="AB183" s="35">
        <v>0</v>
      </c>
      <c r="AC183" s="135"/>
      <c r="AD183" s="35">
        <v>167.96484775385909</v>
      </c>
      <c r="AE183" s="35"/>
      <c r="AF183" s="35">
        <v>953.2028813483023</v>
      </c>
      <c r="AH183" s="35">
        <v>885.98906009291989</v>
      </c>
      <c r="AJ183" s="68">
        <f t="shared" si="25"/>
        <v>148939.7612934685</v>
      </c>
      <c r="AK183" s="68"/>
      <c r="AL183" s="424">
        <f t="shared" si="26"/>
        <v>1.1225839323764104E-3</v>
      </c>
      <c r="AN183" s="24"/>
      <c r="AO183" s="68"/>
      <c r="AP183" s="397"/>
    </row>
    <row r="184" spans="2:42">
      <c r="B184" s="4">
        <v>21</v>
      </c>
      <c r="C184" s="256"/>
      <c r="D184" s="455" t="s">
        <v>180</v>
      </c>
      <c r="E184" s="4"/>
      <c r="F184" s="35">
        <v>13655.540693746685</v>
      </c>
      <c r="G184" s="35"/>
      <c r="H184" s="35">
        <v>0</v>
      </c>
      <c r="I184" s="35"/>
      <c r="J184" s="35">
        <v>0</v>
      </c>
      <c r="K184" s="35"/>
      <c r="L184" s="35"/>
      <c r="M184" s="35"/>
      <c r="N184" s="35">
        <v>118.18766861766194</v>
      </c>
      <c r="O184" s="35"/>
      <c r="P184" s="35">
        <v>563.35125717319295</v>
      </c>
      <c r="Q184" s="35"/>
      <c r="R184" s="35">
        <v>650.01899891327685</v>
      </c>
      <c r="S184" s="452"/>
      <c r="T184" s="68">
        <f t="shared" si="24"/>
        <v>12323.982769042554</v>
      </c>
      <c r="V184" s="35">
        <v>0</v>
      </c>
      <c r="W184" s="35"/>
      <c r="X184" s="35">
        <v>0</v>
      </c>
      <c r="Y184" s="135"/>
      <c r="Z184" s="135"/>
      <c r="AA184" s="35"/>
      <c r="AB184" s="35">
        <v>0</v>
      </c>
      <c r="AC184" s="135"/>
      <c r="AD184" s="35">
        <v>110.78599635636968</v>
      </c>
      <c r="AE184" s="35"/>
      <c r="AF184" s="35">
        <v>692.02288483266602</v>
      </c>
      <c r="AH184" s="35">
        <v>650.75162437566246</v>
      </c>
      <c r="AJ184" s="68">
        <f t="shared" si="25"/>
        <v>13777.543274607251</v>
      </c>
      <c r="AK184" s="68"/>
      <c r="AL184" s="424">
        <f t="shared" si="26"/>
        <v>8.9342914789478055E-3</v>
      </c>
      <c r="AN184" s="24"/>
      <c r="AO184" s="68"/>
      <c r="AP184" s="397"/>
    </row>
    <row r="185" spans="2:42">
      <c r="B185" s="4">
        <v>22</v>
      </c>
      <c r="C185" s="256"/>
      <c r="D185" s="455" t="s">
        <v>181</v>
      </c>
      <c r="E185" s="4"/>
      <c r="F185" s="35">
        <v>540.2316820100001</v>
      </c>
      <c r="G185" s="35"/>
      <c r="H185" s="35">
        <v>0</v>
      </c>
      <c r="I185" s="35"/>
      <c r="J185" s="35">
        <v>0</v>
      </c>
      <c r="K185" s="35"/>
      <c r="L185" s="35"/>
      <c r="M185" s="35"/>
      <c r="N185" s="35">
        <v>9.0967746290458837</v>
      </c>
      <c r="O185" s="35"/>
      <c r="P185" s="35">
        <v>47.995515664411222</v>
      </c>
      <c r="Q185" s="35"/>
      <c r="R185" s="35">
        <v>36.626981708674684</v>
      </c>
      <c r="S185" s="452"/>
      <c r="T185" s="68">
        <f t="shared" si="24"/>
        <v>446.51241000786831</v>
      </c>
      <c r="V185" s="35">
        <v>0</v>
      </c>
      <c r="W185" s="35"/>
      <c r="X185" s="35">
        <v>0</v>
      </c>
      <c r="Y185" s="135"/>
      <c r="Z185" s="135"/>
      <c r="AA185" s="35"/>
      <c r="AB185" s="35">
        <v>0</v>
      </c>
      <c r="AC185" s="135"/>
      <c r="AD185" s="35">
        <v>8.5270760705875244</v>
      </c>
      <c r="AE185" s="35"/>
      <c r="AF185" s="35">
        <v>58.95787891870485</v>
      </c>
      <c r="AH185" s="35">
        <v>36.668263362680136</v>
      </c>
      <c r="AJ185" s="68">
        <f t="shared" si="25"/>
        <v>550.66562835984075</v>
      </c>
      <c r="AK185" s="68"/>
      <c r="AL185" s="424">
        <f t="shared" si="26"/>
        <v>1.9313836447021841E-2</v>
      </c>
      <c r="AN185" s="24"/>
      <c r="AO185" s="68"/>
      <c r="AP185" s="397"/>
    </row>
    <row r="186" spans="2:42">
      <c r="B186" s="4">
        <v>23</v>
      </c>
      <c r="C186" s="256"/>
      <c r="D186" s="455" t="s">
        <v>182</v>
      </c>
      <c r="E186" s="4"/>
      <c r="F186" s="35">
        <v>9134.1924398536394</v>
      </c>
      <c r="G186" s="35"/>
      <c r="H186" s="35">
        <v>0</v>
      </c>
      <c r="I186" s="35"/>
      <c r="J186" s="35">
        <v>0</v>
      </c>
      <c r="K186" s="35"/>
      <c r="L186" s="35"/>
      <c r="M186" s="35"/>
      <c r="N186" s="35">
        <v>106.71630746656433</v>
      </c>
      <c r="O186" s="35"/>
      <c r="P186" s="35">
        <v>665.37093368938702</v>
      </c>
      <c r="Q186" s="35"/>
      <c r="R186" s="35">
        <v>966.64360229889542</v>
      </c>
      <c r="S186" s="452"/>
      <c r="T186" s="68">
        <f t="shared" si="24"/>
        <v>7395.4615963987926</v>
      </c>
      <c r="V186" s="35">
        <v>0</v>
      </c>
      <c r="W186" s="35"/>
      <c r="X186" s="35">
        <v>0</v>
      </c>
      <c r="Y186" s="135"/>
      <c r="Z186" s="135"/>
      <c r="AA186" s="35"/>
      <c r="AB186" s="35">
        <v>0</v>
      </c>
      <c r="AC186" s="135"/>
      <c r="AD186" s="35">
        <v>100.03304565049389</v>
      </c>
      <c r="AE186" s="35"/>
      <c r="AF186" s="35">
        <v>817.34425396689221</v>
      </c>
      <c r="AH186" s="35">
        <v>967.733090017378</v>
      </c>
      <c r="AJ186" s="68">
        <f t="shared" si="25"/>
        <v>9280.5719860335576</v>
      </c>
      <c r="AK186" s="68"/>
      <c r="AL186" s="424">
        <f t="shared" si="26"/>
        <v>1.6025450212899573E-2</v>
      </c>
      <c r="AN186" s="24"/>
      <c r="AO186" s="68"/>
      <c r="AP186" s="397"/>
    </row>
    <row r="187" spans="2:42">
      <c r="B187" s="4">
        <v>24</v>
      </c>
      <c r="C187" s="256"/>
      <c r="D187" s="455" t="s">
        <v>183</v>
      </c>
      <c r="E187" s="4"/>
      <c r="F187" s="35">
        <v>3388.1870306950996</v>
      </c>
      <c r="G187" s="35"/>
      <c r="H187" s="35">
        <v>0</v>
      </c>
      <c r="I187" s="35"/>
      <c r="J187" s="35">
        <v>0</v>
      </c>
      <c r="K187" s="35"/>
      <c r="L187" s="35"/>
      <c r="M187" s="35"/>
      <c r="N187" s="35">
        <v>2.8522366222343125</v>
      </c>
      <c r="O187" s="35"/>
      <c r="P187" s="35">
        <v>53.547075007156863</v>
      </c>
      <c r="Q187" s="35"/>
      <c r="R187" s="35">
        <v>75.954499308342562</v>
      </c>
      <c r="S187" s="452"/>
      <c r="T187" s="68">
        <f t="shared" si="24"/>
        <v>3255.8332197573659</v>
      </c>
      <c r="V187" s="35">
        <v>0</v>
      </c>
      <c r="W187" s="35"/>
      <c r="X187" s="35">
        <v>0</v>
      </c>
      <c r="Y187" s="135"/>
      <c r="Z187" s="135"/>
      <c r="AA187" s="35"/>
      <c r="AB187" s="35">
        <v>0</v>
      </c>
      <c r="AC187" s="135"/>
      <c r="AD187" s="35">
        <v>2.6736112128633147</v>
      </c>
      <c r="AE187" s="35"/>
      <c r="AF187" s="35">
        <v>65.777436100425092</v>
      </c>
      <c r="AH187" s="35">
        <v>76.040106344858529</v>
      </c>
      <c r="AJ187" s="68">
        <f t="shared" si="25"/>
        <v>3400.3243734155126</v>
      </c>
      <c r="AK187" s="68"/>
      <c r="AL187" s="424">
        <f t="shared" si="26"/>
        <v>3.5822528716553744E-3</v>
      </c>
      <c r="AN187" s="24"/>
      <c r="AO187" s="68"/>
      <c r="AP187" s="397"/>
    </row>
    <row r="188" spans="2:42">
      <c r="B188" s="4">
        <v>25</v>
      </c>
      <c r="D188" s="455" t="s">
        <v>184</v>
      </c>
      <c r="E188" s="4"/>
      <c r="F188" s="35">
        <v>481.61601986855999</v>
      </c>
      <c r="G188" s="35"/>
      <c r="H188" s="35">
        <v>0</v>
      </c>
      <c r="I188" s="35"/>
      <c r="J188" s="35">
        <v>0</v>
      </c>
      <c r="K188" s="35"/>
      <c r="L188" s="35"/>
      <c r="M188" s="35"/>
      <c r="N188" s="35">
        <v>31.389357744205046</v>
      </c>
      <c r="O188" s="35"/>
      <c r="P188" s="35">
        <v>154.05655875252384</v>
      </c>
      <c r="Q188" s="35"/>
      <c r="R188" s="35">
        <v>244.41388709747616</v>
      </c>
      <c r="S188" s="452"/>
      <c r="T188" s="68">
        <f t="shared" si="24"/>
        <v>51.756216274354927</v>
      </c>
      <c r="V188" s="35">
        <v>0</v>
      </c>
      <c r="W188" s="35"/>
      <c r="X188" s="35">
        <v>0</v>
      </c>
      <c r="Y188" s="135"/>
      <c r="Z188" s="135"/>
      <c r="AA188" s="35"/>
      <c r="AB188" s="35">
        <v>0</v>
      </c>
      <c r="AC188" s="135"/>
      <c r="AD188" s="35">
        <v>29.423554194372251</v>
      </c>
      <c r="AE188" s="35"/>
      <c r="AF188" s="35">
        <v>187.99442747031662</v>
      </c>
      <c r="AH188" s="35">
        <v>243.07409816296237</v>
      </c>
      <c r="AJ188" s="68">
        <f t="shared" si="25"/>
        <v>512.24829610200618</v>
      </c>
      <c r="AK188" s="68"/>
      <c r="AL188" s="424">
        <f t="shared" si="26"/>
        <v>6.3603109053154389E-2</v>
      </c>
      <c r="AN188" s="24"/>
      <c r="AO188" s="68"/>
      <c r="AP188" s="397"/>
    </row>
    <row r="189" spans="2:42">
      <c r="B189" s="4">
        <v>26</v>
      </c>
      <c r="D189" s="455" t="s">
        <v>185</v>
      </c>
      <c r="E189" s="4"/>
      <c r="F189" s="35">
        <v>4586.3325253918983</v>
      </c>
      <c r="G189" s="35"/>
      <c r="H189" s="35">
        <v>0</v>
      </c>
      <c r="I189" s="35"/>
      <c r="J189" s="35">
        <v>0</v>
      </c>
      <c r="K189" s="35"/>
      <c r="L189" s="35"/>
      <c r="M189" s="35"/>
      <c r="N189" s="35">
        <v>109.9260462507728</v>
      </c>
      <c r="O189" s="35"/>
      <c r="P189" s="35">
        <v>2565.4189413444342</v>
      </c>
      <c r="Q189" s="35"/>
      <c r="R189" s="35">
        <v>1387.0988552155645</v>
      </c>
      <c r="S189" s="452"/>
      <c r="T189" s="68">
        <f t="shared" si="24"/>
        <v>523.88868258112689</v>
      </c>
      <c r="V189" s="35">
        <v>0</v>
      </c>
      <c r="W189" s="35"/>
      <c r="X189" s="35">
        <v>0</v>
      </c>
      <c r="Y189" s="135"/>
      <c r="Z189" s="135"/>
      <c r="AA189" s="35"/>
      <c r="AB189" s="35">
        <v>0</v>
      </c>
      <c r="AC189" s="135"/>
      <c r="AD189" s="35">
        <v>103.04176993967982</v>
      </c>
      <c r="AE189" s="35"/>
      <c r="AF189" s="35">
        <v>3130.5675591150489</v>
      </c>
      <c r="AH189" s="35">
        <v>1379.4952786783879</v>
      </c>
      <c r="AJ189" s="68">
        <f t="shared" si="25"/>
        <v>5136.9932903142435</v>
      </c>
      <c r="AK189" s="68"/>
      <c r="AL189" s="424">
        <f t="shared" si="26"/>
        <v>0.12006559966457984</v>
      </c>
      <c r="AN189" s="24"/>
      <c r="AP189" s="397"/>
    </row>
    <row r="190" spans="2:42">
      <c r="B190" s="4">
        <v>27</v>
      </c>
      <c r="D190" s="455" t="s">
        <v>186</v>
      </c>
      <c r="E190" s="4"/>
      <c r="F190" s="35">
        <v>378.83912656427003</v>
      </c>
      <c r="G190" s="35"/>
      <c r="H190" s="35">
        <v>0</v>
      </c>
      <c r="I190" s="35"/>
      <c r="J190" s="35">
        <v>0</v>
      </c>
      <c r="K190" s="35"/>
      <c r="L190" s="35"/>
      <c r="M190" s="35"/>
      <c r="N190" s="35">
        <v>10.217205964270001</v>
      </c>
      <c r="O190" s="35"/>
      <c r="P190" s="35">
        <v>163.59611982924099</v>
      </c>
      <c r="Q190" s="35"/>
      <c r="R190" s="35">
        <v>205.02580077075902</v>
      </c>
      <c r="S190" s="452"/>
      <c r="T190" s="68">
        <f t="shared" si="24"/>
        <v>0</v>
      </c>
      <c r="V190" s="35">
        <v>0</v>
      </c>
      <c r="W190" s="35"/>
      <c r="X190" s="35">
        <v>0</v>
      </c>
      <c r="Y190" s="135"/>
      <c r="Z190" s="135"/>
      <c r="AA190" s="35"/>
      <c r="AB190" s="35">
        <v>0</v>
      </c>
      <c r="AC190" s="135"/>
      <c r="AD190" s="35">
        <v>9.5773387864319055</v>
      </c>
      <c r="AE190" s="35"/>
      <c r="AF190" s="35">
        <v>199.63550486070835</v>
      </c>
      <c r="AH190" s="35">
        <v>203.90192314488201</v>
      </c>
      <c r="AJ190" s="68">
        <f t="shared" si="25"/>
        <v>413.11476679202224</v>
      </c>
      <c r="AK190" s="68"/>
      <c r="AL190" s="424">
        <f t="shared" si="26"/>
        <v>9.0475449404081934E-2</v>
      </c>
      <c r="AN190" s="24"/>
      <c r="AP190" s="397"/>
    </row>
    <row r="191" spans="2:42">
      <c r="B191" s="4">
        <v>28</v>
      </c>
      <c r="C191" s="256"/>
      <c r="D191" s="256" t="s">
        <v>490</v>
      </c>
      <c r="F191" s="137">
        <f>SUM(F182:F190)</f>
        <v>817219.48495096143</v>
      </c>
      <c r="G191" s="453"/>
      <c r="H191" s="137">
        <f>SUM(H182:H190)</f>
        <v>0</v>
      </c>
      <c r="I191" s="453"/>
      <c r="J191" s="137">
        <f>SUM(J182:J190)</f>
        <v>0</v>
      </c>
      <c r="K191" s="453"/>
      <c r="L191" s="453"/>
      <c r="M191" s="453"/>
      <c r="N191" s="137">
        <f>SUM(N182:N190)</f>
        <v>2229.8434390117955</v>
      </c>
      <c r="O191" s="453"/>
      <c r="P191" s="137">
        <f>SUM(P182:P190)</f>
        <v>7022.3591483010023</v>
      </c>
      <c r="Q191" s="453"/>
      <c r="R191" s="137">
        <f>SUM(R182:R190)</f>
        <v>6633.8388202922551</v>
      </c>
      <c r="S191" s="67"/>
      <c r="T191" s="137">
        <f>SUM(T182:T190)</f>
        <v>801333.44354335649</v>
      </c>
      <c r="V191" s="137">
        <f>SUM(V182:V190)</f>
        <v>0</v>
      </c>
      <c r="X191" s="137">
        <f>SUM(X182:X190)</f>
        <v>0</v>
      </c>
      <c r="AB191" s="137">
        <f>SUM(AB182:AB190)</f>
        <v>0</v>
      </c>
      <c r="AD191" s="137">
        <f>SUM(AD182:AD190)</f>
        <v>2090.196295425686</v>
      </c>
      <c r="AF191" s="137">
        <f>SUM(AF182:AF190)</f>
        <v>8602.9144598812236</v>
      </c>
      <c r="AH191" s="137">
        <f>SUM(AH182:AH190)</f>
        <v>6629.1785335139166</v>
      </c>
      <c r="AJ191" s="137">
        <f>SUM(AJ182:AJ190)</f>
        <v>818655.73283217743</v>
      </c>
      <c r="AK191" s="453"/>
      <c r="AL191" s="425">
        <f t="shared" si="26"/>
        <v>1.7574812001725356E-3</v>
      </c>
      <c r="AN191" s="137"/>
      <c r="AP191" s="397"/>
    </row>
    <row r="192" spans="2:42">
      <c r="B192" s="12"/>
      <c r="C192" s="256"/>
      <c r="D192" s="4"/>
      <c r="F192" s="138"/>
      <c r="G192" s="138"/>
      <c r="H192" s="138"/>
      <c r="I192" s="138"/>
      <c r="J192" s="138"/>
      <c r="K192" s="138"/>
      <c r="L192" s="138"/>
      <c r="M192" s="138"/>
      <c r="N192" s="138"/>
      <c r="O192" s="35"/>
      <c r="P192" s="35"/>
      <c r="Q192" s="138"/>
      <c r="R192" s="138"/>
      <c r="S192" s="144"/>
      <c r="T192" s="138"/>
      <c r="V192" s="138"/>
      <c r="X192" s="138"/>
      <c r="AB192" s="138"/>
      <c r="AD192" s="138"/>
      <c r="AF192" s="138"/>
      <c r="AH192" s="138"/>
      <c r="AJ192" s="138"/>
      <c r="AK192" s="138"/>
      <c r="AL192" s="424"/>
      <c r="AN192" s="138"/>
      <c r="AP192" s="397"/>
    </row>
    <row r="193" spans="2:42" ht="11.85" customHeight="1">
      <c r="B193" s="4">
        <v>29</v>
      </c>
      <c r="C193" s="256"/>
      <c r="D193" s="447" t="s">
        <v>523</v>
      </c>
      <c r="F193" s="137">
        <f>F171+F179+F191</f>
        <v>3115357.1241047904</v>
      </c>
      <c r="G193" s="453"/>
      <c r="H193" s="137">
        <f>H171+H179+H191</f>
        <v>0</v>
      </c>
      <c r="I193" s="453"/>
      <c r="J193" s="137">
        <f>J171+J179+J191</f>
        <v>0</v>
      </c>
      <c r="K193" s="453"/>
      <c r="L193" s="453"/>
      <c r="M193" s="453"/>
      <c r="N193" s="137">
        <f>N171+N179+N191</f>
        <v>4279.0945088308636</v>
      </c>
      <c r="O193" s="453"/>
      <c r="P193" s="137">
        <f>P171+P179+P191</f>
        <v>38156.803959081386</v>
      </c>
      <c r="Q193" s="453"/>
      <c r="R193" s="137">
        <f>R171+R179+R191</f>
        <v>20462.561851652135</v>
      </c>
      <c r="S193" s="67"/>
      <c r="T193" s="137">
        <f>T171+T179+T191</f>
        <v>3052458.6637852257</v>
      </c>
      <c r="U193" s="68"/>
      <c r="V193" s="137">
        <f>V171+V179+V191</f>
        <v>0</v>
      </c>
      <c r="X193" s="137">
        <f>X171+X179+X191</f>
        <v>0</v>
      </c>
      <c r="AB193" s="137">
        <f>AB171+AB179+AB191</f>
        <v>0</v>
      </c>
      <c r="AD193" s="137">
        <f>AD171+AD179+AD191</f>
        <v>3884.1941707516062</v>
      </c>
      <c r="AF193" s="137">
        <f>AF171+AF179+AF191</f>
        <v>42874.998378134667</v>
      </c>
      <c r="AH193" s="137">
        <f>AH171+AH179+AH191</f>
        <v>19261.161824881958</v>
      </c>
      <c r="AJ193" s="137">
        <f>AJ171+AJ179+AJ191</f>
        <v>3118479.0181589941</v>
      </c>
      <c r="AK193" s="453"/>
      <c r="AL193" s="425">
        <f t="shared" si="26"/>
        <v>1.0020982923750188E-3</v>
      </c>
      <c r="AN193" s="137">
        <v>3118478.9509589942</v>
      </c>
      <c r="AO193" s="68">
        <f>AN193-AJ193</f>
        <v>-6.7199999932199717E-2</v>
      </c>
      <c r="AP193" s="397"/>
    </row>
    <row r="194" spans="2:42" ht="11.85" customHeight="1">
      <c r="B194" s="4"/>
      <c r="C194" s="256"/>
      <c r="D194" s="256"/>
      <c r="E194" s="4"/>
      <c r="F194" s="138"/>
      <c r="G194" s="138"/>
      <c r="H194" s="453"/>
      <c r="I194" s="138"/>
      <c r="J194" s="138"/>
      <c r="K194" s="138"/>
      <c r="L194" s="138"/>
      <c r="M194" s="138"/>
      <c r="N194" s="453"/>
      <c r="O194" s="453"/>
      <c r="P194" s="453"/>
      <c r="Q194" s="138"/>
      <c r="R194" s="454"/>
      <c r="S194" s="404"/>
      <c r="T194" s="4"/>
      <c r="AL194" s="424"/>
      <c r="AP194" s="397"/>
    </row>
    <row r="195" spans="2:42" ht="11.85" customHeight="1">
      <c r="B195" s="4"/>
      <c r="C195" s="256"/>
      <c r="D195" s="10" t="s">
        <v>524</v>
      </c>
      <c r="E195" s="4"/>
      <c r="F195" s="138"/>
      <c r="G195" s="138"/>
      <c r="H195" s="453"/>
      <c r="I195" s="138"/>
      <c r="J195" s="138"/>
      <c r="K195" s="138"/>
      <c r="L195" s="138"/>
      <c r="M195" s="138"/>
      <c r="N195" s="453"/>
      <c r="O195" s="453"/>
      <c r="P195" s="453"/>
      <c r="Q195" s="138"/>
      <c r="R195" s="454"/>
      <c r="S195" s="456"/>
      <c r="T195" s="4"/>
      <c r="AL195" s="424"/>
      <c r="AP195" s="397"/>
    </row>
    <row r="196" spans="2:42" ht="11.85" customHeight="1">
      <c r="B196" s="4">
        <v>30</v>
      </c>
      <c r="C196" s="256"/>
      <c r="D196" s="7" t="s">
        <v>525</v>
      </c>
      <c r="F196" s="35">
        <v>0</v>
      </c>
      <c r="G196" s="35"/>
      <c r="H196" s="35">
        <v>0</v>
      </c>
      <c r="I196" s="35"/>
      <c r="J196" s="35">
        <v>0</v>
      </c>
      <c r="K196" s="35"/>
      <c r="L196" s="35"/>
      <c r="M196" s="35"/>
      <c r="N196" s="35">
        <v>0</v>
      </c>
      <c r="O196" s="35"/>
      <c r="P196" s="35">
        <v>0</v>
      </c>
      <c r="Q196" s="35"/>
      <c r="R196" s="35">
        <v>0</v>
      </c>
      <c r="S196" s="452"/>
      <c r="T196" s="68">
        <f t="shared" ref="T196:T203" si="27">F196-SUM(H196:R196)</f>
        <v>0</v>
      </c>
      <c r="V196" s="35">
        <v>0</v>
      </c>
      <c r="X196" s="35">
        <v>0</v>
      </c>
      <c r="AA196" s="68"/>
      <c r="AB196" s="35">
        <v>0</v>
      </c>
      <c r="AD196" s="35">
        <v>0</v>
      </c>
      <c r="AF196" s="35">
        <v>0</v>
      </c>
      <c r="AH196" s="35">
        <v>0</v>
      </c>
      <c r="AJ196" s="68">
        <f t="shared" ref="AJ196:AL203" si="28">SUM(T196:AH196)</f>
        <v>0</v>
      </c>
      <c r="AK196" s="68"/>
      <c r="AL196" s="68">
        <f t="shared" si="28"/>
        <v>0</v>
      </c>
      <c r="AP196" s="397"/>
    </row>
    <row r="197" spans="2:42" ht="11.85" customHeight="1">
      <c r="B197" s="4">
        <v>31</v>
      </c>
      <c r="C197" s="256"/>
      <c r="D197" s="7" t="s">
        <v>526</v>
      </c>
      <c r="E197" s="4"/>
      <c r="F197" s="35">
        <v>0</v>
      </c>
      <c r="G197" s="35"/>
      <c r="H197" s="35">
        <v>0</v>
      </c>
      <c r="I197" s="35"/>
      <c r="J197" s="35">
        <v>0</v>
      </c>
      <c r="K197" s="138"/>
      <c r="L197" s="35"/>
      <c r="M197" s="35"/>
      <c r="N197" s="35">
        <v>0</v>
      </c>
      <c r="O197" s="35"/>
      <c r="P197" s="35">
        <v>0</v>
      </c>
      <c r="Q197" s="35"/>
      <c r="R197" s="35">
        <v>0</v>
      </c>
      <c r="S197" s="452"/>
      <c r="T197" s="68">
        <f t="shared" si="27"/>
        <v>0</v>
      </c>
      <c r="V197" s="35">
        <v>0</v>
      </c>
      <c r="X197" s="35">
        <v>0</v>
      </c>
      <c r="AA197" s="68"/>
      <c r="AB197" s="35">
        <v>0</v>
      </c>
      <c r="AD197" s="35">
        <v>0</v>
      </c>
      <c r="AF197" s="35">
        <v>0</v>
      </c>
      <c r="AH197" s="35">
        <v>0</v>
      </c>
      <c r="AJ197" s="68">
        <f t="shared" si="28"/>
        <v>0</v>
      </c>
      <c r="AK197" s="68"/>
      <c r="AL197" s="68">
        <f t="shared" si="28"/>
        <v>0</v>
      </c>
      <c r="AP197" s="397"/>
    </row>
    <row r="198" spans="2:42">
      <c r="B198" s="4">
        <v>32</v>
      </c>
      <c r="C198" s="256"/>
      <c r="D198" s="7" t="s">
        <v>527</v>
      </c>
      <c r="F198" s="35">
        <v>0</v>
      </c>
      <c r="G198" s="35"/>
      <c r="H198" s="35">
        <v>0</v>
      </c>
      <c r="I198" s="35"/>
      <c r="J198" s="35">
        <v>0</v>
      </c>
      <c r="L198" s="35"/>
      <c r="M198" s="35"/>
      <c r="N198" s="35">
        <v>0</v>
      </c>
      <c r="O198" s="35"/>
      <c r="P198" s="35">
        <v>0</v>
      </c>
      <c r="Q198" s="35"/>
      <c r="R198" s="35">
        <v>0</v>
      </c>
      <c r="S198" s="452"/>
      <c r="T198" s="68">
        <f t="shared" si="27"/>
        <v>0</v>
      </c>
      <c r="V198" s="35">
        <v>0</v>
      </c>
      <c r="X198" s="35">
        <v>0</v>
      </c>
      <c r="AA198" s="68"/>
      <c r="AB198" s="35">
        <v>0</v>
      </c>
      <c r="AD198" s="35">
        <v>0</v>
      </c>
      <c r="AF198" s="35">
        <v>0</v>
      </c>
      <c r="AH198" s="35">
        <v>0</v>
      </c>
      <c r="AJ198" s="68">
        <f t="shared" si="28"/>
        <v>0</v>
      </c>
      <c r="AK198" s="68"/>
      <c r="AL198" s="68">
        <f t="shared" si="28"/>
        <v>0</v>
      </c>
      <c r="AP198" s="397"/>
    </row>
    <row r="199" spans="2:42">
      <c r="B199" s="4">
        <v>33</v>
      </c>
      <c r="C199" s="256"/>
      <c r="D199" s="455" t="s">
        <v>528</v>
      </c>
      <c r="E199" s="4"/>
      <c r="F199" s="35">
        <v>18991.286362844032</v>
      </c>
      <c r="G199" s="35"/>
      <c r="H199" s="35">
        <v>0</v>
      </c>
      <c r="I199" s="35"/>
      <c r="J199" s="35">
        <v>0</v>
      </c>
      <c r="K199" s="35"/>
      <c r="L199" s="35"/>
      <c r="M199" s="35"/>
      <c r="N199" s="35">
        <v>0</v>
      </c>
      <c r="O199" s="35"/>
      <c r="P199" s="35">
        <v>5279.6927770919001</v>
      </c>
      <c r="Q199" s="35"/>
      <c r="R199" s="35">
        <v>13711.593585752131</v>
      </c>
      <c r="S199" s="452"/>
      <c r="T199" s="68">
        <f t="shared" si="27"/>
        <v>0</v>
      </c>
      <c r="V199" s="35">
        <v>0</v>
      </c>
      <c r="X199" s="35">
        <v>0</v>
      </c>
      <c r="AA199" s="68"/>
      <c r="AB199" s="35">
        <v>0</v>
      </c>
      <c r="AD199" s="35">
        <v>0</v>
      </c>
      <c r="AF199" s="35">
        <v>6442.7819814084814</v>
      </c>
      <c r="AH199" s="35">
        <v>13636.431566200377</v>
      </c>
      <c r="AJ199" s="68">
        <f t="shared" si="28"/>
        <v>20079.213547608859</v>
      </c>
      <c r="AK199" s="68"/>
      <c r="AL199" s="424">
        <f t="shared" si="26"/>
        <v>5.7285597403940409E-2</v>
      </c>
      <c r="AP199" s="397"/>
    </row>
    <row r="200" spans="2:42">
      <c r="B200" s="4">
        <v>34</v>
      </c>
      <c r="C200" s="256"/>
      <c r="D200" s="455" t="s">
        <v>529</v>
      </c>
      <c r="E200" s="36"/>
      <c r="F200" s="35">
        <v>3219.8643683365985</v>
      </c>
      <c r="G200" s="35"/>
      <c r="H200" s="35">
        <v>0</v>
      </c>
      <c r="I200" s="35"/>
      <c r="J200" s="35">
        <v>0</v>
      </c>
      <c r="K200" s="35"/>
      <c r="L200" s="35"/>
      <c r="M200" s="35"/>
      <c r="N200" s="35">
        <v>0</v>
      </c>
      <c r="O200" s="35"/>
      <c r="P200" s="35">
        <v>855.84692561625934</v>
      </c>
      <c r="Q200" s="35"/>
      <c r="R200" s="35">
        <v>2293.1176027203392</v>
      </c>
      <c r="S200" s="452"/>
      <c r="T200" s="68">
        <f t="shared" si="27"/>
        <v>70.89984000000004</v>
      </c>
      <c r="V200" s="35">
        <v>0</v>
      </c>
      <c r="X200" s="35">
        <v>0</v>
      </c>
      <c r="AA200" s="68"/>
      <c r="AB200" s="35">
        <v>0</v>
      </c>
      <c r="AD200" s="35">
        <v>0</v>
      </c>
      <c r="AF200" s="35">
        <v>1054.2860905620514</v>
      </c>
      <c r="AH200" s="35">
        <v>2283.1252504359059</v>
      </c>
      <c r="AJ200" s="68">
        <f t="shared" si="28"/>
        <v>3408.3111809979573</v>
      </c>
      <c r="AK200" s="68"/>
      <c r="AL200" s="424">
        <f t="shared" si="26"/>
        <v>5.852632008804505E-2</v>
      </c>
      <c r="AP200" s="397"/>
    </row>
    <row r="201" spans="2:42">
      <c r="B201" s="4">
        <v>35</v>
      </c>
      <c r="C201" s="256"/>
      <c r="D201" s="455" t="s">
        <v>530</v>
      </c>
      <c r="E201" s="4"/>
      <c r="F201" s="35">
        <v>43.120009500000002</v>
      </c>
      <c r="G201" s="35"/>
      <c r="H201" s="35">
        <v>0</v>
      </c>
      <c r="I201" s="35"/>
      <c r="J201" s="35">
        <v>0</v>
      </c>
      <c r="K201" s="35"/>
      <c r="L201" s="35"/>
      <c r="M201" s="35"/>
      <c r="N201" s="35">
        <v>0</v>
      </c>
      <c r="O201" s="35"/>
      <c r="P201" s="35">
        <v>43.120009500000002</v>
      </c>
      <c r="Q201" s="35"/>
      <c r="R201" s="35">
        <v>0</v>
      </c>
      <c r="S201" s="452"/>
      <c r="T201" s="68">
        <f t="shared" si="27"/>
        <v>0</v>
      </c>
      <c r="V201" s="35">
        <v>0</v>
      </c>
      <c r="X201" s="35">
        <v>0</v>
      </c>
      <c r="AA201" s="68"/>
      <c r="AB201" s="35">
        <v>0</v>
      </c>
      <c r="AD201" s="35">
        <v>0</v>
      </c>
      <c r="AF201" s="35">
        <v>53.702699847298454</v>
      </c>
      <c r="AH201" s="35">
        <v>0</v>
      </c>
      <c r="AJ201" s="68">
        <f t="shared" si="28"/>
        <v>53.702699847298454</v>
      </c>
      <c r="AK201" s="68"/>
      <c r="AL201" s="424">
        <f t="shared" si="26"/>
        <v>0.24542411910411227</v>
      </c>
      <c r="AP201" s="397"/>
    </row>
    <row r="202" spans="2:42">
      <c r="B202" s="4">
        <v>36</v>
      </c>
      <c r="C202" s="256"/>
      <c r="D202" s="455" t="s">
        <v>531</v>
      </c>
      <c r="E202" s="4"/>
      <c r="F202" s="35">
        <v>210.28920145273747</v>
      </c>
      <c r="G202" s="35"/>
      <c r="H202" s="35">
        <v>0</v>
      </c>
      <c r="I202" s="35"/>
      <c r="J202" s="35">
        <v>0</v>
      </c>
      <c r="K202" s="35"/>
      <c r="L202" s="35"/>
      <c r="M202" s="35"/>
      <c r="N202" s="35">
        <v>0</v>
      </c>
      <c r="O202" s="35"/>
      <c r="P202" s="35">
        <v>99.780409569172775</v>
      </c>
      <c r="Q202" s="35"/>
      <c r="R202" s="35">
        <v>96.428791883564699</v>
      </c>
      <c r="S202" s="452"/>
      <c r="T202" s="68">
        <f t="shared" si="27"/>
        <v>14.079999999999984</v>
      </c>
      <c r="V202" s="35">
        <v>0</v>
      </c>
      <c r="X202" s="35">
        <v>0</v>
      </c>
      <c r="AA202" s="68"/>
      <c r="AB202" s="35">
        <v>0</v>
      </c>
      <c r="AD202" s="35">
        <v>0</v>
      </c>
      <c r="AF202" s="35">
        <v>121.84208305606758</v>
      </c>
      <c r="AH202" s="35">
        <v>96.021835502270051</v>
      </c>
      <c r="AJ202" s="68">
        <f t="shared" si="28"/>
        <v>231.9439185583376</v>
      </c>
      <c r="AK202" s="68"/>
      <c r="AL202" s="424">
        <f t="shared" si="26"/>
        <v>0.10297588728286187</v>
      </c>
      <c r="AP202" s="397"/>
    </row>
    <row r="203" spans="2:42">
      <c r="B203" s="4">
        <v>37</v>
      </c>
      <c r="D203" s="455" t="s">
        <v>532</v>
      </c>
      <c r="E203" s="36"/>
      <c r="F203" s="35">
        <v>41.171305514776698</v>
      </c>
      <c r="G203" s="35"/>
      <c r="H203" s="35">
        <v>0</v>
      </c>
      <c r="I203" s="35"/>
      <c r="J203" s="35">
        <v>0</v>
      </c>
      <c r="K203" s="35"/>
      <c r="L203" s="35"/>
      <c r="M203" s="35"/>
      <c r="N203" s="35">
        <v>0</v>
      </c>
      <c r="O203" s="35"/>
      <c r="P203" s="35">
        <v>11.973151205783873</v>
      </c>
      <c r="Q203" s="35"/>
      <c r="R203" s="35">
        <v>29.198154308992827</v>
      </c>
      <c r="S203" s="452"/>
      <c r="T203" s="68">
        <f t="shared" si="27"/>
        <v>0</v>
      </c>
      <c r="V203" s="35">
        <v>0</v>
      </c>
      <c r="X203" s="35">
        <v>0</v>
      </c>
      <c r="AA203" s="68"/>
      <c r="AB203" s="35">
        <v>0</v>
      </c>
      <c r="AD203" s="35">
        <v>0</v>
      </c>
      <c r="AF203" s="35">
        <v>14.61077492690648</v>
      </c>
      <c r="AH203" s="35">
        <v>29.038100539070125</v>
      </c>
      <c r="AJ203" s="68">
        <f t="shared" si="28"/>
        <v>43.648875465976602</v>
      </c>
      <c r="AK203" s="68"/>
      <c r="AL203" s="424">
        <f t="shared" si="26"/>
        <v>6.0177104423144528E-2</v>
      </c>
      <c r="AP203" s="397"/>
    </row>
    <row r="204" spans="2:42" ht="14.25">
      <c r="B204" s="4">
        <v>38</v>
      </c>
      <c r="D204" s="256" t="s">
        <v>533</v>
      </c>
      <c r="F204" s="137">
        <f>SUM(F196:F203)</f>
        <v>22505.731247648146</v>
      </c>
      <c r="G204" s="457"/>
      <c r="H204" s="137">
        <f>SUM(H196:H203)</f>
        <v>0</v>
      </c>
      <c r="I204" s="457"/>
      <c r="J204" s="137">
        <f>SUM(J196:J203)</f>
        <v>0</v>
      </c>
      <c r="K204" s="457"/>
      <c r="L204" s="137"/>
      <c r="M204" s="453"/>
      <c r="N204" s="137">
        <f>SUM(N196:N203)</f>
        <v>0</v>
      </c>
      <c r="O204" s="457"/>
      <c r="P204" s="137">
        <f>SUM(P196:P203)</f>
        <v>6290.4132729831172</v>
      </c>
      <c r="Q204" s="457"/>
      <c r="R204" s="137">
        <f>SUM(R196:R203)</f>
        <v>16130.338134665028</v>
      </c>
      <c r="S204" s="457"/>
      <c r="T204" s="137">
        <f>SUM(T196:T203)</f>
        <v>84.979840000000024</v>
      </c>
      <c r="U204" s="457"/>
      <c r="V204" s="137">
        <f>SUM(V196:V203)</f>
        <v>0</v>
      </c>
      <c r="X204" s="137">
        <f>SUM(X196:X203)</f>
        <v>0</v>
      </c>
      <c r="AB204" s="137">
        <f>SUM(AB196:AB203)</f>
        <v>0</v>
      </c>
      <c r="AD204" s="137">
        <f>SUM(AD196:AD203)</f>
        <v>0</v>
      </c>
      <c r="AF204" s="137">
        <f>SUM(AF196:AF203)</f>
        <v>7687.2236298008047</v>
      </c>
      <c r="AH204" s="137">
        <f>SUM(AH196:AH203)</f>
        <v>16044.616752677623</v>
      </c>
      <c r="AJ204" s="137">
        <f>SUM(AJ196:AJ203)</f>
        <v>23816.820222478425</v>
      </c>
      <c r="AK204" s="453"/>
      <c r="AL204" s="425">
        <f t="shared" si="26"/>
        <v>5.8255782067391786E-2</v>
      </c>
      <c r="AN204" s="137">
        <v>23731.840382478429</v>
      </c>
      <c r="AO204" s="68">
        <f>AN204-AJ204</f>
        <v>-84.979839999996329</v>
      </c>
      <c r="AP204" s="397"/>
    </row>
    <row r="205" spans="2:42">
      <c r="B205" s="4"/>
      <c r="C205" s="256"/>
      <c r="G205" s="68"/>
      <c r="O205" s="68"/>
      <c r="S205" s="405"/>
      <c r="T205" s="4"/>
      <c r="U205" s="68"/>
      <c r="AL205" s="424"/>
      <c r="AP205" s="397"/>
    </row>
    <row r="206" spans="2:42">
      <c r="B206" s="4">
        <v>39</v>
      </c>
      <c r="C206" s="256"/>
      <c r="D206" s="133" t="s">
        <v>534</v>
      </c>
      <c r="F206" s="35">
        <v>0</v>
      </c>
      <c r="G206" s="35"/>
      <c r="H206" s="35">
        <v>0</v>
      </c>
      <c r="I206" s="35"/>
      <c r="J206" s="35">
        <v>0</v>
      </c>
      <c r="K206" s="35"/>
      <c r="L206" s="35"/>
      <c r="M206" s="35"/>
      <c r="N206" s="35">
        <v>0</v>
      </c>
      <c r="O206" s="35"/>
      <c r="P206" s="35">
        <v>0</v>
      </c>
      <c r="Q206" s="35"/>
      <c r="R206" s="35">
        <v>0</v>
      </c>
      <c r="S206" s="67"/>
      <c r="T206" s="68">
        <f>F206-SUM(H206:R206)</f>
        <v>0</v>
      </c>
      <c r="U206" s="68"/>
      <c r="V206" s="35">
        <v>0</v>
      </c>
      <c r="X206" s="35">
        <v>0</v>
      </c>
      <c r="AB206" s="35">
        <v>0</v>
      </c>
      <c r="AD206" s="35">
        <v>0</v>
      </c>
      <c r="AF206" s="35">
        <v>0</v>
      </c>
      <c r="AH206" s="35">
        <v>0</v>
      </c>
      <c r="AJ206" s="68">
        <f>SUM(T206:AH206)</f>
        <v>0</v>
      </c>
      <c r="AK206" s="68"/>
      <c r="AL206" s="68">
        <f>SUM(V206:AJ206)</f>
        <v>0</v>
      </c>
      <c r="AP206" s="397"/>
    </row>
    <row r="207" spans="2:42">
      <c r="S207" s="405"/>
      <c r="T207" s="4"/>
      <c r="AJ207" s="68"/>
      <c r="AK207" s="68"/>
      <c r="AL207" s="424"/>
      <c r="AP207" s="397"/>
    </row>
    <row r="208" spans="2:42" ht="15" thickBot="1">
      <c r="B208" s="4">
        <v>40</v>
      </c>
      <c r="C208" s="256"/>
      <c r="D208" s="447" t="s">
        <v>100</v>
      </c>
      <c r="F208" s="458">
        <f>ROUND(F193+F204+F206,0)</f>
        <v>3137863</v>
      </c>
      <c r="G208" s="457"/>
      <c r="H208" s="458">
        <f>ROUND(H193+H204+H206,0)</f>
        <v>0</v>
      </c>
      <c r="I208" s="457"/>
      <c r="J208" s="458">
        <f>ROUND(J193+J204+J206,0)</f>
        <v>0</v>
      </c>
      <c r="K208" s="457"/>
      <c r="L208" s="457"/>
      <c r="M208" s="453"/>
      <c r="N208" s="458">
        <f>ROUND(N193+N204+N206,0)</f>
        <v>4279</v>
      </c>
      <c r="O208" s="457"/>
      <c r="P208" s="458">
        <f>ROUND(P193+P204+P206,0)</f>
        <v>44447</v>
      </c>
      <c r="Q208" s="457"/>
      <c r="R208" s="458">
        <f>ROUND(R193+R204+R206,0)</f>
        <v>36593</v>
      </c>
      <c r="S208" s="457"/>
      <c r="T208" s="458">
        <f>ROUND(T193+T204+T206,0)</f>
        <v>3052544</v>
      </c>
      <c r="V208" s="458">
        <f>ROUND(V193+V204+V206,0)</f>
        <v>0</v>
      </c>
      <c r="W208" s="36"/>
      <c r="X208" s="458">
        <f>ROUND(X193+X204+X206,0)</f>
        <v>0</v>
      </c>
      <c r="AB208" s="458">
        <f>ROUND(AB193+AB204+AB206,0)</f>
        <v>0</v>
      </c>
      <c r="AD208" s="458">
        <f>ROUND(AD193+AD204+AD206,0)</f>
        <v>3884</v>
      </c>
      <c r="AF208" s="458">
        <f>ROUND(AF193+AF204+AF206,0)</f>
        <v>50562</v>
      </c>
      <c r="AH208" s="458">
        <f>ROUND(AH193+AH204+AH206,0)</f>
        <v>35306</v>
      </c>
      <c r="AJ208" s="458">
        <f>ROUND(AJ193+AJ204+AJ206,0)</f>
        <v>3142296</v>
      </c>
      <c r="AK208" s="453"/>
      <c r="AL208" s="427">
        <f t="shared" si="26"/>
        <v>1.4127449158870225E-3</v>
      </c>
      <c r="AP208" s="397"/>
    </row>
    <row r="209" spans="2:42" ht="13.5" thickTop="1">
      <c r="E209" s="256"/>
      <c r="F209" s="256"/>
      <c r="G209" s="12"/>
      <c r="H209" s="12"/>
      <c r="I209" s="12"/>
      <c r="J209" s="12"/>
      <c r="K209" s="12"/>
      <c r="L209" s="12"/>
      <c r="M209" s="12"/>
      <c r="N209" s="12"/>
      <c r="O209" s="139"/>
      <c r="P209" s="12"/>
      <c r="Q209" s="12"/>
      <c r="R209" s="12"/>
      <c r="S209" s="12"/>
      <c r="T209" s="12"/>
      <c r="V209" s="68"/>
      <c r="AP209" s="397"/>
    </row>
    <row r="210" spans="2:42">
      <c r="B210" s="61" t="s">
        <v>39</v>
      </c>
      <c r="C210" s="256"/>
      <c r="D210" s="256"/>
      <c r="E210" s="12"/>
      <c r="F210" s="139"/>
      <c r="G210" s="12"/>
      <c r="H210" s="12"/>
      <c r="I210" s="12"/>
      <c r="J210" s="12"/>
      <c r="K210" s="12"/>
      <c r="L210" s="12"/>
      <c r="M210" s="12"/>
      <c r="N210" s="12"/>
      <c r="O210" s="12"/>
      <c r="P210" s="12"/>
      <c r="Q210" s="12"/>
      <c r="R210" s="12"/>
      <c r="S210" s="12"/>
      <c r="T210" s="12"/>
    </row>
    <row r="211" spans="2:42">
      <c r="B211" s="69" t="s">
        <v>357</v>
      </c>
      <c r="C211" s="256"/>
      <c r="D211" s="256" t="s">
        <v>553</v>
      </c>
      <c r="E211" s="12"/>
      <c r="F211" s="139"/>
      <c r="G211" s="12"/>
      <c r="I211" s="12"/>
      <c r="J211" s="12"/>
      <c r="K211" s="12"/>
      <c r="L211" s="12"/>
      <c r="M211" s="12"/>
      <c r="N211" s="12"/>
      <c r="O211" s="12"/>
      <c r="P211" s="12"/>
      <c r="Q211" s="12"/>
      <c r="R211" s="12"/>
      <c r="S211" s="12"/>
      <c r="T211" s="12"/>
    </row>
    <row r="212" spans="2:42" ht="14.25">
      <c r="B212" s="69" t="s">
        <v>448</v>
      </c>
      <c r="D212" s="12" t="s">
        <v>536</v>
      </c>
      <c r="E212" s="12"/>
      <c r="F212" s="12"/>
      <c r="V212" s="457"/>
      <c r="W212" s="457"/>
      <c r="X212" s="457"/>
      <c r="Y212" s="457"/>
      <c r="Z212" s="457"/>
      <c r="AA212" s="457"/>
      <c r="AB212" s="457"/>
      <c r="AC212" s="457"/>
      <c r="AD212" s="457"/>
      <c r="AE212" s="457"/>
      <c r="AF212" s="457"/>
      <c r="AN212" s="68">
        <f>AJ208-F208</f>
        <v>4433</v>
      </c>
    </row>
    <row r="213" spans="2:42" ht="14.25">
      <c r="B213" s="69" t="s">
        <v>537</v>
      </c>
      <c r="D213" s="2" t="s">
        <v>538</v>
      </c>
      <c r="V213"/>
      <c r="W213"/>
      <c r="X213"/>
      <c r="Y213"/>
      <c r="Z213"/>
      <c r="AA213"/>
      <c r="AB213"/>
      <c r="AC213"/>
      <c r="AD213"/>
      <c r="AE213"/>
      <c r="AF213"/>
    </row>
    <row r="214" spans="2:42" ht="14.25">
      <c r="B214" s="69" t="s">
        <v>539</v>
      </c>
      <c r="D214" s="438" t="s">
        <v>540</v>
      </c>
      <c r="E214" s="439"/>
      <c r="F214" s="439"/>
      <c r="G214" s="439"/>
      <c r="H214" s="439"/>
      <c r="I214" s="439"/>
      <c r="J214" s="439"/>
      <c r="K214" s="439"/>
      <c r="L214" s="439"/>
      <c r="M214" s="439"/>
      <c r="N214" s="439"/>
      <c r="O214" s="439"/>
      <c r="P214" s="439"/>
      <c r="Q214" s="439"/>
      <c r="R214" s="439"/>
      <c r="S214" s="439"/>
      <c r="T214" s="439"/>
      <c r="U214" s="439"/>
      <c r="V214" s="440"/>
      <c r="W214" s="440"/>
      <c r="X214" s="440"/>
      <c r="Y214"/>
      <c r="Z214"/>
      <c r="AA214"/>
      <c r="AB214"/>
      <c r="AC214"/>
      <c r="AD214"/>
      <c r="AE214"/>
      <c r="AF214"/>
    </row>
    <row r="215" spans="2:42" ht="14.25">
      <c r="B215" s="69" t="s">
        <v>541</v>
      </c>
      <c r="C215" s="12"/>
      <c r="D215" s="12" t="s">
        <v>542</v>
      </c>
      <c r="V215"/>
      <c r="W215"/>
      <c r="X215"/>
      <c r="Y215"/>
      <c r="Z215"/>
      <c r="AA215"/>
      <c r="AB215"/>
      <c r="AC215"/>
      <c r="AD215"/>
      <c r="AE215"/>
      <c r="AF215"/>
    </row>
    <row r="216" spans="2:42">
      <c r="B216" s="69" t="s">
        <v>543</v>
      </c>
      <c r="C216" s="12"/>
      <c r="D216" s="12" t="s">
        <v>554</v>
      </c>
    </row>
    <row r="217" spans="2:42">
      <c r="B217" s="69"/>
      <c r="D217" s="12"/>
    </row>
    <row r="219" spans="2:42" ht="14.25">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row>
    <row r="322" spans="21:21">
      <c r="U322" s="68"/>
    </row>
    <row r="333" spans="21:21" ht="14.25">
      <c r="U333"/>
    </row>
    <row r="334" spans="21:21">
      <c r="U334" s="68"/>
    </row>
  </sheetData>
  <mergeCells count="16">
    <mergeCell ref="H155:S155"/>
    <mergeCell ref="V155:AH155"/>
    <mergeCell ref="V154:AH154"/>
    <mergeCell ref="H154:S154"/>
    <mergeCell ref="F154:G154"/>
    <mergeCell ref="B152:AJ152"/>
    <mergeCell ref="B151:AJ151"/>
    <mergeCell ref="B4:AJ4"/>
    <mergeCell ref="B74:AJ75"/>
    <mergeCell ref="H7:S7"/>
    <mergeCell ref="B5:AJ5"/>
    <mergeCell ref="B76:AJ76"/>
    <mergeCell ref="F78:G78"/>
    <mergeCell ref="H79:S79"/>
    <mergeCell ref="V79:AH79"/>
    <mergeCell ref="V7:AH7"/>
  </mergeCells>
  <pageMargins left="0.7" right="0.7" top="0.75" bottom="0.75" header="0.3" footer="0.3"/>
  <pageSetup scale="51" fitToHeight="3" orientation="landscape" blackAndWhite="1" r:id="rId1"/>
  <headerFooter alignWithMargins="0">
    <oddHeader>&amp;R&amp;10Updated: 2024-03-15
EB-2022-0200
Rate Order
Working Papers
Schedule 18
Page &amp;P of 4</oddHeader>
  </headerFooter>
  <rowBreaks count="2" manualBreakCount="2">
    <brk id="69" min="1" max="35" man="1"/>
    <brk id="144" min="1" max="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CE4D423B1DE4CB1730F6A38FCA8AB" ma:contentTypeVersion="8" ma:contentTypeDescription="Create a new document." ma:contentTypeScope="" ma:versionID="bff721e5b0ca07b4aef3a7f1fc1b1f90">
  <xsd:schema xmlns:xsd="http://www.w3.org/2001/XMLSchema" xmlns:xs="http://www.w3.org/2001/XMLSchema" xmlns:p="http://schemas.microsoft.com/office/2006/metadata/properties" xmlns:ns1="http://schemas.microsoft.com/sharepoint/v3" xmlns:ns2="bc9be6ef-036f-4d38-ab45-2a4da0c93cb0" xmlns:ns3="2b327a5e-a9b9-42ef-8f0e-d75e289b8b9c" targetNamespace="http://schemas.microsoft.com/office/2006/metadata/properties" ma:root="true" ma:fieldsID="643f24c61bc7d1ee9054c428dab75c76" ns1:_="" ns2:_="" ns3:_="">
    <xsd:import namespace="http://schemas.microsoft.com/sharepoint/v3"/>
    <xsd:import namespace="bc9be6ef-036f-4d38-ab45-2a4da0c93cb0"/>
    <xsd:import namespace="2b327a5e-a9b9-42ef-8f0e-d75e289b8b9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9be6ef-036f-4d38-ab45-2a4da0c93cb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327a5e-a9b9-42ef-8f0e-d75e289b8b9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bc9be6ef-036f-4d38-ab45-2a4da0c93cb0">C6U45NHNYSXQ-170716136-234</_dlc_DocId>
    <_ip_UnifiedCompliancePolicyUIAction xmlns="http://schemas.microsoft.com/sharepoint/v3" xsi:nil="true"/>
    <_dlc_DocIdUrl xmlns="bc9be6ef-036f-4d38-ab45-2a4da0c93cb0">
      <Url>https://enbridge.sharepoint.com/teams/EB-2022-02002024Rebasing/_layouts/15/DocIdRedir.aspx?ID=C6U45NHNYSXQ-170716136-234</Url>
      <Description>C6U45NHNYSXQ-170716136-234</Description>
    </_dlc_DocIdUrl>
    <_ip_UnifiedCompliancePolicyProperties xmlns="http://schemas.microsoft.com/sharepoint/v3" xsi:nil="true"/>
  </documentManagement>
</p:properties>
</file>

<file path=customXml/itemProps1.xml><?xml version="1.0" encoding="utf-8"?>
<ds:datastoreItem xmlns:ds="http://schemas.openxmlformats.org/officeDocument/2006/customXml" ds:itemID="{63B88002-876D-4358-9F91-BE60174D930E}"/>
</file>

<file path=customXml/itemProps2.xml><?xml version="1.0" encoding="utf-8"?>
<ds:datastoreItem xmlns:ds="http://schemas.openxmlformats.org/officeDocument/2006/customXml" ds:itemID="{CFB55221-2FD8-4DDC-AA35-E21D3BA318DB}"/>
</file>

<file path=customXml/itemProps3.xml><?xml version="1.0" encoding="utf-8"?>
<ds:datastoreItem xmlns:ds="http://schemas.openxmlformats.org/officeDocument/2006/customXml" ds:itemID="{E7A60BE0-C923-4DBA-8699-D1D55019E65D}"/>
</file>

<file path=customXml/itemProps4.xml><?xml version="1.0" encoding="utf-8"?>
<ds:datastoreItem xmlns:ds="http://schemas.openxmlformats.org/officeDocument/2006/customXml" ds:itemID="{DE2C46A9-61A5-41C0-B5E8-1FB2D9EBE4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26</vt:i4>
      </vt:variant>
    </vt:vector>
  </HeadingPairs>
  <TitlesOfParts>
    <vt:vector size="59" baseType="lpstr">
      <vt:lpstr>Schedule 24 pp.1-3</vt:lpstr>
      <vt:lpstr>Schedule 24 pp.4-5</vt:lpstr>
      <vt:lpstr>Schedule 28 p.1</vt:lpstr>
      <vt:lpstr>Schedule 28 p.2</vt:lpstr>
      <vt:lpstr>Schedule 28 p.3</vt:lpstr>
      <vt:lpstr>Sch. 26 p.1</vt:lpstr>
      <vt:lpstr>Sch. 26. p2-p7</vt:lpstr>
      <vt:lpstr>Schedule 22 pp.1-4</vt:lpstr>
      <vt:lpstr>Schedule 18 pp.1- 3</vt:lpstr>
      <vt:lpstr>Sch.27 p.1</vt:lpstr>
      <vt:lpstr>Sch.27 p.2</vt:lpstr>
      <vt:lpstr>Sch. 27 p.3</vt:lpstr>
      <vt:lpstr>Sch. 27 p.4</vt:lpstr>
      <vt:lpstr>Sch. 27 p.5</vt:lpstr>
      <vt:lpstr>Sch.19 -Total pg.1-17</vt:lpstr>
      <vt:lpstr>Sch.19 - Delivery pg.18-34</vt:lpstr>
      <vt:lpstr>Sch.19-Gas Cost pg.35-51</vt:lpstr>
      <vt:lpstr>Schedule 16</vt:lpstr>
      <vt:lpstr>Schedule 17</vt:lpstr>
      <vt:lpstr>Schedule 18 p.4</vt:lpstr>
      <vt:lpstr>Schedule 20</vt:lpstr>
      <vt:lpstr>Schedule 21</vt:lpstr>
      <vt:lpstr>Schedule 22 p.5</vt:lpstr>
      <vt:lpstr>Schedule 23 p.1</vt:lpstr>
      <vt:lpstr>Schedule 23 p.2</vt:lpstr>
      <vt:lpstr>Schedule 23 p.3</vt:lpstr>
      <vt:lpstr>Schedule 23 p.4</vt:lpstr>
      <vt:lpstr>Schedule 23 p.5</vt:lpstr>
      <vt:lpstr>Schedule 24 pp.6-8</vt:lpstr>
      <vt:lpstr>Schedule 25</vt:lpstr>
      <vt:lpstr>Sch. 26 p8-p10</vt:lpstr>
      <vt:lpstr>Sch. 27 p.6</vt:lpstr>
      <vt:lpstr>Schedule 28 p.4</vt:lpstr>
      <vt:lpstr>PDCI_Credit</vt:lpstr>
      <vt:lpstr>'Sch. 26 p.1'!Print_Area</vt:lpstr>
      <vt:lpstr>'Sch. 26 p8-p10'!Print_Area</vt:lpstr>
      <vt:lpstr>'Sch. 26. p2-p7'!Print_Area</vt:lpstr>
      <vt:lpstr>'Sch.19 - Delivery pg.18-34'!Print_Area</vt:lpstr>
      <vt:lpstr>'Sch.19 -Total pg.1-17'!Print_Area</vt:lpstr>
      <vt:lpstr>'Sch.19-Gas Cost pg.35-51'!Print_Area</vt:lpstr>
      <vt:lpstr>'Schedule 16'!Print_Area</vt:lpstr>
      <vt:lpstr>'Schedule 17'!Print_Area</vt:lpstr>
      <vt:lpstr>'Schedule 18 p.4'!Print_Area</vt:lpstr>
      <vt:lpstr>'Schedule 18 pp.1- 3'!Print_Area</vt:lpstr>
      <vt:lpstr>'Schedule 20'!Print_Area</vt:lpstr>
      <vt:lpstr>'Schedule 21'!Print_Area</vt:lpstr>
      <vt:lpstr>'Schedule 22 p.5'!Print_Area</vt:lpstr>
      <vt:lpstr>'Schedule 22 pp.1-4'!Print_Area</vt:lpstr>
      <vt:lpstr>'Schedule 23 p.1'!Print_Area</vt:lpstr>
      <vt:lpstr>'Schedule 23 p.2'!Print_Area</vt:lpstr>
      <vt:lpstr>'Schedule 23 p.3'!Print_Area</vt:lpstr>
      <vt:lpstr>'Schedule 23 p.5'!Print_Area</vt:lpstr>
      <vt:lpstr>'Schedule 24 pp.1-3'!Print_Area</vt:lpstr>
      <vt:lpstr>'Schedule 24 pp.6-8'!Print_Area</vt:lpstr>
      <vt:lpstr>'Schedule 25'!Print_Area</vt:lpstr>
      <vt:lpstr>'Schedule 28 p.1'!Print_Area</vt:lpstr>
      <vt:lpstr>'Schedule 28 p.2'!Print_Area</vt:lpstr>
      <vt:lpstr>'Schedule 28 p.3'!Print_Area</vt:lpstr>
      <vt:lpstr>'Schedule 28 p.4'!Print_Area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2024-03-15T17:50:36Z</dcterms:created>
  <dcterms:modified xsi:type="dcterms:W3CDTF">2024-03-15T17:51:05Z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1a6f161-e42b-4c47-8f69-f6a81e023e2d_Enabled">
    <vt:lpwstr>true</vt:lpwstr>
  </property>
  <property fmtid="{D5CDD505-2E9C-101B-9397-08002B2CF9AE}" pid="3" name="MSIP_Label_b1a6f161-e42b-4c47-8f69-f6a81e023e2d_SetDate">
    <vt:lpwstr>2024-03-15T17:50:50Z</vt:lpwstr>
  </property>
  <property fmtid="{D5CDD505-2E9C-101B-9397-08002B2CF9AE}" pid="4" name="MSIP_Label_b1a6f161-e42b-4c47-8f69-f6a81e023e2d_Method">
    <vt:lpwstr>Standard</vt:lpwstr>
  </property>
  <property fmtid="{D5CDD505-2E9C-101B-9397-08002B2CF9AE}" pid="5" name="MSIP_Label_b1a6f161-e42b-4c47-8f69-f6a81e023e2d_Name">
    <vt:lpwstr>b1a6f161-e42b-4c47-8f69-f6a81e023e2d</vt:lpwstr>
  </property>
  <property fmtid="{D5CDD505-2E9C-101B-9397-08002B2CF9AE}" pid="6" name="MSIP_Label_b1a6f161-e42b-4c47-8f69-f6a81e023e2d_SiteId">
    <vt:lpwstr>271df5c2-953a-497b-93ad-7adf7a4b3cd7</vt:lpwstr>
  </property>
  <property fmtid="{D5CDD505-2E9C-101B-9397-08002B2CF9AE}" pid="7" name="MSIP_Label_b1a6f161-e42b-4c47-8f69-f6a81e023e2d_ActionId">
    <vt:lpwstr>9af30b30-2944-4075-b873-a796c54a0c36</vt:lpwstr>
  </property>
  <property fmtid="{D5CDD505-2E9C-101B-9397-08002B2CF9AE}" pid="8" name="MSIP_Label_b1a6f161-e42b-4c47-8f69-f6a81e023e2d_ContentBits">
    <vt:lpwstr>0</vt:lpwstr>
  </property>
  <property fmtid="{D5CDD505-2E9C-101B-9397-08002B2CF9AE}" pid="9" name="ContentTypeId">
    <vt:lpwstr>0x01010023BCE4D423B1DE4CB1730F6A38FCA8AB</vt:lpwstr>
  </property>
  <property fmtid="{D5CDD505-2E9C-101B-9397-08002B2CF9AE}" pid="10" name="_dlc_DocIdItemGuid">
    <vt:lpwstr>514337b4-c851-445b-997c-fcdf6d9df325</vt:lpwstr>
  </property>
</Properties>
</file>