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Submissions/33. Apr 22 2024 - Undertaking Responses/Excel Files/"/>
    </mc:Choice>
  </mc:AlternateContent>
  <xr:revisionPtr revIDLastSave="0" documentId="8_{0975116A-7AC8-4C48-8EA1-97E33F53A71E}" xr6:coauthVersionLast="47" xr6:coauthVersionMax="47" xr10:uidLastSave="{00000000-0000-0000-0000-000000000000}"/>
  <bookViews>
    <workbookView xWindow="28680" yWindow="-120" windowWidth="38640" windowHeight="21240" xr2:uid="{F0A771BB-A914-4D3A-955F-903000ACC562}"/>
  </bookViews>
  <sheets>
    <sheet name="2025 Rate Design" sheetId="1" r:id="rId1"/>
  </sheets>
  <definedNames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G18" i="1"/>
  <c r="F18" i="1"/>
  <c r="J17" i="1"/>
  <c r="H17" i="1"/>
  <c r="G17" i="1"/>
  <c r="C17" i="1"/>
  <c r="J18" i="1"/>
  <c r="I18" i="1"/>
  <c r="H18" i="1"/>
  <c r="E18" i="1"/>
  <c r="D18" i="1"/>
  <c r="C18" i="1"/>
  <c r="J12" i="1"/>
  <c r="J15" i="1" s="1"/>
  <c r="F12" i="1"/>
  <c r="F15" i="1" s="1"/>
  <c r="C12" i="1"/>
  <c r="I12" i="1"/>
  <c r="H12" i="1"/>
  <c r="G12" i="1"/>
  <c r="K9" i="1"/>
  <c r="K7" i="1"/>
  <c r="G20" i="1" l="1"/>
  <c r="K17" i="1"/>
  <c r="C20" i="1"/>
  <c r="G22" i="1"/>
  <c r="G23" i="1"/>
  <c r="C15" i="1"/>
  <c r="C14" i="1"/>
  <c r="G15" i="1"/>
  <c r="G14" i="1"/>
  <c r="H20" i="1"/>
  <c r="H15" i="1"/>
  <c r="H14" i="1"/>
  <c r="J20" i="1"/>
  <c r="I14" i="1"/>
  <c r="I15" i="1"/>
  <c r="K5" i="1"/>
  <c r="D12" i="1"/>
  <c r="K13" i="1"/>
  <c r="J14" i="1"/>
  <c r="I17" i="1"/>
  <c r="G19" i="1"/>
  <c r="K6" i="1"/>
  <c r="E12" i="1"/>
  <c r="H19" i="1"/>
  <c r="H30" i="1"/>
  <c r="K10" i="1"/>
  <c r="D17" i="1"/>
  <c r="J19" i="1"/>
  <c r="F14" i="1"/>
  <c r="E17" i="1"/>
  <c r="C19" i="1"/>
  <c r="F17" i="1"/>
  <c r="K12" i="1" l="1"/>
  <c r="E20" i="1"/>
  <c r="E19" i="1"/>
  <c r="H32" i="1"/>
  <c r="H34" i="1"/>
  <c r="H33" i="1"/>
  <c r="E15" i="1"/>
  <c r="E14" i="1"/>
  <c r="I19" i="1"/>
  <c r="I20" i="1"/>
  <c r="K18" i="1"/>
  <c r="K20" i="1" s="1"/>
  <c r="H23" i="1"/>
  <c r="H22" i="1"/>
  <c r="D14" i="1"/>
  <c r="D15" i="1"/>
  <c r="K15" i="1" s="1"/>
  <c r="C22" i="1"/>
  <c r="C23" i="1"/>
  <c r="K19" i="1"/>
  <c r="F20" i="1"/>
  <c r="F19" i="1"/>
  <c r="D19" i="1"/>
  <c r="D20" i="1"/>
  <c r="J22" i="1"/>
  <c r="J27" i="1"/>
  <c r="J30" i="1" s="1"/>
  <c r="J23" i="1"/>
  <c r="J34" i="1" l="1"/>
  <c r="J33" i="1"/>
  <c r="J32" i="1"/>
  <c r="C27" i="1"/>
  <c r="F23" i="1"/>
  <c r="F22" i="1"/>
  <c r="I23" i="1"/>
  <c r="I22" i="1"/>
  <c r="D23" i="1"/>
  <c r="D22" i="1"/>
  <c r="E27" i="1"/>
  <c r="E23" i="1"/>
  <c r="E22" i="1"/>
  <c r="K27" i="1" l="1"/>
  <c r="C30" i="1"/>
  <c r="K22" i="1"/>
  <c r="E24" i="1" s="1"/>
  <c r="K23" i="1"/>
  <c r="E25" i="1" s="1"/>
  <c r="E28" i="1" l="1"/>
  <c r="E30" i="1" s="1"/>
  <c r="E34" i="1" s="1"/>
  <c r="F25" i="1"/>
  <c r="I24" i="1"/>
  <c r="I28" i="1" s="1"/>
  <c r="I30" i="1" s="1"/>
  <c r="E32" i="1"/>
  <c r="G24" i="1"/>
  <c r="G28" i="1" s="1"/>
  <c r="G30" i="1" s="1"/>
  <c r="H24" i="1"/>
  <c r="J24" i="1"/>
  <c r="C24" i="1"/>
  <c r="C34" i="1"/>
  <c r="C33" i="1"/>
  <c r="C32" i="1"/>
  <c r="I32" i="1"/>
  <c r="I34" i="1"/>
  <c r="I33" i="1"/>
  <c r="G25" i="1"/>
  <c r="H25" i="1"/>
  <c r="C25" i="1"/>
  <c r="J25" i="1"/>
  <c r="D25" i="1"/>
  <c r="I25" i="1"/>
  <c r="D24" i="1"/>
  <c r="D28" i="1" s="1"/>
  <c r="F24" i="1"/>
  <c r="F28" i="1" s="1"/>
  <c r="F30" i="1" s="1"/>
  <c r="E33" i="1" l="1"/>
  <c r="G32" i="1"/>
  <c r="G33" i="1"/>
  <c r="G34" i="1"/>
  <c r="K28" i="1"/>
  <c r="D30" i="1"/>
  <c r="F34" i="1"/>
  <c r="F33" i="1"/>
  <c r="F32" i="1"/>
  <c r="K24" i="1"/>
  <c r="K25" i="1"/>
  <c r="D32" i="1" l="1"/>
  <c r="D34" i="1"/>
  <c r="D33" i="1"/>
  <c r="K30" i="1"/>
  <c r="K32" i="1" l="1"/>
</calcChain>
</file>

<file path=xl/sharedStrings.xml><?xml version="1.0" encoding="utf-8"?>
<sst xmlns="http://schemas.openxmlformats.org/spreadsheetml/2006/main" count="52" uniqueCount="46">
  <si>
    <t xml:space="preserve"> </t>
  </si>
  <si>
    <t>Rates Design</t>
  </si>
  <si>
    <t>TOTAL</t>
  </si>
  <si>
    <t>2025 Load Forecast</t>
  </si>
  <si>
    <t>kVA</t>
  </si>
  <si>
    <t>kWhs</t>
  </si>
  <si>
    <t>Number of Customers</t>
  </si>
  <si>
    <t>Devices/Connections</t>
  </si>
  <si>
    <t>Revenue without Revenue Offsets at Status Quo Rates (1+D)</t>
  </si>
  <si>
    <t>Revenue Offsets</t>
  </si>
  <si>
    <t>Cost Allocation Study with Revenue Offsets</t>
  </si>
  <si>
    <t>Revenue with Revenue Offsets at Status Quo</t>
  </si>
  <si>
    <t>Revenue Requirement - Cost</t>
  </si>
  <si>
    <t>Revenue-to-Cost  Ratio</t>
  </si>
  <si>
    <t>Revenue Surplus/ShortFall (-)</t>
  </si>
  <si>
    <t>Cost Allocation Study without Revenue Offsets</t>
  </si>
  <si>
    <t>Revenue without Revenue Offsets at Status Quo (1+D)</t>
  </si>
  <si>
    <t>Revenue Requirement -  Cost</t>
  </si>
  <si>
    <t>Revenue Requirement Recovery</t>
  </si>
  <si>
    <t>Revenue Under Recovered</t>
  </si>
  <si>
    <t>Revenue Over Recovered</t>
  </si>
  <si>
    <t>Revenue Requirement Recovery Adjustments</t>
  </si>
  <si>
    <t>Reclass to shift down</t>
  </si>
  <si>
    <t>Reclass to shift up</t>
  </si>
  <si>
    <t>Proposed Revenue Requirement</t>
  </si>
  <si>
    <t>Proposed Revenue Requirement without Transformer Allowance</t>
  </si>
  <si>
    <t>Transformer Allowance</t>
  </si>
  <si>
    <t>Proposed Revenue Requirement with Transformer Allowance</t>
  </si>
  <si>
    <t>Proposed Revenue-to-Cost Ratio</t>
  </si>
  <si>
    <t>Revenue-to-Cost Ratio including Revenue Offsets</t>
  </si>
  <si>
    <t>OEB Prescribed Ratios (Min)</t>
  </si>
  <si>
    <t>OEB Prescribed Ratios (Max)</t>
  </si>
  <si>
    <t>Residential</t>
  </si>
  <si>
    <t>GS &lt;50</t>
  </si>
  <si>
    <t>Large Use &gt;5MW</t>
  </si>
  <si>
    <t>Street Light</t>
  </si>
  <si>
    <t>Unmetered Scattered Load</t>
  </si>
  <si>
    <t>Competitive Sector Multi-Unit Residential</t>
  </si>
  <si>
    <t>GS 50-999 kW</t>
  </si>
  <si>
    <t>GS 1,000-4,999 kW</t>
  </si>
  <si>
    <t>File Number:</t>
  </si>
  <si>
    <t>EB-2023-0195</t>
  </si>
  <si>
    <t>Schedule:</t>
  </si>
  <si>
    <t>JT1.1.6</t>
  </si>
  <si>
    <t>Page: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</si>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</sst>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$&quot;* #,##0.00_-;\-&quot;$&quot;* #,##0.00_-;_-&quot;$&quot;* &quot;-&quot;??_-;_-@_-"/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&quot;$&quot;#,##0"/>
    <numFmt numFmtId="169" formatCode="_(&quot;$&quot;* #,##0_);_(&quot;$&quot;* \(#,##0\);_(&quot;$&quot;* &quot;-&quot;??_);_(@_)"/>
    <numFmt numFmtId="170" formatCode="0.0000%"/>
    <numFmt numFmtId="171" formatCode="_-\ &quot;$&quot;#,##0_-;\-\ &quot;$&quot;#,##0_-;_-* &quot;-&quot;_-;_-@_-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indexed="8"/>
      <name val="Arial"/>
      <family val="2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164" fontId="4" fillId="0" borderId="0" xfId="3" applyNumberFormat="1" applyFont="1" applyFill="1" applyBorder="1"/>
    <xf numFmtId="0" fontId="8" fillId="0" borderId="0" xfId="0" applyFont="1"/>
    <xf numFmtId="0" fontId="5" fillId="2" borderId="1" xfId="0" applyFont="1" applyFill="1" applyBorder="1"/>
    <xf numFmtId="10" fontId="9" fillId="2" borderId="5" xfId="0" applyNumberFormat="1" applyFont="1" applyFill="1" applyBorder="1"/>
    <xf numFmtId="164" fontId="10" fillId="2" borderId="4" xfId="3" applyNumberFormat="1" applyFont="1" applyFill="1" applyBorder="1"/>
    <xf numFmtId="0" fontId="11" fillId="0" borderId="6" xfId="0" applyFont="1" applyBorder="1" applyAlignment="1">
      <alignment horizontal="left" indent="1"/>
    </xf>
    <xf numFmtId="166" fontId="11" fillId="0" borderId="7" xfId="1" applyNumberFormat="1" applyFont="1" applyFill="1" applyBorder="1"/>
    <xf numFmtId="166" fontId="5" fillId="0" borderId="8" xfId="1" applyNumberFormat="1" applyFont="1" applyFill="1" applyBorder="1"/>
    <xf numFmtId="3" fontId="8" fillId="0" borderId="0" xfId="0" applyNumberFormat="1" applyFont="1"/>
    <xf numFmtId="166" fontId="2" fillId="0" borderId="0" xfId="0" applyNumberFormat="1" applyFont="1"/>
    <xf numFmtId="0" fontId="11" fillId="0" borderId="3" xfId="0" applyFont="1" applyBorder="1" applyAlignment="1">
      <alignment horizontal="left" indent="1"/>
    </xf>
    <xf numFmtId="166" fontId="11" fillId="0" borderId="0" xfId="1" applyNumberFormat="1" applyFont="1" applyFill="1" applyBorder="1"/>
    <xf numFmtId="166" fontId="5" fillId="0" borderId="9" xfId="1" applyNumberFormat="1" applyFont="1" applyFill="1" applyBorder="1"/>
    <xf numFmtId="166" fontId="11" fillId="0" borderId="0" xfId="1" applyNumberFormat="1" applyFont="1" applyFill="1" applyBorder="1" applyAlignment="1">
      <alignment horizontal="right"/>
    </xf>
    <xf numFmtId="166" fontId="12" fillId="0" borderId="0" xfId="1" applyNumberFormat="1" applyFont="1" applyFill="1" applyBorder="1"/>
    <xf numFmtId="166" fontId="11" fillId="0" borderId="0" xfId="0" applyNumberFormat="1" applyFont="1"/>
    <xf numFmtId="168" fontId="11" fillId="0" borderId="0" xfId="2" applyNumberFormat="1" applyFont="1" applyFill="1" applyBorder="1" applyAlignment="1">
      <alignment horizontal="right"/>
    </xf>
    <xf numFmtId="168" fontId="11" fillId="0" borderId="0" xfId="2" applyNumberFormat="1" applyFont="1" applyFill="1" applyBorder="1"/>
    <xf numFmtId="168" fontId="5" fillId="0" borderId="9" xfId="2" applyNumberFormat="1" applyFont="1" applyFill="1" applyBorder="1"/>
    <xf numFmtId="169" fontId="8" fillId="0" borderId="0" xfId="2" applyNumberFormat="1" applyFont="1" applyFill="1" applyBorder="1"/>
    <xf numFmtId="169" fontId="8" fillId="0" borderId="0" xfId="0" applyNumberFormat="1" applyFont="1"/>
    <xf numFmtId="0" fontId="11" fillId="0" borderId="10" xfId="0" applyFont="1" applyBorder="1" applyAlignment="1">
      <alignment horizontal="left" wrapText="1" indent="1"/>
    </xf>
    <xf numFmtId="168" fontId="11" fillId="0" borderId="11" xfId="2" applyNumberFormat="1" applyFont="1" applyFill="1" applyBorder="1" applyAlignment="1">
      <alignment horizontal="right"/>
    </xf>
    <xf numFmtId="168" fontId="11" fillId="0" borderId="11" xfId="2" applyNumberFormat="1" applyFont="1" applyFill="1" applyBorder="1"/>
    <xf numFmtId="168" fontId="5" fillId="0" borderId="12" xfId="2" applyNumberFormat="1" applyFont="1" applyFill="1" applyBorder="1"/>
    <xf numFmtId="0" fontId="13" fillId="2" borderId="1" xfId="0" applyFont="1" applyFill="1" applyBorder="1"/>
    <xf numFmtId="164" fontId="9" fillId="2" borderId="4" xfId="3" applyNumberFormat="1" applyFont="1" applyFill="1" applyBorder="1"/>
    <xf numFmtId="170" fontId="4" fillId="0" borderId="0" xfId="0" applyNumberFormat="1" applyFont="1"/>
    <xf numFmtId="168" fontId="11" fillId="0" borderId="7" xfId="2" applyNumberFormat="1" applyFont="1" applyFill="1" applyBorder="1"/>
    <xf numFmtId="168" fontId="5" fillId="0" borderId="8" xfId="2" applyNumberFormat="1" applyFont="1" applyFill="1" applyBorder="1"/>
    <xf numFmtId="169" fontId="4" fillId="0" borderId="0" xfId="0" applyNumberFormat="1" applyFont="1"/>
    <xf numFmtId="44" fontId="4" fillId="0" borderId="0" xfId="0" applyNumberFormat="1" applyFont="1"/>
    <xf numFmtId="0" fontId="5" fillId="0" borderId="3" xfId="0" applyFont="1" applyBorder="1" applyAlignment="1">
      <alignment horizontal="left" indent="1"/>
    </xf>
    <xf numFmtId="10" fontId="5" fillId="0" borderId="0" xfId="3" applyNumberFormat="1" applyFont="1" applyFill="1" applyBorder="1"/>
    <xf numFmtId="10" fontId="5" fillId="0" borderId="9" xfId="3" applyNumberFormat="1" applyFont="1" applyFill="1" applyBorder="1"/>
    <xf numFmtId="0" fontId="11" fillId="0" borderId="10" xfId="0" applyFont="1" applyBorder="1" applyAlignment="1">
      <alignment horizontal="left" indent="1"/>
    </xf>
    <xf numFmtId="168" fontId="11" fillId="0" borderId="9" xfId="2" applyNumberFormat="1" applyFont="1" applyFill="1" applyBorder="1"/>
    <xf numFmtId="168" fontId="11" fillId="0" borderId="12" xfId="2" applyNumberFormat="1" applyFont="1" applyFill="1" applyBorder="1"/>
    <xf numFmtId="169" fontId="11" fillId="2" borderId="5" xfId="2" applyNumberFormat="1" applyFont="1" applyFill="1" applyBorder="1"/>
    <xf numFmtId="169" fontId="11" fillId="2" borderId="4" xfId="2" applyNumberFormat="1" applyFont="1" applyFill="1" applyBorder="1"/>
    <xf numFmtId="0" fontId="5" fillId="0" borderId="3" xfId="0" applyFont="1" applyBorder="1" applyAlignment="1">
      <alignment horizontal="left" wrapText="1" indent="1"/>
    </xf>
    <xf numFmtId="171" fontId="11" fillId="0" borderId="0" xfId="2" applyNumberFormat="1" applyFont="1" applyFill="1" applyBorder="1"/>
    <xf numFmtId="9" fontId="11" fillId="0" borderId="0" xfId="3" applyFont="1" applyFill="1" applyBorder="1"/>
    <xf numFmtId="9" fontId="5" fillId="0" borderId="9" xfId="3" applyFont="1" applyFill="1" applyBorder="1"/>
    <xf numFmtId="0" fontId="5" fillId="0" borderId="10" xfId="0" applyFont="1" applyBorder="1" applyAlignment="1">
      <alignment horizontal="left" wrapText="1" indent="1"/>
    </xf>
    <xf numFmtId="9" fontId="11" fillId="0" borderId="11" xfId="3" applyFont="1" applyFill="1" applyBorder="1"/>
    <xf numFmtId="9" fontId="5" fillId="0" borderId="12" xfId="3" applyFont="1" applyFill="1" applyBorder="1"/>
    <xf numFmtId="0" fontId="5" fillId="2" borderId="1" xfId="0" applyFont="1" applyFill="1" applyBorder="1" applyAlignment="1">
      <alignment vertical="center"/>
    </xf>
    <xf numFmtId="9" fontId="11" fillId="2" borderId="5" xfId="3" applyFont="1" applyFill="1" applyBorder="1"/>
    <xf numFmtId="9" fontId="5" fillId="2" borderId="4" xfId="3" applyFont="1" applyFill="1" applyBorder="1"/>
    <xf numFmtId="0" fontId="5" fillId="0" borderId="6" xfId="0" applyFont="1" applyBorder="1" applyAlignment="1">
      <alignment horizontal="left" vertical="center" indent="1"/>
    </xf>
    <xf numFmtId="171" fontId="11" fillId="0" borderId="7" xfId="2" applyNumberFormat="1" applyFont="1" applyFill="1" applyBorder="1" applyAlignment="1">
      <alignment horizontal="right" vertical="center"/>
    </xf>
    <xf numFmtId="171" fontId="14" fillId="0" borderId="7" xfId="2" applyNumberFormat="1" applyFont="1" applyFill="1" applyBorder="1" applyAlignment="1">
      <alignment horizontal="right" vertical="center"/>
    </xf>
    <xf numFmtId="171" fontId="11" fillId="0" borderId="7" xfId="4" applyNumberFormat="1" applyFont="1" applyFill="1" applyBorder="1" applyAlignment="1">
      <alignment horizontal="right" vertical="center"/>
    </xf>
    <xf numFmtId="168" fontId="5" fillId="0" borderId="8" xfId="2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/>
    <xf numFmtId="0" fontId="5" fillId="0" borderId="3" xfId="0" applyFont="1" applyBorder="1" applyAlignment="1">
      <alignment horizontal="left" vertical="center" indent="1"/>
    </xf>
    <xf numFmtId="171" fontId="11" fillId="0" borderId="11" xfId="4" applyNumberFormat="1" applyFont="1" applyFill="1" applyBorder="1" applyAlignment="1">
      <alignment horizontal="right" vertical="center"/>
    </xf>
    <xf numFmtId="168" fontId="5" fillId="0" borderId="12" xfId="2" applyNumberFormat="1" applyFont="1" applyFill="1" applyBorder="1" applyAlignment="1">
      <alignment horizontal="right" vertical="center"/>
    </xf>
    <xf numFmtId="3" fontId="4" fillId="0" borderId="0" xfId="0" applyNumberFormat="1" applyFont="1"/>
    <xf numFmtId="169" fontId="2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68" fontId="11" fillId="2" borderId="5" xfId="4" applyNumberFormat="1" applyFont="1" applyFill="1" applyBorder="1" applyAlignment="1">
      <alignment horizontal="right" vertical="center"/>
    </xf>
    <xf numFmtId="168" fontId="5" fillId="2" borderId="4" xfId="2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horizontal="left" vertical="center" indent="1"/>
    </xf>
    <xf numFmtId="168" fontId="9" fillId="0" borderId="0" xfId="2" applyNumberFormat="1" applyFont="1" applyFill="1" applyBorder="1" applyAlignment="1">
      <alignment horizontal="right" vertical="center"/>
    </xf>
    <xf numFmtId="168" fontId="13" fillId="0" borderId="9" xfId="2" applyNumberFormat="1" applyFont="1" applyFill="1" applyBorder="1" applyAlignment="1">
      <alignment horizontal="right" vertical="center"/>
    </xf>
    <xf numFmtId="170" fontId="4" fillId="3" borderId="0" xfId="0" applyNumberFormat="1" applyFont="1" applyFill="1"/>
    <xf numFmtId="0" fontId="4" fillId="3" borderId="0" xfId="0" applyFont="1" applyFill="1"/>
    <xf numFmtId="167" fontId="2" fillId="0" borderId="0" xfId="2" applyFont="1" applyFill="1" applyBorder="1" applyAlignment="1">
      <alignment vertical="center"/>
    </xf>
    <xf numFmtId="0" fontId="10" fillId="3" borderId="0" xfId="0" applyFont="1" applyFill="1"/>
    <xf numFmtId="0" fontId="15" fillId="3" borderId="0" xfId="0" applyFont="1" applyFill="1"/>
    <xf numFmtId="0" fontId="5" fillId="0" borderId="3" xfId="0" applyFont="1" applyBorder="1" applyAlignment="1">
      <alignment horizontal="left" indent="2"/>
    </xf>
    <xf numFmtId="168" fontId="9" fillId="0" borderId="0" xfId="2" applyNumberFormat="1" applyFont="1" applyFill="1" applyBorder="1" applyAlignment="1">
      <alignment horizontal="right"/>
    </xf>
    <xf numFmtId="41" fontId="11" fillId="0" borderId="0" xfId="2" applyNumberFormat="1" applyFont="1" applyFill="1" applyBorder="1"/>
    <xf numFmtId="168" fontId="13" fillId="0" borderId="9" xfId="2" applyNumberFormat="1" applyFont="1" applyFill="1" applyBorder="1" applyAlignment="1">
      <alignment horizontal="right"/>
    </xf>
    <xf numFmtId="170" fontId="2" fillId="0" borderId="0" xfId="3" applyNumberFormat="1" applyFont="1" applyFill="1" applyBorder="1"/>
    <xf numFmtId="0" fontId="13" fillId="0" borderId="3" xfId="0" applyFont="1" applyBorder="1" applyAlignment="1">
      <alignment horizontal="left" indent="1"/>
    </xf>
    <xf numFmtId="169" fontId="5" fillId="0" borderId="9" xfId="2" applyNumberFormat="1" applyFont="1" applyFill="1" applyBorder="1"/>
    <xf numFmtId="10" fontId="5" fillId="0" borderId="3" xfId="3" applyNumberFormat="1" applyFont="1" applyFill="1" applyBorder="1" applyAlignment="1">
      <alignment horizontal="left" indent="1"/>
    </xf>
    <xf numFmtId="10" fontId="11" fillId="0" borderId="9" xfId="3" applyNumberFormat="1" applyFont="1" applyFill="1" applyBorder="1"/>
    <xf numFmtId="165" fontId="4" fillId="3" borderId="0" xfId="1" applyFont="1" applyFill="1" applyBorder="1"/>
    <xf numFmtId="0" fontId="16" fillId="0" borderId="3" xfId="0" applyFont="1" applyBorder="1"/>
    <xf numFmtId="10" fontId="16" fillId="0" borderId="0" xfId="3" applyNumberFormat="1" applyFont="1" applyFill="1" applyBorder="1"/>
    <xf numFmtId="169" fontId="16" fillId="0" borderId="9" xfId="2" applyNumberFormat="1" applyFont="1" applyFill="1" applyBorder="1"/>
    <xf numFmtId="0" fontId="16" fillId="0" borderId="10" xfId="0" applyFont="1" applyBorder="1"/>
    <xf numFmtId="10" fontId="16" fillId="0" borderId="11" xfId="3" applyNumberFormat="1" applyFont="1" applyFill="1" applyBorder="1"/>
    <xf numFmtId="169" fontId="16" fillId="0" borderId="12" xfId="2" applyNumberFormat="1" applyFont="1" applyFill="1" applyBorder="1"/>
    <xf numFmtId="15" fontId="4" fillId="0" borderId="0" xfId="0" applyNumberFormat="1" applyFont="1"/>
  </cellXfs>
  <cellStyles count="6">
    <cellStyle name="Comma" xfId="1" builtinId="3"/>
    <cellStyle name="Currency" xfId="2" builtinId="4"/>
    <cellStyle name="Currency 2_2019 IRM Rates" xfId="4" xr:uid="{F826EAB4-260B-4F63-98C0-297B4078CD6A}"/>
    <cellStyle name="Normal" xfId="0" builtinId="0"/>
    <cellStyle name="Normal 200" xfId="5" xr:uid="{0ABA54D3-CCCD-429D-89CA-B2ADF1501262}"/>
    <cellStyle name="Percent" xfId="3" builtinId="5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2AA68-856E-43A3-9F73-5361DA2D9531}">
  <dimension ref="B1:AC44"/>
  <sheetViews>
    <sheetView showGridLines="0" tabSelected="1" zoomScaleNormal="100" workbookViewId="0">
      <pane xSplit="2" ySplit="2" topLeftCell="D3" activePane="bottomRight" state="frozen"/>
      <selection activeCell="L96" sqref="L96"/>
      <selection pane="topRight" activeCell="L96" sqref="L96"/>
      <selection pane="bottomLeft" activeCell="L96" sqref="L96"/>
      <selection pane="bottomRight" activeCell="M18" sqref="M18"/>
    </sheetView>
  </sheetViews>
  <sheetFormatPr defaultColWidth="9.33203125" defaultRowHeight="15" x14ac:dyDescent="0.25"/>
  <cols>
    <col min="1" max="1" width="9.33203125" style="2"/>
    <col min="2" max="2" width="58.5546875" style="2" customWidth="1"/>
    <col min="3" max="3" width="17.33203125" style="2" bestFit="1" customWidth="1"/>
    <col min="4" max="4" width="15.33203125" style="2" bestFit="1" customWidth="1"/>
    <col min="5" max="5" width="16" style="2" bestFit="1" customWidth="1"/>
    <col min="6" max="6" width="16.44140625" style="2" bestFit="1" customWidth="1"/>
    <col min="7" max="7" width="16.5546875" style="2" bestFit="1" customWidth="1"/>
    <col min="8" max="8" width="13.6640625" style="2" bestFit="1" customWidth="1"/>
    <col min="9" max="9" width="16.6640625" style="2" customWidth="1"/>
    <col min="10" max="10" width="14.88671875" style="2" customWidth="1"/>
    <col min="11" max="11" width="17.33203125" style="2" bestFit="1" customWidth="1"/>
    <col min="12" max="12" width="7.33203125" style="3" customWidth="1"/>
    <col min="13" max="13" width="23.6640625" style="3" customWidth="1"/>
    <col min="14" max="14" width="4.77734375" style="3" customWidth="1"/>
    <col min="15" max="15" width="18" style="3" customWidth="1"/>
    <col min="16" max="16" width="17.33203125" style="3" customWidth="1"/>
    <col min="17" max="17" width="18.44140625" style="2" customWidth="1"/>
    <col min="18" max="18" width="25.44140625" style="2" bestFit="1" customWidth="1"/>
    <col min="19" max="16384" width="9.33203125" style="2"/>
  </cols>
  <sheetData>
    <row r="1" spans="2:17" ht="20.25" customHeight="1" x14ac:dyDescent="0.3">
      <c r="B1" s="1" t="s">
        <v>0</v>
      </c>
    </row>
    <row r="2" spans="2:17" s="9" customFormat="1" ht="42" customHeight="1" x14ac:dyDescent="0.3">
      <c r="B2" s="4" t="s">
        <v>1</v>
      </c>
      <c r="C2" s="5" t="s">
        <v>32</v>
      </c>
      <c r="D2" s="5" t="s">
        <v>33</v>
      </c>
      <c r="E2" s="5" t="s">
        <v>38</v>
      </c>
      <c r="F2" s="5" t="s">
        <v>39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2</v>
      </c>
      <c r="L2" s="6"/>
      <c r="M2" s="7"/>
      <c r="N2" s="8"/>
      <c r="O2" s="8"/>
      <c r="P2" s="8"/>
    </row>
    <row r="3" spans="2:17" s="1" customFormat="1" ht="16.5" customHeight="1" x14ac:dyDescent="0.3">
      <c r="B3" s="10"/>
      <c r="C3" s="11"/>
      <c r="D3" s="11"/>
      <c r="E3" s="11"/>
      <c r="F3" s="11"/>
      <c r="G3" s="11"/>
      <c r="H3" s="11"/>
      <c r="I3" s="11"/>
      <c r="J3" s="11"/>
      <c r="K3" s="12"/>
      <c r="L3" s="13"/>
      <c r="M3" s="14"/>
      <c r="N3" s="14"/>
      <c r="O3" s="14"/>
      <c r="P3" s="14"/>
    </row>
    <row r="4" spans="2:17" s="1" customFormat="1" ht="15.6" x14ac:dyDescent="0.3">
      <c r="B4" s="15" t="s">
        <v>3</v>
      </c>
      <c r="C4" s="16"/>
      <c r="D4" s="16"/>
      <c r="E4" s="16"/>
      <c r="F4" s="16"/>
      <c r="G4" s="16"/>
      <c r="H4" s="16"/>
      <c r="I4" s="16"/>
      <c r="J4" s="16"/>
      <c r="K4" s="17"/>
      <c r="L4" s="13"/>
      <c r="M4" s="14" t="s">
        <v>40</v>
      </c>
      <c r="N4" s="3"/>
      <c r="O4" s="3" t="s">
        <v>41</v>
      </c>
      <c r="P4" s="14"/>
    </row>
    <row r="5" spans="2:17" s="1" customFormat="1" ht="15.6" x14ac:dyDescent="0.3">
      <c r="B5" s="18" t="s">
        <v>4</v>
      </c>
      <c r="C5" s="19"/>
      <c r="D5" s="19"/>
      <c r="E5" s="19">
        <v>23208058.50839607</v>
      </c>
      <c r="F5" s="19">
        <v>8630976.2269679252</v>
      </c>
      <c r="G5" s="19">
        <v>3965274.5261441702</v>
      </c>
      <c r="H5" s="19">
        <v>363522.1495074734</v>
      </c>
      <c r="I5" s="19"/>
      <c r="J5" s="19"/>
      <c r="K5" s="20">
        <f>SUM(C5:J5)</f>
        <v>36167831.411015637</v>
      </c>
      <c r="L5" s="21"/>
      <c r="M5" s="21" t="s">
        <v>42</v>
      </c>
      <c r="N5" s="72"/>
      <c r="O5" s="3" t="s">
        <v>43</v>
      </c>
      <c r="P5" s="14"/>
      <c r="Q5" s="22"/>
    </row>
    <row r="6" spans="2:17" s="1" customFormat="1" ht="15.6" x14ac:dyDescent="0.3">
      <c r="B6" s="23" t="s">
        <v>5</v>
      </c>
      <c r="C6" s="24">
        <v>4854325531.7023363</v>
      </c>
      <c r="D6" s="24">
        <v>2361358051.8485188</v>
      </c>
      <c r="E6" s="24">
        <v>9463360431.8565788</v>
      </c>
      <c r="F6" s="24">
        <v>4003003653.9326558</v>
      </c>
      <c r="G6" s="24">
        <v>1572179422.7008588</v>
      </c>
      <c r="H6" s="24">
        <v>118212158.49125397</v>
      </c>
      <c r="I6" s="24">
        <v>42090115.886468768</v>
      </c>
      <c r="J6" s="24">
        <v>341855435.81169891</v>
      </c>
      <c r="K6" s="25">
        <f>SUM(C6:J6)</f>
        <v>22756384802.23037</v>
      </c>
      <c r="L6" s="21"/>
      <c r="M6" s="21" t="s">
        <v>44</v>
      </c>
      <c r="N6" s="72"/>
      <c r="O6" s="3">
        <v>1</v>
      </c>
      <c r="P6" s="14"/>
      <c r="Q6" s="22"/>
    </row>
    <row r="7" spans="2:17" s="1" customFormat="1" ht="15.6" x14ac:dyDescent="0.3">
      <c r="B7" s="23" t="s">
        <v>6</v>
      </c>
      <c r="C7" s="26">
        <v>618693.20407326764</v>
      </c>
      <c r="D7" s="26">
        <v>72948.191725379045</v>
      </c>
      <c r="E7" s="26">
        <v>9941.3975355386228</v>
      </c>
      <c r="F7" s="26">
        <v>472.58333333333331</v>
      </c>
      <c r="G7" s="26">
        <v>44.416666666666664</v>
      </c>
      <c r="H7" s="24">
        <v>1</v>
      </c>
      <c r="I7" s="27">
        <v>791</v>
      </c>
      <c r="J7" s="28">
        <v>97539.337729479594</v>
      </c>
      <c r="K7" s="25">
        <f>SUM(C7:J7)</f>
        <v>800431.13106366503</v>
      </c>
      <c r="L7" s="21"/>
      <c r="M7" s="21"/>
      <c r="N7" s="72"/>
      <c r="O7" s="3"/>
      <c r="P7" s="14"/>
    </row>
    <row r="8" spans="2:17" s="1" customFormat="1" ht="15.6" x14ac:dyDescent="0.3">
      <c r="B8" s="23" t="s">
        <v>7</v>
      </c>
      <c r="C8" s="26"/>
      <c r="D8" s="26"/>
      <c r="E8" s="26"/>
      <c r="F8" s="26"/>
      <c r="G8" s="26"/>
      <c r="H8" s="24">
        <v>172780.66666666677</v>
      </c>
      <c r="I8" s="27">
        <v>12873</v>
      </c>
      <c r="J8" s="24"/>
      <c r="K8" s="25"/>
      <c r="L8" s="21"/>
      <c r="M8" s="21" t="s">
        <v>45</v>
      </c>
      <c r="N8" s="72"/>
      <c r="O8" s="101">
        <v>45404</v>
      </c>
      <c r="P8" s="14"/>
    </row>
    <row r="9" spans="2:17" s="1" customFormat="1" ht="15.6" x14ac:dyDescent="0.3">
      <c r="B9" s="23" t="s">
        <v>8</v>
      </c>
      <c r="C9" s="29">
        <v>384587954.06015003</v>
      </c>
      <c r="D9" s="29">
        <v>151392901.18974873</v>
      </c>
      <c r="E9" s="29">
        <v>250294561.88810435</v>
      </c>
      <c r="F9" s="29">
        <v>77748871.816036433</v>
      </c>
      <c r="G9" s="29">
        <v>38080383.47815299</v>
      </c>
      <c r="H9" s="29">
        <v>21463171.450000133</v>
      </c>
      <c r="I9" s="30">
        <v>4481564.5301233055</v>
      </c>
      <c r="J9" s="30">
        <v>49741008.101544313</v>
      </c>
      <c r="K9" s="31">
        <f>SUM(C9:J9)</f>
        <v>977790416.51386034</v>
      </c>
      <c r="L9" s="21"/>
      <c r="M9" s="32"/>
      <c r="N9" s="21"/>
      <c r="O9" s="33"/>
      <c r="P9" s="14"/>
      <c r="Q9" s="22"/>
    </row>
    <row r="10" spans="2:17" s="1" customFormat="1" ht="15.6" x14ac:dyDescent="0.3">
      <c r="B10" s="34" t="s">
        <v>9</v>
      </c>
      <c r="C10" s="35">
        <v>17152332.107303839</v>
      </c>
      <c r="D10" s="35">
        <v>7057632.046060686</v>
      </c>
      <c r="E10" s="35">
        <v>8406347.641631756</v>
      </c>
      <c r="F10" s="35">
        <v>2320940.3116142559</v>
      </c>
      <c r="G10" s="35">
        <v>861605.63723880553</v>
      </c>
      <c r="H10" s="35">
        <v>10187262.338567955</v>
      </c>
      <c r="I10" s="36">
        <v>163866.7570231983</v>
      </c>
      <c r="J10" s="36">
        <v>2076186.7130177573</v>
      </c>
      <c r="K10" s="37">
        <f>SUM(C10:J10)</f>
        <v>48226173.552458256</v>
      </c>
      <c r="L10" s="21"/>
      <c r="M10" s="32"/>
      <c r="N10" s="21"/>
      <c r="O10" s="33"/>
      <c r="P10" s="14"/>
      <c r="Q10" s="22"/>
    </row>
    <row r="11" spans="2:17" ht="15.6" x14ac:dyDescent="0.3">
      <c r="B11" s="38" t="s">
        <v>10</v>
      </c>
      <c r="C11" s="16"/>
      <c r="D11" s="16"/>
      <c r="E11" s="16"/>
      <c r="F11" s="16"/>
      <c r="G11" s="16"/>
      <c r="H11" s="16"/>
      <c r="I11" s="16"/>
      <c r="J11" s="16" t="s">
        <v>0</v>
      </c>
      <c r="K11" s="39"/>
      <c r="L11" s="40"/>
    </row>
    <row r="12" spans="2:17" ht="15.6" x14ac:dyDescent="0.3">
      <c r="B12" s="18" t="s">
        <v>11</v>
      </c>
      <c r="C12" s="41">
        <f t="shared" ref="C12:J12" si="0">C9+C10</f>
        <v>401740286.16745389</v>
      </c>
      <c r="D12" s="41">
        <f t="shared" si="0"/>
        <v>158450533.23580942</v>
      </c>
      <c r="E12" s="41">
        <f t="shared" si="0"/>
        <v>258700909.5297361</v>
      </c>
      <c r="F12" s="41">
        <f t="shared" si="0"/>
        <v>80069812.127650693</v>
      </c>
      <c r="G12" s="41">
        <f t="shared" si="0"/>
        <v>38941989.115391798</v>
      </c>
      <c r="H12" s="41">
        <f t="shared" si="0"/>
        <v>31650433.788568087</v>
      </c>
      <c r="I12" s="41">
        <f t="shared" si="0"/>
        <v>4645431.287146504</v>
      </c>
      <c r="J12" s="41">
        <f t="shared" si="0"/>
        <v>51817194.814562067</v>
      </c>
      <c r="K12" s="42">
        <f>SUM(C12:J12)</f>
        <v>1026016590.0663186</v>
      </c>
      <c r="L12" s="40"/>
      <c r="M12" s="2"/>
      <c r="N12" s="43"/>
      <c r="Q12" s="22"/>
    </row>
    <row r="13" spans="2:17" ht="15.6" x14ac:dyDescent="0.3">
      <c r="B13" s="23" t="s">
        <v>12</v>
      </c>
      <c r="C13" s="30">
        <v>391331004.19327593</v>
      </c>
      <c r="D13" s="30">
        <v>161603116.85743505</v>
      </c>
      <c r="E13" s="30">
        <v>270164679.15166378</v>
      </c>
      <c r="F13" s="30">
        <v>86165615.817328528</v>
      </c>
      <c r="G13" s="30">
        <v>39661369.307730138</v>
      </c>
      <c r="H13" s="30">
        <v>27180721.04696288</v>
      </c>
      <c r="I13" s="30">
        <v>3838546.1557555096</v>
      </c>
      <c r="J13" s="30">
        <v>46071537.536166862</v>
      </c>
      <c r="K13" s="31">
        <f>SUM(C13:J13)</f>
        <v>1026016590.0663186</v>
      </c>
      <c r="L13" s="40"/>
      <c r="O13" s="44"/>
      <c r="P13" s="44"/>
      <c r="Q13" s="22"/>
    </row>
    <row r="14" spans="2:17" ht="15.6" x14ac:dyDescent="0.3">
      <c r="B14" s="45" t="s">
        <v>13</v>
      </c>
      <c r="C14" s="46">
        <f>+C12/C13</f>
        <v>1.0265996863592155</v>
      </c>
      <c r="D14" s="46">
        <f>+D12/D13</f>
        <v>0.98049181424881293</v>
      </c>
      <c r="E14" s="46">
        <f t="shared" ref="E14:J14" si="1">+E12/E13</f>
        <v>0.95756747455690827</v>
      </c>
      <c r="F14" s="46">
        <f>+F12/F13</f>
        <v>0.9292548003997213</v>
      </c>
      <c r="G14" s="46">
        <f t="shared" si="1"/>
        <v>0.98186194261835202</v>
      </c>
      <c r="H14" s="46">
        <f t="shared" si="1"/>
        <v>1.1644442299335045</v>
      </c>
      <c r="I14" s="46">
        <f t="shared" si="1"/>
        <v>1.2102059213697749</v>
      </c>
      <c r="J14" s="46">
        <f t="shared" si="1"/>
        <v>1.1247116459676385</v>
      </c>
      <c r="K14" s="47" t="s">
        <v>0</v>
      </c>
      <c r="L14" s="40"/>
    </row>
    <row r="15" spans="2:17" ht="15.6" x14ac:dyDescent="0.3">
      <c r="B15" s="48" t="s">
        <v>14</v>
      </c>
      <c r="C15" s="36">
        <f t="shared" ref="C15:J15" si="2">+C12-C13</f>
        <v>10409281.974177957</v>
      </c>
      <c r="D15" s="36">
        <f t="shared" si="2"/>
        <v>-3152583.621625632</v>
      </c>
      <c r="E15" s="36">
        <f t="shared" si="2"/>
        <v>-11463769.621927679</v>
      </c>
      <c r="F15" s="36">
        <f t="shared" si="2"/>
        <v>-6095803.6896778345</v>
      </c>
      <c r="G15" s="36">
        <f t="shared" si="2"/>
        <v>-719380.19233833998</v>
      </c>
      <c r="H15" s="36">
        <f t="shared" si="2"/>
        <v>4469712.7416052073</v>
      </c>
      <c r="I15" s="36">
        <f t="shared" si="2"/>
        <v>806885.13139099441</v>
      </c>
      <c r="J15" s="36">
        <f t="shared" si="2"/>
        <v>5745657.2783952057</v>
      </c>
      <c r="K15" s="49">
        <f>SUM(C15:J15)</f>
        <v>-1.2107193470001221E-7</v>
      </c>
      <c r="L15" s="40"/>
    </row>
    <row r="16" spans="2:17" ht="15.6" x14ac:dyDescent="0.3">
      <c r="B16" s="38" t="s">
        <v>15</v>
      </c>
      <c r="C16" s="16"/>
      <c r="D16" s="16"/>
      <c r="E16" s="16"/>
      <c r="F16" s="16"/>
      <c r="G16" s="16"/>
      <c r="H16" s="16"/>
      <c r="I16" s="16"/>
      <c r="J16" s="16"/>
      <c r="K16" s="39"/>
      <c r="L16" s="40"/>
    </row>
    <row r="17" spans="2:29" ht="15.6" x14ac:dyDescent="0.3">
      <c r="B17" s="18" t="s">
        <v>16</v>
      </c>
      <c r="C17" s="41">
        <f t="shared" ref="C17:K17" si="3">+C9</f>
        <v>384587954.06015003</v>
      </c>
      <c r="D17" s="41">
        <f t="shared" si="3"/>
        <v>151392901.18974873</v>
      </c>
      <c r="E17" s="41">
        <f t="shared" si="3"/>
        <v>250294561.88810435</v>
      </c>
      <c r="F17" s="41">
        <f t="shared" si="3"/>
        <v>77748871.816036433</v>
      </c>
      <c r="G17" s="41">
        <f t="shared" si="3"/>
        <v>38080383.47815299</v>
      </c>
      <c r="H17" s="41">
        <f t="shared" si="3"/>
        <v>21463171.450000133</v>
      </c>
      <c r="I17" s="41">
        <f t="shared" si="3"/>
        <v>4481564.5301233055</v>
      </c>
      <c r="J17" s="41">
        <f t="shared" si="3"/>
        <v>49741008.101544313</v>
      </c>
      <c r="K17" s="42">
        <f t="shared" si="3"/>
        <v>977790416.51386034</v>
      </c>
      <c r="L17" s="40"/>
      <c r="Q17" s="22"/>
    </row>
    <row r="18" spans="2:29" ht="15.6" x14ac:dyDescent="0.3">
      <c r="B18" s="23" t="s">
        <v>17</v>
      </c>
      <c r="C18" s="30">
        <f t="shared" ref="C18:K18" si="4">+C13-C10</f>
        <v>374178672.08597207</v>
      </c>
      <c r="D18" s="30">
        <f t="shared" si="4"/>
        <v>154545484.81137437</v>
      </c>
      <c r="E18" s="30">
        <f t="shared" si="4"/>
        <v>261758331.51003203</v>
      </c>
      <c r="F18" s="30">
        <f t="shared" si="4"/>
        <v>83844675.505714267</v>
      </c>
      <c r="G18" s="30">
        <f t="shared" si="4"/>
        <v>38799763.67049133</v>
      </c>
      <c r="H18" s="30">
        <f t="shared" si="4"/>
        <v>16993458.708394922</v>
      </c>
      <c r="I18" s="30">
        <f t="shared" si="4"/>
        <v>3674679.3987323111</v>
      </c>
      <c r="J18" s="30">
        <f t="shared" si="4"/>
        <v>43995350.823149107</v>
      </c>
      <c r="K18" s="31">
        <f t="shared" si="4"/>
        <v>977790416.51386034</v>
      </c>
      <c r="L18" s="40"/>
      <c r="O18" s="44"/>
      <c r="P18" s="44"/>
    </row>
    <row r="19" spans="2:29" ht="15.6" x14ac:dyDescent="0.3">
      <c r="B19" s="45" t="s">
        <v>13</v>
      </c>
      <c r="C19" s="46">
        <f>+C17/C18</f>
        <v>1.0278190146866155</v>
      </c>
      <c r="D19" s="46">
        <f>+D17/D18</f>
        <v>0.97960093350204691</v>
      </c>
      <c r="E19" s="46">
        <f t="shared" ref="E19:K19" si="5">+E17/E18</f>
        <v>0.95620475743486189</v>
      </c>
      <c r="F19" s="46">
        <f t="shared" si="5"/>
        <v>0.92729647228150602</v>
      </c>
      <c r="G19" s="46">
        <f t="shared" si="5"/>
        <v>0.98145916046170523</v>
      </c>
      <c r="H19" s="46">
        <f t="shared" si="5"/>
        <v>1.2630254863535892</v>
      </c>
      <c r="I19" s="46">
        <f t="shared" si="5"/>
        <v>1.2195797357639835</v>
      </c>
      <c r="J19" s="46">
        <f t="shared" si="5"/>
        <v>1.130596919240203</v>
      </c>
      <c r="K19" s="47">
        <f t="shared" si="5"/>
        <v>1</v>
      </c>
      <c r="L19" s="40"/>
    </row>
    <row r="20" spans="2:29" ht="15.6" x14ac:dyDescent="0.3">
      <c r="B20" s="48" t="s">
        <v>14</v>
      </c>
      <c r="C20" s="36">
        <f>+C17-C18</f>
        <v>10409281.974177957</v>
      </c>
      <c r="D20" s="36">
        <f>+D17-D18</f>
        <v>-3152583.621625632</v>
      </c>
      <c r="E20" s="36">
        <f t="shared" ref="E20:K20" si="6">+E17-E18</f>
        <v>-11463769.621927679</v>
      </c>
      <c r="F20" s="36">
        <f>+F17-F18</f>
        <v>-6095803.6896778345</v>
      </c>
      <c r="G20" s="36">
        <f t="shared" si="6"/>
        <v>-719380.19233833998</v>
      </c>
      <c r="H20" s="36">
        <f t="shared" si="6"/>
        <v>4469712.741605211</v>
      </c>
      <c r="I20" s="36">
        <f>+I17-I18</f>
        <v>806885.13139099441</v>
      </c>
      <c r="J20" s="36">
        <f>+J17-J18</f>
        <v>5745657.2783952057</v>
      </c>
      <c r="K20" s="50">
        <f t="shared" si="6"/>
        <v>0</v>
      </c>
      <c r="L20" s="40"/>
    </row>
    <row r="21" spans="2:29" ht="15.6" x14ac:dyDescent="0.3">
      <c r="B21" s="15" t="s">
        <v>18</v>
      </c>
      <c r="C21" s="51"/>
      <c r="D21" s="51"/>
      <c r="E21" s="51"/>
      <c r="F21" s="51"/>
      <c r="G21" s="51"/>
      <c r="H21" s="51"/>
      <c r="I21" s="51"/>
      <c r="J21" s="51"/>
      <c r="K21" s="52"/>
      <c r="L21" s="40"/>
    </row>
    <row r="22" spans="2:29" ht="15.6" x14ac:dyDescent="0.3">
      <c r="B22" s="53" t="s">
        <v>19</v>
      </c>
      <c r="C22" s="54">
        <f t="shared" ref="C22:J22" si="7">IF(+C20&lt;0,+C20,0)</f>
        <v>0</v>
      </c>
      <c r="D22" s="54">
        <f>IF(+D20&lt;0,+D20,0)</f>
        <v>-3152583.621625632</v>
      </c>
      <c r="E22" s="54">
        <f t="shared" si="7"/>
        <v>-11463769.621927679</v>
      </c>
      <c r="F22" s="54">
        <f t="shared" si="7"/>
        <v>-6095803.6896778345</v>
      </c>
      <c r="G22" s="54">
        <f t="shared" si="7"/>
        <v>-719380.19233833998</v>
      </c>
      <c r="H22" s="54">
        <f t="shared" si="7"/>
        <v>0</v>
      </c>
      <c r="I22" s="54">
        <f t="shared" si="7"/>
        <v>0</v>
      </c>
      <c r="J22" s="54">
        <f t="shared" si="7"/>
        <v>0</v>
      </c>
      <c r="K22" s="31">
        <f>SUM(C22:J22)</f>
        <v>-21431537.125569485</v>
      </c>
      <c r="L22" s="40"/>
    </row>
    <row r="23" spans="2:29" ht="15.6" x14ac:dyDescent="0.3">
      <c r="B23" s="53" t="s">
        <v>20</v>
      </c>
      <c r="C23" s="54">
        <f t="shared" ref="C23:J23" si="8">IF(+C20&lt;0,0,+C20)</f>
        <v>10409281.974177957</v>
      </c>
      <c r="D23" s="54">
        <f t="shared" si="8"/>
        <v>0</v>
      </c>
      <c r="E23" s="54">
        <f t="shared" si="8"/>
        <v>0</v>
      </c>
      <c r="F23" s="54">
        <f t="shared" si="8"/>
        <v>0</v>
      </c>
      <c r="G23" s="54">
        <f t="shared" si="8"/>
        <v>0</v>
      </c>
      <c r="H23" s="54">
        <f t="shared" si="8"/>
        <v>4469712.741605211</v>
      </c>
      <c r="I23" s="54">
        <f t="shared" si="8"/>
        <v>806885.13139099441</v>
      </c>
      <c r="J23" s="54">
        <f t="shared" si="8"/>
        <v>5745657.2783952057</v>
      </c>
      <c r="K23" s="31">
        <f>SUM(C23:J23)</f>
        <v>21431537.125569366</v>
      </c>
      <c r="L23" s="40"/>
    </row>
    <row r="24" spans="2:29" ht="15.6" x14ac:dyDescent="0.3">
      <c r="B24" s="53" t="s">
        <v>19</v>
      </c>
      <c r="C24" s="55">
        <f t="shared" ref="C24:J24" si="9">+C22/$K$22</f>
        <v>0</v>
      </c>
      <c r="D24" s="55">
        <f t="shared" si="9"/>
        <v>0.14710021045874286</v>
      </c>
      <c r="E24" s="55">
        <f t="shared" si="9"/>
        <v>0.53490188570051345</v>
      </c>
      <c r="F24" s="55">
        <f t="shared" si="9"/>
        <v>0.28443147376513039</v>
      </c>
      <c r="G24" s="55">
        <f t="shared" si="9"/>
        <v>3.3566430075613364E-2</v>
      </c>
      <c r="H24" s="55">
        <f t="shared" si="9"/>
        <v>0</v>
      </c>
      <c r="I24" s="55">
        <f t="shared" si="9"/>
        <v>0</v>
      </c>
      <c r="J24" s="55">
        <f t="shared" si="9"/>
        <v>0</v>
      </c>
      <c r="K24" s="56">
        <f>SUM(C24:J24)</f>
        <v>1</v>
      </c>
      <c r="L24" s="40"/>
    </row>
    <row r="25" spans="2:29" ht="15.6" x14ac:dyDescent="0.3">
      <c r="B25" s="57" t="s">
        <v>20</v>
      </c>
      <c r="C25" s="58">
        <f t="shared" ref="C25:J25" si="10">+C23/$K$23</f>
        <v>0.48569927174093985</v>
      </c>
      <c r="D25" s="58">
        <f t="shared" si="10"/>
        <v>0</v>
      </c>
      <c r="E25" s="58">
        <f t="shared" si="10"/>
        <v>0</v>
      </c>
      <c r="F25" s="58">
        <f t="shared" si="10"/>
        <v>0</v>
      </c>
      <c r="G25" s="58">
        <f t="shared" si="10"/>
        <v>0</v>
      </c>
      <c r="H25" s="58">
        <f t="shared" si="10"/>
        <v>0.20855773038661432</v>
      </c>
      <c r="I25" s="58">
        <f t="shared" si="10"/>
        <v>3.7649428814339331E-2</v>
      </c>
      <c r="J25" s="58">
        <f t="shared" si="10"/>
        <v>0.26809356905810655</v>
      </c>
      <c r="K25" s="59">
        <f>SUM(C25:J25)</f>
        <v>1</v>
      </c>
      <c r="L25" s="40"/>
    </row>
    <row r="26" spans="2:29" ht="15.6" x14ac:dyDescent="0.3">
      <c r="B26" s="60" t="s">
        <v>21</v>
      </c>
      <c r="C26" s="61"/>
      <c r="D26" s="61"/>
      <c r="E26" s="61"/>
      <c r="F26" s="61"/>
      <c r="G26" s="61"/>
      <c r="H26" s="61"/>
      <c r="I26" s="61"/>
      <c r="J26" s="61"/>
      <c r="K26" s="62"/>
      <c r="L26" s="40"/>
    </row>
    <row r="27" spans="2:29" ht="15.6" x14ac:dyDescent="0.3">
      <c r="B27" s="63" t="s">
        <v>22</v>
      </c>
      <c r="C27" s="64">
        <f>-C23</f>
        <v>-10409281.974177957</v>
      </c>
      <c r="D27" s="64"/>
      <c r="E27" s="64">
        <f>-E20*0</f>
        <v>0</v>
      </c>
      <c r="F27" s="64"/>
      <c r="G27" s="65"/>
      <c r="H27" s="64">
        <v>0</v>
      </c>
      <c r="I27" s="64">
        <v>-39176</v>
      </c>
      <c r="J27" s="66">
        <f>+-J20</f>
        <v>-5745657.2783952057</v>
      </c>
      <c r="K27" s="67">
        <f>SUM(C27:J27)</f>
        <v>-16194115.252573162</v>
      </c>
      <c r="L27" s="40"/>
      <c r="O27" s="1"/>
      <c r="P27" s="2"/>
      <c r="Q27" s="68"/>
      <c r="R27" s="68"/>
      <c r="S27" s="68"/>
    </row>
    <row r="28" spans="2:29" ht="15.6" x14ac:dyDescent="0.25">
      <c r="B28" s="69" t="s">
        <v>23</v>
      </c>
      <c r="C28" s="70"/>
      <c r="D28" s="70">
        <f>-D24*$K$27</f>
        <v>2382157.7618466499</v>
      </c>
      <c r="E28" s="70">
        <f>-E24*$K$27</f>
        <v>8662262.7858528309</v>
      </c>
      <c r="F28" s="70">
        <f>-F24*$K$27</f>
        <v>4606116.0676117614</v>
      </c>
      <c r="G28" s="70">
        <f>-G24*$K$27</f>
        <v>543578.63726192096</v>
      </c>
      <c r="H28" s="70"/>
      <c r="I28" s="70">
        <f>-I24*$K$27</f>
        <v>0</v>
      </c>
      <c r="J28" s="70"/>
      <c r="K28" s="71">
        <f>SUM(C28:J28)</f>
        <v>16194115.252573164</v>
      </c>
      <c r="L28" s="40"/>
      <c r="M28" s="72"/>
      <c r="N28" s="43"/>
      <c r="O28" s="73"/>
      <c r="P28" s="2"/>
      <c r="Q28" s="68"/>
      <c r="R28" s="68"/>
      <c r="S28" s="68"/>
    </row>
    <row r="29" spans="2:29" ht="15.6" x14ac:dyDescent="0.25">
      <c r="B29" s="74" t="s">
        <v>24</v>
      </c>
      <c r="C29" s="75"/>
      <c r="D29" s="75"/>
      <c r="E29" s="75"/>
      <c r="F29" s="75"/>
      <c r="G29" s="75"/>
      <c r="H29" s="75"/>
      <c r="I29" s="75"/>
      <c r="J29" s="75"/>
      <c r="K29" s="76"/>
      <c r="L29" s="40"/>
      <c r="M29" s="72"/>
      <c r="N29" s="43"/>
      <c r="O29" s="73"/>
      <c r="P29" s="2"/>
      <c r="Q29" s="68"/>
      <c r="R29" s="68"/>
      <c r="S29" s="68"/>
    </row>
    <row r="30" spans="2:29" s="84" customFormat="1" ht="15.6" x14ac:dyDescent="0.3">
      <c r="B30" s="77" t="s">
        <v>25</v>
      </c>
      <c r="C30" s="78">
        <f>+C17+C27+C28</f>
        <v>374178672.08597207</v>
      </c>
      <c r="D30" s="78">
        <f t="shared" ref="D30:J30" si="11">+D17+D27+D28</f>
        <v>153775058.9515954</v>
      </c>
      <c r="E30" s="78">
        <f t="shared" si="11"/>
        <v>258956824.67395717</v>
      </c>
      <c r="F30" s="78">
        <f t="shared" si="11"/>
        <v>82354987.883648187</v>
      </c>
      <c r="G30" s="78">
        <f t="shared" si="11"/>
        <v>38623962.11541491</v>
      </c>
      <c r="H30" s="78">
        <f t="shared" si="11"/>
        <v>21463171.450000133</v>
      </c>
      <c r="I30" s="78">
        <f t="shared" si="11"/>
        <v>4442388.5301233055</v>
      </c>
      <c r="J30" s="78">
        <f t="shared" si="11"/>
        <v>43995350.823149107</v>
      </c>
      <c r="K30" s="79">
        <f>SUM(C30:J30)</f>
        <v>977790416.51386034</v>
      </c>
      <c r="L30" s="80"/>
      <c r="M30" s="81"/>
      <c r="N30" s="81"/>
      <c r="O30" s="82"/>
      <c r="P30" s="2"/>
      <c r="Q30" s="2"/>
      <c r="R30" s="2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</row>
    <row r="31" spans="2:29" s="84" customFormat="1" ht="15.6" x14ac:dyDescent="0.3">
      <c r="B31" s="85" t="s">
        <v>26</v>
      </c>
      <c r="C31" s="86"/>
      <c r="D31" s="86"/>
      <c r="E31" s="86">
        <v>4527765.6783523615</v>
      </c>
      <c r="F31" s="86">
        <v>4790677.1048863996</v>
      </c>
      <c r="G31" s="86">
        <v>2422300.4256298835</v>
      </c>
      <c r="H31" s="87">
        <v>0</v>
      </c>
      <c r="I31" s="86"/>
      <c r="J31" s="86"/>
      <c r="K31" s="88">
        <f>SUM(E31:G31)</f>
        <v>11740743.208868645</v>
      </c>
      <c r="L31" s="80"/>
      <c r="M31" s="81"/>
      <c r="N31" s="81"/>
      <c r="O31" s="89"/>
      <c r="P31" s="2"/>
      <c r="Q31" s="2"/>
      <c r="R31" s="2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</row>
    <row r="32" spans="2:29" s="84" customFormat="1" ht="15.6" x14ac:dyDescent="0.3">
      <c r="B32" s="90" t="s">
        <v>27</v>
      </c>
      <c r="C32" s="78">
        <f>+C30+C31</f>
        <v>374178672.08597207</v>
      </c>
      <c r="D32" s="78">
        <f>+D30+D31</f>
        <v>153775058.9515954</v>
      </c>
      <c r="E32" s="78">
        <f t="shared" ref="E32:J32" si="12">+E30+E31</f>
        <v>263484590.35230953</v>
      </c>
      <c r="F32" s="78">
        <f t="shared" si="12"/>
        <v>87145664.988534585</v>
      </c>
      <c r="G32" s="78">
        <f t="shared" si="12"/>
        <v>41046262.541044794</v>
      </c>
      <c r="H32" s="78">
        <f t="shared" si="12"/>
        <v>21463171.450000133</v>
      </c>
      <c r="I32" s="78">
        <f t="shared" si="12"/>
        <v>4442388.5301233055</v>
      </c>
      <c r="J32" s="78">
        <f t="shared" si="12"/>
        <v>43995350.823149107</v>
      </c>
      <c r="K32" s="79">
        <f>SUM(C32:J32)</f>
        <v>989531159.72272909</v>
      </c>
      <c r="L32" s="80"/>
      <c r="M32" s="81"/>
      <c r="N32" s="81"/>
      <c r="O32" s="2"/>
      <c r="P32" s="2"/>
      <c r="Q32" s="2"/>
      <c r="R32" s="2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</row>
    <row r="33" spans="2:29" s="84" customFormat="1" ht="15.6" x14ac:dyDescent="0.3">
      <c r="B33" s="45" t="s">
        <v>28</v>
      </c>
      <c r="C33" s="46">
        <f t="shared" ref="C33:J33" si="13">+C30/C18</f>
        <v>1</v>
      </c>
      <c r="D33" s="46">
        <f t="shared" si="13"/>
        <v>0.99501489247182284</v>
      </c>
      <c r="E33" s="46">
        <f t="shared" si="13"/>
        <v>0.98929735370823335</v>
      </c>
      <c r="F33" s="46">
        <f t="shared" si="13"/>
        <v>0.98223277014215948</v>
      </c>
      <c r="G33" s="46">
        <f t="shared" si="13"/>
        <v>0.99546900448751641</v>
      </c>
      <c r="H33" s="46">
        <f t="shared" si="13"/>
        <v>1.2630254863535892</v>
      </c>
      <c r="I33" s="46">
        <f t="shared" si="13"/>
        <v>1.2089186696547836</v>
      </c>
      <c r="J33" s="46">
        <f t="shared" si="13"/>
        <v>1</v>
      </c>
      <c r="K33" s="91"/>
      <c r="L33" s="80"/>
      <c r="M33" s="81"/>
      <c r="N33" s="81"/>
      <c r="O33" s="2"/>
      <c r="P33" s="2"/>
      <c r="Q33" s="2"/>
      <c r="R33" s="2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</row>
    <row r="34" spans="2:29" s="84" customFormat="1" ht="15.6" x14ac:dyDescent="0.3">
      <c r="B34" s="92" t="s">
        <v>29</v>
      </c>
      <c r="C34" s="46">
        <f>(C30+C10)/C13</f>
        <v>1</v>
      </c>
      <c r="D34" s="46">
        <f t="shared" ref="D34:J34" si="14">(D30+D10)/D13</f>
        <v>0.99523260519499368</v>
      </c>
      <c r="E34" s="46">
        <f t="shared" si="14"/>
        <v>0.98963037342678628</v>
      </c>
      <c r="F34" s="46">
        <f t="shared" si="14"/>
        <v>0.98271134479878586</v>
      </c>
      <c r="G34" s="46">
        <f t="shared" si="14"/>
        <v>0.99556743606827125</v>
      </c>
      <c r="H34" s="46">
        <f t="shared" si="14"/>
        <v>1.1644442299335045</v>
      </c>
      <c r="I34" s="46">
        <f t="shared" si="14"/>
        <v>1.1999999740109657</v>
      </c>
      <c r="J34" s="46">
        <f t="shared" si="14"/>
        <v>1</v>
      </c>
      <c r="K34" s="93"/>
      <c r="L34" s="94"/>
      <c r="M34" s="81"/>
      <c r="N34" s="81"/>
      <c r="O34" s="2"/>
      <c r="P34" s="2"/>
      <c r="Q34" s="2"/>
      <c r="R34" s="2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</row>
    <row r="35" spans="2:29" s="84" customFormat="1" ht="15.6" x14ac:dyDescent="0.3">
      <c r="B35" s="95" t="s">
        <v>30</v>
      </c>
      <c r="C35" s="96">
        <v>0.85</v>
      </c>
      <c r="D35" s="96">
        <v>0.8</v>
      </c>
      <c r="E35" s="96">
        <v>0.8</v>
      </c>
      <c r="F35" s="96">
        <v>0.8</v>
      </c>
      <c r="G35" s="96">
        <v>0.85</v>
      </c>
      <c r="H35" s="96">
        <v>0.8</v>
      </c>
      <c r="I35" s="96">
        <v>0.8</v>
      </c>
      <c r="J35" s="96">
        <v>0.8</v>
      </c>
      <c r="K35" s="97"/>
      <c r="L35" s="80"/>
      <c r="M35" s="81"/>
      <c r="N35" s="81"/>
      <c r="O35" s="2"/>
      <c r="P35" s="2"/>
      <c r="Q35" s="2"/>
      <c r="R35" s="2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</row>
    <row r="36" spans="2:29" s="84" customFormat="1" ht="15.6" x14ac:dyDescent="0.3">
      <c r="B36" s="98" t="s">
        <v>31</v>
      </c>
      <c r="C36" s="99">
        <v>1.1499999999999999</v>
      </c>
      <c r="D36" s="99">
        <v>1.2</v>
      </c>
      <c r="E36" s="99">
        <v>1.2</v>
      </c>
      <c r="F36" s="99">
        <v>1.2</v>
      </c>
      <c r="G36" s="99">
        <v>1.1499999999999999</v>
      </c>
      <c r="H36" s="99">
        <v>1.2</v>
      </c>
      <c r="I36" s="99">
        <v>1.2</v>
      </c>
      <c r="J36" s="99">
        <v>1.2</v>
      </c>
      <c r="K36" s="100"/>
      <c r="L36" s="80"/>
      <c r="M36" s="81"/>
      <c r="N36" s="81"/>
      <c r="O36" s="2"/>
      <c r="P36" s="2"/>
      <c r="Q36" s="2"/>
      <c r="R36" s="2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</row>
    <row r="37" spans="2:29" x14ac:dyDescent="0.25">
      <c r="C37" s="3"/>
      <c r="D37" s="3"/>
      <c r="E37" s="3"/>
      <c r="F37" s="3"/>
      <c r="G37" s="3"/>
      <c r="H37" s="3"/>
      <c r="I37" s="3"/>
      <c r="J37" s="3"/>
      <c r="K37" s="3"/>
      <c r="M37" s="2"/>
      <c r="N37" s="2"/>
      <c r="O37" s="2"/>
      <c r="P37" s="2"/>
    </row>
    <row r="38" spans="2:29" x14ac:dyDescent="0.25">
      <c r="C38" s="3"/>
      <c r="D38" s="3"/>
      <c r="E38" s="3"/>
      <c r="F38" s="3"/>
      <c r="G38" s="3"/>
      <c r="H38" s="3"/>
      <c r="I38" s="3"/>
      <c r="J38" s="3"/>
      <c r="K38" s="3"/>
      <c r="M38" s="2"/>
      <c r="N38" s="2"/>
      <c r="O38" s="2"/>
      <c r="P38" s="2"/>
    </row>
    <row r="39" spans="2:29" x14ac:dyDescent="0.25">
      <c r="C39" s="3"/>
      <c r="D39" s="3"/>
      <c r="E39" s="3"/>
      <c r="F39" s="3"/>
      <c r="G39" s="3"/>
      <c r="H39" s="3"/>
      <c r="I39" s="3"/>
      <c r="J39" s="3"/>
      <c r="K39" s="3"/>
      <c r="M39" s="2"/>
      <c r="N39" s="2"/>
      <c r="O39" s="2"/>
      <c r="P39" s="2"/>
    </row>
    <row r="40" spans="2:29" x14ac:dyDescent="0.25">
      <c r="C40" s="3"/>
      <c r="D40" s="3"/>
      <c r="E40" s="3"/>
      <c r="F40" s="3"/>
      <c r="G40" s="3"/>
      <c r="H40" s="3"/>
      <c r="I40" s="3"/>
      <c r="J40" s="3"/>
      <c r="K40" s="3"/>
      <c r="M40" s="2"/>
      <c r="N40" s="2"/>
      <c r="O40" s="2"/>
      <c r="P40" s="2"/>
    </row>
    <row r="41" spans="2:29" x14ac:dyDescent="0.25">
      <c r="C41" s="3"/>
      <c r="D41" s="3"/>
      <c r="E41" s="3"/>
      <c r="F41" s="3"/>
      <c r="G41" s="3"/>
      <c r="H41" s="3"/>
      <c r="I41" s="3"/>
      <c r="J41" s="3"/>
      <c r="K41" s="3"/>
      <c r="M41" s="2"/>
      <c r="N41" s="2"/>
      <c r="O41" s="2"/>
      <c r="P41" s="2"/>
    </row>
    <row r="42" spans="2:29" x14ac:dyDescent="0.25">
      <c r="C42" s="3"/>
      <c r="D42" s="3"/>
      <c r="E42" s="3"/>
      <c r="F42" s="3"/>
      <c r="G42" s="3"/>
      <c r="H42" s="3"/>
      <c r="I42" s="3"/>
      <c r="J42" s="3"/>
      <c r="K42" s="3"/>
      <c r="M42" s="2"/>
      <c r="N42" s="2"/>
      <c r="O42" s="2"/>
      <c r="P42" s="2"/>
    </row>
    <row r="43" spans="2:29" x14ac:dyDescent="0.25">
      <c r="C43" s="3"/>
      <c r="D43" s="3"/>
      <c r="E43" s="3"/>
      <c r="F43" s="3"/>
      <c r="G43" s="3"/>
      <c r="H43" s="3"/>
      <c r="I43" s="3"/>
      <c r="J43" s="3"/>
      <c r="K43" s="3"/>
    </row>
    <row r="44" spans="2:29" x14ac:dyDescent="0.25">
      <c r="C44" s="3"/>
      <c r="D44" s="3"/>
      <c r="E44" s="3"/>
      <c r="F44" s="3"/>
      <c r="G44" s="3"/>
      <c r="H44" s="3"/>
      <c r="I44" s="3"/>
      <c r="J44" s="3"/>
      <c r="K44" s="3"/>
    </row>
  </sheetData>
  <conditionalFormatting sqref="C34:J34">
    <cfRule type="cellIs" dxfId="1" priority="1" operator="lessThan">
      <formula>C$35</formula>
    </cfRule>
    <cfRule type="cellIs" dxfId="0" priority="2" operator="greaterThan">
      <formula>C$36</formula>
    </cfRule>
  </conditionalFormatting>
  <pageMargins left="0.35433070866141736" right="0.23622047244094491" top="0.47244094488188981" bottom="0.19685039370078741" header="0.51181102362204722" footer="0.51181102362204722"/>
  <pageSetup paperSize="5" scale="55" fitToWidth="2" orientation="landscape" r:id="rId1"/>
  <headerFooter alignWithMargins="0">
    <oddHeader>&amp;R&amp;D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CB9DB0-6744-48D2-BAE5-76894371B779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44AF30B-60E4-46E3-8194-2D14187EEA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2171AF-1FBD-4C62-8AA7-1BF311F41E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Rate Design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Gulshan Malhotra</dc:creator>
  <cp:lastModifiedBy>Matt Abate</cp:lastModifiedBy>
  <dcterms:created xsi:type="dcterms:W3CDTF">2024-04-15T13:48:37Z</dcterms:created>
  <dcterms:modified xsi:type="dcterms:W3CDTF">2024-04-21T21:08:58Z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2024-04-15T13:51:22Z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09f19885-cd37-4710-8217-0c4313ea655f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