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TAFF 1A" sheetId="1" r:id="rId1"/>
    <sheet name="STAFF 1G (HV ADJ)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6" i="2" l="1"/>
  <c r="P46" i="2"/>
  <c r="J46" i="2"/>
  <c r="U19" i="2"/>
  <c r="V19" i="2" s="1"/>
  <c r="T19" i="2"/>
  <c r="Q19" i="2"/>
  <c r="O19" i="2"/>
  <c r="P19" i="2" s="1"/>
  <c r="N19" i="2"/>
  <c r="I19" i="2"/>
  <c r="J19" i="2" s="1"/>
  <c r="H19" i="2"/>
  <c r="E19" i="2"/>
  <c r="C19" i="2"/>
  <c r="D19" i="2" s="1"/>
  <c r="B19" i="2"/>
  <c r="U17" i="2"/>
  <c r="V17" i="2" s="1"/>
  <c r="T17" i="2"/>
  <c r="Q17" i="2"/>
  <c r="O17" i="2"/>
  <c r="P17" i="2" s="1"/>
  <c r="N17" i="2"/>
  <c r="I17" i="2"/>
  <c r="J17" i="2" s="1"/>
  <c r="H17" i="2"/>
  <c r="E17" i="2"/>
  <c r="C17" i="2"/>
  <c r="D17" i="2" s="1"/>
  <c r="B17" i="2"/>
  <c r="U16" i="2"/>
  <c r="W16" i="2" s="1"/>
  <c r="T16" i="2"/>
  <c r="Q16" i="2"/>
  <c r="O16" i="2"/>
  <c r="P16" i="2" s="1"/>
  <c r="N16" i="2"/>
  <c r="I16" i="2"/>
  <c r="J16" i="2" s="1"/>
  <c r="H16" i="2"/>
  <c r="E16" i="2"/>
  <c r="C16" i="2"/>
  <c r="D16" i="2" s="1"/>
  <c r="B16" i="2"/>
  <c r="U14" i="2"/>
  <c r="V14" i="2" s="1"/>
  <c r="T14" i="2"/>
  <c r="Q14" i="2"/>
  <c r="O14" i="2"/>
  <c r="P14" i="2" s="1"/>
  <c r="N14" i="2"/>
  <c r="I14" i="2"/>
  <c r="K14" i="2" s="1"/>
  <c r="H14" i="2"/>
  <c r="E14" i="2"/>
  <c r="C14" i="2"/>
  <c r="D14" i="2" s="1"/>
  <c r="B14" i="2"/>
  <c r="U12" i="2"/>
  <c r="V12" i="2" s="1"/>
  <c r="T12" i="2"/>
  <c r="Q12" i="2"/>
  <c r="O12" i="2"/>
  <c r="P12" i="2" s="1"/>
  <c r="N12" i="2"/>
  <c r="I12" i="2"/>
  <c r="J12" i="2" s="1"/>
  <c r="H12" i="2"/>
  <c r="E12" i="2"/>
  <c r="C12" i="2"/>
  <c r="D12" i="2" s="1"/>
  <c r="B12" i="2"/>
  <c r="U11" i="2"/>
  <c r="W11" i="2" s="1"/>
  <c r="T11" i="2"/>
  <c r="Q11" i="2"/>
  <c r="O11" i="2"/>
  <c r="P11" i="2" s="1"/>
  <c r="N11" i="2"/>
  <c r="I11" i="2"/>
  <c r="J11" i="2" s="1"/>
  <c r="H11" i="2"/>
  <c r="E11" i="2"/>
  <c r="C11" i="2"/>
  <c r="D11" i="2" s="1"/>
  <c r="B11" i="2"/>
  <c r="U10" i="2"/>
  <c r="V10" i="2" s="1"/>
  <c r="T10" i="2"/>
  <c r="T21" i="2" s="1"/>
  <c r="Q10" i="2"/>
  <c r="O10" i="2"/>
  <c r="P10" i="2" s="1"/>
  <c r="N10" i="2"/>
  <c r="N21" i="2" s="1"/>
  <c r="I10" i="2"/>
  <c r="K10" i="2" s="1"/>
  <c r="H10" i="2"/>
  <c r="H21" i="2" s="1"/>
  <c r="E10" i="2"/>
  <c r="C10" i="2"/>
  <c r="D10" i="2" s="1"/>
  <c r="B10" i="2"/>
  <c r="B21" i="2" s="1"/>
  <c r="T6" i="2"/>
  <c r="N6" i="2"/>
  <c r="H6" i="2"/>
  <c r="B6" i="2"/>
  <c r="T5" i="2"/>
  <c r="N5" i="2"/>
  <c r="H5" i="2"/>
  <c r="B5" i="2"/>
  <c r="G4" i="2"/>
  <c r="M4" i="2" s="1"/>
  <c r="S4" i="2" s="1"/>
  <c r="V21" i="2" l="1"/>
  <c r="P21" i="2"/>
  <c r="D21" i="2"/>
  <c r="I21" i="2"/>
  <c r="K21" i="2" s="1"/>
  <c r="J10" i="2"/>
  <c r="J21" i="2" s="1"/>
  <c r="V11" i="2"/>
  <c r="J14" i="2"/>
  <c r="V16" i="2"/>
  <c r="W10" i="2"/>
  <c r="K11" i="2"/>
  <c r="K12" i="2"/>
  <c r="W12" i="2"/>
  <c r="W14" i="2"/>
  <c r="K16" i="2"/>
  <c r="K17" i="2"/>
  <c r="W17" i="2"/>
  <c r="K19" i="2"/>
  <c r="W19" i="2"/>
  <c r="C21" i="2"/>
  <c r="E21" i="2" s="1"/>
  <c r="O21" i="2"/>
  <c r="Q21" i="2" s="1"/>
  <c r="U21" i="2"/>
  <c r="W21" i="2" s="1"/>
  <c r="N1" i="1" l="1"/>
  <c r="P2" i="1"/>
  <c r="A10" i="1"/>
  <c r="N42" i="1"/>
  <c r="F46" i="1" s="1"/>
  <c r="H42" i="1"/>
  <c r="E42" i="1"/>
  <c r="D42" i="1"/>
  <c r="C42" i="1"/>
  <c r="J36" i="1"/>
  <c r="L36" i="1" s="1"/>
  <c r="I36" i="1"/>
  <c r="J38" i="1" s="1"/>
  <c r="L38" i="1" s="1"/>
  <c r="J34" i="1"/>
  <c r="L34" i="1" s="1"/>
  <c r="K34" i="1" l="1"/>
  <c r="I38" i="1"/>
  <c r="K36" i="1" l="1"/>
  <c r="M34" i="1"/>
  <c r="I40" i="1"/>
  <c r="J40" i="1"/>
  <c r="K38" i="1" l="1"/>
  <c r="M36" i="1"/>
  <c r="L40" i="1"/>
  <c r="L42" i="1" s="1"/>
  <c r="J42" i="1"/>
  <c r="I42" i="1"/>
  <c r="K40" i="1" l="1"/>
  <c r="M38" i="1"/>
  <c r="K42" i="1" l="1"/>
  <c r="M40" i="1"/>
  <c r="M42" i="1" s="1"/>
  <c r="G47" i="1" l="1"/>
  <c r="F45" i="1"/>
  <c r="F47" i="1" s="1"/>
</calcChain>
</file>

<file path=xl/comments1.xml><?xml version="1.0" encoding="utf-8"?>
<comments xmlns="http://schemas.openxmlformats.org/spreadsheetml/2006/main">
  <authors>
    <author>Author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FOR PGCVA balance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negative = credit
positive = debit</t>
        </r>
      </text>
    </comment>
  </commentList>
</comments>
</file>

<file path=xl/sharedStrings.xml><?xml version="1.0" encoding="utf-8"?>
<sst xmlns="http://schemas.openxmlformats.org/spreadsheetml/2006/main" count="204" uniqueCount="83">
  <si>
    <t xml:space="preserve"> </t>
  </si>
  <si>
    <t>Schedule 2</t>
  </si>
  <si>
    <t>EPCOR NATURAL GAS LIMITED PARTNERSHIP</t>
  </si>
  <si>
    <t>PURCHASED GAS COMMODITY VARIANCE ACCOUNT - PROJECTED BALANCE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</si>
  <si>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</si>
  <si>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</si>
  <si>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</si>
  <si>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</si>
  <si>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</si>
  <si>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</si>
  <si>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</si>
  <si>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</si>
  <si>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</si>
  <si>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</si>
  <si>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</si>
  <si>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</si>
  <si>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</si>
  <si>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</si>
  <si>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</si>
  <si>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</si>
  <si>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</si>
  <si>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</si>
  <si>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</si>
  <si>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</si>
  <si>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</si>
  <si>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</si>
  <si>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Rate</t>
  </si>
  <si>
    <t>Actual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</si>
  <si>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</si>
  <si>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</si>
  <si>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</si>
  <si>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</si>
  <si>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</si>
  <si>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</si>
  <si>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</si>
  <si>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</si>
  <si>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</si>
  <si>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</si>
  <si>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</si>
  <si>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</si>
  <si>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PGCVA Balance per M*3 Purchased ($/M*3)</t>
  </si>
  <si>
    <t>Average Residential Consumption per Customer</t>
  </si>
  <si>
    <t>Estimated Impact on Average Residential Customer</t>
  </si>
  <si>
    <t>STAFF 1A</t>
  </si>
  <si>
    <t>EB-2024-0124 IR</t>
  </si>
  <si>
    <t>Rate 1 Residential ANNUAL BILL IMPACT</t>
  </si>
  <si>
    <t>Rate 1 Commercial ANNUAL BILL IMPACT</t>
  </si>
  <si>
    <t>Rate 6 ANNUAL BILL IMPACT</t>
  </si>
  <si>
    <t>Rate 11 ANNUAL BILL IMPACT</t>
  </si>
  <si>
    <t>As Filed</t>
  </si>
  <si>
    <t>$</t>
  </si>
  <si>
    <t>Percent</t>
  </si>
  <si>
    <t>EB-2024-0100</t>
  </si>
  <si>
    <t>Change</t>
  </si>
  <si>
    <t>Average Residential Consumption</t>
  </si>
  <si>
    <t>Average Commercial Consumption</t>
  </si>
  <si>
    <t>Average Consumption</t>
  </si>
  <si>
    <t>Monthly Charges</t>
  </si>
  <si>
    <t>Delivery Charges</t>
  </si>
  <si>
    <t>Upstream Charges</t>
  </si>
  <si>
    <t>Rate Riders</t>
  </si>
  <si>
    <t>Federal Carbon Charge (if applicable)</t>
  </si>
  <si>
    <t>Facility Carbon Charge</t>
  </si>
  <si>
    <t>Total Commodity Charges</t>
  </si>
  <si>
    <t>Total Customer Charges</t>
  </si>
  <si>
    <t>RATES USED</t>
  </si>
  <si>
    <t>EB-2023-0338</t>
  </si>
  <si>
    <t>Monthly Charge</t>
  </si>
  <si>
    <t>Delivery Charge - first 100 m3</t>
  </si>
  <si>
    <t>Delivery Charge - first 1000 m3</t>
  </si>
  <si>
    <t>Delivery Charge</t>
  </si>
  <si>
    <t>Delivery Charge - next 400 m3</t>
  </si>
  <si>
    <t>Delivery Charge - next 6000 m3</t>
  </si>
  <si>
    <t>Delivery Charge - after 500 m3</t>
  </si>
  <si>
    <t>Delivery Charge - after 7000 m3</t>
  </si>
  <si>
    <t>Upstream Charges - Recovery</t>
  </si>
  <si>
    <t>Upstream Charges - Tport Storage</t>
  </si>
  <si>
    <t>Rate Rider for Delay in Revenue Recovery</t>
  </si>
  <si>
    <t>ECVA Rate Rider</t>
  </si>
  <si>
    <t>CIACVA Rate Rider</t>
  </si>
  <si>
    <t>MTVA Rate Rider</t>
  </si>
  <si>
    <t xml:space="preserve">ORDA Rate Rider </t>
  </si>
  <si>
    <t>Gas Supply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</si>
</sst>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&quot;$&quot;#,##0.00_);\(&quot;$&quot;#,##0.00\)"/>
    <numFmt numFmtId="164" formatCode="mmmm\,\ yyyy"/>
    <numFmt numFmtId="165" formatCode="#,##0.000000_);\(#,##0.000000\)"/>
    <numFmt numFmtId="166" formatCode=";;;"/>
    <numFmt numFmtId="167" formatCode="#,##0.000000"/>
    <numFmt numFmtId="168" formatCode="0.0"/>
    <numFmt numFmtId="169" formatCode="0.000000_)"/>
    <numFmt numFmtId="170" formatCode="0.0_)"/>
    <numFmt numFmtId="171" formatCode="#,##0.0_);\(#,##0.0\)"/>
    <numFmt numFmtId="172" formatCode="0.00_)"/>
    <numFmt numFmtId="173" formatCode="&quot;$&quot;#,##0.000000_);\(&quot;$&quot;#,##0.000000\)"/>
    <numFmt numFmtId="174" formatCode="dd\-mmm\-yy_)"/>
    <numFmt numFmtId="175" formatCode="#,##0.0"/>
    <numFmt numFmtId="176" formatCode="0.0%"/>
    <numFmt numFmtId="177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37" fontId="3" fillId="0" borderId="0" xfId="0" applyNumberFormat="1" applyFont="1"/>
    <xf numFmtId="0" fontId="3" fillId="0" borderId="0" xfId="0" quotePrefix="1" applyFont="1" applyAlignment="1">
      <alignment horizontal="center"/>
    </xf>
    <xf numFmtId="165" fontId="5" fillId="0" borderId="0" xfId="0" applyNumberFormat="1" applyFont="1"/>
    <xf numFmtId="166" fontId="3" fillId="0" borderId="0" xfId="0" applyNumberFormat="1" applyFont="1"/>
    <xf numFmtId="3" fontId="3" fillId="0" borderId="0" xfId="0" applyNumberFormat="1" applyFont="1"/>
    <xf numFmtId="7" fontId="3" fillId="0" borderId="0" xfId="0" applyNumberFormat="1" applyFont="1" applyFill="1"/>
    <xf numFmtId="37" fontId="0" fillId="0" borderId="0" xfId="0" applyNumberFormat="1"/>
    <xf numFmtId="167" fontId="3" fillId="0" borderId="0" xfId="0" applyNumberFormat="1" applyFont="1"/>
    <xf numFmtId="168" fontId="3" fillId="0" borderId="0" xfId="0" applyNumberFormat="1" applyFont="1" applyAlignment="1">
      <alignment horizontal="center"/>
    </xf>
    <xf numFmtId="10" fontId="3" fillId="0" borderId="0" xfId="1" applyNumberFormat="1" applyFont="1"/>
    <xf numFmtId="3" fontId="5" fillId="0" borderId="0" xfId="0" applyNumberFormat="1" applyFont="1"/>
    <xf numFmtId="7" fontId="5" fillId="0" borderId="0" xfId="0" applyNumberFormat="1" applyFont="1" applyFill="1"/>
    <xf numFmtId="37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 applyAlignment="1">
      <alignment horizontal="center"/>
    </xf>
    <xf numFmtId="10" fontId="5" fillId="0" borderId="0" xfId="1" applyNumberFormat="1" applyFont="1"/>
    <xf numFmtId="0" fontId="3" fillId="0" borderId="0" xfId="0" applyFont="1" applyProtection="1">
      <protection locked="0"/>
    </xf>
    <xf numFmtId="169" fontId="3" fillId="0" borderId="0" xfId="0" applyNumberFormat="1" applyFont="1"/>
    <xf numFmtId="39" fontId="3" fillId="0" borderId="0" xfId="0" applyNumberFormat="1" applyFont="1"/>
    <xf numFmtId="170" fontId="3" fillId="0" borderId="0" xfId="0" applyNumberFormat="1" applyFont="1" applyAlignment="1">
      <alignment horizontal="center"/>
    </xf>
    <xf numFmtId="39" fontId="3" fillId="2" borderId="0" xfId="0" applyNumberFormat="1" applyFont="1" applyFill="1"/>
    <xf numFmtId="171" fontId="3" fillId="0" borderId="0" xfId="0" applyNumberFormat="1" applyFont="1" applyAlignment="1">
      <alignment horizontal="center"/>
    </xf>
    <xf numFmtId="172" fontId="3" fillId="0" borderId="0" xfId="0" applyNumberFormat="1" applyFont="1"/>
    <xf numFmtId="173" fontId="3" fillId="0" borderId="0" xfId="0" applyNumberFormat="1" applyFont="1"/>
    <xf numFmtId="171" fontId="5" fillId="0" borderId="0" xfId="0" applyNumberFormat="1" applyFont="1" applyFill="1"/>
    <xf numFmtId="7" fontId="3" fillId="2" borderId="0" xfId="0" applyNumberFormat="1" applyFont="1" applyFill="1"/>
    <xf numFmtId="0" fontId="4" fillId="0" borderId="0" xfId="0" applyFont="1" applyAlignment="1">
      <alignment horizontal="center"/>
    </xf>
    <xf numFmtId="174" fontId="3" fillId="0" borderId="0" xfId="0" applyNumberFormat="1" applyFont="1" applyFill="1" applyAlignment="1">
      <alignment horizontal="center"/>
    </xf>
    <xf numFmtId="174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75" fontId="3" fillId="0" borderId="0" xfId="0" applyNumberFormat="1" applyFont="1" applyAlignment="1" applyProtection="1">
      <alignment horizontal="center"/>
      <protection locked="0"/>
    </xf>
    <xf numFmtId="7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7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7" fontId="3" fillId="3" borderId="0" xfId="0" applyNumberFormat="1" applyFont="1" applyFill="1" applyAlignment="1">
      <alignment horizontal="center"/>
    </xf>
    <xf numFmtId="7" fontId="3" fillId="0" borderId="0" xfId="0" quotePrefix="1" applyNumberFormat="1" applyFont="1" applyAlignment="1">
      <alignment horizontal="center"/>
    </xf>
    <xf numFmtId="7" fontId="3" fillId="0" borderId="0" xfId="0" quotePrefix="1" applyNumberFormat="1" applyFont="1" applyFill="1" applyAlignment="1">
      <alignment horizontal="center"/>
    </xf>
    <xf numFmtId="174" fontId="3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2" fontId="3" fillId="0" borderId="0" xfId="0" applyNumberFormat="1" applyFont="1" applyFill="1" applyAlignment="1" applyProtection="1">
      <alignment horizontal="center"/>
      <protection locked="0"/>
    </xf>
    <xf numFmtId="177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quotePrefix="1" applyFont="1"/>
    <xf numFmtId="177" fontId="2" fillId="4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-ca/departments/natgas/sites/ON/SB/SB_GasSupplyMgmt/Regulatory/QRAM/2024_Q2%20-%202024%2003%2001%20Range%20(IR)/IR/QRAM%20WORKBOOK%20RECALC/2024_Q2_20240308_IR_w_error_yes_correction%20no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ch. 2"/>
      <sheetName val="Sch. 3"/>
      <sheetName val="Sch. 4"/>
      <sheetName val="Sch. 5"/>
      <sheetName val="Sch. 6"/>
      <sheetName val="Sch. 7"/>
      <sheetName val="Sch. 8"/>
      <sheetName val="Sch. 9"/>
      <sheetName val="Historical Rates"/>
      <sheetName val="Residential Consumption Profile"/>
      <sheetName val="Residential Actual Consumption "/>
      <sheetName val="Change Table"/>
      <sheetName val="SB Adjustment Summary"/>
      <sheetName val="BILL IMPACT TABLES"/>
    </sheetNames>
    <sheetDataSet>
      <sheetData sheetId="0">
        <row r="1">
          <cell r="C1">
            <v>45383</v>
          </cell>
        </row>
        <row r="3">
          <cell r="C3" t="str">
            <v xml:space="preserve"> </v>
          </cell>
        </row>
        <row r="4">
          <cell r="C4">
            <v>45017</v>
          </cell>
          <cell r="D4">
            <v>45382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zoomScale="55" zoomScaleNormal="55" workbookViewId="0">
      <selection activeCell="J53" sqref="J53"/>
    </sheetView>
  </sheetViews>
  <sheetFormatPr defaultRowHeight="15" x14ac:dyDescent="0.25"/>
  <cols>
    <col min="1" max="15" width="13.140625" customWidth="1"/>
    <col min="16" max="16" width="15.7109375" customWidth="1"/>
  </cols>
  <sheetData>
    <row r="1" spans="1:16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tr">
        <f>[1]Info!$C$3</f>
        <v xml:space="preserve"> </v>
      </c>
      <c r="O1" s="3"/>
    </row>
    <row r="2" spans="1:16" ht="15.75" x14ac:dyDescent="0.25">
      <c r="A2" s="4"/>
      <c r="B2" s="2"/>
      <c r="C2" s="2"/>
      <c r="D2" s="2"/>
      <c r="E2" s="5"/>
      <c r="F2" s="2"/>
      <c r="G2" s="2"/>
      <c r="H2" s="2"/>
      <c r="I2" s="2"/>
      <c r="J2" s="2"/>
      <c r="K2" s="2"/>
      <c r="L2" s="2"/>
      <c r="M2" s="2"/>
      <c r="P2" s="6">
        <f>[1]Info!$C$1</f>
        <v>45383</v>
      </c>
    </row>
    <row r="3" spans="1:16" ht="15.75" x14ac:dyDescent="0.25">
      <c r="A3" s="2"/>
      <c r="B3" s="2"/>
      <c r="C3" s="7"/>
      <c r="D3" s="7"/>
      <c r="E3" s="5"/>
      <c r="F3" s="7"/>
      <c r="G3" s="7"/>
      <c r="H3" s="7"/>
      <c r="I3" s="7"/>
      <c r="J3" s="7"/>
      <c r="K3" s="7"/>
      <c r="L3" s="7"/>
      <c r="M3" s="7"/>
      <c r="P3" s="8" t="s">
        <v>44</v>
      </c>
    </row>
    <row r="4" spans="1:16" ht="15.75" x14ac:dyDescent="0.25">
      <c r="A4" s="2"/>
      <c r="B4" s="2"/>
      <c r="C4" s="7"/>
      <c r="D4" s="7"/>
      <c r="E4" s="5"/>
      <c r="F4" s="7"/>
      <c r="G4" s="7"/>
      <c r="H4" s="7"/>
      <c r="I4" s="7"/>
      <c r="J4" s="7"/>
      <c r="K4" s="7"/>
      <c r="L4" s="7"/>
      <c r="M4" s="7" t="s">
        <v>0</v>
      </c>
      <c r="P4" s="8" t="s">
        <v>1</v>
      </c>
    </row>
    <row r="5" spans="1:16" ht="15.75" x14ac:dyDescent="0.25">
      <c r="A5" s="2"/>
      <c r="B5" s="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9"/>
      <c r="O5" s="9"/>
      <c r="P5" s="8" t="s">
        <v>43</v>
      </c>
    </row>
    <row r="6" spans="1:16" ht="15.75" x14ac:dyDescent="0.25">
      <c r="A6" s="59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.7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ht="15.75" x14ac:dyDescent="0.25">
      <c r="A8" s="61" t="s">
        <v>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ht="15.75" x14ac:dyDescent="0.2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x14ac:dyDescent="0.25">
      <c r="A10" s="62" t="str">
        <f>"HISTORICAL TWELVE MONTH PERIOD - "&amp;UPPER(TEXT([1]Info!$C$4,"mmmm, yyyy"))&amp;" TO "&amp;UPPER(TEXT([1]Info!$D$4,"mmmm, yyyy"))</f>
        <v>HISTORICAL TWELVE MONTH PERIOD - APRIL, 2023 TO MARCH, 2024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6" ht="15.75" x14ac:dyDescent="0.25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"/>
    </row>
    <row r="12" spans="1:16" ht="15.75" x14ac:dyDescent="0.25">
      <c r="A12" s="2"/>
      <c r="B12" s="2"/>
      <c r="C12" s="2"/>
      <c r="D12" s="2"/>
      <c r="E12" s="11" t="s">
        <v>4</v>
      </c>
      <c r="F12" s="2"/>
      <c r="G12" s="2"/>
      <c r="H12" s="2"/>
      <c r="I12" s="2"/>
      <c r="J12" s="2"/>
      <c r="K12" s="2"/>
      <c r="L12" s="2"/>
      <c r="M12" s="11" t="s">
        <v>5</v>
      </c>
      <c r="N12" s="11" t="s">
        <v>6</v>
      </c>
      <c r="O12" s="11"/>
      <c r="P12" s="2"/>
    </row>
    <row r="13" spans="1:16" ht="15.75" x14ac:dyDescent="0.25">
      <c r="A13" s="2"/>
      <c r="B13" s="2"/>
      <c r="C13" s="11" t="s">
        <v>7</v>
      </c>
      <c r="D13" s="2"/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  <c r="J13" s="11" t="s">
        <v>11</v>
      </c>
      <c r="K13" s="11" t="s">
        <v>12</v>
      </c>
      <c r="L13" s="11" t="s">
        <v>5</v>
      </c>
      <c r="M13" s="11" t="s">
        <v>12</v>
      </c>
      <c r="N13" s="11" t="s">
        <v>13</v>
      </c>
      <c r="O13" s="11"/>
      <c r="P13" s="7" t="s">
        <v>11</v>
      </c>
    </row>
    <row r="14" spans="1:16" ht="15.75" x14ac:dyDescent="0.25">
      <c r="A14" s="2"/>
      <c r="B14" s="2"/>
      <c r="C14" s="11" t="s">
        <v>14</v>
      </c>
      <c r="D14" s="2"/>
      <c r="E14" s="11" t="s">
        <v>15</v>
      </c>
      <c r="F14" s="11" t="s">
        <v>15</v>
      </c>
      <c r="G14" s="11" t="s">
        <v>16</v>
      </c>
      <c r="H14" s="11" t="s">
        <v>17</v>
      </c>
      <c r="I14" s="11" t="s">
        <v>17</v>
      </c>
      <c r="J14" s="11" t="s">
        <v>18</v>
      </c>
      <c r="K14" s="11" t="s">
        <v>18</v>
      </c>
      <c r="L14" s="11" t="s">
        <v>17</v>
      </c>
      <c r="M14" s="11" t="s">
        <v>17</v>
      </c>
      <c r="N14" s="11" t="s">
        <v>19</v>
      </c>
      <c r="O14" s="11"/>
      <c r="P14" s="7" t="s">
        <v>18</v>
      </c>
    </row>
    <row r="15" spans="1:16" ht="15.75" x14ac:dyDescent="0.25">
      <c r="A15" s="12" t="s">
        <v>20</v>
      </c>
      <c r="B15" s="12" t="s">
        <v>21</v>
      </c>
      <c r="C15" s="13" t="s">
        <v>22</v>
      </c>
      <c r="D15" s="13" t="s">
        <v>23</v>
      </c>
      <c r="E15" s="13" t="s">
        <v>24</v>
      </c>
      <c r="F15" s="13" t="s">
        <v>24</v>
      </c>
      <c r="G15" s="13" t="s">
        <v>24</v>
      </c>
      <c r="H15" s="13" t="s">
        <v>22</v>
      </c>
      <c r="I15" s="13" t="s">
        <v>22</v>
      </c>
      <c r="J15" s="13" t="s">
        <v>22</v>
      </c>
      <c r="K15" s="13" t="s">
        <v>22</v>
      </c>
      <c r="L15" s="13" t="s">
        <v>22</v>
      </c>
      <c r="M15" s="13" t="s">
        <v>22</v>
      </c>
      <c r="N15" s="13" t="s">
        <v>25</v>
      </c>
      <c r="O15" s="13"/>
      <c r="P15" s="14" t="s">
        <v>26</v>
      </c>
    </row>
    <row r="16" spans="1:16" ht="15.75" x14ac:dyDescent="0.25">
      <c r="A16" s="2"/>
      <c r="B16" s="2"/>
      <c r="C16" s="15"/>
      <c r="D16" s="2"/>
      <c r="E16" s="2"/>
      <c r="F16" s="2"/>
      <c r="G16" s="2"/>
      <c r="H16" s="2"/>
      <c r="I16" s="7"/>
      <c r="J16" s="2"/>
      <c r="K16" s="7"/>
      <c r="L16" s="2"/>
      <c r="M16" s="2"/>
      <c r="N16" s="16"/>
      <c r="O16" s="2"/>
      <c r="P16" s="2"/>
    </row>
    <row r="17" spans="1:16" ht="15.75" x14ac:dyDescent="0.25">
      <c r="A17" s="12"/>
      <c r="B17" s="2"/>
      <c r="C17" s="15"/>
      <c r="D17" s="2"/>
      <c r="E17" s="17"/>
      <c r="F17" s="17"/>
      <c r="G17" s="17"/>
      <c r="H17" s="2"/>
      <c r="I17" s="18"/>
      <c r="J17" s="2"/>
      <c r="K17" s="18"/>
      <c r="L17" s="2"/>
      <c r="M17" s="2"/>
      <c r="N17" s="2"/>
      <c r="O17" s="2"/>
      <c r="P17" s="2"/>
    </row>
    <row r="18" spans="1:16" ht="15.75" x14ac:dyDescent="0.25">
      <c r="A18" s="19" t="s">
        <v>27</v>
      </c>
      <c r="B18" s="20" t="s">
        <v>28</v>
      </c>
      <c r="C18" s="21">
        <v>115724.71921955998</v>
      </c>
      <c r="D18" s="21">
        <v>763237.17130456981</v>
      </c>
      <c r="E18" s="22">
        <v>0.15162400000000001</v>
      </c>
      <c r="F18" s="22">
        <v>0.17942900000000001</v>
      </c>
      <c r="G18" s="22">
        <v>2.7804999999999996E-2</v>
      </c>
      <c r="H18" s="21">
        <v>21221.81</v>
      </c>
      <c r="I18" s="21">
        <v>-73222.13</v>
      </c>
      <c r="J18" s="21">
        <v>-391.94</v>
      </c>
      <c r="K18" s="21">
        <v>2447.5500000000002</v>
      </c>
      <c r="L18" s="21">
        <v>20829.870000000003</v>
      </c>
      <c r="M18" s="21">
        <v>-70774.58</v>
      </c>
      <c r="N18" s="23">
        <v>103.17784981091214</v>
      </c>
      <c r="P18" s="24">
        <v>4.9799999999999997E-2</v>
      </c>
    </row>
    <row r="19" spans="1:16" ht="15.75" x14ac:dyDescent="0.25">
      <c r="A19" s="19"/>
      <c r="B19" s="20"/>
      <c r="C19" s="21"/>
      <c r="D19" s="21"/>
      <c r="E19" s="22"/>
      <c r="F19" s="22"/>
      <c r="G19" s="22"/>
      <c r="H19" s="21"/>
      <c r="I19" s="21"/>
      <c r="J19" s="21"/>
      <c r="K19" s="21"/>
      <c r="L19" s="21"/>
      <c r="M19" s="21"/>
      <c r="N19" s="23"/>
      <c r="P19" s="24"/>
    </row>
    <row r="20" spans="1:16" ht="15.75" x14ac:dyDescent="0.25">
      <c r="A20" s="19" t="s">
        <v>27</v>
      </c>
      <c r="B20" s="20" t="s">
        <v>29</v>
      </c>
      <c r="C20" s="21">
        <v>111847.91</v>
      </c>
      <c r="D20" s="21">
        <v>784503.45</v>
      </c>
      <c r="E20" s="22">
        <v>0.142572</v>
      </c>
      <c r="F20" s="22">
        <v>0.17942900000000001</v>
      </c>
      <c r="G20" s="22">
        <v>3.6857000000000001E-2</v>
      </c>
      <c r="H20" s="21">
        <v>28914.44</v>
      </c>
      <c r="I20" s="21">
        <v>-44307.69</v>
      </c>
      <c r="J20" s="21">
        <v>-303.87</v>
      </c>
      <c r="K20" s="21">
        <v>2143.6800000000003</v>
      </c>
      <c r="L20" s="21">
        <v>28610.57</v>
      </c>
      <c r="M20" s="21">
        <v>-42164.01</v>
      </c>
      <c r="N20" s="23">
        <v>70.150621857634292</v>
      </c>
      <c r="P20" s="24">
        <v>4.9799999999999997E-2</v>
      </c>
    </row>
    <row r="21" spans="1:16" ht="15.75" x14ac:dyDescent="0.25">
      <c r="A21" s="19"/>
      <c r="B21" s="20"/>
      <c r="C21" s="21"/>
      <c r="D21" s="21"/>
      <c r="E21" s="22"/>
      <c r="F21" s="22"/>
      <c r="G21" s="22"/>
      <c r="H21" s="21"/>
      <c r="I21" s="21"/>
      <c r="J21" s="21"/>
      <c r="K21" s="21"/>
      <c r="L21" s="21"/>
      <c r="M21" s="21"/>
      <c r="N21" s="23"/>
      <c r="P21" s="24"/>
    </row>
    <row r="22" spans="1:16" ht="15.75" x14ac:dyDescent="0.25">
      <c r="A22" s="19" t="s">
        <v>27</v>
      </c>
      <c r="B22" s="20" t="s">
        <v>30</v>
      </c>
      <c r="C22" s="21">
        <v>84228.60693004998</v>
      </c>
      <c r="D22" s="21">
        <v>567526.16798570333</v>
      </c>
      <c r="E22" s="22">
        <v>0.14841399999999999</v>
      </c>
      <c r="F22" s="22">
        <v>0.17942900000000001</v>
      </c>
      <c r="G22" s="22">
        <v>3.1015000000000015E-2</v>
      </c>
      <c r="H22" s="21">
        <v>17601.82</v>
      </c>
      <c r="I22" s="21">
        <v>-26705.870000000003</v>
      </c>
      <c r="J22" s="21">
        <v>-183.88</v>
      </c>
      <c r="K22" s="21">
        <v>1959.8000000000002</v>
      </c>
      <c r="L22" s="21">
        <v>17417.939999999999</v>
      </c>
      <c r="M22" s="21">
        <v>-24746.070000000003</v>
      </c>
      <c r="N22" s="23">
        <v>30.438514372933096</v>
      </c>
      <c r="P22" s="24">
        <v>4.9799999999999997E-2</v>
      </c>
    </row>
    <row r="23" spans="1:16" ht="15.75" x14ac:dyDescent="0.25">
      <c r="A23" s="19"/>
      <c r="B23" s="20"/>
      <c r="C23" s="21"/>
      <c r="D23" s="21"/>
      <c r="E23" s="22"/>
      <c r="F23" s="22"/>
      <c r="G23" s="22"/>
      <c r="H23" s="21"/>
      <c r="I23" s="21"/>
      <c r="J23" s="21"/>
      <c r="K23" s="21"/>
      <c r="L23" s="21"/>
      <c r="M23" s="21"/>
      <c r="N23" s="23"/>
      <c r="P23" s="24"/>
    </row>
    <row r="24" spans="1:16" ht="15.75" x14ac:dyDescent="0.25">
      <c r="A24" s="19" t="s">
        <v>27</v>
      </c>
      <c r="B24" s="20" t="s">
        <v>31</v>
      </c>
      <c r="C24" s="21">
        <v>68159.839387684973</v>
      </c>
      <c r="D24" s="21">
        <v>397013.02016849624</v>
      </c>
      <c r="E24" s="22">
        <v>0.171682</v>
      </c>
      <c r="F24" s="22">
        <v>0.15429899999999999</v>
      </c>
      <c r="G24" s="22">
        <v>-1.738300000000001E-2</v>
      </c>
      <c r="H24" s="21">
        <v>-6901.28</v>
      </c>
      <c r="I24" s="21">
        <v>-33607.15</v>
      </c>
      <c r="J24" s="21">
        <v>-110.83</v>
      </c>
      <c r="K24" s="21">
        <v>1848.9700000000003</v>
      </c>
      <c r="L24" s="21">
        <v>-7012.11</v>
      </c>
      <c r="M24" s="21">
        <v>-31758.18</v>
      </c>
      <c r="N24" s="23">
        <v>20.130527888446213</v>
      </c>
      <c r="P24" s="24">
        <v>4.9799999999999997E-2</v>
      </c>
    </row>
    <row r="25" spans="1:16" ht="15.75" x14ac:dyDescent="0.25">
      <c r="A25" s="19"/>
      <c r="B25" s="20"/>
      <c r="C25" s="21"/>
      <c r="D25" s="21"/>
      <c r="E25" s="22"/>
      <c r="F25" s="22"/>
      <c r="G25" s="22"/>
      <c r="H25" s="21"/>
      <c r="I25" s="21"/>
      <c r="J25" s="21"/>
      <c r="K25" s="21"/>
      <c r="L25" s="21"/>
      <c r="M25" s="21"/>
      <c r="N25" s="23"/>
      <c r="P25" s="24"/>
    </row>
    <row r="26" spans="1:16" ht="15.75" x14ac:dyDescent="0.25">
      <c r="A26" s="19" t="s">
        <v>27</v>
      </c>
      <c r="B26" s="20" t="s">
        <v>32</v>
      </c>
      <c r="C26" s="21">
        <v>93105.310712955019</v>
      </c>
      <c r="D26" s="21">
        <v>628159.30559101352</v>
      </c>
      <c r="E26" s="22">
        <v>0.14821899999999999</v>
      </c>
      <c r="F26" s="22">
        <v>0.15429899999999999</v>
      </c>
      <c r="G26" s="22">
        <v>6.0800000000000021E-3</v>
      </c>
      <c r="H26" s="21">
        <v>3819.21</v>
      </c>
      <c r="I26" s="21">
        <v>-29787.940000000002</v>
      </c>
      <c r="J26" s="21">
        <v>-139.47</v>
      </c>
      <c r="K26" s="21">
        <v>1709.5000000000002</v>
      </c>
      <c r="L26" s="21">
        <v>3679.7400000000002</v>
      </c>
      <c r="M26" s="21">
        <v>-28078.440000000002</v>
      </c>
      <c r="N26" s="23">
        <v>23.054525600582384</v>
      </c>
      <c r="P26" s="24">
        <v>4.9799999999999997E-2</v>
      </c>
    </row>
    <row r="27" spans="1:16" ht="15.75" x14ac:dyDescent="0.25">
      <c r="A27" s="19"/>
      <c r="B27" s="20"/>
      <c r="C27" s="21"/>
      <c r="D27" s="21"/>
      <c r="E27" s="22"/>
      <c r="F27" s="22"/>
      <c r="G27" s="22"/>
      <c r="H27" s="21"/>
      <c r="I27" s="21"/>
      <c r="J27" s="21"/>
      <c r="K27" s="21"/>
      <c r="L27" s="21"/>
      <c r="M27" s="21"/>
      <c r="N27" s="23"/>
      <c r="P27" s="24"/>
    </row>
    <row r="28" spans="1:16" ht="15.75" x14ac:dyDescent="0.25">
      <c r="A28" s="19" t="s">
        <v>27</v>
      </c>
      <c r="B28" s="20" t="s">
        <v>33</v>
      </c>
      <c r="C28" s="21">
        <v>77384.863379219954</v>
      </c>
      <c r="D28" s="21">
        <v>479335.77227469999</v>
      </c>
      <c r="E28" s="22">
        <v>0.161442</v>
      </c>
      <c r="F28" s="22">
        <v>0.15429899999999999</v>
      </c>
      <c r="G28" s="22">
        <v>-7.1430000000000105E-3</v>
      </c>
      <c r="H28" s="21">
        <v>-3423.9</v>
      </c>
      <c r="I28" s="21">
        <v>-33211.840000000004</v>
      </c>
      <c r="J28" s="21">
        <v>-123.62</v>
      </c>
      <c r="K28" s="21">
        <v>1585.88</v>
      </c>
      <c r="L28" s="21">
        <v>-3547.52</v>
      </c>
      <c r="M28" s="21">
        <v>-31625.960000000003</v>
      </c>
      <c r="N28" s="23">
        <v>24.318869241507834</v>
      </c>
      <c r="P28" s="24">
        <v>4.9799999999999997E-2</v>
      </c>
    </row>
    <row r="29" spans="1:16" ht="15.75" x14ac:dyDescent="0.25">
      <c r="A29" s="19"/>
      <c r="B29" s="20"/>
      <c r="C29" s="21"/>
      <c r="D29" s="21"/>
      <c r="E29" s="22"/>
      <c r="F29" s="22"/>
      <c r="G29" s="22"/>
      <c r="H29" s="21"/>
      <c r="I29" s="21"/>
      <c r="J29" s="21"/>
      <c r="K29" s="21"/>
      <c r="L29" s="21"/>
      <c r="M29" s="21"/>
      <c r="N29" s="23"/>
      <c r="P29" s="24"/>
    </row>
    <row r="30" spans="1:16" ht="15.75" x14ac:dyDescent="0.25">
      <c r="A30" s="19" t="s">
        <v>27</v>
      </c>
      <c r="B30" s="20" t="s">
        <v>34</v>
      </c>
      <c r="C30" s="21">
        <v>72386.294799999989</v>
      </c>
      <c r="D30" s="21">
        <v>546132.2440643349</v>
      </c>
      <c r="E30" s="22">
        <v>0.132544</v>
      </c>
      <c r="F30" s="22">
        <v>0.17942900000000001</v>
      </c>
      <c r="G30" s="22">
        <v>4.688500000000001E-2</v>
      </c>
      <c r="H30" s="21">
        <v>25605.41</v>
      </c>
      <c r="I30" s="21">
        <v>-7606.4300000000039</v>
      </c>
      <c r="J30" s="21">
        <v>-151.94</v>
      </c>
      <c r="K30" s="21">
        <v>1433.94</v>
      </c>
      <c r="L30" s="21">
        <v>25453.47</v>
      </c>
      <c r="M30" s="21">
        <v>-6172.4900000000034</v>
      </c>
      <c r="N30" s="23">
        <v>75.302209695603153</v>
      </c>
      <c r="P30" s="24">
        <v>5.4899999999999997E-2</v>
      </c>
    </row>
    <row r="31" spans="1:16" ht="15.75" x14ac:dyDescent="0.25">
      <c r="A31" s="19"/>
      <c r="B31" s="20"/>
      <c r="C31" s="21"/>
      <c r="D31" s="21"/>
      <c r="E31" s="22"/>
      <c r="F31" s="22"/>
      <c r="G31" s="22"/>
      <c r="H31" s="21"/>
      <c r="I31" s="21"/>
      <c r="J31" s="21"/>
      <c r="K31" s="21"/>
      <c r="L31" s="21"/>
      <c r="M31" s="21"/>
      <c r="N31" s="23"/>
      <c r="P31" s="24"/>
    </row>
    <row r="32" spans="1:16" ht="15.75" x14ac:dyDescent="0.25">
      <c r="A32" s="19" t="s">
        <v>27</v>
      </c>
      <c r="B32" s="20" t="s">
        <v>35</v>
      </c>
      <c r="C32" s="21">
        <v>264909.69390000007</v>
      </c>
      <c r="D32" s="21">
        <v>1987286.1884094968</v>
      </c>
      <c r="E32" s="22">
        <v>0.133302</v>
      </c>
      <c r="F32" s="22">
        <v>0.17942900000000001</v>
      </c>
      <c r="G32" s="22">
        <v>4.6127000000000001E-2</v>
      </c>
      <c r="H32" s="21">
        <v>91667.55</v>
      </c>
      <c r="I32" s="21">
        <v>84061.119999999995</v>
      </c>
      <c r="J32" s="21">
        <v>-34.799999999999997</v>
      </c>
      <c r="K32" s="21">
        <v>1399.14</v>
      </c>
      <c r="L32" s="21">
        <v>91632.75</v>
      </c>
      <c r="M32" s="21">
        <v>85460.26</v>
      </c>
      <c r="N32" s="23">
        <v>162.35999999999999</v>
      </c>
      <c r="P32" s="24">
        <v>5.4899999999999997E-2</v>
      </c>
    </row>
    <row r="33" spans="1:16" ht="15.75" x14ac:dyDescent="0.25">
      <c r="A33" s="19"/>
      <c r="B33" s="20"/>
      <c r="C33" s="21"/>
      <c r="D33" s="21"/>
      <c r="E33" s="22"/>
      <c r="F33" s="22"/>
      <c r="G33" s="22"/>
      <c r="H33" s="21"/>
      <c r="I33" s="21"/>
      <c r="J33" s="21"/>
      <c r="K33" s="21"/>
      <c r="L33" s="21"/>
      <c r="M33" s="21"/>
      <c r="N33" s="23"/>
      <c r="P33" s="24"/>
    </row>
    <row r="34" spans="1:16" ht="15.75" x14ac:dyDescent="0.25">
      <c r="A34" s="19" t="s">
        <v>27</v>
      </c>
      <c r="B34" s="20" t="s">
        <v>36</v>
      </c>
      <c r="C34" s="21">
        <v>223385.82</v>
      </c>
      <c r="D34" s="21">
        <v>1400995.6599438344</v>
      </c>
      <c r="E34" s="22">
        <v>0.15944800000000001</v>
      </c>
      <c r="F34" s="22">
        <v>0.17942900000000001</v>
      </c>
      <c r="G34" s="22">
        <v>1.9980999999999999E-2</v>
      </c>
      <c r="H34" s="21">
        <v>27993.29</v>
      </c>
      <c r="I34" s="21">
        <v>40916.410000000003</v>
      </c>
      <c r="J34" s="21">
        <f>ROUND(I32*P34/12,2)</f>
        <v>384.58</v>
      </c>
      <c r="K34" s="21">
        <f>K32+J34</f>
        <v>1783.72</v>
      </c>
      <c r="L34" s="21">
        <f>H34+J34</f>
        <v>28377.870000000003</v>
      </c>
      <c r="M34" s="21">
        <f>I34+K34</f>
        <v>42700.130000000005</v>
      </c>
      <c r="N34" s="23">
        <v>187.64138225255974</v>
      </c>
      <c r="P34" s="24">
        <v>5.4899999999999997E-2</v>
      </c>
    </row>
    <row r="35" spans="1:16" ht="15.75" x14ac:dyDescent="0.25">
      <c r="A35" s="19"/>
      <c r="B35" s="20"/>
      <c r="C35" s="21"/>
      <c r="D35" s="21"/>
      <c r="E35" s="22"/>
      <c r="F35" s="22"/>
      <c r="G35" s="22"/>
      <c r="H35" s="21"/>
      <c r="I35" s="21"/>
      <c r="J35" s="21"/>
      <c r="K35" s="21"/>
      <c r="L35" s="21"/>
      <c r="M35" s="21"/>
      <c r="N35" s="23"/>
      <c r="P35" s="24"/>
    </row>
    <row r="36" spans="1:16" ht="15.75" x14ac:dyDescent="0.25">
      <c r="A36" s="19" t="s">
        <v>27</v>
      </c>
      <c r="B36" s="20" t="s">
        <v>37</v>
      </c>
      <c r="C36" s="21">
        <v>184953.22</v>
      </c>
      <c r="D36" s="21">
        <v>1262905.2846566248</v>
      </c>
      <c r="E36" s="22">
        <v>0.146451</v>
      </c>
      <c r="F36" s="22">
        <v>0.15248999999999999</v>
      </c>
      <c r="G36" s="22">
        <v>6.0389999999999888E-3</v>
      </c>
      <c r="H36" s="21">
        <v>7626.69</v>
      </c>
      <c r="I36" s="21">
        <f>I34+H36</f>
        <v>48543.100000000006</v>
      </c>
      <c r="J36" s="21">
        <f>ROUND(I34*P36/12,2)</f>
        <v>187.19</v>
      </c>
      <c r="K36" s="21">
        <f>K34+J36</f>
        <v>1970.91</v>
      </c>
      <c r="L36" s="21">
        <f>H36+J36</f>
        <v>7813.8799999999992</v>
      </c>
      <c r="M36" s="21">
        <f>I36+K36</f>
        <v>50514.010000000009</v>
      </c>
      <c r="N36" s="23">
        <v>255.14578085642404</v>
      </c>
      <c r="P36" s="24">
        <v>5.4899999999999997E-2</v>
      </c>
    </row>
    <row r="37" spans="1:16" ht="15.75" x14ac:dyDescent="0.25">
      <c r="A37" s="19"/>
      <c r="B37" s="20"/>
      <c r="C37" s="21"/>
      <c r="D37" s="21"/>
      <c r="E37" s="22"/>
      <c r="F37" s="22"/>
      <c r="G37" s="22"/>
      <c r="H37" s="21"/>
      <c r="I37" s="21"/>
      <c r="J37" s="21"/>
      <c r="K37" s="21"/>
      <c r="L37" s="21"/>
      <c r="M37" s="21"/>
      <c r="N37" s="23"/>
      <c r="P37" s="24"/>
    </row>
    <row r="38" spans="1:16" ht="15.75" x14ac:dyDescent="0.25">
      <c r="A38" s="19" t="s">
        <v>8</v>
      </c>
      <c r="B38" s="20" t="s">
        <v>38</v>
      </c>
      <c r="C38" s="21">
        <v>142342.45000000001</v>
      </c>
      <c r="D38" s="21">
        <v>921547.1023742659</v>
      </c>
      <c r="E38" s="22">
        <v>0.15445999999999999</v>
      </c>
      <c r="F38" s="22">
        <v>0.15248999999999999</v>
      </c>
      <c r="G38" s="22">
        <v>-1.9699999999999995E-3</v>
      </c>
      <c r="H38" s="21">
        <v>-1815.45</v>
      </c>
      <c r="I38" s="21">
        <f>I36+H38</f>
        <v>46727.650000000009</v>
      </c>
      <c r="J38" s="21">
        <f>ROUND(I36*P38/12,2)</f>
        <v>222.08</v>
      </c>
      <c r="K38" s="21">
        <f>K36+J38</f>
        <v>2192.9900000000002</v>
      </c>
      <c r="L38" s="21">
        <f>H38+J38</f>
        <v>-1593.3700000000001</v>
      </c>
      <c r="M38" s="21">
        <f>I38+K38</f>
        <v>48920.640000000007</v>
      </c>
      <c r="N38" s="23">
        <v>317.39789885446339</v>
      </c>
      <c r="P38" s="24">
        <v>5.4899999999999997E-2</v>
      </c>
    </row>
    <row r="39" spans="1:16" ht="15.75" x14ac:dyDescent="0.25">
      <c r="A39" s="19"/>
      <c r="B39" s="20"/>
      <c r="C39" s="21"/>
      <c r="D39" s="21"/>
      <c r="E39" s="22"/>
      <c r="F39" s="22"/>
      <c r="G39" s="22"/>
      <c r="H39" s="21"/>
      <c r="I39" s="21"/>
      <c r="J39" s="21"/>
      <c r="K39" s="21"/>
      <c r="L39" s="21"/>
      <c r="M39" s="21"/>
      <c r="N39" s="23"/>
      <c r="P39" s="24"/>
    </row>
    <row r="40" spans="1:16" ht="15.75" x14ac:dyDescent="0.25">
      <c r="A40" s="25" t="s">
        <v>8</v>
      </c>
      <c r="B40" s="26" t="s">
        <v>39</v>
      </c>
      <c r="C40" s="27">
        <v>120327.9</v>
      </c>
      <c r="D40" s="27">
        <v>716236.91600714833</v>
      </c>
      <c r="E40" s="28">
        <v>0.16800000000000001</v>
      </c>
      <c r="F40" s="28">
        <v>0.15248999999999999</v>
      </c>
      <c r="G40" s="28">
        <v>-1.5510000000000024E-2</v>
      </c>
      <c r="H40" s="27">
        <v>-11108.83</v>
      </c>
      <c r="I40" s="21">
        <f>I38+H40</f>
        <v>35618.820000000007</v>
      </c>
      <c r="J40" s="21">
        <f>ROUND(I38*P40/12,2)</f>
        <v>213.78</v>
      </c>
      <c r="K40" s="21">
        <f>K38+J40</f>
        <v>2406.7700000000004</v>
      </c>
      <c r="L40" s="21">
        <f>H40+J40</f>
        <v>-10895.05</v>
      </c>
      <c r="M40" s="21">
        <f>I40+K40</f>
        <v>38025.590000000011</v>
      </c>
      <c r="N40" s="29">
        <v>268.76886616926487</v>
      </c>
      <c r="O40" s="12"/>
      <c r="P40" s="30">
        <v>5.4899999999999997E-2</v>
      </c>
    </row>
    <row r="41" spans="1:16" ht="15.75" x14ac:dyDescent="0.25">
      <c r="A41" s="31"/>
      <c r="B41" s="2"/>
      <c r="C41" s="15"/>
      <c r="D41" s="15"/>
      <c r="E41" s="32"/>
      <c r="F41" s="32"/>
      <c r="G41" s="32"/>
      <c r="H41" s="33"/>
      <c r="I41" s="2"/>
      <c r="J41" s="2"/>
      <c r="K41" s="2"/>
      <c r="L41" s="2"/>
      <c r="M41" s="2"/>
      <c r="N41" s="34"/>
      <c r="O41" s="34"/>
      <c r="P41" s="11"/>
    </row>
    <row r="42" spans="1:16" ht="15.75" x14ac:dyDescent="0.25">
      <c r="A42" s="31"/>
      <c r="B42" s="2" t="s">
        <v>5</v>
      </c>
      <c r="C42" s="15">
        <f>SUM(C18:C40)</f>
        <v>1558756.6283294698</v>
      </c>
      <c r="D42" s="15">
        <f>SUM(D18:D40)</f>
        <v>10454878.282780187</v>
      </c>
      <c r="E42" s="32">
        <f>ROUND(C42/D42,6)</f>
        <v>0.149094</v>
      </c>
      <c r="F42" s="32"/>
      <c r="G42" s="32"/>
      <c r="H42" s="33">
        <f>SUM(H18:H40)</f>
        <v>201200.76</v>
      </c>
      <c r="I42" s="33">
        <f>I40</f>
        <v>35618.820000000007</v>
      </c>
      <c r="J42" s="33">
        <f>SUM(J18:J40)</f>
        <v>-432.72000000000014</v>
      </c>
      <c r="K42" s="35">
        <f>K40</f>
        <v>2406.7700000000004</v>
      </c>
      <c r="L42" s="33">
        <f>SUM(L18:L40)</f>
        <v>200768.04000000004</v>
      </c>
      <c r="M42" s="35">
        <f>M40</f>
        <v>38025.590000000011</v>
      </c>
      <c r="N42" s="36">
        <f>SUM(N18:N40)</f>
        <v>1537.8870466003311</v>
      </c>
      <c r="O42" s="36"/>
      <c r="P42" s="24"/>
    </row>
    <row r="43" spans="1:16" ht="15.75" x14ac:dyDescent="0.25">
      <c r="A43" s="31"/>
      <c r="B43" s="2"/>
      <c r="C43" s="15"/>
      <c r="D43" s="15"/>
      <c r="E43" s="32"/>
      <c r="F43" s="32"/>
      <c r="G43" s="32"/>
      <c r="H43" s="33"/>
      <c r="I43" s="2"/>
      <c r="J43" s="2"/>
      <c r="K43" s="2"/>
      <c r="L43" s="2"/>
      <c r="M43" s="2"/>
      <c r="N43" s="2"/>
      <c r="O43" s="2"/>
      <c r="P43" s="2"/>
    </row>
    <row r="44" spans="1:16" ht="15.75" x14ac:dyDescent="0.25">
      <c r="A44" s="2"/>
      <c r="B44" s="2"/>
      <c r="C44" s="15"/>
      <c r="D44" s="15"/>
      <c r="E44" s="32"/>
      <c r="F44" s="32"/>
      <c r="G44" s="32"/>
      <c r="H44" s="33"/>
      <c r="I44" s="2"/>
      <c r="J44" s="2"/>
      <c r="K44" s="2"/>
      <c r="L44" s="2"/>
      <c r="M44" s="2"/>
      <c r="N44" s="2"/>
      <c r="O44" s="2"/>
      <c r="P44" s="37"/>
    </row>
    <row r="45" spans="1:16" ht="15.75" x14ac:dyDescent="0.25">
      <c r="A45" s="2" t="s">
        <v>40</v>
      </c>
      <c r="B45" s="15"/>
      <c r="C45" s="15"/>
      <c r="D45" s="32"/>
      <c r="E45" s="32"/>
      <c r="F45" s="38">
        <f>M42/D42</f>
        <v>3.6371145575774368E-3</v>
      </c>
      <c r="G45" s="33"/>
      <c r="H45" s="2"/>
      <c r="I45" s="2"/>
      <c r="J45" s="2"/>
      <c r="K45" s="2"/>
      <c r="L45" s="2"/>
      <c r="M45" s="2"/>
      <c r="N45" s="2"/>
      <c r="O45" s="2"/>
      <c r="P45" s="2"/>
    </row>
    <row r="46" spans="1:16" ht="15.75" x14ac:dyDescent="0.25">
      <c r="A46" s="2" t="s">
        <v>41</v>
      </c>
      <c r="B46" s="15"/>
      <c r="C46" s="15"/>
      <c r="D46" s="32"/>
      <c r="E46" s="32"/>
      <c r="F46" s="39">
        <f>N42</f>
        <v>1537.8870466003311</v>
      </c>
      <c r="G46" s="33" t="s">
        <v>23</v>
      </c>
      <c r="H46" s="2"/>
      <c r="I46" s="2"/>
      <c r="J46" s="2"/>
      <c r="K46" s="2"/>
      <c r="L46" s="2"/>
      <c r="M46" s="2"/>
      <c r="N46" s="2"/>
      <c r="O46" s="2"/>
      <c r="P46" s="2"/>
    </row>
    <row r="47" spans="1:16" ht="15.75" x14ac:dyDescent="0.25">
      <c r="A47" s="2" t="s">
        <v>42</v>
      </c>
      <c r="B47" s="15"/>
      <c r="C47" s="15"/>
      <c r="D47" s="32"/>
      <c r="E47" s="32"/>
      <c r="F47" s="40">
        <f>ABS(+F45*F46)</f>
        <v>5.593471365099834</v>
      </c>
      <c r="G47" s="33" t="str">
        <f>IF(M42&gt;0,"Customer Rebate","Customer Charge")</f>
        <v>Customer Rebate</v>
      </c>
      <c r="H47" s="2"/>
      <c r="I47" s="2"/>
      <c r="J47" s="2"/>
      <c r="K47" s="2"/>
      <c r="L47" s="2"/>
      <c r="M47" s="2"/>
      <c r="N47" s="2"/>
      <c r="O47" s="2"/>
      <c r="P47" s="2"/>
    </row>
  </sheetData>
  <mergeCells count="3">
    <mergeCell ref="A6:P6"/>
    <mergeCell ref="A8:P8"/>
    <mergeCell ref="A10:P10"/>
  </mergeCells>
  <pageMargins left="0.7" right="0.7" top="0.75" bottom="0.75" header="0.3" footer="0.3"/>
  <pageSetup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W46"/>
  <sheetViews>
    <sheetView showGridLines="0" zoomScale="55" zoomScaleNormal="55" workbookViewId="0">
      <selection activeCell="A53" sqref="A53"/>
    </sheetView>
  </sheetViews>
  <sheetFormatPr defaultRowHeight="15" x14ac:dyDescent="0.25"/>
  <cols>
    <col min="1" max="1" width="46.28515625" bestFit="1" customWidth="1"/>
    <col min="2" max="5" width="17.140625" customWidth="1"/>
    <col min="7" max="7" width="45.28515625" customWidth="1"/>
    <col min="8" max="11" width="17.140625" customWidth="1"/>
    <col min="13" max="13" width="42.7109375" bestFit="1" customWidth="1"/>
    <col min="14" max="17" width="17.140625" customWidth="1"/>
    <col min="19" max="19" width="46.28515625" bestFit="1" customWidth="1"/>
    <col min="20" max="23" width="17.28515625" customWidth="1"/>
  </cols>
  <sheetData>
    <row r="3" spans="1:23" ht="15.75" x14ac:dyDescent="0.25">
      <c r="A3" s="62" t="s">
        <v>45</v>
      </c>
      <c r="B3" s="62"/>
      <c r="C3" s="62"/>
      <c r="D3" s="62"/>
      <c r="E3" s="62"/>
      <c r="G3" s="62" t="s">
        <v>46</v>
      </c>
      <c r="H3" s="62"/>
      <c r="I3" s="62"/>
      <c r="J3" s="62"/>
      <c r="K3" s="62"/>
      <c r="L3" s="11"/>
      <c r="M3" s="62" t="s">
        <v>47</v>
      </c>
      <c r="N3" s="62"/>
      <c r="O3" s="62"/>
      <c r="P3" s="62"/>
      <c r="Q3" s="62"/>
      <c r="S3" s="62" t="s">
        <v>48</v>
      </c>
      <c r="T3" s="62"/>
      <c r="U3" s="62"/>
      <c r="V3" s="62"/>
      <c r="W3" s="62"/>
    </row>
    <row r="4" spans="1:23" ht="15.75" x14ac:dyDescent="0.25">
      <c r="A4" s="61" t="s">
        <v>49</v>
      </c>
      <c r="B4" s="61"/>
      <c r="C4" s="61"/>
      <c r="D4" s="61"/>
      <c r="E4" s="61"/>
      <c r="G4" s="61" t="str">
        <f>A4</f>
        <v>As Filed</v>
      </c>
      <c r="H4" s="61"/>
      <c r="I4" s="61"/>
      <c r="J4" s="61"/>
      <c r="K4" s="61"/>
      <c r="L4" s="2"/>
      <c r="M4" s="61" t="str">
        <f>G4</f>
        <v>As Filed</v>
      </c>
      <c r="N4" s="61"/>
      <c r="O4" s="61"/>
      <c r="P4" s="61"/>
      <c r="Q4" s="61"/>
      <c r="S4" s="61" t="str">
        <f>M4</f>
        <v>As Filed</v>
      </c>
      <c r="T4" s="61"/>
      <c r="U4" s="61"/>
      <c r="V4" s="61"/>
      <c r="W4" s="61"/>
    </row>
    <row r="5" spans="1:23" ht="15.75" x14ac:dyDescent="0.25">
      <c r="A5" s="41"/>
      <c r="B5" s="42">
        <f>C26</f>
        <v>45292</v>
      </c>
      <c r="C5" s="43">
        <v>45383</v>
      </c>
      <c r="D5" s="11" t="s">
        <v>50</v>
      </c>
      <c r="E5" s="11" t="s">
        <v>51</v>
      </c>
      <c r="G5" s="41"/>
      <c r="H5" s="42">
        <f>I26</f>
        <v>45292</v>
      </c>
      <c r="I5" s="43">
        <v>45383</v>
      </c>
      <c r="J5" s="11" t="s">
        <v>50</v>
      </c>
      <c r="K5" s="11" t="s">
        <v>51</v>
      </c>
      <c r="L5" s="11"/>
      <c r="M5" s="41"/>
      <c r="N5" s="42">
        <f>O26</f>
        <v>45292</v>
      </c>
      <c r="O5" s="43">
        <v>45383</v>
      </c>
      <c r="P5" s="11" t="s">
        <v>50</v>
      </c>
      <c r="Q5" s="11" t="s">
        <v>51</v>
      </c>
      <c r="S5" s="41"/>
      <c r="T5" s="42">
        <f>U26</f>
        <v>45292</v>
      </c>
      <c r="U5" s="43">
        <v>45383</v>
      </c>
      <c r="V5" s="11" t="s">
        <v>50</v>
      </c>
      <c r="W5" s="11" t="s">
        <v>51</v>
      </c>
    </row>
    <row r="6" spans="1:23" ht="15.75" x14ac:dyDescent="0.25">
      <c r="A6" s="41"/>
      <c r="B6" s="44" t="str">
        <f>C27</f>
        <v>EB-2023-0338</v>
      </c>
      <c r="C6" s="13" t="s">
        <v>52</v>
      </c>
      <c r="D6" s="13" t="s">
        <v>53</v>
      </c>
      <c r="E6" s="13" t="s">
        <v>53</v>
      </c>
      <c r="G6" s="41"/>
      <c r="H6" s="44" t="str">
        <f>I27</f>
        <v>EB-2023-0338</v>
      </c>
      <c r="I6" s="13" t="s">
        <v>52</v>
      </c>
      <c r="J6" s="13" t="s">
        <v>53</v>
      </c>
      <c r="K6" s="13" t="s">
        <v>53</v>
      </c>
      <c r="L6" s="13"/>
      <c r="M6" s="41"/>
      <c r="N6" s="44" t="str">
        <f>O27</f>
        <v>EB-2023-0338</v>
      </c>
      <c r="O6" s="13" t="s">
        <v>52</v>
      </c>
      <c r="P6" s="13" t="s">
        <v>53</v>
      </c>
      <c r="Q6" s="13" t="s">
        <v>53</v>
      </c>
      <c r="S6" s="41"/>
      <c r="T6" s="44" t="str">
        <f>U27</f>
        <v>EB-2023-0338</v>
      </c>
      <c r="U6" s="13" t="s">
        <v>52</v>
      </c>
      <c r="V6" s="13" t="s">
        <v>53</v>
      </c>
      <c r="W6" s="13" t="s">
        <v>53</v>
      </c>
    </row>
    <row r="7" spans="1:23" ht="15.75" x14ac:dyDescent="0.25">
      <c r="A7" s="41"/>
      <c r="B7" s="2"/>
      <c r="C7" s="2"/>
      <c r="D7" s="2"/>
      <c r="E7" s="2"/>
      <c r="G7" s="41"/>
      <c r="H7" s="2"/>
      <c r="I7" s="2"/>
      <c r="J7" s="2"/>
      <c r="K7" s="2"/>
      <c r="L7" s="2"/>
      <c r="M7" s="41"/>
      <c r="N7" s="2"/>
      <c r="O7" s="2"/>
      <c r="P7" s="2"/>
      <c r="Q7" s="2"/>
      <c r="S7" s="41"/>
      <c r="T7" s="2"/>
      <c r="U7" s="2"/>
      <c r="V7" s="2"/>
      <c r="W7" s="2"/>
    </row>
    <row r="8" spans="1:23" ht="15.75" x14ac:dyDescent="0.25">
      <c r="A8" s="2" t="s">
        <v>54</v>
      </c>
      <c r="B8" s="45">
        <v>2148.9999999999991</v>
      </c>
      <c r="C8" s="45">
        <v>2148.9999999999991</v>
      </c>
      <c r="D8" s="2"/>
      <c r="E8" s="2"/>
      <c r="G8" s="2" t="s">
        <v>55</v>
      </c>
      <c r="H8" s="45">
        <v>4693</v>
      </c>
      <c r="I8" s="45">
        <v>4693</v>
      </c>
      <c r="J8" s="2"/>
      <c r="K8" s="2"/>
      <c r="L8" s="2"/>
      <c r="M8" s="2" t="s">
        <v>56</v>
      </c>
      <c r="N8" s="45">
        <v>26933</v>
      </c>
      <c r="O8" s="45">
        <v>26933</v>
      </c>
      <c r="P8" s="2"/>
      <c r="Q8" s="2"/>
      <c r="S8" s="2" t="s">
        <v>54</v>
      </c>
      <c r="T8" s="45">
        <v>101499</v>
      </c>
      <c r="U8" s="45">
        <v>101499</v>
      </c>
      <c r="V8" s="2"/>
      <c r="W8" s="2"/>
    </row>
    <row r="9" spans="1:23" ht="15.75" x14ac:dyDescent="0.25">
      <c r="A9" s="2"/>
      <c r="B9" s="2"/>
      <c r="C9" s="2"/>
      <c r="D9" s="2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S9" s="2"/>
      <c r="T9" s="2"/>
      <c r="U9" s="2"/>
      <c r="V9" s="2"/>
      <c r="W9" s="2"/>
    </row>
    <row r="10" spans="1:23" ht="15.75" x14ac:dyDescent="0.25">
      <c r="A10" s="2" t="s">
        <v>57</v>
      </c>
      <c r="B10" s="46">
        <f>C28*12</f>
        <v>341.4</v>
      </c>
      <c r="C10" s="46">
        <f>12*D28</f>
        <v>341.4</v>
      </c>
      <c r="D10" s="46">
        <f>C10-B10</f>
        <v>0</v>
      </c>
      <c r="E10" s="47">
        <f>C10/B10-1</f>
        <v>0</v>
      </c>
      <c r="G10" s="2" t="s">
        <v>57</v>
      </c>
      <c r="H10" s="46">
        <f>I28*12</f>
        <v>341.4</v>
      </c>
      <c r="I10" s="46">
        <f>12*J28</f>
        <v>341.4</v>
      </c>
      <c r="J10" s="46">
        <f>I10-H10</f>
        <v>0</v>
      </c>
      <c r="K10" s="47">
        <f>I10/H10-1</f>
        <v>0</v>
      </c>
      <c r="L10" s="47"/>
      <c r="M10" s="2" t="s">
        <v>57</v>
      </c>
      <c r="N10" s="46">
        <f>O28*12</f>
        <v>1355.16</v>
      </c>
      <c r="O10" s="46">
        <f>12*P28</f>
        <v>1355.16</v>
      </c>
      <c r="P10" s="46">
        <f>O10-N10</f>
        <v>0</v>
      </c>
      <c r="Q10" s="47">
        <f>O10/N10-1</f>
        <v>0</v>
      </c>
      <c r="S10" s="2" t="s">
        <v>57</v>
      </c>
      <c r="T10" s="46">
        <f>U28*12</f>
        <v>2698.32</v>
      </c>
      <c r="U10" s="46">
        <f>12*V28</f>
        <v>2698.32</v>
      </c>
      <c r="V10" s="46">
        <f>U10-T10</f>
        <v>0</v>
      </c>
      <c r="W10" s="47">
        <f>U10/T10-1</f>
        <v>0</v>
      </c>
    </row>
    <row r="11" spans="1:23" ht="15.75" x14ac:dyDescent="0.25">
      <c r="A11" s="2" t="s">
        <v>58</v>
      </c>
      <c r="B11" s="46">
        <f>1089*C30+1060*C31</f>
        <v>625.74169500000005</v>
      </c>
      <c r="C11" s="46">
        <f>1089*D30+1060*D31</f>
        <v>625.74169500000005</v>
      </c>
      <c r="D11" s="46">
        <f>C11-B11</f>
        <v>0</v>
      </c>
      <c r="E11" s="47">
        <f>C11/B11-1</f>
        <v>0</v>
      </c>
      <c r="G11" s="2" t="s">
        <v>58</v>
      </c>
      <c r="H11" s="46">
        <f>1198*I30+2475*I31+1020*I32</f>
        <v>1350.9789349999999</v>
      </c>
      <c r="I11" s="46">
        <f>1198*J30+2475*J31+1020*J32</f>
        <v>1350.9789349999999</v>
      </c>
      <c r="J11" s="46">
        <f>I11-H11</f>
        <v>0</v>
      </c>
      <c r="K11" s="47">
        <f>I11/H11-1</f>
        <v>0</v>
      </c>
      <c r="L11" s="47"/>
      <c r="M11" s="2" t="s">
        <v>58</v>
      </c>
      <c r="N11" s="46">
        <f>9832*O30+17101*O31</f>
        <v>6841.8462900000013</v>
      </c>
      <c r="O11" s="46">
        <f>9832*P30+17101*P31</f>
        <v>6841.8462900000013</v>
      </c>
      <c r="P11" s="46">
        <f>O11-N11</f>
        <v>0</v>
      </c>
      <c r="Q11" s="47">
        <f>O11/N11-1</f>
        <v>0</v>
      </c>
      <c r="S11" s="2" t="s">
        <v>58</v>
      </c>
      <c r="T11" s="46">
        <f>T8*U30</f>
        <v>17102.074005000002</v>
      </c>
      <c r="U11" s="46">
        <f>U8*V30</f>
        <v>17102.074005000002</v>
      </c>
      <c r="V11" s="46">
        <f>U11-T11</f>
        <v>0</v>
      </c>
      <c r="W11" s="47">
        <f>U11/T11-1</f>
        <v>0</v>
      </c>
    </row>
    <row r="12" spans="1:23" ht="15.75" x14ac:dyDescent="0.25">
      <c r="A12" s="2" t="s">
        <v>59</v>
      </c>
      <c r="B12" s="46">
        <f>SUM(C34:C35)*B8</f>
        <v>89.660577999999958</v>
      </c>
      <c r="C12" s="46">
        <f>SUM(D34:D35)*C8</f>
        <v>89.660577999999958</v>
      </c>
      <c r="D12" s="46">
        <f>C12-B12</f>
        <v>0</v>
      </c>
      <c r="E12" s="47">
        <f>C12/B12-1</f>
        <v>0</v>
      </c>
      <c r="G12" s="2" t="s">
        <v>59</v>
      </c>
      <c r="H12" s="46">
        <f>SUM(I34:I35)*H8</f>
        <v>195.80134599999997</v>
      </c>
      <c r="I12" s="46">
        <f>SUM(J34:J35)*I8</f>
        <v>195.80134599999997</v>
      </c>
      <c r="J12" s="46">
        <f>I12-H12</f>
        <v>0</v>
      </c>
      <c r="K12" s="47">
        <f>I12/H12-1</f>
        <v>0</v>
      </c>
      <c r="L12" s="47"/>
      <c r="M12" s="2" t="s">
        <v>59</v>
      </c>
      <c r="N12" s="46">
        <f>SUM(O34:O35)*N8</f>
        <v>2305.8149289999997</v>
      </c>
      <c r="O12" s="46">
        <f>SUM(P34:P35)*O8</f>
        <v>2305.8149289999997</v>
      </c>
      <c r="P12" s="46">
        <f>O12-N12</f>
        <v>0</v>
      </c>
      <c r="Q12" s="47">
        <f>O12/N12-1</f>
        <v>0</v>
      </c>
      <c r="S12" s="2" t="s">
        <v>59</v>
      </c>
      <c r="T12" s="46">
        <f>SUM(U34:U35)*T8</f>
        <v>1879.5584820000004</v>
      </c>
      <c r="U12" s="46">
        <f>SUM(V34:V35)*U8</f>
        <v>1879.5584820000004</v>
      </c>
      <c r="V12" s="46">
        <f>U12-T12</f>
        <v>0</v>
      </c>
      <c r="W12" s="47">
        <f>U12/T12-1</f>
        <v>0</v>
      </c>
    </row>
    <row r="13" spans="1:23" ht="15.75" x14ac:dyDescent="0.25">
      <c r="A13" s="2"/>
      <c r="B13" s="46"/>
      <c r="C13" s="46"/>
      <c r="D13" s="46"/>
      <c r="E13" s="47"/>
      <c r="G13" s="2"/>
      <c r="H13" s="46"/>
      <c r="I13" s="46"/>
      <c r="J13" s="46"/>
      <c r="K13" s="47"/>
      <c r="L13" s="47"/>
      <c r="M13" s="2"/>
      <c r="N13" s="46"/>
      <c r="O13" s="46"/>
      <c r="P13" s="46"/>
      <c r="Q13" s="47"/>
      <c r="S13" s="2"/>
      <c r="T13" s="46"/>
      <c r="U13" s="46"/>
      <c r="V13" s="46"/>
      <c r="W13" s="47"/>
    </row>
    <row r="14" spans="1:23" ht="15.75" x14ac:dyDescent="0.25">
      <c r="A14" s="2" t="s">
        <v>60</v>
      </c>
      <c r="B14" s="46">
        <f>SUM(C$37:C$41)*B8</f>
        <v>37.790164999999995</v>
      </c>
      <c r="C14" s="46">
        <f>SUM(D$37:D$41)*C8</f>
        <v>37.790164999999995</v>
      </c>
      <c r="D14" s="46">
        <f>C14-B14</f>
        <v>0</v>
      </c>
      <c r="E14" s="47">
        <f>C14/B14-1</f>
        <v>0</v>
      </c>
      <c r="G14" s="2" t="s">
        <v>60</v>
      </c>
      <c r="H14" s="46">
        <f>SUM(I$37:I$41)*H8</f>
        <v>82.526405000000011</v>
      </c>
      <c r="I14" s="46">
        <f>SUM(J$37:J$41)*I8</f>
        <v>82.526405000000011</v>
      </c>
      <c r="J14" s="46">
        <f>I14-H14</f>
        <v>0</v>
      </c>
      <c r="K14" s="47">
        <f>I14/H14-1</f>
        <v>0</v>
      </c>
      <c r="L14" s="47"/>
      <c r="M14" s="2" t="s">
        <v>60</v>
      </c>
      <c r="N14" s="46">
        <f>SUM(O$37:O$41)*N8</f>
        <v>44.520249000000113</v>
      </c>
      <c r="O14" s="46">
        <f>SUM(P$37:P$41)*O8</f>
        <v>44.520249000000113</v>
      </c>
      <c r="P14" s="46">
        <f>O14-N14</f>
        <v>0</v>
      </c>
      <c r="Q14" s="47">
        <f>O14/N14-1</f>
        <v>0</v>
      </c>
      <c r="S14" s="2" t="s">
        <v>60</v>
      </c>
      <c r="T14" s="46">
        <f>SUM(U$37:U$41)*T8</f>
        <v>505.05902400000002</v>
      </c>
      <c r="U14" s="46">
        <f>SUM(V$37:V$41)*U8</f>
        <v>505.05902400000002</v>
      </c>
      <c r="V14" s="46">
        <f>U14-T14</f>
        <v>0</v>
      </c>
      <c r="W14" s="47">
        <f>U14/T14-1</f>
        <v>0</v>
      </c>
    </row>
    <row r="15" spans="1:23" ht="15.75" x14ac:dyDescent="0.25">
      <c r="A15" s="2"/>
      <c r="B15" s="46"/>
      <c r="C15" s="46"/>
      <c r="D15" s="46"/>
      <c r="E15" s="47"/>
      <c r="G15" s="2"/>
      <c r="H15" s="46"/>
      <c r="I15" s="46"/>
      <c r="J15" s="46"/>
      <c r="K15" s="47"/>
      <c r="L15" s="47"/>
      <c r="M15" s="2"/>
      <c r="N15" s="46"/>
      <c r="O15" s="46"/>
      <c r="P15" s="46"/>
      <c r="Q15" s="47"/>
      <c r="S15" s="2"/>
      <c r="T15" s="46"/>
      <c r="U15" s="46"/>
      <c r="V15" s="46"/>
      <c r="W15" s="47"/>
    </row>
    <row r="16" spans="1:23" ht="15.75" x14ac:dyDescent="0.25">
      <c r="A16" s="2" t="s">
        <v>61</v>
      </c>
      <c r="B16" s="46">
        <f>C43*B8</f>
        <v>266.26109999999989</v>
      </c>
      <c r="C16" s="46">
        <f>D43*C8</f>
        <v>327.72249999999985</v>
      </c>
      <c r="D16" s="46">
        <f>C16-B16</f>
        <v>61.461399999999969</v>
      </c>
      <c r="E16" s="47">
        <f>C16/B16-1</f>
        <v>0.23083131557707826</v>
      </c>
      <c r="G16" s="2" t="s">
        <v>61</v>
      </c>
      <c r="H16" s="46">
        <f>I43*H8</f>
        <v>581.46269999999993</v>
      </c>
      <c r="I16" s="46">
        <f>J43*I8</f>
        <v>715.6825</v>
      </c>
      <c r="J16" s="46">
        <f>I16-H16</f>
        <v>134.21980000000008</v>
      </c>
      <c r="K16" s="47">
        <f>I16/H16-1</f>
        <v>0.23083131557707848</v>
      </c>
      <c r="L16" s="47"/>
      <c r="M16" s="2" t="s">
        <v>61</v>
      </c>
      <c r="N16" s="46">
        <f>O43*N8</f>
        <v>3336.9987000000001</v>
      </c>
      <c r="O16" s="46">
        <f>P43*O8</f>
        <v>4107.2825000000003</v>
      </c>
      <c r="P16" s="46">
        <f>O16-N16</f>
        <v>770.28380000000016</v>
      </c>
      <c r="Q16" s="47">
        <f>O16/N16-1</f>
        <v>0.23083131557707826</v>
      </c>
      <c r="S16" s="2" t="s">
        <v>61</v>
      </c>
      <c r="T16" s="46">
        <f>U43*T8</f>
        <v>12575.7261</v>
      </c>
      <c r="U16" s="46">
        <f>V43*U8</f>
        <v>15478.5975</v>
      </c>
      <c r="V16" s="46">
        <f>U16-T16</f>
        <v>2902.8714</v>
      </c>
      <c r="W16" s="47">
        <f>U16/T16-1</f>
        <v>0.23083131557707826</v>
      </c>
    </row>
    <row r="17" spans="1:23" ht="15.75" x14ac:dyDescent="0.25">
      <c r="A17" s="2" t="s">
        <v>62</v>
      </c>
      <c r="B17" s="46">
        <f>C44*B8</f>
        <v>2.363899999999999E-2</v>
      </c>
      <c r="C17" s="46">
        <f>D44*C8</f>
        <v>2.7936999999999986E-2</v>
      </c>
      <c r="D17" s="46">
        <f>ROUND(C17,2)-ROUND(B17,2)</f>
        <v>9.9999999999999985E-3</v>
      </c>
      <c r="E17" s="47">
        <f>C17/B17-1</f>
        <v>0.18181818181818166</v>
      </c>
      <c r="G17" s="2" t="s">
        <v>62</v>
      </c>
      <c r="H17" s="46">
        <f>I44*H8</f>
        <v>5.1622999999999995E-2</v>
      </c>
      <c r="I17" s="46">
        <f>J44*I8</f>
        <v>6.1008999999999994E-2</v>
      </c>
      <c r="J17" s="46">
        <f>ROUND(I17,2)-ROUND(H17,2)</f>
        <v>9.999999999999995E-3</v>
      </c>
      <c r="K17" s="47">
        <f>I17/H17-1</f>
        <v>0.18181818181818188</v>
      </c>
      <c r="L17" s="47"/>
      <c r="M17" s="2" t="s">
        <v>62</v>
      </c>
      <c r="N17" s="46">
        <f>O44*N8</f>
        <v>0.296263</v>
      </c>
      <c r="O17" s="46">
        <f>P44*O8</f>
        <v>0.35012899999999997</v>
      </c>
      <c r="P17" s="46">
        <f>ROUND(O17,2)-ROUND(N17,2)</f>
        <v>4.9999999999999989E-2</v>
      </c>
      <c r="Q17" s="47">
        <f>O17/N17-1</f>
        <v>0.18181818181818166</v>
      </c>
      <c r="S17" s="2" t="s">
        <v>62</v>
      </c>
      <c r="T17" s="46">
        <f>U44*T8</f>
        <v>1.1164890000000001</v>
      </c>
      <c r="U17" s="46">
        <f>V44*U8</f>
        <v>1.3194869999999999</v>
      </c>
      <c r="V17" s="46">
        <f>ROUND(U17,2)-ROUND(T17,2)</f>
        <v>0.19999999999999996</v>
      </c>
      <c r="W17" s="47">
        <f>U17/T17-1</f>
        <v>0.18181818181818166</v>
      </c>
    </row>
    <row r="18" spans="1:23" ht="15.75" x14ac:dyDescent="0.25">
      <c r="A18" s="2"/>
      <c r="B18" s="46"/>
      <c r="C18" s="46"/>
      <c r="D18" s="46"/>
      <c r="E18" s="47"/>
      <c r="G18" s="2"/>
      <c r="H18" s="46"/>
      <c r="I18" s="46"/>
      <c r="J18" s="46"/>
      <c r="K18" s="47"/>
      <c r="L18" s="47"/>
      <c r="M18" s="2"/>
      <c r="N18" s="46"/>
      <c r="O18" s="46"/>
      <c r="P18" s="46"/>
      <c r="Q18" s="47"/>
      <c r="S18" s="2"/>
      <c r="T18" s="46"/>
      <c r="U18" s="46"/>
      <c r="V18" s="46"/>
      <c r="W18" s="47"/>
    </row>
    <row r="19" spans="1:23" ht="15.75" x14ac:dyDescent="0.25">
      <c r="A19" s="2" t="s">
        <v>63</v>
      </c>
      <c r="B19" s="48">
        <f>B8*(C46)</f>
        <v>331.17164499999984</v>
      </c>
      <c r="C19" s="48">
        <f>C8*(D46)</f>
        <v>245.20089999999988</v>
      </c>
      <c r="D19" s="48">
        <f>C19-B19</f>
        <v>-85.970744999999965</v>
      </c>
      <c r="E19" s="49">
        <f>C19/B19-1</f>
        <v>-0.25959573018396553</v>
      </c>
      <c r="G19" s="2" t="s">
        <v>63</v>
      </c>
      <c r="H19" s="48">
        <f>H8*(I46)</f>
        <v>723.21476499999994</v>
      </c>
      <c r="I19" s="48">
        <f>I8*(J46)</f>
        <v>535.47129999999993</v>
      </c>
      <c r="J19" s="48">
        <f>I19-H19</f>
        <v>-187.74346500000001</v>
      </c>
      <c r="K19" s="49">
        <f>I19/H19-1</f>
        <v>-0.25959573018396553</v>
      </c>
      <c r="L19" s="49"/>
      <c r="M19" s="2" t="s">
        <v>63</v>
      </c>
      <c r="N19" s="48">
        <f>N8*(O46)</f>
        <v>4150.5099650000002</v>
      </c>
      <c r="O19" s="48">
        <f>O8*(P46)</f>
        <v>3073.0553</v>
      </c>
      <c r="P19" s="48">
        <f>O19-N19</f>
        <v>-1077.4546650000002</v>
      </c>
      <c r="Q19" s="49">
        <f>O19/N19-1</f>
        <v>-0.25959573018396553</v>
      </c>
      <c r="S19" s="2" t="s">
        <v>63</v>
      </c>
      <c r="T19" s="48">
        <f>T8*(U46)</f>
        <v>15641.503395</v>
      </c>
      <c r="U19" s="48">
        <f>U8*(V46)</f>
        <v>11581.035899999999</v>
      </c>
      <c r="V19" s="48">
        <f>U19-T19</f>
        <v>-4060.4674950000008</v>
      </c>
      <c r="W19" s="49">
        <f>U19/T19-1</f>
        <v>-0.25959573018396553</v>
      </c>
    </row>
    <row r="20" spans="1:23" ht="15.75" x14ac:dyDescent="0.25">
      <c r="A20" s="2"/>
      <c r="B20" s="46"/>
      <c r="C20" s="46"/>
      <c r="D20" s="46"/>
      <c r="E20" s="47"/>
      <c r="G20" s="2"/>
      <c r="H20" s="46"/>
      <c r="I20" s="46"/>
      <c r="J20" s="46"/>
      <c r="K20" s="47"/>
      <c r="L20" s="47"/>
      <c r="M20" s="2"/>
      <c r="N20" s="46"/>
      <c r="O20" s="46"/>
      <c r="P20" s="46"/>
      <c r="Q20" s="47"/>
      <c r="S20" s="2"/>
      <c r="T20" s="46"/>
      <c r="U20" s="46"/>
      <c r="V20" s="46"/>
      <c r="W20" s="47"/>
    </row>
    <row r="21" spans="1:23" ht="15.75" x14ac:dyDescent="0.25">
      <c r="A21" s="2" t="s">
        <v>64</v>
      </c>
      <c r="B21" s="46">
        <f>SUM(B10:B19)</f>
        <v>1692.0488219999997</v>
      </c>
      <c r="C21" s="46">
        <f>SUM(C10:C19)</f>
        <v>1667.5437749999996</v>
      </c>
      <c r="D21" s="50">
        <f>SUM(D10:D19)</f>
        <v>-24.499344999999998</v>
      </c>
      <c r="E21" s="47">
        <f>C21/B21-1</f>
        <v>-1.4482470411837811E-2</v>
      </c>
      <c r="G21" s="2" t="s">
        <v>64</v>
      </c>
      <c r="H21" s="46">
        <f>SUM(H10:H19)</f>
        <v>3275.4357739999996</v>
      </c>
      <c r="I21" s="46">
        <f>SUM(I10:I19)</f>
        <v>3221.9214949999996</v>
      </c>
      <c r="J21" s="50">
        <f>SUM(J10:J19)</f>
        <v>-53.513664999999946</v>
      </c>
      <c r="K21" s="47">
        <f>I21/H21-1</f>
        <v>-1.633806390734005E-2</v>
      </c>
      <c r="L21" s="47"/>
      <c r="M21" s="2" t="s">
        <v>64</v>
      </c>
      <c r="N21" s="46">
        <f>SUM(N10:N19)</f>
        <v>18035.146396</v>
      </c>
      <c r="O21" s="46">
        <f>SUM(O10:O19)</f>
        <v>17728.029396999998</v>
      </c>
      <c r="P21" s="50">
        <f>SUM(P10:P19)</f>
        <v>-307.12086500000009</v>
      </c>
      <c r="Q21" s="47">
        <f>O21/N21-1</f>
        <v>-1.7028805436706484E-2</v>
      </c>
      <c r="S21" s="2" t="s">
        <v>64</v>
      </c>
      <c r="T21" s="46">
        <f>SUM(T10:T19)</f>
        <v>50403.357495000004</v>
      </c>
      <c r="U21" s="46">
        <f>SUM(U10:U19)</f>
        <v>49245.964397999996</v>
      </c>
      <c r="V21" s="50">
        <f>SUM(V10:V19)</f>
        <v>-1157.396095000001</v>
      </c>
      <c r="W21" s="47">
        <f>U21/T21-1</f>
        <v>-2.2962619050026944E-2</v>
      </c>
    </row>
    <row r="22" spans="1:23" ht="15.75" x14ac:dyDescent="0.25">
      <c r="A22" s="2"/>
      <c r="B22" s="46"/>
      <c r="C22" s="46"/>
      <c r="D22" s="46"/>
      <c r="E22" s="47"/>
      <c r="G22" s="2"/>
      <c r="H22" s="46"/>
      <c r="I22" s="46"/>
      <c r="J22" s="46"/>
      <c r="K22" s="47"/>
      <c r="L22" s="47"/>
      <c r="M22" s="2"/>
      <c r="N22" s="46"/>
      <c r="O22" s="46"/>
      <c r="P22" s="46"/>
      <c r="Q22" s="47"/>
      <c r="S22" s="2"/>
      <c r="T22" s="46"/>
      <c r="U22" s="46"/>
      <c r="V22" s="46"/>
      <c r="W22" s="47"/>
    </row>
    <row r="23" spans="1:23" ht="15.75" x14ac:dyDescent="0.25">
      <c r="A23" s="2"/>
      <c r="B23" s="46"/>
      <c r="C23" s="46"/>
      <c r="D23" s="46"/>
      <c r="E23" s="47"/>
      <c r="G23" s="2"/>
      <c r="H23" s="46"/>
      <c r="I23" s="46"/>
      <c r="J23" s="46"/>
      <c r="K23" s="47"/>
      <c r="L23" s="47"/>
      <c r="M23" s="2"/>
      <c r="N23" s="46"/>
      <c r="O23" s="46"/>
      <c r="P23" s="46"/>
      <c r="Q23" s="47"/>
      <c r="S23" s="2"/>
      <c r="T23" s="46"/>
      <c r="U23" s="46"/>
      <c r="V23" s="46"/>
      <c r="W23" s="47"/>
    </row>
    <row r="24" spans="1:23" ht="15.75" x14ac:dyDescent="0.25">
      <c r="A24" s="61" t="s">
        <v>65</v>
      </c>
      <c r="B24" s="61"/>
      <c r="C24" s="61"/>
      <c r="D24" s="61"/>
      <c r="E24" s="61"/>
      <c r="G24" s="61" t="s">
        <v>65</v>
      </c>
      <c r="H24" s="61"/>
      <c r="I24" s="61"/>
      <c r="J24" s="61"/>
      <c r="K24" s="61"/>
      <c r="L24" s="41"/>
      <c r="M24" s="61" t="s">
        <v>65</v>
      </c>
      <c r="N24" s="61"/>
      <c r="O24" s="61"/>
      <c r="P24" s="61"/>
      <c r="Q24" s="61"/>
      <c r="S24" s="61" t="s">
        <v>65</v>
      </c>
      <c r="T24" s="61"/>
      <c r="U24" s="61"/>
      <c r="V24" s="61"/>
      <c r="W24" s="61"/>
    </row>
    <row r="25" spans="1:23" ht="15.75" x14ac:dyDescent="0.25">
      <c r="A25" s="2"/>
      <c r="B25" s="51"/>
      <c r="C25" s="52"/>
      <c r="D25" s="51"/>
      <c r="E25" s="47"/>
      <c r="G25" s="2"/>
      <c r="H25" s="51"/>
      <c r="I25" s="52"/>
      <c r="J25" s="51"/>
      <c r="K25" s="47"/>
      <c r="L25" s="47"/>
      <c r="M25" s="2"/>
      <c r="N25" s="51"/>
      <c r="O25" s="52"/>
      <c r="P25" s="51"/>
      <c r="Q25" s="47"/>
      <c r="S25" s="2"/>
      <c r="T25" s="51"/>
      <c r="U25" s="52"/>
      <c r="V25" s="51"/>
      <c r="W25" s="47"/>
    </row>
    <row r="26" spans="1:23" ht="15.75" x14ac:dyDescent="0.25">
      <c r="A26" s="2"/>
      <c r="B26" s="42"/>
      <c r="C26" s="53">
        <v>45292</v>
      </c>
      <c r="D26" s="53">
        <v>45383</v>
      </c>
      <c r="E26" s="2"/>
      <c r="G26" s="2"/>
      <c r="H26" s="42"/>
      <c r="I26" s="53">
        <v>45292</v>
      </c>
      <c r="J26" s="53">
        <v>45383</v>
      </c>
      <c r="K26" s="2"/>
      <c r="L26" s="2"/>
      <c r="M26" s="2"/>
      <c r="N26" s="42"/>
      <c r="O26" s="53">
        <v>45292</v>
      </c>
      <c r="P26" s="53">
        <v>45383</v>
      </c>
      <c r="Q26" s="2"/>
      <c r="S26" s="2"/>
      <c r="T26" s="42"/>
      <c r="U26" s="53">
        <v>45292</v>
      </c>
      <c r="V26" s="53">
        <v>45383</v>
      </c>
      <c r="W26" s="2"/>
    </row>
    <row r="27" spans="1:23" ht="15.75" x14ac:dyDescent="0.25">
      <c r="A27" s="2"/>
      <c r="B27" s="54"/>
      <c r="C27" s="54" t="s">
        <v>66</v>
      </c>
      <c r="D27" s="13" t="s">
        <v>52</v>
      </c>
      <c r="E27" s="2"/>
      <c r="G27" s="2"/>
      <c r="H27" s="54"/>
      <c r="I27" s="54" t="s">
        <v>66</v>
      </c>
      <c r="J27" s="13" t="s">
        <v>52</v>
      </c>
      <c r="K27" s="2"/>
      <c r="L27" s="2"/>
      <c r="M27" s="2"/>
      <c r="N27" s="54"/>
      <c r="O27" s="54" t="s">
        <v>66</v>
      </c>
      <c r="P27" s="13" t="s">
        <v>52</v>
      </c>
      <c r="Q27" s="2"/>
      <c r="S27" s="2"/>
      <c r="T27" s="54"/>
      <c r="U27" s="54" t="s">
        <v>66</v>
      </c>
      <c r="V27" s="13" t="s">
        <v>52</v>
      </c>
      <c r="W27" s="2"/>
    </row>
    <row r="28" spans="1:23" ht="15.75" x14ac:dyDescent="0.25">
      <c r="A28" s="2" t="s">
        <v>67</v>
      </c>
      <c r="B28" s="55"/>
      <c r="C28" s="55">
        <v>28.45</v>
      </c>
      <c r="D28" s="55">
        <v>28.45</v>
      </c>
      <c r="E28" s="2"/>
      <c r="G28" s="2" t="s">
        <v>67</v>
      </c>
      <c r="H28" s="55"/>
      <c r="I28" s="55">
        <v>28.45</v>
      </c>
      <c r="J28" s="55">
        <v>28.45</v>
      </c>
      <c r="K28" s="2"/>
      <c r="L28" s="2"/>
      <c r="M28" s="2" t="s">
        <v>67</v>
      </c>
      <c r="N28" s="55"/>
      <c r="O28" s="55">
        <v>112.93</v>
      </c>
      <c r="P28" s="55">
        <v>112.93</v>
      </c>
      <c r="Q28" s="2"/>
      <c r="S28" s="2" t="s">
        <v>67</v>
      </c>
      <c r="T28" s="55"/>
      <c r="U28" s="55">
        <v>224.86</v>
      </c>
      <c r="V28" s="55">
        <v>224.86</v>
      </c>
      <c r="W28" s="2"/>
    </row>
    <row r="29" spans="1:23" ht="15.75" x14ac:dyDescent="0.25">
      <c r="A29" s="2"/>
      <c r="B29" s="55"/>
      <c r="C29" s="55"/>
      <c r="D29" s="55"/>
      <c r="E29" s="2"/>
      <c r="G29" s="2"/>
      <c r="H29" s="55"/>
      <c r="I29" s="55"/>
      <c r="J29" s="55"/>
      <c r="K29" s="2"/>
      <c r="L29" s="2"/>
      <c r="M29" s="2"/>
      <c r="N29" s="55"/>
      <c r="O29" s="55"/>
      <c r="P29" s="55"/>
      <c r="Q29" s="2"/>
      <c r="S29" s="2"/>
      <c r="T29" s="55"/>
      <c r="U29" s="55"/>
      <c r="V29" s="55"/>
      <c r="W29" s="2"/>
    </row>
    <row r="30" spans="1:23" ht="15.75" x14ac:dyDescent="0.25">
      <c r="A30" s="2" t="s">
        <v>68</v>
      </c>
      <c r="B30" s="56"/>
      <c r="C30" s="56">
        <v>0.29403499999999999</v>
      </c>
      <c r="D30" s="56">
        <v>0.29403499999999999</v>
      </c>
      <c r="G30" s="2" t="s">
        <v>68</v>
      </c>
      <c r="H30" s="56"/>
      <c r="I30" s="56">
        <v>0.29403499999999999</v>
      </c>
      <c r="J30" s="56">
        <v>0.29403499999999999</v>
      </c>
      <c r="M30" s="2" t="s">
        <v>69</v>
      </c>
      <c r="N30" s="56"/>
      <c r="O30" s="56">
        <v>0.27125500000000002</v>
      </c>
      <c r="P30" s="56">
        <v>0.27125500000000002</v>
      </c>
      <c r="S30" s="2" t="s">
        <v>70</v>
      </c>
      <c r="T30" s="56"/>
      <c r="U30" s="56">
        <v>0.16849500000000001</v>
      </c>
      <c r="V30" s="56">
        <v>0.16849500000000001</v>
      </c>
    </row>
    <row r="31" spans="1:23" ht="15.75" x14ac:dyDescent="0.25">
      <c r="A31" s="2" t="s">
        <v>71</v>
      </c>
      <c r="B31" s="56"/>
      <c r="C31" s="56">
        <v>0.28824300000000003</v>
      </c>
      <c r="D31" s="56">
        <v>0.28824300000000003</v>
      </c>
      <c r="E31" s="57"/>
      <c r="G31" s="2" t="s">
        <v>71</v>
      </c>
      <c r="H31" s="56"/>
      <c r="I31" s="56">
        <v>0.28824300000000003</v>
      </c>
      <c r="J31" s="56">
        <v>0.28824300000000003</v>
      </c>
      <c r="K31" s="57"/>
      <c r="L31" s="57"/>
      <c r="M31" s="2" t="s">
        <v>72</v>
      </c>
      <c r="N31" s="56"/>
      <c r="O31" s="56">
        <v>0.24413000000000001</v>
      </c>
      <c r="P31" s="56">
        <v>0.24413000000000001</v>
      </c>
      <c r="Q31" s="57"/>
      <c r="S31" s="2"/>
      <c r="T31" s="56"/>
      <c r="U31" s="56"/>
      <c r="V31" s="56"/>
      <c r="W31" s="57"/>
    </row>
    <row r="32" spans="1:23" ht="15.75" x14ac:dyDescent="0.25">
      <c r="A32" s="2" t="s">
        <v>73</v>
      </c>
      <c r="B32" s="56"/>
      <c r="C32" s="56">
        <v>0.27972900000000001</v>
      </c>
      <c r="D32" s="56">
        <v>0.27972900000000001</v>
      </c>
      <c r="E32" s="57"/>
      <c r="G32" s="2" t="s">
        <v>73</v>
      </c>
      <c r="H32" s="56"/>
      <c r="I32" s="56">
        <v>0.27972900000000001</v>
      </c>
      <c r="J32" s="56">
        <v>0.27972900000000001</v>
      </c>
      <c r="K32" s="57"/>
      <c r="L32" s="57"/>
      <c r="M32" s="2" t="s">
        <v>74</v>
      </c>
      <c r="N32" s="56"/>
      <c r="O32" s="56">
        <v>0.23192099999999999</v>
      </c>
      <c r="P32" s="56">
        <v>0.23192099999999999</v>
      </c>
      <c r="Q32" s="57"/>
      <c r="W32" s="57"/>
    </row>
    <row r="33" spans="1:23" ht="15.75" x14ac:dyDescent="0.25">
      <c r="A33" s="2"/>
      <c r="B33" s="56"/>
      <c r="C33" s="56"/>
      <c r="D33" s="56"/>
      <c r="E33" s="57"/>
      <c r="G33" s="2"/>
      <c r="H33" s="56"/>
      <c r="I33" s="56"/>
      <c r="J33" s="56"/>
      <c r="K33" s="57"/>
      <c r="L33" s="57"/>
      <c r="M33" s="2"/>
      <c r="N33" s="56"/>
      <c r="O33" s="56"/>
      <c r="P33" s="56"/>
      <c r="Q33" s="57"/>
      <c r="W33" s="57"/>
    </row>
    <row r="34" spans="1:23" ht="15.75" x14ac:dyDescent="0.25">
      <c r="A34" s="2" t="s">
        <v>75</v>
      </c>
      <c r="B34" s="56"/>
      <c r="C34" s="56">
        <v>1.474E-2</v>
      </c>
      <c r="D34" s="56">
        <v>1.474E-2</v>
      </c>
      <c r="E34" s="57"/>
      <c r="G34" s="2" t="s">
        <v>75</v>
      </c>
      <c r="H34" s="56"/>
      <c r="I34" s="56">
        <v>1.474E-2</v>
      </c>
      <c r="J34" s="56">
        <v>1.474E-2</v>
      </c>
      <c r="K34" s="57"/>
      <c r="L34" s="57"/>
      <c r="M34" s="2" t="s">
        <v>75</v>
      </c>
      <c r="N34" s="56"/>
      <c r="O34" s="56">
        <v>2.92E-2</v>
      </c>
      <c r="P34" s="56">
        <v>2.92E-2</v>
      </c>
      <c r="Q34" s="57"/>
      <c r="S34" s="2" t="s">
        <v>75</v>
      </c>
      <c r="T34" s="56"/>
      <c r="U34" s="56">
        <v>3.5199999999999999E-4</v>
      </c>
      <c r="V34" s="56">
        <v>3.5199999999999999E-4</v>
      </c>
      <c r="W34" s="57"/>
    </row>
    <row r="35" spans="1:23" ht="15.75" x14ac:dyDescent="0.25">
      <c r="A35" s="2" t="s">
        <v>76</v>
      </c>
      <c r="B35" s="56"/>
      <c r="C35" s="56">
        <v>2.6981999999999999E-2</v>
      </c>
      <c r="D35" s="56">
        <v>2.6981999999999999E-2</v>
      </c>
      <c r="E35" s="57"/>
      <c r="G35" s="2" t="s">
        <v>76</v>
      </c>
      <c r="H35" s="56"/>
      <c r="I35" s="56">
        <v>2.6981999999999999E-2</v>
      </c>
      <c r="J35" s="56">
        <v>2.6981999999999999E-2</v>
      </c>
      <c r="K35" s="57"/>
      <c r="L35" s="57"/>
      <c r="M35" s="2" t="s">
        <v>76</v>
      </c>
      <c r="N35" s="56"/>
      <c r="O35" s="56">
        <v>5.6412999999999998E-2</v>
      </c>
      <c r="P35" s="56">
        <v>5.6412999999999998E-2</v>
      </c>
      <c r="Q35" s="57"/>
      <c r="S35" s="2" t="s">
        <v>76</v>
      </c>
      <c r="T35" s="56"/>
      <c r="U35" s="56">
        <v>1.8166000000000002E-2</v>
      </c>
      <c r="V35" s="56">
        <v>1.8166000000000002E-2</v>
      </c>
      <c r="W35" s="57"/>
    </row>
    <row r="36" spans="1:23" ht="15.75" x14ac:dyDescent="0.25">
      <c r="A36" s="2"/>
      <c r="B36" s="56"/>
      <c r="C36" s="56"/>
      <c r="D36" s="56"/>
      <c r="E36" s="57"/>
      <c r="G36" s="2"/>
      <c r="H36" s="56"/>
      <c r="I36" s="56"/>
      <c r="J36" s="56"/>
      <c r="K36" s="57"/>
      <c r="L36" s="57"/>
      <c r="M36" s="2"/>
      <c r="N36" s="56"/>
      <c r="O36" s="56"/>
      <c r="P36" s="56"/>
      <c r="Q36" s="57"/>
      <c r="S36" s="2"/>
      <c r="T36" s="56"/>
      <c r="U36" s="56"/>
      <c r="V36" s="56"/>
      <c r="W36" s="57"/>
    </row>
    <row r="37" spans="1:23" ht="15.75" x14ac:dyDescent="0.25">
      <c r="A37" s="2" t="s">
        <v>77</v>
      </c>
      <c r="B37" s="56"/>
      <c r="C37" s="56">
        <v>1.6330000000000001E-2</v>
      </c>
      <c r="D37" s="56">
        <v>1.6330000000000001E-2</v>
      </c>
      <c r="E37" s="57"/>
      <c r="G37" s="2" t="s">
        <v>77</v>
      </c>
      <c r="H37" s="56"/>
      <c r="I37" s="56">
        <v>1.6330000000000001E-2</v>
      </c>
      <c r="J37" s="56">
        <v>1.6330000000000001E-2</v>
      </c>
      <c r="K37" s="57"/>
      <c r="L37" s="57"/>
      <c r="M37" s="2" t="s">
        <v>77</v>
      </c>
      <c r="N37" s="56"/>
      <c r="O37" s="56">
        <v>9.0900000000000009E-3</v>
      </c>
      <c r="P37" s="56">
        <v>9.0900000000000009E-3</v>
      </c>
      <c r="Q37" s="57"/>
      <c r="S37" s="2" t="s">
        <v>77</v>
      </c>
      <c r="T37" s="56"/>
      <c r="U37" s="56">
        <v>5.5240000000000003E-3</v>
      </c>
      <c r="V37" s="56">
        <v>5.5240000000000003E-3</v>
      </c>
      <c r="W37" s="57"/>
    </row>
    <row r="38" spans="1:23" ht="15.75" x14ac:dyDescent="0.25">
      <c r="A38" s="2" t="s">
        <v>78</v>
      </c>
      <c r="B38" s="56"/>
      <c r="C38" s="56">
        <v>1.727E-3</v>
      </c>
      <c r="D38" s="56">
        <v>1.727E-3</v>
      </c>
      <c r="E38" s="57"/>
      <c r="G38" s="2" t="s">
        <v>78</v>
      </c>
      <c r="H38" s="56"/>
      <c r="I38" s="56">
        <v>1.727E-3</v>
      </c>
      <c r="J38" s="56">
        <v>1.727E-3</v>
      </c>
      <c r="K38" s="57"/>
      <c r="L38" s="57"/>
      <c r="M38" s="2" t="s">
        <v>78</v>
      </c>
      <c r="N38" s="56"/>
      <c r="O38" s="56">
        <v>1.905E-3</v>
      </c>
      <c r="P38" s="56">
        <v>1.905E-3</v>
      </c>
      <c r="Q38" s="57"/>
      <c r="S38" s="2" t="s">
        <v>78</v>
      </c>
      <c r="T38" s="56"/>
      <c r="U38" s="56">
        <v>1.4270000000000001E-3</v>
      </c>
      <c r="V38" s="56">
        <v>1.4270000000000001E-3</v>
      </c>
    </row>
    <row r="39" spans="1:23" ht="15.75" x14ac:dyDescent="0.25">
      <c r="A39" s="2" t="s">
        <v>79</v>
      </c>
      <c r="B39" s="56"/>
      <c r="C39" s="56">
        <v>2.3327000000000001E-2</v>
      </c>
      <c r="D39" s="56">
        <v>2.3327000000000001E-2</v>
      </c>
      <c r="E39" s="57"/>
      <c r="G39" s="2" t="s">
        <v>79</v>
      </c>
      <c r="H39" s="56"/>
      <c r="I39" s="56">
        <v>2.3327000000000001E-2</v>
      </c>
      <c r="J39" s="56">
        <v>2.3327000000000001E-2</v>
      </c>
      <c r="K39" s="57"/>
      <c r="L39" s="57"/>
      <c r="M39" s="2" t="s">
        <v>79</v>
      </c>
      <c r="N39" s="56"/>
      <c r="O39" s="56">
        <v>3.1292E-2</v>
      </c>
      <c r="P39" s="56">
        <v>3.1292E-2</v>
      </c>
      <c r="Q39" s="57"/>
      <c r="S39" s="2" t="s">
        <v>79</v>
      </c>
      <c r="T39" s="56"/>
      <c r="U39" s="56">
        <v>6.0590000000000001E-3</v>
      </c>
      <c r="V39" s="56">
        <v>6.0590000000000001E-3</v>
      </c>
    </row>
    <row r="40" spans="1:23" ht="15.75" x14ac:dyDescent="0.25">
      <c r="A40" s="2" t="s">
        <v>80</v>
      </c>
      <c r="B40" s="56"/>
      <c r="C40" s="56">
        <v>-2.2905999999999999E-2</v>
      </c>
      <c r="D40" s="56">
        <v>-2.2905999999999999E-2</v>
      </c>
      <c r="G40" s="2" t="s">
        <v>80</v>
      </c>
      <c r="H40" s="56"/>
      <c r="I40" s="56">
        <v>-2.2905999999999999E-2</v>
      </c>
      <c r="J40" s="56">
        <v>-2.2905999999999999E-2</v>
      </c>
      <c r="M40" s="2" t="s">
        <v>80</v>
      </c>
      <c r="N40" s="56"/>
      <c r="O40" s="56">
        <v>-3.9875000000000001E-2</v>
      </c>
      <c r="P40" s="56">
        <v>-3.9875000000000001E-2</v>
      </c>
      <c r="S40" s="2" t="s">
        <v>80</v>
      </c>
      <c r="T40" s="56"/>
      <c r="U40" s="56">
        <v>-7.7400000000000004E-3</v>
      </c>
      <c r="V40" s="56">
        <v>-7.7400000000000004E-3</v>
      </c>
    </row>
    <row r="41" spans="1:23" ht="15.75" x14ac:dyDescent="0.25">
      <c r="A41" s="2" t="s">
        <v>81</v>
      </c>
      <c r="B41" s="56"/>
      <c r="C41" s="56">
        <v>-8.9300000000000002E-4</v>
      </c>
      <c r="D41" s="56">
        <v>-8.9300000000000002E-4</v>
      </c>
      <c r="G41" s="2" t="s">
        <v>81</v>
      </c>
      <c r="H41" s="56"/>
      <c r="I41" s="56">
        <v>-8.9300000000000002E-4</v>
      </c>
      <c r="J41" s="56">
        <v>-8.9300000000000002E-4</v>
      </c>
      <c r="M41" s="2" t="s">
        <v>81</v>
      </c>
      <c r="N41" s="56"/>
      <c r="O41" s="56">
        <v>-7.5900000000000002E-4</v>
      </c>
      <c r="P41" s="56">
        <v>-7.5900000000000002E-4</v>
      </c>
      <c r="S41" s="2" t="s">
        <v>81</v>
      </c>
      <c r="T41" s="56"/>
      <c r="U41" s="56">
        <v>-2.9399999999999999E-4</v>
      </c>
      <c r="V41" s="56">
        <v>-2.9399999999999999E-4</v>
      </c>
    </row>
    <row r="42" spans="1:23" ht="15.75" x14ac:dyDescent="0.25">
      <c r="B42" s="56"/>
      <c r="C42" s="56"/>
      <c r="D42" s="56"/>
      <c r="H42" s="56"/>
      <c r="I42" s="56"/>
      <c r="J42" s="56"/>
      <c r="N42" s="56"/>
      <c r="O42" s="56"/>
      <c r="P42" s="56"/>
      <c r="T42" s="56"/>
      <c r="U42" s="56"/>
      <c r="V42" s="56"/>
    </row>
    <row r="43" spans="1:23" ht="15.75" x14ac:dyDescent="0.25">
      <c r="A43" s="2" t="s">
        <v>61</v>
      </c>
      <c r="B43" s="56"/>
      <c r="C43" s="56">
        <v>0.1239</v>
      </c>
      <c r="D43" s="56">
        <v>0.1525</v>
      </c>
      <c r="G43" s="2" t="s">
        <v>61</v>
      </c>
      <c r="H43" s="56"/>
      <c r="I43" s="56">
        <v>0.1239</v>
      </c>
      <c r="J43" s="56">
        <v>0.1525</v>
      </c>
      <c r="M43" s="2" t="s">
        <v>61</v>
      </c>
      <c r="N43" s="56"/>
      <c r="O43" s="56">
        <v>0.1239</v>
      </c>
      <c r="P43" s="56">
        <v>0.1525</v>
      </c>
      <c r="S43" s="2" t="s">
        <v>61</v>
      </c>
      <c r="T43" s="56"/>
      <c r="U43" s="56">
        <v>0.1239</v>
      </c>
      <c r="V43" s="56">
        <v>0.1525</v>
      </c>
    </row>
    <row r="44" spans="1:23" ht="15.75" x14ac:dyDescent="0.25">
      <c r="A44" s="2" t="s">
        <v>62</v>
      </c>
      <c r="B44" s="56"/>
      <c r="C44" s="56">
        <v>1.1E-5</v>
      </c>
      <c r="D44" s="56">
        <v>1.2999999999999999E-5</v>
      </c>
      <c r="G44" s="2" t="s">
        <v>62</v>
      </c>
      <c r="H44" s="56"/>
      <c r="I44" s="56">
        <v>1.1E-5</v>
      </c>
      <c r="J44" s="56">
        <v>1.2999999999999999E-5</v>
      </c>
      <c r="M44" s="2" t="s">
        <v>62</v>
      </c>
      <c r="N44" s="56"/>
      <c r="O44" s="56">
        <v>1.1E-5</v>
      </c>
      <c r="P44" s="56">
        <v>1.2999999999999999E-5</v>
      </c>
      <c r="S44" s="2" t="s">
        <v>62</v>
      </c>
      <c r="T44" s="56"/>
      <c r="U44" s="56">
        <v>1.1E-5</v>
      </c>
      <c r="V44" s="56">
        <v>1.2999999999999999E-5</v>
      </c>
    </row>
    <row r="45" spans="1:23" ht="15.75" x14ac:dyDescent="0.25">
      <c r="A45" s="2"/>
      <c r="B45" s="56"/>
      <c r="C45" s="56"/>
      <c r="D45" s="56"/>
      <c r="G45" s="2"/>
      <c r="H45" s="56"/>
      <c r="I45" s="56"/>
      <c r="J45" s="56"/>
      <c r="M45" s="2"/>
      <c r="N45" s="56"/>
      <c r="O45" s="56"/>
      <c r="P45" s="56"/>
      <c r="S45" s="2"/>
      <c r="T45" s="56"/>
      <c r="U45" s="56"/>
      <c r="V45" s="56"/>
    </row>
    <row r="46" spans="1:23" ht="15.75" x14ac:dyDescent="0.25">
      <c r="A46" s="2" t="s">
        <v>82</v>
      </c>
      <c r="B46" s="56"/>
      <c r="C46" s="56">
        <v>0.15410499999999999</v>
      </c>
      <c r="D46" s="58">
        <v>0.11409999999999999</v>
      </c>
      <c r="G46" s="2" t="s">
        <v>82</v>
      </c>
      <c r="H46" s="56"/>
      <c r="I46" s="56">
        <v>0.15410499999999999</v>
      </c>
      <c r="J46" s="58">
        <f>D46</f>
        <v>0.11409999999999999</v>
      </c>
      <c r="M46" s="2" t="s">
        <v>82</v>
      </c>
      <c r="N46" s="56"/>
      <c r="O46" s="56">
        <v>0.15410499999999999</v>
      </c>
      <c r="P46" s="58">
        <f>D46</f>
        <v>0.11409999999999999</v>
      </c>
      <c r="S46" s="2" t="s">
        <v>82</v>
      </c>
      <c r="T46" s="56"/>
      <c r="U46" s="56">
        <v>0.15410499999999999</v>
      </c>
      <c r="V46" s="58">
        <f>D46</f>
        <v>0.11409999999999999</v>
      </c>
    </row>
  </sheetData>
  <mergeCells count="12">
    <mergeCell ref="A24:E24"/>
    <mergeCell ref="G24:K24"/>
    <mergeCell ref="M24:Q24"/>
    <mergeCell ref="S24:W24"/>
    <mergeCell ref="A3:E3"/>
    <mergeCell ref="G3:K3"/>
    <mergeCell ref="M3:Q3"/>
    <mergeCell ref="S3:W3"/>
    <mergeCell ref="A4:E4"/>
    <mergeCell ref="G4:K4"/>
    <mergeCell ref="M4:Q4"/>
    <mergeCell ref="S4:W4"/>
  </mergeCells>
  <pageMargins left="0.7" right="0.7" top="0.75" bottom="0.75" header="0.3" footer="0.3"/>
  <pageSetup scale="49" fitToWidth="2" orientation="landscape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6YNFE3WTN53P-1194385166-10551</_dlc_DocId>
    <_dlc_DocIdUrl xmlns="2bc3004b-9ad1-483e-becf-bfd5ad8c6084">
      <Url>https://epcorweb/en-ca/departments/natgas/sites/ON/SB/_layouts/15/DocIdRedir.aspx?ID=6YNFE3WTN53P-1194385166-10551</Url>
      <Description>6YNFE3WTN53P-1194385166-10551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cac3c5ea06aeadba8a0343a41d09f264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aa3d95ca76e350689fb0bbaf1a4e0156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61A84-D14C-43CE-9265-34410CD353AB}"/>
</file>

<file path=customXml/itemProps2.xml><?xml version="1.0" encoding="utf-8"?>
<ds:datastoreItem xmlns:ds="http://schemas.openxmlformats.org/officeDocument/2006/customXml" ds:itemID="{021EA7A9-20C2-4052-B142-620046B29807}"/>
</file>

<file path=customXml/itemProps3.xml><?xml version="1.0" encoding="utf-8"?>
<ds:datastoreItem xmlns:ds="http://schemas.openxmlformats.org/officeDocument/2006/customXml" ds:itemID="{9BC23633-26FC-4F8C-A41A-C67396BFDFD6}"/>
</file>

<file path=customXml/itemProps4.xml><?xml version="1.0" encoding="utf-8"?>
<ds:datastoreItem xmlns:ds="http://schemas.openxmlformats.org/officeDocument/2006/customXml" ds:itemID="{CF1D8A3E-FFA8-4992-927A-6DBAB6C06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1A</vt:lpstr>
      <vt:lpstr>STAFF 1G (HV ADJ)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2024-04-25T13:47:17Z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0x010100931E9A510F33B3469141D21BCEB194FE</vt:lpwstr>
  </property>
  <property fmtid="{D5CDD505-2E9C-101B-9397-08002B2CF9AE}" pid="3" name="_dlc_DocIdItemGuid">
    <vt:lpwstr>f227a877-6d12-4bd6-ab4f-d35e6bddf70a</vt:lpwstr>
  </property>
</Properties>
</file>