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mammon3\CostofService\Submission 04262024\word\after submission changes\"/>
    </mc:Choice>
  </mc:AlternateContent>
  <bookViews>
    <workbookView xWindow="0" yWindow="0" windowWidth="19200" windowHeight="5480" activeTab="1"/>
  </bookViews>
  <sheets>
    <sheet name="Sheet1" sheetId="1" r:id="rId1"/>
    <sheet name="1592.001 - Correction" sheetId="2" r:id="rId2"/>
  </sheets>
  <externalReferences>
    <externalReference r:id="rId3"/>
    <externalReference r:id="rId4"/>
    <externalReference r:id="rId5"/>
    <externalReference r:id="rId6"/>
  </externalReferences>
  <definedNames>
    <definedName name="EBNUMBER">'[1]LDC Info'!$E$16</definedName>
    <definedName name="RebaseYear">'[1]LDC Info'!$E$28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2" l="1"/>
  <c r="D8" i="2" s="1"/>
  <c r="C8" i="2"/>
  <c r="F17" i="2"/>
  <c r="F18" i="2"/>
  <c r="B19" i="2"/>
  <c r="F19" i="2"/>
  <c r="B20" i="2"/>
  <c r="I21" i="2"/>
  <c r="J21" i="2"/>
  <c r="K21" i="2"/>
  <c r="D23" i="2"/>
  <c r="I23" i="2"/>
  <c r="J23" i="2"/>
  <c r="D24" i="2"/>
  <c r="A24" i="2" s="1"/>
  <c r="J25" i="2"/>
  <c r="F34" i="2"/>
  <c r="F35" i="2"/>
  <c r="F36" i="2"/>
  <c r="F37" i="2"/>
  <c r="F38" i="2"/>
  <c r="F39" i="2"/>
  <c r="F40" i="2"/>
  <c r="F41" i="2"/>
  <c r="F42" i="2"/>
  <c r="F43" i="2"/>
  <c r="F44" i="2"/>
  <c r="B45" i="2"/>
  <c r="F45" i="2"/>
  <c r="B46" i="2"/>
  <c r="J51" i="2" s="1"/>
  <c r="I51" i="2" s="1"/>
  <c r="F66" i="2"/>
  <c r="F67" i="2"/>
  <c r="F68" i="2"/>
  <c r="F69" i="2"/>
  <c r="F70" i="2"/>
  <c r="F71" i="2"/>
  <c r="F72" i="2"/>
  <c r="F73" i="2"/>
  <c r="F74" i="2"/>
  <c r="F75" i="2"/>
  <c r="F76" i="2"/>
  <c r="B77" i="2"/>
  <c r="F77" i="2"/>
  <c r="B78" i="2"/>
  <c r="I83" i="2" s="1"/>
  <c r="H83" i="2" s="1"/>
  <c r="B109" i="2"/>
  <c r="B110" i="2"/>
  <c r="I115" i="2"/>
  <c r="H115" i="2" s="1"/>
  <c r="H116" i="2"/>
  <c r="J116" i="2"/>
  <c r="F128" i="2"/>
  <c r="F129" i="2"/>
  <c r="F130" i="2"/>
  <c r="F131" i="2"/>
  <c r="F132" i="2"/>
  <c r="F133" i="2"/>
  <c r="F134" i="2"/>
  <c r="F135" i="2"/>
  <c r="F136" i="2"/>
  <c r="F137" i="2"/>
  <c r="F138" i="2"/>
  <c r="B139" i="2"/>
  <c r="B140" i="2" s="1"/>
  <c r="I145" i="2" s="1"/>
  <c r="H145" i="2" s="1"/>
  <c r="F139" i="2"/>
  <c r="H20" i="1"/>
  <c r="D123" i="1"/>
  <c r="D124" i="1"/>
  <c r="E8" i="2" l="1"/>
  <c r="B24" i="2"/>
  <c r="Q165" i="1"/>
  <c r="N146" i="1"/>
  <c r="N163" i="1"/>
  <c r="N162" i="1"/>
  <c r="N161" i="1"/>
  <c r="N159" i="1"/>
  <c r="N158" i="1"/>
  <c r="N157" i="1"/>
  <c r="N156" i="1"/>
  <c r="N155" i="1"/>
  <c r="N154" i="1"/>
  <c r="N153" i="1"/>
  <c r="N152" i="1"/>
  <c r="N148" i="1"/>
  <c r="N147" i="1"/>
  <c r="N145" i="1"/>
  <c r="H163" i="1"/>
  <c r="H146" i="1"/>
  <c r="H147" i="1"/>
  <c r="H148" i="1"/>
  <c r="H154" i="1"/>
  <c r="H155" i="1"/>
  <c r="H156" i="1"/>
  <c r="H157" i="1"/>
  <c r="H158" i="1"/>
  <c r="H159" i="1"/>
  <c r="H160" i="1"/>
  <c r="H161" i="1"/>
  <c r="H162" i="1"/>
  <c r="H145" i="1"/>
  <c r="D159" i="1"/>
  <c r="D151" i="1"/>
  <c r="D150" i="1"/>
  <c r="D149" i="1"/>
  <c r="N127" i="1"/>
  <c r="N126" i="1"/>
  <c r="D133" i="1"/>
  <c r="I133" i="1" s="1"/>
  <c r="D125" i="1"/>
  <c r="I123" i="1"/>
  <c r="N101" i="1"/>
  <c r="N100" i="1"/>
  <c r="S100" i="1" s="1"/>
  <c r="S101" i="1"/>
  <c r="N78" i="1"/>
  <c r="C82" i="1"/>
  <c r="N20" i="1"/>
  <c r="N29" i="1"/>
  <c r="B137" i="1"/>
  <c r="N137" i="1" s="1"/>
  <c r="B43" i="1"/>
  <c r="N15" i="1"/>
  <c r="I15" i="1"/>
  <c r="S153" i="1"/>
  <c r="S152" i="1"/>
  <c r="N71" i="1"/>
  <c r="N70" i="1"/>
  <c r="S70" i="1" s="1"/>
  <c r="N46" i="1"/>
  <c r="S46" i="1" s="1"/>
  <c r="N45" i="1"/>
  <c r="I163" i="1"/>
  <c r="I162" i="1"/>
  <c r="I161" i="1"/>
  <c r="I160" i="1"/>
  <c r="I159" i="1"/>
  <c r="I158" i="1"/>
  <c r="I157" i="1"/>
  <c r="I156" i="1"/>
  <c r="I155" i="1"/>
  <c r="I154" i="1"/>
  <c r="I153" i="1"/>
  <c r="I150" i="1"/>
  <c r="I149" i="1"/>
  <c r="I148" i="1"/>
  <c r="I147" i="1"/>
  <c r="I146" i="1"/>
  <c r="I145" i="1"/>
  <c r="I137" i="1"/>
  <c r="I136" i="1"/>
  <c r="I135" i="1"/>
  <c r="I134" i="1"/>
  <c r="I132" i="1"/>
  <c r="I131" i="1"/>
  <c r="I130" i="1"/>
  <c r="I129" i="1"/>
  <c r="I128" i="1"/>
  <c r="I127" i="1"/>
  <c r="I124" i="1"/>
  <c r="I122" i="1"/>
  <c r="I121" i="1"/>
  <c r="I120" i="1"/>
  <c r="I119" i="1"/>
  <c r="I110" i="1"/>
  <c r="I109" i="1"/>
  <c r="I108" i="1"/>
  <c r="I107" i="1"/>
  <c r="I106" i="1"/>
  <c r="I105" i="1"/>
  <c r="I104" i="1"/>
  <c r="I103" i="1"/>
  <c r="I102" i="1"/>
  <c r="I101" i="1"/>
  <c r="I98" i="1"/>
  <c r="I97" i="1"/>
  <c r="I96" i="1"/>
  <c r="I95" i="1"/>
  <c r="I94" i="1"/>
  <c r="I93" i="1"/>
  <c r="I80" i="1"/>
  <c r="I79" i="1"/>
  <c r="I78" i="1"/>
  <c r="I77" i="1"/>
  <c r="I76" i="1"/>
  <c r="I75" i="1"/>
  <c r="I74" i="1"/>
  <c r="I73" i="1"/>
  <c r="I72" i="1"/>
  <c r="I71" i="1"/>
  <c r="I68" i="1"/>
  <c r="I67" i="1"/>
  <c r="I66" i="1"/>
  <c r="I65" i="1"/>
  <c r="I64" i="1"/>
  <c r="I63" i="1"/>
  <c r="I55" i="1"/>
  <c r="I54" i="1"/>
  <c r="I53" i="1"/>
  <c r="I52" i="1"/>
  <c r="I51" i="1"/>
  <c r="I50" i="1"/>
  <c r="I49" i="1"/>
  <c r="I48" i="1"/>
  <c r="I47" i="1"/>
  <c r="I46" i="1"/>
  <c r="I43" i="1"/>
  <c r="I42" i="1"/>
  <c r="I41" i="1"/>
  <c r="I40" i="1"/>
  <c r="I39" i="1"/>
  <c r="I38" i="1"/>
  <c r="H31" i="1"/>
  <c r="J31" i="1" s="1"/>
  <c r="H30" i="1"/>
  <c r="J30" i="1" s="1"/>
  <c r="H29" i="1"/>
  <c r="J29" i="1" s="1"/>
  <c r="H28" i="1"/>
  <c r="J28" i="1" s="1"/>
  <c r="H27" i="1"/>
  <c r="J27" i="1" s="1"/>
  <c r="H26" i="1"/>
  <c r="H25" i="1"/>
  <c r="J25" i="1" s="1"/>
  <c r="H24" i="1"/>
  <c r="J24" i="1" s="1"/>
  <c r="H23" i="1"/>
  <c r="J23" i="1" s="1"/>
  <c r="H22" i="1"/>
  <c r="J22" i="1" s="1"/>
  <c r="H21" i="1"/>
  <c r="J21" i="1" s="1"/>
  <c r="J20" i="1"/>
  <c r="H19" i="1"/>
  <c r="J19" i="1" s="1"/>
  <c r="H18" i="1"/>
  <c r="J18" i="1" s="1"/>
  <c r="H17" i="1"/>
  <c r="H16" i="1"/>
  <c r="H15" i="1"/>
  <c r="J15" i="1" s="1"/>
  <c r="H14" i="1"/>
  <c r="J14" i="1" s="1"/>
  <c r="M82" i="1"/>
  <c r="L82" i="1"/>
  <c r="K82" i="1"/>
  <c r="G82" i="1"/>
  <c r="F82" i="1"/>
  <c r="E82" i="1"/>
  <c r="D82" i="1"/>
  <c r="M113" i="1"/>
  <c r="L113" i="1"/>
  <c r="K113" i="1"/>
  <c r="G113" i="1"/>
  <c r="F113" i="1"/>
  <c r="E113" i="1"/>
  <c r="D113" i="1"/>
  <c r="C113" i="1"/>
  <c r="M165" i="1"/>
  <c r="L165" i="1"/>
  <c r="K165" i="1"/>
  <c r="G165" i="1"/>
  <c r="F165" i="1"/>
  <c r="E165" i="1"/>
  <c r="D165" i="1"/>
  <c r="C165" i="1"/>
  <c r="M57" i="1"/>
  <c r="L57" i="1"/>
  <c r="K57" i="1"/>
  <c r="G57" i="1"/>
  <c r="F57" i="1"/>
  <c r="E57" i="1"/>
  <c r="D57" i="1"/>
  <c r="C57" i="1"/>
  <c r="N22" i="1"/>
  <c r="N21" i="1"/>
  <c r="N16" i="1"/>
  <c r="N17" i="1"/>
  <c r="N18" i="1"/>
  <c r="S18" i="1" s="1"/>
  <c r="N19" i="1"/>
  <c r="S19" i="1" s="1"/>
  <c r="S22" i="1"/>
  <c r="N23" i="1"/>
  <c r="S23" i="1" s="1"/>
  <c r="N24" i="1"/>
  <c r="N25" i="1"/>
  <c r="S25" i="1" s="1"/>
  <c r="N26" i="1"/>
  <c r="S26" i="1" s="1"/>
  <c r="N27" i="1"/>
  <c r="S27" i="1" s="1"/>
  <c r="N28" i="1"/>
  <c r="N30" i="1"/>
  <c r="N31" i="1"/>
  <c r="S31" i="1" s="1"/>
  <c r="N14" i="1"/>
  <c r="S14" i="1" s="1"/>
  <c r="I28" i="1"/>
  <c r="I26" i="1"/>
  <c r="I27" i="1"/>
  <c r="I29" i="1"/>
  <c r="I30" i="1"/>
  <c r="I31" i="1"/>
  <c r="I25" i="1"/>
  <c r="I24" i="1"/>
  <c r="I23" i="1"/>
  <c r="I22" i="1"/>
  <c r="I19" i="1"/>
  <c r="O19" i="1"/>
  <c r="I18" i="1"/>
  <c r="I17" i="1"/>
  <c r="I16" i="1"/>
  <c r="I14" i="1"/>
  <c r="C33" i="1"/>
  <c r="D33" i="1"/>
  <c r="E33" i="1"/>
  <c r="F33" i="1"/>
  <c r="G33" i="1"/>
  <c r="K33" i="1"/>
  <c r="L33" i="1"/>
  <c r="M33" i="1"/>
  <c r="B33" i="1"/>
  <c r="S15" i="1"/>
  <c r="S71" i="1"/>
  <c r="C9" i="2" l="1"/>
  <c r="E9" i="2"/>
  <c r="I165" i="1"/>
  <c r="O17" i="1"/>
  <c r="J17" i="1"/>
  <c r="O20" i="1"/>
  <c r="H137" i="1"/>
  <c r="J137" i="1" s="1"/>
  <c r="O29" i="1"/>
  <c r="B53" i="1" s="1"/>
  <c r="O16" i="1"/>
  <c r="I57" i="1"/>
  <c r="I82" i="1"/>
  <c r="J16" i="1"/>
  <c r="O26" i="1"/>
  <c r="J26" i="1"/>
  <c r="I113" i="1"/>
  <c r="N43" i="1"/>
  <c r="S53" i="1"/>
  <c r="S45" i="1"/>
  <c r="O15" i="1"/>
  <c r="O24" i="1"/>
  <c r="O28" i="1"/>
  <c r="O31" i="1"/>
  <c r="O23" i="1"/>
  <c r="O27" i="1"/>
  <c r="S29" i="1"/>
  <c r="O14" i="1"/>
  <c r="B38" i="1" s="1"/>
  <c r="N38" i="1" s="1"/>
  <c r="S38" i="1" s="1"/>
  <c r="O21" i="1"/>
  <c r="O30" i="1"/>
  <c r="S30" i="1"/>
  <c r="S16" i="1"/>
  <c r="S24" i="1"/>
  <c r="O18" i="1"/>
  <c r="O22" i="1"/>
  <c r="N33" i="1"/>
  <c r="S20" i="1"/>
  <c r="S28" i="1"/>
  <c r="S21" i="1"/>
  <c r="O25" i="1"/>
  <c r="S17" i="1"/>
  <c r="I33" i="1"/>
  <c r="H33" i="1"/>
  <c r="E10" i="2" l="1"/>
  <c r="C10" i="2"/>
  <c r="D9" i="2"/>
  <c r="D10" i="2" s="1"/>
  <c r="B47" i="1"/>
  <c r="N47" i="1" s="1"/>
  <c r="S47" i="1" s="1"/>
  <c r="B49" i="1"/>
  <c r="N49" i="1" s="1"/>
  <c r="S49" i="1" s="1"/>
  <c r="B55" i="1"/>
  <c r="O137" i="1"/>
  <c r="B163" i="1" s="1"/>
  <c r="S163" i="1" s="1"/>
  <c r="H39" i="1"/>
  <c r="B40" i="1"/>
  <c r="N40" i="1" s="1"/>
  <c r="S40" i="1" s="1"/>
  <c r="B52" i="1"/>
  <c r="H53" i="1"/>
  <c r="B54" i="1"/>
  <c r="N54" i="1" s="1"/>
  <c r="S54" i="1" s="1"/>
  <c r="H47" i="1"/>
  <c r="B48" i="1"/>
  <c r="N48" i="1" s="1"/>
  <c r="S48" i="1" s="1"/>
  <c r="H44" i="1"/>
  <c r="B45" i="1"/>
  <c r="H38" i="1"/>
  <c r="B39" i="1"/>
  <c r="N39" i="1" s="1"/>
  <c r="S39" i="1" s="1"/>
  <c r="H43" i="1"/>
  <c r="J43" i="1" s="1"/>
  <c r="B44" i="1"/>
  <c r="N44" i="1" s="1"/>
  <c r="S44" i="1" s="1"/>
  <c r="H49" i="1"/>
  <c r="B50" i="1"/>
  <c r="N50" i="1" s="1"/>
  <c r="S50" i="1" s="1"/>
  <c r="H45" i="1"/>
  <c r="B46" i="1"/>
  <c r="H46" i="1" s="1"/>
  <c r="J33" i="1"/>
  <c r="H41" i="1"/>
  <c r="B42" i="1"/>
  <c r="B51" i="1"/>
  <c r="N51" i="1" s="1"/>
  <c r="S51" i="1" s="1"/>
  <c r="H40" i="1"/>
  <c r="B41" i="1"/>
  <c r="N41" i="1" s="1"/>
  <c r="S41" i="1" s="1"/>
  <c r="H52" i="1"/>
  <c r="N52" i="1"/>
  <c r="O43" i="1"/>
  <c r="B68" i="1" s="1"/>
  <c r="H68" i="1" s="1"/>
  <c r="J68" i="1" s="1"/>
  <c r="S43" i="1"/>
  <c r="S33" i="1"/>
  <c r="S34" i="1" s="1"/>
  <c r="S35" i="1" s="1"/>
  <c r="I171" i="1" s="1"/>
  <c r="O33" i="1"/>
  <c r="C11" i="2" l="1"/>
  <c r="E11" i="2"/>
  <c r="O46" i="1"/>
  <c r="B71" i="1" s="1"/>
  <c r="J46" i="1"/>
  <c r="J40" i="1"/>
  <c r="O40" i="1"/>
  <c r="B65" i="1" s="1"/>
  <c r="O45" i="1"/>
  <c r="B70" i="1" s="1"/>
  <c r="J45" i="1"/>
  <c r="O44" i="1"/>
  <c r="B69" i="1" s="1"/>
  <c r="J44" i="1"/>
  <c r="J39" i="1"/>
  <c r="O39" i="1"/>
  <c r="B64" i="1" s="1"/>
  <c r="J49" i="1"/>
  <c r="O49" i="1"/>
  <c r="B74" i="1" s="1"/>
  <c r="O47" i="1"/>
  <c r="J47" i="1"/>
  <c r="N55" i="1"/>
  <c r="H55" i="1"/>
  <c r="J55" i="1" s="1"/>
  <c r="H50" i="1"/>
  <c r="H54" i="1"/>
  <c r="N42" i="1"/>
  <c r="H42" i="1"/>
  <c r="J53" i="1"/>
  <c r="O53" i="1"/>
  <c r="B78" i="1" s="1"/>
  <c r="H78" i="1" s="1"/>
  <c r="J163" i="1"/>
  <c r="O41" i="1"/>
  <c r="B66" i="1" s="1"/>
  <c r="J41" i="1"/>
  <c r="H48" i="1"/>
  <c r="B57" i="1"/>
  <c r="N68" i="1"/>
  <c r="O68" i="1" s="1"/>
  <c r="B98" i="1" s="1"/>
  <c r="O38" i="1"/>
  <c r="J38" i="1"/>
  <c r="H51" i="1"/>
  <c r="J52" i="1"/>
  <c r="S78" i="1"/>
  <c r="O52" i="1"/>
  <c r="B77" i="1" s="1"/>
  <c r="S52" i="1"/>
  <c r="C12" i="2" l="1"/>
  <c r="E12" i="2"/>
  <c r="D11" i="2"/>
  <c r="H98" i="1"/>
  <c r="N98" i="1"/>
  <c r="J78" i="1"/>
  <c r="O78" i="1"/>
  <c r="B108" i="1" s="1"/>
  <c r="H108" i="1" s="1"/>
  <c r="O51" i="1"/>
  <c r="B76" i="1" s="1"/>
  <c r="J51" i="1"/>
  <c r="O55" i="1"/>
  <c r="B80" i="1" s="1"/>
  <c r="S55" i="1"/>
  <c r="H69" i="1"/>
  <c r="N69" i="1"/>
  <c r="S69" i="1" s="1"/>
  <c r="B63" i="1"/>
  <c r="H70" i="1"/>
  <c r="B72" i="1"/>
  <c r="H77" i="1"/>
  <c r="N77" i="1"/>
  <c r="S77" i="1" s="1"/>
  <c r="S68" i="1"/>
  <c r="O163" i="1"/>
  <c r="O42" i="1"/>
  <c r="B67" i="1" s="1"/>
  <c r="J42" i="1"/>
  <c r="H74" i="1"/>
  <c r="N74" i="1"/>
  <c r="S74" i="1" s="1"/>
  <c r="H65" i="1"/>
  <c r="N65" i="1"/>
  <c r="S65" i="1" s="1"/>
  <c r="O48" i="1"/>
  <c r="J48" i="1"/>
  <c r="S42" i="1"/>
  <c r="S57" i="1" s="1"/>
  <c r="S58" i="1" s="1"/>
  <c r="S59" i="1" s="1"/>
  <c r="I172" i="1" s="1"/>
  <c r="N57" i="1"/>
  <c r="O54" i="1"/>
  <c r="B79" i="1" s="1"/>
  <c r="J54" i="1"/>
  <c r="N64" i="1"/>
  <c r="S64" i="1" s="1"/>
  <c r="H64" i="1"/>
  <c r="H57" i="1"/>
  <c r="O50" i="1"/>
  <c r="B75" i="1" s="1"/>
  <c r="J50" i="1"/>
  <c r="J57" i="1" s="1"/>
  <c r="S108" i="1"/>
  <c r="J108" i="1"/>
  <c r="H75" i="1"/>
  <c r="J75" i="1" s="1"/>
  <c r="N75" i="1"/>
  <c r="H80" i="1"/>
  <c r="J80" i="1" s="1"/>
  <c r="N80" i="1"/>
  <c r="H66" i="1"/>
  <c r="J66" i="1" s="1"/>
  <c r="N66" i="1"/>
  <c r="D12" i="2" l="1"/>
  <c r="C13" i="2"/>
  <c r="E13" i="2"/>
  <c r="J65" i="1"/>
  <c r="O65" i="1"/>
  <c r="B95" i="1" s="1"/>
  <c r="J77" i="1"/>
  <c r="O77" i="1"/>
  <c r="N79" i="1"/>
  <c r="S79" i="1" s="1"/>
  <c r="H79" i="1"/>
  <c r="H72" i="1"/>
  <c r="N72" i="1"/>
  <c r="S72" i="1" s="1"/>
  <c r="J74" i="1"/>
  <c r="O74" i="1"/>
  <c r="B104" i="1" s="1"/>
  <c r="O70" i="1"/>
  <c r="B100" i="1" s="1"/>
  <c r="H100" i="1" s="1"/>
  <c r="J100" i="1" s="1"/>
  <c r="J70" i="1"/>
  <c r="H76" i="1"/>
  <c r="N76" i="1"/>
  <c r="S76" i="1" s="1"/>
  <c r="O57" i="1"/>
  <c r="H67" i="1"/>
  <c r="N67" i="1"/>
  <c r="S67" i="1" s="1"/>
  <c r="N63" i="1"/>
  <c r="S63" i="1" s="1"/>
  <c r="H63" i="1"/>
  <c r="J64" i="1"/>
  <c r="O64" i="1"/>
  <c r="B94" i="1" s="1"/>
  <c r="H71" i="1"/>
  <c r="B73" i="1"/>
  <c r="J69" i="1"/>
  <c r="O69" i="1"/>
  <c r="B99" i="1" s="1"/>
  <c r="O108" i="1"/>
  <c r="B134" i="1" s="1"/>
  <c r="H134" i="1" s="1"/>
  <c r="O75" i="1"/>
  <c r="B105" i="1" s="1"/>
  <c r="S75" i="1"/>
  <c r="O66" i="1"/>
  <c r="B96" i="1" s="1"/>
  <c r="S66" i="1"/>
  <c r="O80" i="1"/>
  <c r="B110" i="1" s="1"/>
  <c r="S80" i="1"/>
  <c r="C14" i="2" l="1"/>
  <c r="E14" i="2"/>
  <c r="D13" i="2"/>
  <c r="D14" i="2" s="1"/>
  <c r="J72" i="1"/>
  <c r="O72" i="1"/>
  <c r="B102" i="1" s="1"/>
  <c r="J67" i="1"/>
  <c r="O67" i="1"/>
  <c r="B97" i="1" s="1"/>
  <c r="O79" i="1"/>
  <c r="B109" i="1" s="1"/>
  <c r="J79" i="1"/>
  <c r="H82" i="1"/>
  <c r="N94" i="1"/>
  <c r="S94" i="1" s="1"/>
  <c r="H94" i="1"/>
  <c r="J76" i="1"/>
  <c r="O76" i="1"/>
  <c r="B106" i="1" s="1"/>
  <c r="O71" i="1"/>
  <c r="B101" i="1" s="1"/>
  <c r="H101" i="1" s="1"/>
  <c r="J71" i="1"/>
  <c r="O100" i="1"/>
  <c r="B126" i="1" s="1"/>
  <c r="H126" i="1" s="1"/>
  <c r="B107" i="1"/>
  <c r="J63" i="1"/>
  <c r="O63" i="1"/>
  <c r="B93" i="1" s="1"/>
  <c r="H105" i="1"/>
  <c r="J105" i="1" s="1"/>
  <c r="N105" i="1"/>
  <c r="H73" i="1"/>
  <c r="N73" i="1"/>
  <c r="S73" i="1" s="1"/>
  <c r="B82" i="1"/>
  <c r="N110" i="1"/>
  <c r="S110" i="1" s="1"/>
  <c r="H110" i="1"/>
  <c r="N96" i="1"/>
  <c r="S96" i="1" s="1"/>
  <c r="H96" i="1"/>
  <c r="N104" i="1"/>
  <c r="S104" i="1" s="1"/>
  <c r="H104" i="1"/>
  <c r="H95" i="1"/>
  <c r="N95" i="1"/>
  <c r="S95" i="1" s="1"/>
  <c r="N82" i="1"/>
  <c r="H99" i="1"/>
  <c r="N99" i="1"/>
  <c r="S99" i="1" s="1"/>
  <c r="J98" i="1"/>
  <c r="S98" i="1"/>
  <c r="S82" i="1"/>
  <c r="S83" i="1" s="1"/>
  <c r="S84" i="1" s="1"/>
  <c r="I173" i="1" s="1"/>
  <c r="E15" i="2" l="1"/>
  <c r="C15" i="2"/>
  <c r="D15" i="2"/>
  <c r="J110" i="1"/>
  <c r="O110" i="1"/>
  <c r="B136" i="1" s="1"/>
  <c r="H107" i="1"/>
  <c r="N107" i="1"/>
  <c r="S107" i="1" s="1"/>
  <c r="J95" i="1"/>
  <c r="O95" i="1"/>
  <c r="B121" i="1" s="1"/>
  <c r="H109" i="1"/>
  <c r="N109" i="1"/>
  <c r="S109" i="1" s="1"/>
  <c r="J104" i="1"/>
  <c r="O104" i="1"/>
  <c r="B130" i="1" s="1"/>
  <c r="J73" i="1"/>
  <c r="J82" i="1" s="1"/>
  <c r="O73" i="1"/>
  <c r="J101" i="1"/>
  <c r="O101" i="1"/>
  <c r="B127" i="1" s="1"/>
  <c r="H127" i="1" s="1"/>
  <c r="N97" i="1"/>
  <c r="S97" i="1" s="1"/>
  <c r="H97" i="1"/>
  <c r="N106" i="1"/>
  <c r="S106" i="1" s="1"/>
  <c r="H106" i="1"/>
  <c r="J96" i="1"/>
  <c r="O96" i="1"/>
  <c r="B122" i="1" s="1"/>
  <c r="N102" i="1"/>
  <c r="S102" i="1" s="1"/>
  <c r="H102" i="1"/>
  <c r="J99" i="1"/>
  <c r="O99" i="1"/>
  <c r="B125" i="1" s="1"/>
  <c r="H93" i="1"/>
  <c r="N93" i="1"/>
  <c r="S93" i="1" s="1"/>
  <c r="J94" i="1"/>
  <c r="O94" i="1"/>
  <c r="B120" i="1" s="1"/>
  <c r="O134" i="1"/>
  <c r="B160" i="1" s="1"/>
  <c r="J134" i="1"/>
  <c r="O98" i="1"/>
  <c r="B124" i="1" s="1"/>
  <c r="C16" i="2" l="1"/>
  <c r="D16" i="2" s="1"/>
  <c r="E16" i="2"/>
  <c r="H121" i="1"/>
  <c r="J121" i="1" s="1"/>
  <c r="N121" i="1"/>
  <c r="N120" i="1"/>
  <c r="H120" i="1"/>
  <c r="N122" i="1"/>
  <c r="H122" i="1"/>
  <c r="O122" i="1" s="1"/>
  <c r="B148" i="1" s="1"/>
  <c r="B103" i="1"/>
  <c r="O82" i="1"/>
  <c r="J127" i="1"/>
  <c r="O127" i="1"/>
  <c r="B153" i="1" s="1"/>
  <c r="H153" i="1" s="1"/>
  <c r="N124" i="1"/>
  <c r="H124" i="1"/>
  <c r="J106" i="1"/>
  <c r="O106" i="1"/>
  <c r="B132" i="1" s="1"/>
  <c r="N130" i="1"/>
  <c r="H130" i="1"/>
  <c r="O107" i="1"/>
  <c r="B133" i="1" s="1"/>
  <c r="J107" i="1"/>
  <c r="J93" i="1"/>
  <c r="O93" i="1"/>
  <c r="B119" i="1" s="1"/>
  <c r="H136" i="1"/>
  <c r="N136" i="1"/>
  <c r="J109" i="1"/>
  <c r="O109" i="1"/>
  <c r="B135" i="1" s="1"/>
  <c r="H125" i="1"/>
  <c r="O125" i="1" s="1"/>
  <c r="B151" i="1" s="1"/>
  <c r="N125" i="1"/>
  <c r="J97" i="1"/>
  <c r="O97" i="1"/>
  <c r="B123" i="1" s="1"/>
  <c r="J102" i="1"/>
  <c r="O102" i="1"/>
  <c r="B128" i="1" s="1"/>
  <c r="J160" i="1"/>
  <c r="S160" i="1"/>
  <c r="O121" i="1"/>
  <c r="B147" i="1" s="1"/>
  <c r="O105" i="1"/>
  <c r="B131" i="1" s="1"/>
  <c r="S105" i="1"/>
  <c r="C17" i="2" l="1"/>
  <c r="D17" i="2" s="1"/>
  <c r="E17" i="2"/>
  <c r="N151" i="1"/>
  <c r="H151" i="1"/>
  <c r="N128" i="1"/>
  <c r="H128" i="1"/>
  <c r="H103" i="1"/>
  <c r="N103" i="1"/>
  <c r="N132" i="1"/>
  <c r="H132" i="1"/>
  <c r="S148" i="1"/>
  <c r="H123" i="1"/>
  <c r="N123" i="1"/>
  <c r="N119" i="1"/>
  <c r="H119" i="1"/>
  <c r="J122" i="1"/>
  <c r="J120" i="1"/>
  <c r="O120" i="1"/>
  <c r="B146" i="1" s="1"/>
  <c r="J125" i="1"/>
  <c r="O153" i="1"/>
  <c r="J153" i="1"/>
  <c r="H131" i="1"/>
  <c r="J131" i="1" s="1"/>
  <c r="N131" i="1"/>
  <c r="H133" i="1"/>
  <c r="N133" i="1"/>
  <c r="N135" i="1"/>
  <c r="H135" i="1"/>
  <c r="O130" i="1"/>
  <c r="B156" i="1" s="1"/>
  <c r="J130" i="1"/>
  <c r="B113" i="1"/>
  <c r="O126" i="1"/>
  <c r="B152" i="1" s="1"/>
  <c r="H152" i="1" s="1"/>
  <c r="J126" i="1"/>
  <c r="S147" i="1"/>
  <c r="J124" i="1"/>
  <c r="O124" i="1"/>
  <c r="B150" i="1" s="1"/>
  <c r="O160" i="1"/>
  <c r="J128" i="1"/>
  <c r="O128" i="1"/>
  <c r="B154" i="1" s="1"/>
  <c r="C18" i="2" l="1"/>
  <c r="D18" i="2" s="1"/>
  <c r="E18" i="2"/>
  <c r="N150" i="1"/>
  <c r="S150" i="1" s="1"/>
  <c r="H150" i="1"/>
  <c r="J133" i="1"/>
  <c r="O133" i="1"/>
  <c r="B159" i="1" s="1"/>
  <c r="J148" i="1"/>
  <c r="O148" i="1"/>
  <c r="J132" i="1"/>
  <c r="O132" i="1"/>
  <c r="B158" i="1" s="1"/>
  <c r="S156" i="1"/>
  <c r="J119" i="1"/>
  <c r="O119" i="1"/>
  <c r="B145" i="1" s="1"/>
  <c r="S103" i="1"/>
  <c r="S113" i="1" s="1"/>
  <c r="S114" i="1" s="1"/>
  <c r="S115" i="1" s="1"/>
  <c r="I174" i="1" s="1"/>
  <c r="N113" i="1"/>
  <c r="J135" i="1"/>
  <c r="O135" i="1"/>
  <c r="B161" i="1" s="1"/>
  <c r="J103" i="1"/>
  <c r="J113" i="1" s="1"/>
  <c r="O103" i="1"/>
  <c r="H113" i="1"/>
  <c r="S146" i="1"/>
  <c r="J123" i="1"/>
  <c r="O123" i="1"/>
  <c r="B149" i="1" s="1"/>
  <c r="J147" i="1"/>
  <c r="O147" i="1"/>
  <c r="O131" i="1"/>
  <c r="B157" i="1" s="1"/>
  <c r="S154" i="1"/>
  <c r="J136" i="1"/>
  <c r="J151" i="1"/>
  <c r="S151" i="1"/>
  <c r="C19" i="2" l="1"/>
  <c r="C20" i="2" s="1"/>
  <c r="E19" i="2"/>
  <c r="E33" i="2" s="1"/>
  <c r="N149" i="1"/>
  <c r="H149" i="1"/>
  <c r="B129" i="1"/>
  <c r="O113" i="1"/>
  <c r="O156" i="1"/>
  <c r="J156" i="1"/>
  <c r="S161" i="1"/>
  <c r="S158" i="1"/>
  <c r="S149" i="1"/>
  <c r="O146" i="1"/>
  <c r="J146" i="1"/>
  <c r="S145" i="1"/>
  <c r="J154" i="1"/>
  <c r="O154" i="1"/>
  <c r="O152" i="1"/>
  <c r="J152" i="1"/>
  <c r="S157" i="1"/>
  <c r="J150" i="1"/>
  <c r="O150" i="1"/>
  <c r="O151" i="1"/>
  <c r="O136" i="1"/>
  <c r="B162" i="1" s="1"/>
  <c r="C34" i="2" l="1"/>
  <c r="J49" i="2"/>
  <c r="E34" i="2"/>
  <c r="G33" i="2"/>
  <c r="G34" i="2" s="1"/>
  <c r="K24" i="2"/>
  <c r="K49" i="2"/>
  <c r="D19" i="2"/>
  <c r="D33" i="2" s="1"/>
  <c r="O158" i="1"/>
  <c r="J158" i="1"/>
  <c r="O161" i="1"/>
  <c r="J161" i="1"/>
  <c r="J145" i="1"/>
  <c r="O145" i="1"/>
  <c r="J149" i="1"/>
  <c r="O149" i="1"/>
  <c r="H129" i="1"/>
  <c r="N129" i="1"/>
  <c r="J157" i="1"/>
  <c r="O157" i="1"/>
  <c r="J159" i="1"/>
  <c r="K25" i="2" l="1"/>
  <c r="I24" i="2"/>
  <c r="I25" i="2" s="1"/>
  <c r="I27" i="2" s="1"/>
  <c r="C35" i="2"/>
  <c r="G35" i="2" s="1"/>
  <c r="E35" i="2"/>
  <c r="D34" i="2"/>
  <c r="J53" i="2"/>
  <c r="I49" i="2"/>
  <c r="J129" i="1"/>
  <c r="O129" i="1"/>
  <c r="B155" i="1" s="1"/>
  <c r="O159" i="1"/>
  <c r="S159" i="1"/>
  <c r="E36" i="2" l="1"/>
  <c r="D35" i="2"/>
  <c r="C36" i="2"/>
  <c r="G36" i="2" s="1"/>
  <c r="S155" i="1"/>
  <c r="D36" i="2" l="1"/>
  <c r="C37" i="2"/>
  <c r="E37" i="2"/>
  <c r="J155" i="1"/>
  <c r="O155" i="1"/>
  <c r="S120" i="1"/>
  <c r="S121" i="1"/>
  <c r="S122" i="1"/>
  <c r="S123" i="1"/>
  <c r="S124" i="1"/>
  <c r="S125" i="1"/>
  <c r="S126" i="1"/>
  <c r="S127" i="1"/>
  <c r="S128" i="1"/>
  <c r="S129" i="1"/>
  <c r="S130" i="1"/>
  <c r="S131" i="1"/>
  <c r="S132" i="1"/>
  <c r="S133" i="1"/>
  <c r="S134" i="1"/>
  <c r="S135" i="1"/>
  <c r="S136" i="1"/>
  <c r="S137" i="1"/>
  <c r="S119" i="1"/>
  <c r="O139" i="1"/>
  <c r="N139" i="1"/>
  <c r="M139" i="1"/>
  <c r="L139" i="1"/>
  <c r="K139" i="1"/>
  <c r="J139" i="1"/>
  <c r="I139" i="1"/>
  <c r="H139" i="1"/>
  <c r="G139" i="1"/>
  <c r="F139" i="1"/>
  <c r="E139" i="1"/>
  <c r="D139" i="1"/>
  <c r="C139" i="1"/>
  <c r="B139" i="1"/>
  <c r="Q139" i="1"/>
  <c r="Q113" i="1"/>
  <c r="Q82" i="1"/>
  <c r="Q57" i="1"/>
  <c r="Q33" i="1"/>
  <c r="C38" i="2" l="1"/>
  <c r="E38" i="2"/>
  <c r="G37" i="2"/>
  <c r="G38" i="2" s="1"/>
  <c r="S162" i="1"/>
  <c r="S165" i="1" s="1"/>
  <c r="S166" i="1" s="1"/>
  <c r="S167" i="1" s="1"/>
  <c r="I176" i="1" s="1"/>
  <c r="N165" i="1"/>
  <c r="B165" i="1"/>
  <c r="J162" i="1"/>
  <c r="J165" i="1" s="1"/>
  <c r="S139" i="1"/>
  <c r="S140" i="1" s="1"/>
  <c r="S141" i="1" s="1"/>
  <c r="I175" i="1" s="1"/>
  <c r="I178" i="1" s="1"/>
  <c r="D37" i="2" l="1"/>
  <c r="E39" i="2"/>
  <c r="C39" i="2"/>
  <c r="D38" i="2"/>
  <c r="G39" i="2"/>
  <c r="H165" i="1"/>
  <c r="O162" i="1"/>
  <c r="O165" i="1" s="1"/>
  <c r="C40" i="2" l="1"/>
  <c r="G40" i="2" s="1"/>
  <c r="E40" i="2"/>
  <c r="D39" i="2"/>
  <c r="C41" i="2" l="1"/>
  <c r="G41" i="2" s="1"/>
  <c r="D40" i="2"/>
  <c r="E41" i="2"/>
  <c r="G42" i="2" l="1"/>
  <c r="D41" i="2"/>
  <c r="C42" i="2"/>
  <c r="E42" i="2"/>
  <c r="E43" i="2" l="1"/>
  <c r="D42" i="2"/>
  <c r="C43" i="2"/>
  <c r="G43" i="2" s="1"/>
  <c r="E44" i="2" l="1"/>
  <c r="D43" i="2"/>
  <c r="C44" i="2"/>
  <c r="G44" i="2" s="1"/>
  <c r="D44" i="2" l="1"/>
  <c r="C45" i="2"/>
  <c r="E45" i="2"/>
  <c r="D49" i="2" l="1"/>
  <c r="D50" i="2" s="1"/>
  <c r="C46" i="2"/>
  <c r="E65" i="2"/>
  <c r="G45" i="2"/>
  <c r="J81" i="2" l="1"/>
  <c r="G65" i="2"/>
  <c r="D45" i="2"/>
  <c r="D65" i="2" s="1"/>
  <c r="E66" i="2"/>
  <c r="C66" i="2"/>
  <c r="I81" i="2"/>
  <c r="I52" i="2"/>
  <c r="I53" i="2" s="1"/>
  <c r="I55" i="2" s="1"/>
  <c r="K52" i="2"/>
  <c r="K53" i="2" s="1"/>
  <c r="A50" i="2"/>
  <c r="B50" i="2"/>
  <c r="C67" i="2" l="1"/>
  <c r="E67" i="2"/>
  <c r="I85" i="2"/>
  <c r="H81" i="2"/>
  <c r="G66" i="2"/>
  <c r="G67" i="2" s="1"/>
  <c r="G68" i="2" l="1"/>
  <c r="C68" i="2"/>
  <c r="E68" i="2"/>
  <c r="D67" i="2"/>
  <c r="D66" i="2"/>
  <c r="D68" i="2" l="1"/>
  <c r="C69" i="2"/>
  <c r="G69" i="2" s="1"/>
  <c r="E69" i="2"/>
  <c r="E70" i="2" l="1"/>
  <c r="D69" i="2"/>
  <c r="C70" i="2"/>
  <c r="G70" i="2" s="1"/>
  <c r="E71" i="2" l="1"/>
  <c r="D70" i="2"/>
  <c r="C71" i="2"/>
  <c r="G71" i="2" s="1"/>
  <c r="D71" i="2" l="1"/>
  <c r="C72" i="2"/>
  <c r="G72" i="2" s="1"/>
  <c r="E72" i="2"/>
  <c r="C73" i="2" l="1"/>
  <c r="G73" i="2" s="1"/>
  <c r="E73" i="2"/>
  <c r="D72" i="2"/>
  <c r="E74" i="2" l="1"/>
  <c r="C74" i="2"/>
  <c r="G74" i="2" s="1"/>
  <c r="D73" i="2"/>
  <c r="C75" i="2" l="1"/>
  <c r="G75" i="2" s="1"/>
  <c r="E75" i="2"/>
  <c r="D74" i="2"/>
  <c r="C76" i="2" l="1"/>
  <c r="G76" i="2" s="1"/>
  <c r="E76" i="2"/>
  <c r="D75" i="2"/>
  <c r="E77" i="2" l="1"/>
  <c r="D76" i="2"/>
  <c r="C77" i="2"/>
  <c r="C81" i="2" l="1"/>
  <c r="C82" i="2" s="1"/>
  <c r="C78" i="2"/>
  <c r="E97" i="2"/>
  <c r="G77" i="2"/>
  <c r="J113" i="2" s="1"/>
  <c r="J117" i="2" s="1"/>
  <c r="H84" i="2" l="1"/>
  <c r="H85" i="2" s="1"/>
  <c r="I87" i="2" s="1"/>
  <c r="J84" i="2"/>
  <c r="J85" i="2" s="1"/>
  <c r="D77" i="2"/>
  <c r="D97" i="2" s="1"/>
  <c r="E98" i="2"/>
  <c r="C98" i="2"/>
  <c r="I113" i="2"/>
  <c r="A82" i="2"/>
  <c r="B82" i="2"/>
  <c r="H113" i="2" l="1"/>
  <c r="H117" i="2" s="1"/>
  <c r="I119" i="2" s="1"/>
  <c r="I117" i="2"/>
  <c r="C99" i="2"/>
  <c r="E99" i="2"/>
  <c r="D98" i="2"/>
  <c r="D99" i="2" l="1"/>
  <c r="E100" i="2"/>
  <c r="C100" i="2"/>
  <c r="E101" i="2" l="1"/>
  <c r="D100" i="2"/>
  <c r="C101" i="2"/>
  <c r="D101" i="2" l="1"/>
  <c r="E102" i="2"/>
  <c r="C102" i="2"/>
  <c r="D102" i="2" l="1"/>
  <c r="C103" i="2"/>
  <c r="E103" i="2"/>
  <c r="C104" i="2" l="1"/>
  <c r="D103" i="2"/>
  <c r="E104" i="2"/>
  <c r="D104" i="2" l="1"/>
  <c r="C105" i="2"/>
  <c r="E105" i="2"/>
  <c r="E106" i="2" l="1"/>
  <c r="D105" i="2"/>
  <c r="C106" i="2"/>
  <c r="C107" i="2" l="1"/>
  <c r="E107" i="2"/>
  <c r="D106" i="2"/>
  <c r="D107" i="2" l="1"/>
  <c r="E108" i="2"/>
  <c r="C108" i="2"/>
  <c r="C109" i="2" l="1"/>
  <c r="G109" i="2" s="1"/>
  <c r="D108" i="2"/>
  <c r="E109" i="2"/>
  <c r="D109" i="2" l="1"/>
  <c r="D127" i="2" s="1"/>
  <c r="E127" i="2"/>
  <c r="J143" i="2"/>
  <c r="G127" i="2"/>
  <c r="C128" i="2" l="1"/>
  <c r="I143" i="2"/>
  <c r="E128" i="2"/>
  <c r="H143" i="2" l="1"/>
  <c r="I147" i="2"/>
  <c r="I150" i="2" s="1"/>
  <c r="C129" i="2"/>
  <c r="E129" i="2"/>
  <c r="G128" i="2"/>
  <c r="G129" i="2" s="1"/>
  <c r="D128" i="2" l="1"/>
  <c r="D129" i="2"/>
  <c r="C130" i="2"/>
  <c r="E130" i="2"/>
  <c r="E131" i="2" l="1"/>
  <c r="C131" i="2"/>
  <c r="G130" i="2"/>
  <c r="G131" i="2" s="1"/>
  <c r="E132" i="2" l="1"/>
  <c r="D131" i="2"/>
  <c r="C132" i="2"/>
  <c r="D130" i="2"/>
  <c r="G132" i="2"/>
  <c r="D132" i="2" l="1"/>
  <c r="E133" i="2"/>
  <c r="C133" i="2"/>
  <c r="G133" i="2" s="1"/>
  <c r="C134" i="2" l="1"/>
  <c r="G134" i="2" s="1"/>
  <c r="E134" i="2"/>
  <c r="D133" i="2"/>
  <c r="E135" i="2" l="1"/>
  <c r="D134" i="2"/>
  <c r="C135" i="2"/>
  <c r="G135" i="2" s="1"/>
  <c r="C136" i="2" l="1"/>
  <c r="G136" i="2" s="1"/>
  <c r="E136" i="2"/>
  <c r="D135" i="2"/>
  <c r="C137" i="2" l="1"/>
  <c r="G137" i="2" s="1"/>
  <c r="E137" i="2"/>
  <c r="D136" i="2"/>
  <c r="C138" i="2" l="1"/>
  <c r="G138" i="2" s="1"/>
  <c r="E138" i="2"/>
  <c r="D137" i="2"/>
  <c r="C139" i="2" l="1"/>
  <c r="D138" i="2"/>
  <c r="E139" i="2"/>
  <c r="C143" i="2" l="1"/>
  <c r="C144" i="2" s="1"/>
  <c r="C140" i="2"/>
  <c r="G139" i="2"/>
  <c r="D139" i="2" s="1"/>
  <c r="H146" i="2" l="1"/>
  <c r="H147" i="2" s="1"/>
  <c r="I149" i="2" s="1"/>
  <c r="J146" i="2"/>
  <c r="J147" i="2" s="1"/>
  <c r="J150" i="2" s="1"/>
  <c r="A144" i="2"/>
  <c r="B144" i="2"/>
</calcChain>
</file>

<file path=xl/comments1.xml><?xml version="1.0" encoding="utf-8"?>
<comments xmlns="http://schemas.openxmlformats.org/spreadsheetml/2006/main">
  <authors>
    <author>Kelly Mccann</author>
  </authors>
  <commentList>
    <comment ref="C21" authorId="0" shapeId="0">
      <text>
        <r>
          <rPr>
            <b/>
            <sz val="9"/>
            <color indexed="81"/>
            <rFont val="Tahoma"/>
            <family val="2"/>
          </rPr>
          <t>Kelly Mccann:</t>
        </r>
        <r>
          <rPr>
            <sz val="9"/>
            <color indexed="81"/>
            <rFont val="Tahoma"/>
            <family val="2"/>
          </rPr>
          <t xml:space="preserve">
Stratford CCRA included in 1522 25 yr agreement</t>
        </r>
      </text>
    </comment>
    <comment ref="C22" authorId="0" shapeId="0">
      <text>
        <r>
          <rPr>
            <b/>
            <sz val="9"/>
            <color indexed="81"/>
            <rFont val="Tahoma"/>
            <family val="2"/>
          </rPr>
          <t>Kelly Mccann:</t>
        </r>
        <r>
          <rPr>
            <sz val="9"/>
            <color indexed="81"/>
            <rFont val="Tahoma"/>
            <family val="2"/>
          </rPr>
          <t xml:space="preserve">
St. Marys TS - 15 yr agreement</t>
        </r>
      </text>
    </comment>
    <comment ref="C70" authorId="0" shapeId="0">
      <text>
        <r>
          <rPr>
            <b/>
            <sz val="9"/>
            <color indexed="81"/>
            <rFont val="Tahoma"/>
            <family val="2"/>
          </rPr>
          <t>Kelly Mccann:</t>
        </r>
        <r>
          <rPr>
            <sz val="9"/>
            <color indexed="81"/>
            <rFont val="Tahoma"/>
            <family val="2"/>
          </rPr>
          <t xml:space="preserve">
Stratford CCRA included in 1522 25 yr agreement</t>
        </r>
      </text>
    </comment>
    <comment ref="C71" authorId="0" shapeId="0">
      <text>
        <r>
          <rPr>
            <b/>
            <sz val="9"/>
            <color indexed="81"/>
            <rFont val="Tahoma"/>
            <family val="2"/>
          </rPr>
          <t>Kelly Mccann:</t>
        </r>
        <r>
          <rPr>
            <sz val="9"/>
            <color indexed="81"/>
            <rFont val="Tahoma"/>
            <family val="2"/>
          </rPr>
          <t xml:space="preserve">
St. Marys TS - 15 yr agreement</t>
        </r>
      </text>
    </comment>
    <comment ref="C100" authorId="0" shapeId="0">
      <text>
        <r>
          <rPr>
            <b/>
            <sz val="9"/>
            <color indexed="81"/>
            <rFont val="Tahoma"/>
            <family val="2"/>
          </rPr>
          <t>Kelly Mccann:</t>
        </r>
        <r>
          <rPr>
            <sz val="9"/>
            <color indexed="81"/>
            <rFont val="Tahoma"/>
            <family val="2"/>
          </rPr>
          <t xml:space="preserve">
Stratford CCRA included in 1522 25 yr agreement</t>
        </r>
      </text>
    </comment>
    <comment ref="C101" authorId="0" shapeId="0">
      <text>
        <r>
          <rPr>
            <b/>
            <sz val="9"/>
            <color indexed="81"/>
            <rFont val="Tahoma"/>
            <family val="2"/>
          </rPr>
          <t>Kelly Mccann:</t>
        </r>
        <r>
          <rPr>
            <sz val="9"/>
            <color indexed="81"/>
            <rFont val="Tahoma"/>
            <family val="2"/>
          </rPr>
          <t xml:space="preserve">
St. Marys TS - 15 yr agreement</t>
        </r>
      </text>
    </comment>
    <comment ref="C126" authorId="0" shapeId="0">
      <text>
        <r>
          <rPr>
            <b/>
            <sz val="9"/>
            <color indexed="81"/>
            <rFont val="Tahoma"/>
            <family val="2"/>
          </rPr>
          <t>Kelly Mccann:</t>
        </r>
        <r>
          <rPr>
            <sz val="9"/>
            <color indexed="81"/>
            <rFont val="Tahoma"/>
            <family val="2"/>
          </rPr>
          <t xml:space="preserve">
Stratford CCRA included in 1522 25 yr agreement</t>
        </r>
      </text>
    </comment>
    <comment ref="C127" authorId="0" shapeId="0">
      <text>
        <r>
          <rPr>
            <b/>
            <sz val="9"/>
            <color indexed="81"/>
            <rFont val="Tahoma"/>
            <family val="2"/>
          </rPr>
          <t>Kelly Mccann:</t>
        </r>
        <r>
          <rPr>
            <sz val="9"/>
            <color indexed="81"/>
            <rFont val="Tahoma"/>
            <family val="2"/>
          </rPr>
          <t xml:space="preserve">
St. Marys TS - 15 yr agreement</t>
        </r>
      </text>
    </comment>
    <comment ref="C152" authorId="0" shapeId="0">
      <text>
        <r>
          <rPr>
            <b/>
            <sz val="9"/>
            <color indexed="81"/>
            <rFont val="Tahoma"/>
            <family val="2"/>
          </rPr>
          <t>Kelly Mccann:</t>
        </r>
        <r>
          <rPr>
            <sz val="9"/>
            <color indexed="81"/>
            <rFont val="Tahoma"/>
            <family val="2"/>
          </rPr>
          <t xml:space="preserve">
Stratford CCRA included in 1522 25 yr agreement</t>
        </r>
      </text>
    </comment>
    <comment ref="C153" authorId="0" shapeId="0">
      <text>
        <r>
          <rPr>
            <b/>
            <sz val="9"/>
            <color indexed="81"/>
            <rFont val="Tahoma"/>
            <family val="2"/>
          </rPr>
          <t>Kelly Mccann:</t>
        </r>
        <r>
          <rPr>
            <sz val="9"/>
            <color indexed="81"/>
            <rFont val="Tahoma"/>
            <family val="2"/>
          </rPr>
          <t xml:space="preserve">
St. Marys TS - 15 yr agreement</t>
        </r>
      </text>
    </comment>
  </commentList>
</comments>
</file>

<file path=xl/sharedStrings.xml><?xml version="1.0" encoding="utf-8"?>
<sst xmlns="http://schemas.openxmlformats.org/spreadsheetml/2006/main" count="207" uniqueCount="66">
  <si>
    <t>Comparison using ACTUAL additions</t>
  </si>
  <si>
    <t>2018 No AIIP</t>
  </si>
  <si>
    <t>UCC</t>
  </si>
  <si>
    <t xml:space="preserve">Reduced </t>
  </si>
  <si>
    <t>Terminal</t>
  </si>
  <si>
    <t>Class No.</t>
  </si>
  <si>
    <t>BOY</t>
  </si>
  <si>
    <t>Additions</t>
  </si>
  <si>
    <t>DIEP</t>
  </si>
  <si>
    <t>Adjustments</t>
  </si>
  <si>
    <t>Proceeds*</t>
  </si>
  <si>
    <t>Rate %</t>
  </si>
  <si>
    <t>Recapture</t>
  </si>
  <si>
    <t>Loss</t>
  </si>
  <si>
    <t>CCA</t>
  </si>
  <si>
    <t>EOY</t>
  </si>
  <si>
    <t>[200]</t>
  </si>
  <si>
    <t>As Filed</t>
  </si>
  <si>
    <t>Difference</t>
  </si>
  <si>
    <t>1b</t>
  </si>
  <si>
    <t>Tax Rate</t>
  </si>
  <si>
    <t>Grossed-up</t>
  </si>
  <si>
    <t>2019 Rolled with NO AIIP Applied</t>
  </si>
  <si>
    <t>2020 Rolled with NO AIIP Applied</t>
  </si>
  <si>
    <t>2021 Rolled with NO AIIP Applied</t>
  </si>
  <si>
    <t>2022 Rolled with NO AIIP Applied</t>
  </si>
  <si>
    <t>Grossed Up -  PILS</t>
  </si>
  <si>
    <t>Total</t>
  </si>
  <si>
    <t>*****</t>
  </si>
  <si>
    <t>The advice contained herein is based on the facts and assumptions stated herein. You have represented to us that you have provided us with all facts and assumptions that you know or have reason to know are pertinent to this matter. If these facts and assumptions are not entirely complete and accurate, it could have a material effect on our advice.  Our advice takes into account the applicable provisions and published judicial and administrative interpretations of the relevant taxing statutes, the regulations thereunder and applicable tax treaties.  Our advice also takes into account all specific proposals to amend these authorities or other relevant statutes or tax treaties publicly announced prior to the date of our advice, based on the assumption that these amendments will be enacted substantially as proposed.  Our advice does not otherwise take into account or anticipate any changes in law or practice, by way of judicial, governmental or legislative action or interpretation.  These authorities are subject to change, retroactively and/or prospectively, and any such changes could have an effect on our advice and may result in incremental taxes, interest or penalties. Unless you specifically request otherwise, we will not update our advice to take any such changes into account. If you carry on business or reside in Québec, Québec introduced legislation that prohibits a taxpayer who has carried out a transaction, or series of transactions, that is subject to a Revenu Québec final assessment based on the general anti-avoidance rule, from being able to obtain authorization from the Autorité des marchés publics (AMP) to bid for or obtain public contracts. The taxpayer will be listed in the Register of Enterprises Ineligible for Public Contracts for a period of five years from the time the name is entered on the list.
Advice relative to tax matters outside of Canada is based on tax advice provided by the KPMG International member firm in the particular country and on the relevant tax authorities in that country.
Our advice is limited to the conclusions specifically set forth herein.  We provide no advice and express no opinion with respect to any other federal, provincial or foreign tax aspect of the matters described herein, nor with respect to any legal or other matters other than those specifically addressed herein. The Canada Revenue Agency and/or any other relevant provincial tax authority and/or foreign tax authority and/or other governmental tax authority (collectively a Tax or Revenue Authority) could take a different position with respect to the matters addressed herein (including the general anti-avoidance rule (GAAR)), in which case it may be necessary for you to defend this position on appeal from an assessment or litigate the dispute before the courts, including one or more appellate courts, in order for our advice to prevail. It should be noted that filings by both the taxpayer and by the Tax Authorities before the tax courts are a matter of public record and that this public access to the details of your tax dispute could potentially lead to unwanted scrutiny and publicity by tax commentators and by the business and general news media. If a settlement were reached with a Tax or Revenue Authority or if such appeal and litigation were not, or were not entirely, successful, the result would likely be different from the advice we provide herein.  Unless expressly provided for, our services do not include representation in the event of a challenge by a Tax or Revenue Authority or litigation before any court.
Our advice is for the sole use of our client.  The advice is based on the specific facts and circumstances and the scope of our engagement and is not intended to be relied upon by any other person.  We disclaim any responsibility or liability for any reliance that any person other than our client may place on this advice.</t>
  </si>
  <si>
    <t>Account 1592 JE -- December 31, 2023</t>
  </si>
  <si>
    <t>Festival Hydro Inc</t>
  </si>
  <si>
    <t>98 - smart meters not in use (Inventory)</t>
  </si>
  <si>
    <r>
      <t xml:space="preserve">98 - transformer stock </t>
    </r>
    <r>
      <rPr>
        <sz val="10"/>
        <color rgb="FF0070C0"/>
        <rFont val="Arial"/>
        <family val="2"/>
      </rPr>
      <t>(Inventory)</t>
    </r>
  </si>
  <si>
    <t>Software not in use</t>
  </si>
  <si>
    <t>25 yrs</t>
  </si>
  <si>
    <t>15 yrs</t>
  </si>
  <si>
    <t>2023 Rolled with NO AIIP Applied</t>
  </si>
  <si>
    <t>Half Year Rule</t>
  </si>
  <si>
    <t>To Correct</t>
  </si>
  <si>
    <t>Per GL Dec</t>
  </si>
  <si>
    <t>Ending</t>
  </si>
  <si>
    <t>Interst</t>
  </si>
  <si>
    <t>Change in prin</t>
  </si>
  <si>
    <t>To record interest on 1592.001 variance acct to Dec 2023</t>
  </si>
  <si>
    <t xml:space="preserve"> Disposal</t>
  </si>
  <si>
    <t>Beginning</t>
  </si>
  <si>
    <t>PILS &amp; Tax Variance</t>
  </si>
  <si>
    <t>1592.001-VR</t>
  </si>
  <si>
    <t>Int</t>
  </si>
  <si>
    <t>Prin</t>
  </si>
  <si>
    <t>2022 Summary:</t>
  </si>
  <si>
    <t>FHI 1592 Entry</t>
  </si>
  <si>
    <t>Opening</t>
  </si>
  <si>
    <t>Int.</t>
  </si>
  <si>
    <t>Principal</t>
  </si>
  <si>
    <t>Interest</t>
  </si>
  <si>
    <t>To record interest on 1592.001 variance acct to Dec 2022</t>
  </si>
  <si>
    <t>Interest Expense DVA</t>
  </si>
  <si>
    <t>6035.002-VR</t>
  </si>
  <si>
    <t>To record interest on 1592.001 variance acct to Dec 2021</t>
  </si>
  <si>
    <t>2021 Summary:</t>
  </si>
  <si>
    <t>To record interest on 1592.001 variance acct to Dec 2020</t>
  </si>
  <si>
    <t>2020 Summary:</t>
  </si>
  <si>
    <t>To record interest on 1592.001 variance acct to Dec 2019</t>
  </si>
  <si>
    <t>2019 Summary: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</si>
</sst>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quot;$&quot;* #,##0_);_(&quot;$&quot;* \(#,##0\);_(&quot;$&quot;* &quot;-&quot;_);_(@_)"/>
    <numFmt numFmtId="165" formatCode="_(&quot;$&quot;* #,##0.00_);_(&quot;$&quot;* \(#,##0.00\);_(&quot;$&quot;* &quot;-&quot;??_);_(@_)"/>
    <numFmt numFmtId="166" formatCode="_(* #,##0.00_);_(* \(#,##0.00\);_(* &quot;-&quot;??_);_(@_)"/>
    <numFmt numFmtId="167" formatCode="_(&quot;$&quot;* #,##0_);_(&quot;$&quot;* \(#,##0\);_(&quot;$&quot;* &quot;-&quot;??_);_(@_)"/>
    <numFmt numFmtId="168" formatCode="_(* #,##0_);_(* \(#,##0\);_(* &quot;-&quot;??_);_(@_)"/>
  </numFmts>
  <fonts count="30"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b/>
      <sz val="10"/>
      <name val="Arial"/>
      <family val="2"/>
    </font>
    <font>
      <b/>
      <sz val="10"/>
      <color rgb="FF00B050"/>
      <name val="Arial"/>
      <family val="2"/>
    </font>
    <font>
      <b/>
      <sz val="10"/>
      <color rgb="FFFF0000"/>
      <name val="Arial"/>
      <family val="2"/>
    </font>
    <font>
      <b/>
      <sz val="11"/>
      <color rgb="FFFF0000"/>
      <name val="Calibri"/>
      <family val="2"/>
      <scheme val="minor"/>
    </font>
    <font>
      <b/>
      <sz val="11"/>
      <color theme="0" tint="-0.14999847407452621"/>
      <name val="Calibri"/>
      <family val="2"/>
      <scheme val="minor"/>
    </font>
    <font>
      <sz val="10"/>
      <name val="Arial"/>
      <family val="2"/>
    </font>
    <font>
      <sz val="10"/>
      <color indexed="10"/>
      <name val="Arial"/>
      <family val="2"/>
    </font>
    <font>
      <b/>
      <sz val="10"/>
      <color indexed="17"/>
      <name val="Arial"/>
      <family val="2"/>
    </font>
    <font>
      <b/>
      <sz val="10"/>
      <color indexed="10"/>
      <name val="Arial"/>
      <family val="2"/>
    </font>
    <font>
      <sz val="10"/>
      <color rgb="FFFF0000"/>
      <name val="Arial"/>
      <family val="2"/>
    </font>
    <font>
      <sz val="10"/>
      <color rgb="FF00B050"/>
      <name val="Arial"/>
      <family val="2"/>
    </font>
    <font>
      <b/>
      <i/>
      <sz val="10"/>
      <color rgb="FF00B050"/>
      <name val="Arial"/>
      <family val="2"/>
    </font>
    <font>
      <b/>
      <i/>
      <sz val="11"/>
      <color rgb="FFFF0000"/>
      <name val="Calibri"/>
      <family val="2"/>
      <scheme val="minor"/>
    </font>
    <font>
      <i/>
      <sz val="11"/>
      <color theme="1"/>
      <name val="Calibri"/>
      <family val="2"/>
      <scheme val="minor"/>
    </font>
    <font>
      <sz val="10"/>
      <color rgb="FF0070C0"/>
      <name val="Arial"/>
      <family val="2"/>
    </font>
    <font>
      <b/>
      <sz val="9"/>
      <color indexed="81"/>
      <name val="Tahoma"/>
      <family val="2"/>
    </font>
    <font>
      <sz val="9"/>
      <color indexed="81"/>
      <name val="Tahoma"/>
      <family val="2"/>
    </font>
    <font>
      <sz val="12"/>
      <color theme="1"/>
      <name val="Calibri"/>
      <family val="2"/>
      <scheme val="minor"/>
    </font>
    <font>
      <b/>
      <sz val="12"/>
      <name val="Calibri"/>
      <family val="2"/>
      <scheme val="minor"/>
    </font>
    <font>
      <i/>
      <sz val="12"/>
      <color theme="1"/>
      <name val="Calibri"/>
      <family val="2"/>
      <scheme val="minor"/>
    </font>
    <font>
      <sz val="12"/>
      <name val="Calibri"/>
      <family val="2"/>
      <scheme val="minor"/>
    </font>
    <font>
      <b/>
      <u val="singleAccounting"/>
      <sz val="12"/>
      <name val="Calibri"/>
      <family val="2"/>
      <scheme val="minor"/>
    </font>
    <font>
      <b/>
      <sz val="12"/>
      <color theme="1"/>
      <name val="Calibri"/>
      <family val="2"/>
      <scheme val="minor"/>
    </font>
    <font>
      <b/>
      <u/>
      <sz val="12"/>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FF99"/>
        <bgColor indexed="64"/>
      </patternFill>
    </fill>
  </fills>
  <borders count="12">
    <border>
      <left/>
      <right/>
      <top/>
      <bottom/>
      <diagonal/>
    </border>
    <border>
      <left/>
      <right/>
      <top/>
      <bottom style="thin">
        <color indexed="64"/>
      </bottom>
      <diagonal/>
    </border>
    <border>
      <left/>
      <right/>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xf numFmtId="166" fontId="1" fillId="0" borderId="0" applyFont="0" applyFill="0" applyBorder="0" applyAlignment="0" applyProtection="0"/>
    <xf numFmtId="165" fontId="1" fillId="0" borderId="0" applyFont="0" applyFill="0" applyBorder="0" applyAlignment="0" applyProtection="0"/>
    <xf numFmtId="0" fontId="11" fillId="0" borderId="0"/>
    <xf numFmtId="166"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0" fontId="11" fillId="0" borderId="0"/>
  </cellStyleXfs>
  <cellXfs count="120">
    <xf numFmtId="0" fontId="0" fillId="0" borderId="0" xfId="0"/>
    <xf numFmtId="0" fontId="4" fillId="0" borderId="0" xfId="0" applyFont="1"/>
    <xf numFmtId="0" fontId="5" fillId="0" borderId="0" xfId="0" applyFont="1"/>
    <xf numFmtId="0" fontId="2" fillId="0" borderId="0" xfId="0" applyFont="1"/>
    <xf numFmtId="15" fontId="6" fillId="0" borderId="0" xfId="0" quotePrefix="1" applyNumberFormat="1" applyFont="1"/>
    <xf numFmtId="0" fontId="7" fillId="0" borderId="0" xfId="0" applyFont="1" applyAlignment="1">
      <alignment horizontal="left"/>
    </xf>
    <xf numFmtId="0" fontId="6" fillId="0" borderId="0" xfId="0" applyFont="1" applyAlignment="1">
      <alignment horizontal="left"/>
    </xf>
    <xf numFmtId="0" fontId="7" fillId="0" borderId="0" xfId="0" applyFont="1" applyAlignment="1">
      <alignment horizontal="center"/>
    </xf>
    <xf numFmtId="0" fontId="8" fillId="0" borderId="0" xfId="0" applyFont="1" applyAlignment="1">
      <alignment horizontal="center"/>
    </xf>
    <xf numFmtId="0" fontId="3" fillId="0" borderId="0" xfId="0" applyFont="1" applyAlignment="1">
      <alignment horizontal="center"/>
    </xf>
    <xf numFmtId="0" fontId="3" fillId="2" borderId="0" xfId="0" applyFont="1" applyFill="1" applyAlignment="1">
      <alignment horizontal="center"/>
    </xf>
    <xf numFmtId="0" fontId="9" fillId="0" borderId="0" xfId="0" applyFont="1" applyAlignment="1">
      <alignment horizontal="center"/>
    </xf>
    <xf numFmtId="0" fontId="10" fillId="0" borderId="0" xfId="0" applyFont="1" applyAlignment="1">
      <alignment horizontal="center"/>
    </xf>
    <xf numFmtId="0" fontId="3" fillId="0" borderId="1" xfId="0" applyFont="1" applyBorder="1" applyAlignment="1">
      <alignment horizontal="center"/>
    </xf>
    <xf numFmtId="0" fontId="10" fillId="0" borderId="2" xfId="0" applyFont="1" applyBorder="1" applyAlignment="1">
      <alignment horizontal="center"/>
    </xf>
    <xf numFmtId="0" fontId="3" fillId="0" borderId="2" xfId="0" applyFont="1" applyBorder="1" applyAlignment="1">
      <alignment horizontal="center"/>
    </xf>
    <xf numFmtId="0" fontId="10" fillId="2" borderId="2" xfId="0" applyFont="1" applyFill="1" applyBorder="1" applyAlignment="1">
      <alignment horizontal="center"/>
    </xf>
    <xf numFmtId="0" fontId="6" fillId="2" borderId="2" xfId="0" applyFont="1" applyFill="1" applyBorder="1" applyAlignment="1">
      <alignment horizontal="center"/>
    </xf>
    <xf numFmtId="0" fontId="0" fillId="0" borderId="2" xfId="0" applyBorder="1"/>
    <xf numFmtId="0" fontId="6" fillId="0" borderId="2" xfId="0" applyFont="1" applyBorder="1" applyAlignment="1">
      <alignment horizontal="center"/>
    </xf>
    <xf numFmtId="167" fontId="0" fillId="0" borderId="0" xfId="2" applyNumberFormat="1" applyFont="1" applyFill="1"/>
    <xf numFmtId="167" fontId="1" fillId="0" borderId="0" xfId="2" applyNumberFormat="1" applyFont="1" applyFill="1"/>
    <xf numFmtId="167" fontId="11" fillId="0" borderId="0" xfId="2" applyNumberFormat="1" applyFont="1" applyFill="1"/>
    <xf numFmtId="167" fontId="0" fillId="0" borderId="0" xfId="0" applyNumberFormat="1"/>
    <xf numFmtId="167" fontId="1" fillId="0" borderId="0" xfId="2" applyNumberFormat="1" applyFont="1" applyFill="1" applyBorder="1"/>
    <xf numFmtId="164" fontId="12" fillId="0" borderId="0" xfId="0" applyNumberFormat="1" applyFont="1" applyAlignment="1">
      <alignment horizontal="right"/>
    </xf>
    <xf numFmtId="167" fontId="1" fillId="0" borderId="1" xfId="2" applyNumberFormat="1" applyFont="1" applyFill="1" applyBorder="1"/>
    <xf numFmtId="37" fontId="1" fillId="0" borderId="1" xfId="2" applyNumberFormat="1" applyFont="1" applyFill="1" applyBorder="1" applyAlignment="1">
      <alignment horizontal="right"/>
    </xf>
    <xf numFmtId="167" fontId="0" fillId="0" borderId="3" xfId="2" applyNumberFormat="1" applyFont="1" applyFill="1" applyBorder="1"/>
    <xf numFmtId="0" fontId="13" fillId="0" borderId="0" xfId="0" applyFont="1" applyAlignment="1">
      <alignment horizontal="center"/>
    </xf>
    <xf numFmtId="0" fontId="14" fillId="0" borderId="0" xfId="0" applyFont="1" applyAlignment="1">
      <alignment horizontal="right"/>
    </xf>
    <xf numFmtId="165" fontId="0" fillId="0" borderId="0" xfId="0" applyNumberFormat="1"/>
    <xf numFmtId="0" fontId="7" fillId="0" borderId="0" xfId="0" applyFont="1"/>
    <xf numFmtId="168" fontId="0" fillId="0" borderId="0" xfId="1" applyNumberFormat="1" applyFont="1" applyFill="1" applyBorder="1"/>
    <xf numFmtId="166" fontId="0" fillId="0" borderId="0" xfId="1" applyFont="1" applyFill="1" applyBorder="1" applyAlignment="1">
      <alignment horizontal="left"/>
    </xf>
    <xf numFmtId="0" fontId="11" fillId="0" borderId="0" xfId="0" applyFont="1"/>
    <xf numFmtId="164" fontId="0" fillId="0" borderId="0" xfId="0" applyNumberFormat="1"/>
    <xf numFmtId="0" fontId="15" fillId="0" borderId="0" xfId="0" applyFont="1"/>
    <xf numFmtId="0" fontId="6" fillId="0" borderId="3" xfId="0" applyFont="1" applyBorder="1"/>
    <xf numFmtId="167" fontId="6" fillId="0" borderId="3" xfId="0" applyNumberFormat="1" applyFont="1" applyBorder="1"/>
    <xf numFmtId="0" fontId="6" fillId="0" borderId="0" xfId="0" applyFont="1"/>
    <xf numFmtId="165" fontId="6" fillId="0" borderId="0" xfId="0" applyNumberFormat="1" applyFont="1"/>
    <xf numFmtId="0" fontId="16" fillId="0" borderId="0" xfId="0" applyFont="1"/>
    <xf numFmtId="0" fontId="0" fillId="0" borderId="0" xfId="0" applyAlignment="1">
      <alignment horizontal="center"/>
    </xf>
    <xf numFmtId="167" fontId="0" fillId="0" borderId="0" xfId="2" applyNumberFormat="1" applyFont="1" applyFill="1" applyBorder="1"/>
    <xf numFmtId="164" fontId="14" fillId="0" borderId="0" xfId="0" applyNumberFormat="1" applyFont="1" applyAlignment="1">
      <alignment horizontal="right"/>
    </xf>
    <xf numFmtId="37" fontId="0" fillId="0" borderId="0" xfId="2" applyNumberFormat="1" applyFont="1" applyFill="1" applyBorder="1" applyAlignment="1">
      <alignment horizontal="right"/>
    </xf>
    <xf numFmtId="167" fontId="0" fillId="0" borderId="1" xfId="2" applyNumberFormat="1" applyFont="1" applyFill="1" applyBorder="1"/>
    <xf numFmtId="167" fontId="11" fillId="0" borderId="1" xfId="2" applyNumberFormat="1" applyFont="1" applyFill="1" applyBorder="1"/>
    <xf numFmtId="0" fontId="0" fillId="0" borderId="0" xfId="1" applyNumberFormat="1" applyFont="1" applyFill="1" applyBorder="1" applyAlignment="1">
      <alignment horizontal="left"/>
    </xf>
    <xf numFmtId="168" fontId="7" fillId="0" borderId="0" xfId="1" applyNumberFormat="1" applyFont="1" applyFill="1" applyBorder="1"/>
    <xf numFmtId="0" fontId="8" fillId="0" borderId="0" xfId="0" applyFont="1" applyAlignment="1">
      <alignment horizontal="right"/>
    </xf>
    <xf numFmtId="0" fontId="8" fillId="0" borderId="0" xfId="0" applyFont="1"/>
    <xf numFmtId="0" fontId="2" fillId="0" borderId="0" xfId="0" applyFont="1" applyAlignment="1">
      <alignment horizontal="center"/>
    </xf>
    <xf numFmtId="167" fontId="0" fillId="0" borderId="1" xfId="0" applyNumberFormat="1" applyBorder="1"/>
    <xf numFmtId="0" fontId="14" fillId="0" borderId="4" xfId="0" applyFont="1" applyBorder="1" applyAlignment="1">
      <alignment horizontal="right"/>
    </xf>
    <xf numFmtId="0" fontId="3" fillId="0" borderId="0" xfId="0" applyFont="1"/>
    <xf numFmtId="0" fontId="6" fillId="0" borderId="0" xfId="0" applyFont="1" applyAlignment="1">
      <alignment horizontal="center"/>
    </xf>
    <xf numFmtId="0" fontId="1" fillId="0" borderId="0" xfId="1" applyNumberFormat="1" applyFont="1" applyFill="1" applyBorder="1" applyAlignment="1">
      <alignment horizontal="left"/>
    </xf>
    <xf numFmtId="0" fontId="17" fillId="0" borderId="0" xfId="0" applyFont="1"/>
    <xf numFmtId="0" fontId="18" fillId="0" borderId="0" xfId="0" applyFont="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6" fillId="0" borderId="8" xfId="0" applyFont="1" applyBorder="1" applyAlignment="1">
      <alignment horizontal="right"/>
    </xf>
    <xf numFmtId="167" fontId="6" fillId="0" borderId="0" xfId="0" applyNumberFormat="1" applyFont="1"/>
    <xf numFmtId="0" fontId="0" fillId="0" borderId="10" xfId="0" applyBorder="1"/>
    <xf numFmtId="0" fontId="0" fillId="0" borderId="11" xfId="0" applyBorder="1"/>
    <xf numFmtId="0" fontId="11" fillId="0" borderId="0" xfId="3"/>
    <xf numFmtId="0" fontId="11" fillId="0" borderId="0" xfId="3" applyAlignment="1">
      <alignment horizontal="right"/>
    </xf>
    <xf numFmtId="0" fontId="11" fillId="3" borderId="0" xfId="3" applyFill="1"/>
    <xf numFmtId="9" fontId="11" fillId="0" borderId="0" xfId="3" applyNumberFormat="1" applyAlignment="1">
      <alignment horizontal="right"/>
    </xf>
    <xf numFmtId="168" fontId="11" fillId="0" borderId="0" xfId="4" applyNumberFormat="1"/>
    <xf numFmtId="168" fontId="11" fillId="3" borderId="0" xfId="4" applyNumberFormat="1" applyFill="1"/>
    <xf numFmtId="168" fontId="11" fillId="0" borderId="0" xfId="4" applyNumberFormat="1" applyFill="1"/>
    <xf numFmtId="167" fontId="6" fillId="0" borderId="0" xfId="2" applyNumberFormat="1" applyFont="1" applyFill="1" applyBorder="1"/>
    <xf numFmtId="167" fontId="11" fillId="0" borderId="0" xfId="2" applyNumberFormat="1" applyFont="1" applyFill="1" applyBorder="1"/>
    <xf numFmtId="168" fontId="6" fillId="0" borderId="3" xfId="4" applyNumberFormat="1" applyFont="1" applyBorder="1"/>
    <xf numFmtId="165" fontId="11" fillId="0" borderId="0" xfId="2" applyFont="1"/>
    <xf numFmtId="165" fontId="11" fillId="3" borderId="0" xfId="2" applyFont="1" applyFill="1"/>
    <xf numFmtId="9" fontId="11" fillId="0" borderId="0" xfId="2" applyNumberFormat="1" applyFont="1" applyFill="1" applyAlignment="1">
      <alignment horizontal="right"/>
    </xf>
    <xf numFmtId="9" fontId="1" fillId="0" borderId="0" xfId="2" applyNumberFormat="1" applyFont="1" applyFill="1" applyAlignment="1">
      <alignment horizontal="right"/>
    </xf>
    <xf numFmtId="9" fontId="1" fillId="0" borderId="0" xfId="2" applyNumberFormat="1" applyFont="1" applyFill="1" applyBorder="1" applyAlignment="1">
      <alignment horizontal="right"/>
    </xf>
    <xf numFmtId="167" fontId="11" fillId="4" borderId="0" xfId="2" applyNumberFormat="1" applyFont="1" applyFill="1"/>
    <xf numFmtId="167" fontId="11" fillId="0" borderId="3" xfId="2" applyNumberFormat="1" applyFont="1" applyBorder="1"/>
    <xf numFmtId="167" fontId="6" fillId="0" borderId="3" xfId="2" applyNumberFormat="1" applyFont="1" applyBorder="1"/>
    <xf numFmtId="0" fontId="23" fillId="0" borderId="0" xfId="0" applyFont="1"/>
    <xf numFmtId="166" fontId="0" fillId="0" borderId="0" xfId="0" applyNumberFormat="1"/>
    <xf numFmtId="166" fontId="23" fillId="0" borderId="0" xfId="0" applyNumberFormat="1" applyFont="1"/>
    <xf numFmtId="166" fontId="24" fillId="0" borderId="3" xfId="7" applyNumberFormat="1" applyFont="1" applyBorder="1"/>
    <xf numFmtId="166" fontId="24" fillId="0" borderId="0" xfId="7" applyNumberFormat="1" applyFont="1"/>
    <xf numFmtId="0" fontId="23" fillId="5" borderId="11" xfId="0" applyFont="1" applyFill="1" applyBorder="1"/>
    <xf numFmtId="0" fontId="23" fillId="5" borderId="2" xfId="0" applyFont="1" applyFill="1" applyBorder="1"/>
    <xf numFmtId="0" fontId="25" fillId="5" borderId="10" xfId="0" applyFont="1" applyFill="1" applyBorder="1" applyAlignment="1">
      <alignment horizontal="left" indent="2"/>
    </xf>
    <xf numFmtId="0" fontId="26" fillId="0" borderId="0" xfId="7" applyFont="1"/>
    <xf numFmtId="39" fontId="23" fillId="5" borderId="9" xfId="0" applyNumberFormat="1" applyFont="1" applyFill="1" applyBorder="1"/>
    <xf numFmtId="0" fontId="23" fillId="5" borderId="0" xfId="0" applyFont="1" applyFill="1"/>
    <xf numFmtId="0" fontId="23" fillId="5" borderId="8" xfId="0" applyFont="1" applyFill="1" applyBorder="1"/>
    <xf numFmtId="166" fontId="23" fillId="5" borderId="7" xfId="1" applyFont="1" applyFill="1" applyBorder="1"/>
    <xf numFmtId="166" fontId="27" fillId="0" borderId="0" xfId="7" applyNumberFormat="1" applyFont="1"/>
    <xf numFmtId="0" fontId="23" fillId="5" borderId="7" xfId="0" applyFont="1" applyFill="1" applyBorder="1"/>
    <xf numFmtId="0" fontId="23" fillId="5" borderId="6" xfId="0" applyFont="1" applyFill="1" applyBorder="1"/>
    <xf numFmtId="0" fontId="28" fillId="5" borderId="5" xfId="0" applyFont="1" applyFill="1" applyBorder="1"/>
    <xf numFmtId="39" fontId="23" fillId="0" borderId="0" xfId="0" applyNumberFormat="1" applyFont="1"/>
    <xf numFmtId="39" fontId="28" fillId="0" borderId="3" xfId="0" applyNumberFormat="1" applyFont="1" applyBorder="1"/>
    <xf numFmtId="39" fontId="0" fillId="0" borderId="0" xfId="0" applyNumberFormat="1"/>
    <xf numFmtId="10" fontId="23" fillId="0" borderId="0" xfId="6" applyNumberFormat="1" applyFont="1"/>
    <xf numFmtId="39" fontId="28" fillId="0" borderId="0" xfId="0" applyNumberFormat="1" applyFont="1"/>
    <xf numFmtId="17" fontId="24" fillId="0" borderId="0" xfId="7" applyNumberFormat="1" applyFont="1"/>
    <xf numFmtId="10" fontId="23" fillId="0" borderId="0" xfId="0" applyNumberFormat="1" applyFont="1"/>
    <xf numFmtId="39" fontId="23" fillId="0" borderId="0" xfId="0" applyNumberFormat="1" applyFont="1" applyAlignment="1">
      <alignment horizontal="center"/>
    </xf>
    <xf numFmtId="17" fontId="29" fillId="0" borderId="0" xfId="0" quotePrefix="1" applyNumberFormat="1" applyFont="1" applyAlignment="1">
      <alignment horizontal="right"/>
    </xf>
    <xf numFmtId="0" fontId="29" fillId="0" borderId="0" xfId="0" applyFont="1"/>
    <xf numFmtId="0" fontId="28" fillId="0" borderId="0" xfId="0" applyFont="1"/>
    <xf numFmtId="166" fontId="23" fillId="0" borderId="0" xfId="1" applyFont="1"/>
    <xf numFmtId="0" fontId="28" fillId="0" borderId="0" xfId="0" applyFont="1" applyAlignment="1">
      <alignment horizontal="center"/>
    </xf>
    <xf numFmtId="0" fontId="0" fillId="0" borderId="0" xfId="0" applyAlignment="1">
      <alignment horizontal="center"/>
    </xf>
    <xf numFmtId="0" fontId="19" fillId="0" borderId="0" xfId="0" applyFont="1" applyAlignment="1">
      <alignment horizontal="left" vertical="center" wrapText="1"/>
    </xf>
  </cellXfs>
  <cellStyles count="8">
    <cellStyle name="Comma" xfId="1" builtinId="3"/>
    <cellStyle name="Comma 2" xfId="4"/>
    <cellStyle name="Currency" xfId="2" builtinId="4"/>
    <cellStyle name="Normal" xfId="0" builtinId="0"/>
    <cellStyle name="Normal 2" xfId="7"/>
    <cellStyle name="Normal_London Hydro Future tax reduction with JS edits 03-05-07" xfId="3"/>
    <cellStyle name="Percent" xfId="6" builtinId="5"/>
    <cellStyle name="Percent 2"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Kelly%20FHI\2015%20COS%20KM%20Local\FEstival_2015%20COS_Filing_Requirements_Chapter2_Appendices_2014053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iles\Desktop\Projects\COS\1592%20Tax\Acct%201592%20In-depth.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OEB%20Variance%20Accounts\VR%20Accts%20-%20Dec%202019%20Revised.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Secure\Audit%20Working%20Papers%20&amp;%20Budget%20Files\2023%20Audit%20Working%20Papers\Regulatory\VR%20Accts%20-%20Dec%202023%20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refreshError="1">
        <row r="16">
          <cell r="E16" t="str">
            <v>EB 2014 0073</v>
          </cell>
        </row>
        <row r="28">
          <cell r="E28">
            <v>2010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of AIIP vs Half-year"/>
      <sheetName val="Comparison by KPMG"/>
      <sheetName val="1592.001 - Original"/>
    </sheetNames>
    <sheetDataSet>
      <sheetData sheetId="0"/>
      <sheetData sheetId="1">
        <row r="171">
          <cell r="I171">
            <v>-16892.699013605463</v>
          </cell>
        </row>
        <row r="172">
          <cell r="I172">
            <v>-155935.50789353746</v>
          </cell>
        </row>
        <row r="173">
          <cell r="I173">
            <v>-41516.094194377496</v>
          </cell>
        </row>
        <row r="174">
          <cell r="I174">
            <v>-85198.6693841167</v>
          </cell>
        </row>
        <row r="175">
          <cell r="I175">
            <v>-20676.846363067398</v>
          </cell>
        </row>
        <row r="176">
          <cell r="I176">
            <v>-50328.153685779907</v>
          </cell>
        </row>
      </sheetData>
      <sheetData sheetId="2">
        <row r="147">
          <cell r="I147">
            <v>-657451.59</v>
          </cell>
          <cell r="J147">
            <v>-44257.463689499993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ournal Entries"/>
      <sheetName val="Input"/>
      <sheetName val="1508.008"/>
      <sheetName val="1508.008 - Materiality analysis"/>
      <sheetName val="1508.009"/>
      <sheetName val="1518.001"/>
      <sheetName val="1522.001"/>
      <sheetName val="1525.003"/>
      <sheetName val="1548.001"/>
      <sheetName val="1550.001"/>
      <sheetName val="1551.001"/>
      <sheetName val="1555.005"/>
      <sheetName val="1568.003 - 2015 LRAM(2017 Disp)"/>
      <sheetName val="1568.004 - 2016 LRAM(2018 Disp)"/>
      <sheetName val="1568.005 - 2017 LRAM(2019 Disp)"/>
      <sheetName val="1568.006 - 2018 LRAM(2020)"/>
      <sheetName val="1568.005 Recov. PT"/>
      <sheetName val="1568.005 Entry Support"/>
      <sheetName val="1580.001"/>
      <sheetName val="1580.004"/>
      <sheetName val="1584.001"/>
      <sheetName val="1586.001"/>
      <sheetName val="1592.001"/>
      <sheetName val="1595.007 - 2017 IRM VR Disp."/>
      <sheetName val="1595.008 - 2018 IRM VR Disp."/>
      <sheetName val="1595.009 - 2019 IRM VR Disp"/>
      <sheetName val="1595.010 - 2020 IRM VR Disp"/>
    </sheetNames>
    <sheetDataSet>
      <sheetData sheetId="0"/>
      <sheetData sheetId="1">
        <row r="3">
          <cell r="A3">
            <v>43466</v>
          </cell>
          <cell r="B3">
            <v>2.4500000000000001E-2</v>
          </cell>
        </row>
        <row r="4">
          <cell r="A4">
            <v>43497</v>
          </cell>
          <cell r="B4">
            <v>2.4500000000000001E-2</v>
          </cell>
        </row>
        <row r="5">
          <cell r="A5">
            <v>43525</v>
          </cell>
          <cell r="B5">
            <v>2.4500000000000001E-2</v>
          </cell>
        </row>
        <row r="6">
          <cell r="A6">
            <v>43556</v>
          </cell>
          <cell r="B6">
            <v>2.18E-2</v>
          </cell>
        </row>
        <row r="7">
          <cell r="A7">
            <v>43586</v>
          </cell>
          <cell r="B7">
            <v>2.18E-2</v>
          </cell>
        </row>
        <row r="8">
          <cell r="A8">
            <v>43617</v>
          </cell>
          <cell r="B8">
            <v>2.18E-2</v>
          </cell>
        </row>
        <row r="9">
          <cell r="A9">
            <v>43647</v>
          </cell>
          <cell r="B9">
            <v>2.18E-2</v>
          </cell>
        </row>
        <row r="10">
          <cell r="A10">
            <v>43678</v>
          </cell>
          <cell r="B10">
            <v>2.18E-2</v>
          </cell>
        </row>
        <row r="11">
          <cell r="A11">
            <v>43709</v>
          </cell>
          <cell r="B11">
            <v>2.18E-2</v>
          </cell>
        </row>
        <row r="12">
          <cell r="A12">
            <v>43739</v>
          </cell>
          <cell r="B12">
            <v>2.18E-2</v>
          </cell>
        </row>
        <row r="13">
          <cell r="A13">
            <v>43770</v>
          </cell>
          <cell r="B13">
            <v>2.18E-2</v>
          </cell>
        </row>
        <row r="14">
          <cell r="A14">
            <v>43800</v>
          </cell>
          <cell r="B14">
            <v>2.18E-2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ournal Entries"/>
      <sheetName val="Input"/>
      <sheetName val="1508.008"/>
      <sheetName val="1508.008 - Materiality analysis"/>
      <sheetName val="1508.009"/>
      <sheetName val="1508.012"/>
      <sheetName val="1518.001"/>
      <sheetName val="1522.001"/>
      <sheetName val="1525.003"/>
      <sheetName val="1548.001"/>
      <sheetName val="1550.001"/>
      <sheetName val="1551.001"/>
      <sheetName val="1555.005"/>
      <sheetName val="1568.003 - 2015 LRAM(2017 Disp)"/>
      <sheetName val="1568.004 - 2016 LRAM(2018 Disp)"/>
      <sheetName val="1568.005 - 2017 LRAM(2019 Disp)"/>
      <sheetName val="1568.006 - 2018 LRAM(2020)"/>
      <sheetName val="1568.007 - 2019 LRAM(2021)"/>
      <sheetName val="1568.008 - 2020 LRAM(2022)"/>
      <sheetName val="1568.009 - 2021 LRAM(2023)"/>
      <sheetName val="1568.008 Recov. PT"/>
      <sheetName val="1568.008 Entry Support"/>
      <sheetName val="1580.001"/>
      <sheetName val="1580.004"/>
      <sheetName val="1584.001"/>
      <sheetName val="1586.001"/>
      <sheetName val="1592.001"/>
      <sheetName val="1595.007 - 2017 IRM VR Disp."/>
      <sheetName val="1595.008 - 2018 IRM VR Disp."/>
      <sheetName val="1595.009 - 2019 IRM VR Disp"/>
      <sheetName val="1595.010 - 2020 IRM VR Disp"/>
      <sheetName val="1595.011 - 2021 IRM VR Disp"/>
      <sheetName val="1595.012 - 2022 IRM VR Disp"/>
      <sheetName val="1595.013 - 2023 IRM VR Disp"/>
    </sheetNames>
    <sheetDataSet>
      <sheetData sheetId="0" refreshError="1"/>
      <sheetData sheetId="1">
        <row r="1">
          <cell r="A1" t="str">
            <v>OEB Approved Defferal and Variance Accounts</v>
          </cell>
        </row>
        <row r="2">
          <cell r="B2" t="str">
            <v>Rate</v>
          </cell>
        </row>
        <row r="3">
          <cell r="A3">
            <v>43466</v>
          </cell>
          <cell r="B3">
            <v>2.4500000000000001E-2</v>
          </cell>
        </row>
        <row r="4">
          <cell r="A4">
            <v>43497</v>
          </cell>
          <cell r="B4">
            <v>2.4500000000000001E-2</v>
          </cell>
        </row>
        <row r="5">
          <cell r="A5">
            <v>43525</v>
          </cell>
          <cell r="B5">
            <v>2.4500000000000001E-2</v>
          </cell>
        </row>
        <row r="6">
          <cell r="A6">
            <v>43556</v>
          </cell>
          <cell r="B6">
            <v>2.18E-2</v>
          </cell>
        </row>
        <row r="7">
          <cell r="A7">
            <v>43586</v>
          </cell>
          <cell r="B7">
            <v>2.18E-2</v>
          </cell>
        </row>
        <row r="8">
          <cell r="A8">
            <v>43617</v>
          </cell>
          <cell r="B8">
            <v>2.18E-2</v>
          </cell>
        </row>
        <row r="9">
          <cell r="A9">
            <v>43647</v>
          </cell>
          <cell r="B9">
            <v>2.18E-2</v>
          </cell>
        </row>
        <row r="10">
          <cell r="A10">
            <v>43678</v>
          </cell>
          <cell r="B10">
            <v>2.18E-2</v>
          </cell>
        </row>
        <row r="11">
          <cell r="A11">
            <v>43709</v>
          </cell>
          <cell r="B11">
            <v>2.18E-2</v>
          </cell>
        </row>
        <row r="12">
          <cell r="A12">
            <v>43739</v>
          </cell>
          <cell r="B12">
            <v>2.18E-2</v>
          </cell>
        </row>
        <row r="13">
          <cell r="A13">
            <v>43770</v>
          </cell>
          <cell r="B13">
            <v>2.18E-2</v>
          </cell>
        </row>
        <row r="14">
          <cell r="A14">
            <v>43800</v>
          </cell>
          <cell r="B14">
            <v>2.18E-2</v>
          </cell>
        </row>
        <row r="15">
          <cell r="A15">
            <v>43831</v>
          </cell>
          <cell r="B15">
            <v>2.18E-2</v>
          </cell>
        </row>
        <row r="16">
          <cell r="A16">
            <v>43862</v>
          </cell>
          <cell r="B16">
            <v>2.18E-2</v>
          </cell>
        </row>
        <row r="17">
          <cell r="A17">
            <v>43891</v>
          </cell>
          <cell r="B17">
            <v>2.18E-2</v>
          </cell>
        </row>
        <row r="18">
          <cell r="A18">
            <v>43922</v>
          </cell>
          <cell r="B18">
            <v>2.18E-2</v>
          </cell>
        </row>
        <row r="19">
          <cell r="A19">
            <v>43952</v>
          </cell>
          <cell r="B19">
            <v>2.18E-2</v>
          </cell>
        </row>
        <row r="20">
          <cell r="A20">
            <v>43983</v>
          </cell>
          <cell r="B20">
            <v>2.18E-2</v>
          </cell>
        </row>
        <row r="21">
          <cell r="A21">
            <v>44013</v>
          </cell>
          <cell r="B21">
            <v>5.7000000000000002E-3</v>
          </cell>
        </row>
        <row r="22">
          <cell r="A22">
            <v>44044</v>
          </cell>
          <cell r="B22">
            <v>5.7000000000000002E-3</v>
          </cell>
        </row>
        <row r="23">
          <cell r="A23">
            <v>44075</v>
          </cell>
          <cell r="B23">
            <v>5.7000000000000002E-3</v>
          </cell>
        </row>
        <row r="24">
          <cell r="A24">
            <v>44105</v>
          </cell>
          <cell r="B24">
            <v>5.7000000000000002E-3</v>
          </cell>
        </row>
        <row r="25">
          <cell r="A25">
            <v>44136</v>
          </cell>
          <cell r="B25">
            <v>5.7000000000000002E-3</v>
          </cell>
        </row>
        <row r="26">
          <cell r="A26">
            <v>44166</v>
          </cell>
          <cell r="B26">
            <v>5.7000000000000002E-3</v>
          </cell>
        </row>
        <row r="27">
          <cell r="A27">
            <v>44197</v>
          </cell>
          <cell r="B27">
            <v>5.7000000000000002E-3</v>
          </cell>
        </row>
        <row r="28">
          <cell r="A28">
            <v>44228</v>
          </cell>
          <cell r="B28">
            <v>5.7000000000000002E-3</v>
          </cell>
        </row>
        <row r="29">
          <cell r="A29">
            <v>44256</v>
          </cell>
          <cell r="B29">
            <v>5.7000000000000002E-3</v>
          </cell>
        </row>
        <row r="30">
          <cell r="A30">
            <v>44287</v>
          </cell>
          <cell r="B30">
            <v>5.7000000000000002E-3</v>
          </cell>
        </row>
        <row r="31">
          <cell r="A31">
            <v>44317</v>
          </cell>
          <cell r="B31">
            <v>5.7000000000000002E-3</v>
          </cell>
        </row>
        <row r="32">
          <cell r="A32">
            <v>44348</v>
          </cell>
          <cell r="B32">
            <v>5.7000000000000002E-3</v>
          </cell>
        </row>
        <row r="33">
          <cell r="A33">
            <v>44378</v>
          </cell>
          <cell r="B33">
            <v>5.7000000000000002E-3</v>
          </cell>
        </row>
        <row r="34">
          <cell r="A34">
            <v>44409</v>
          </cell>
          <cell r="B34">
            <v>5.7000000000000002E-3</v>
          </cell>
        </row>
        <row r="35">
          <cell r="A35">
            <v>44440</v>
          </cell>
          <cell r="B35">
            <v>5.7000000000000002E-3</v>
          </cell>
        </row>
        <row r="36">
          <cell r="A36">
            <v>44470</v>
          </cell>
          <cell r="B36">
            <v>5.7000000000000002E-3</v>
          </cell>
        </row>
        <row r="37">
          <cell r="A37">
            <v>44501</v>
          </cell>
          <cell r="B37">
            <v>5.7000000000000002E-3</v>
          </cell>
        </row>
        <row r="38">
          <cell r="A38">
            <v>44531</v>
          </cell>
          <cell r="B38">
            <v>5.7000000000000002E-3</v>
          </cell>
        </row>
        <row r="39">
          <cell r="A39">
            <v>44562</v>
          </cell>
          <cell r="B39">
            <v>5.7000000000000002E-3</v>
          </cell>
        </row>
        <row r="40">
          <cell r="A40">
            <v>44593</v>
          </cell>
          <cell r="B40">
            <v>5.7000000000000002E-3</v>
          </cell>
        </row>
        <row r="41">
          <cell r="A41">
            <v>44621</v>
          </cell>
          <cell r="B41">
            <v>5.7000000000000002E-3</v>
          </cell>
        </row>
        <row r="42">
          <cell r="A42">
            <v>44652</v>
          </cell>
          <cell r="B42">
            <v>1.0200000000000001E-2</v>
          </cell>
        </row>
        <row r="43">
          <cell r="A43">
            <v>44682</v>
          </cell>
          <cell r="B43">
            <v>1.0200000000000001E-2</v>
          </cell>
        </row>
        <row r="44">
          <cell r="A44">
            <v>44713</v>
          </cell>
          <cell r="B44">
            <v>1.0200000000000001E-2</v>
          </cell>
        </row>
        <row r="45">
          <cell r="A45">
            <v>44743</v>
          </cell>
          <cell r="B45">
            <v>2.1999999999999999E-2</v>
          </cell>
        </row>
        <row r="46">
          <cell r="A46">
            <v>44774</v>
          </cell>
          <cell r="B46">
            <v>2.1999999999999999E-2</v>
          </cell>
        </row>
        <row r="47">
          <cell r="A47">
            <v>44805</v>
          </cell>
          <cell r="B47">
            <v>2.1999999999999999E-2</v>
          </cell>
        </row>
        <row r="48">
          <cell r="A48">
            <v>44835</v>
          </cell>
          <cell r="B48">
            <v>3.8699999999999998E-2</v>
          </cell>
        </row>
        <row r="49">
          <cell r="A49">
            <v>44866</v>
          </cell>
          <cell r="B49">
            <v>3.8699999999999998E-2</v>
          </cell>
        </row>
        <row r="50">
          <cell r="A50">
            <v>44896</v>
          </cell>
          <cell r="B50">
            <v>3.8699999999999998E-2</v>
          </cell>
        </row>
        <row r="51">
          <cell r="A51">
            <v>44927</v>
          </cell>
          <cell r="B51">
            <v>4.7300000000000002E-2</v>
          </cell>
        </row>
        <row r="52">
          <cell r="A52">
            <v>44958</v>
          </cell>
          <cell r="B52">
            <v>4.7300000000000002E-2</v>
          </cell>
        </row>
        <row r="53">
          <cell r="A53">
            <v>44986</v>
          </cell>
          <cell r="B53">
            <v>4.7300000000000002E-2</v>
          </cell>
        </row>
        <row r="54">
          <cell r="A54">
            <v>45017</v>
          </cell>
          <cell r="B54">
            <v>4.9799999999999997E-2</v>
          </cell>
        </row>
        <row r="55">
          <cell r="A55">
            <v>45047</v>
          </cell>
          <cell r="B55">
            <v>4.9799999999999997E-2</v>
          </cell>
        </row>
        <row r="56">
          <cell r="A56">
            <v>45078</v>
          </cell>
          <cell r="B56">
            <v>4.9799999999999997E-2</v>
          </cell>
        </row>
        <row r="57">
          <cell r="A57">
            <v>45108</v>
          </cell>
          <cell r="B57">
            <v>4.9799999999999997E-2</v>
          </cell>
        </row>
        <row r="58">
          <cell r="A58">
            <v>45139</v>
          </cell>
          <cell r="B58">
            <v>4.9799999999999997E-2</v>
          </cell>
        </row>
        <row r="59">
          <cell r="A59">
            <v>45170</v>
          </cell>
          <cell r="B59">
            <v>4.9799999999999997E-2</v>
          </cell>
        </row>
        <row r="60">
          <cell r="A60">
            <v>45200</v>
          </cell>
          <cell r="B60">
            <v>5.4899999999999997E-2</v>
          </cell>
        </row>
        <row r="61">
          <cell r="A61">
            <v>45231</v>
          </cell>
          <cell r="B61">
            <v>5.4899999999999997E-2</v>
          </cell>
        </row>
        <row r="62">
          <cell r="A62">
            <v>45261</v>
          </cell>
          <cell r="B62">
            <v>5.4899999999999997E-2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193"/>
  <sheetViews>
    <sheetView topLeftCell="C31" workbookViewId="0">
      <selection activeCell="N160" sqref="N160"/>
    </sheetView>
  </sheetViews>
  <sheetFormatPr defaultColWidth="8.90625" defaultRowHeight="14.5" x14ac:dyDescent="0.35"/>
  <cols>
    <col min="1" max="1" width="35.453125" bestFit="1" customWidth="1"/>
    <col min="2" max="2" width="17" bestFit="1" customWidth="1"/>
    <col min="3" max="3" width="14" bestFit="1" customWidth="1"/>
    <col min="4" max="4" width="12.36328125" bestFit="1" customWidth="1"/>
    <col min="5" max="5" width="7" bestFit="1" customWidth="1"/>
    <col min="6" max="6" width="12.54296875" bestFit="1" customWidth="1"/>
    <col min="7" max="7" width="16.6328125" bestFit="1" customWidth="1"/>
    <col min="8" max="8" width="16" bestFit="1" customWidth="1"/>
    <col min="9" max="9" width="17.08984375" bestFit="1" customWidth="1"/>
    <col min="10" max="10" width="15.08984375" hidden="1" customWidth="1"/>
    <col min="11" max="11" width="8.6328125" bestFit="1" customWidth="1"/>
    <col min="12" max="12" width="11" bestFit="1" customWidth="1"/>
    <col min="13" max="13" width="9" bestFit="1" customWidth="1"/>
    <col min="14" max="14" width="16" bestFit="1" customWidth="1"/>
    <col min="15" max="15" width="17.453125" bestFit="1" customWidth="1"/>
    <col min="17" max="17" width="15.90625" bestFit="1" customWidth="1"/>
    <col min="19" max="19" width="15" bestFit="1" customWidth="1"/>
    <col min="20" max="20" width="10.08984375" bestFit="1" customWidth="1"/>
    <col min="22" max="22" width="12" bestFit="1" customWidth="1"/>
  </cols>
  <sheetData>
    <row r="1" spans="1:19" x14ac:dyDescent="0.35">
      <c r="A1" s="1" t="s">
        <v>31</v>
      </c>
    </row>
    <row r="2" spans="1:19" x14ac:dyDescent="0.35">
      <c r="A2" s="2" t="s">
        <v>0</v>
      </c>
    </row>
    <row r="3" spans="1:19" x14ac:dyDescent="0.35">
      <c r="A3" s="2" t="s">
        <v>30</v>
      </c>
      <c r="C3" s="3"/>
    </row>
    <row r="4" spans="1:19" x14ac:dyDescent="0.35">
      <c r="C4" s="3"/>
    </row>
    <row r="5" spans="1:19" x14ac:dyDescent="0.35">
      <c r="C5" s="3"/>
    </row>
    <row r="7" spans="1:19" x14ac:dyDescent="0.35">
      <c r="A7" s="4" t="s">
        <v>1</v>
      </c>
      <c r="C7" s="5"/>
      <c r="D7" s="5"/>
      <c r="E7" s="6"/>
    </row>
    <row r="8" spans="1:19" x14ac:dyDescent="0.35">
      <c r="B8" s="7"/>
      <c r="G8" s="8"/>
      <c r="N8" s="8"/>
    </row>
    <row r="9" spans="1:19" x14ac:dyDescent="0.35">
      <c r="A9" s="9"/>
      <c r="B9" s="9">
        <v>2</v>
      </c>
      <c r="C9" s="9">
        <v>3</v>
      </c>
      <c r="D9" s="9">
        <v>3.1</v>
      </c>
      <c r="E9" s="9"/>
      <c r="F9" s="9">
        <v>4</v>
      </c>
      <c r="G9" s="9">
        <v>5</v>
      </c>
      <c r="H9" s="9">
        <v>6</v>
      </c>
      <c r="I9" s="9">
        <v>7</v>
      </c>
      <c r="J9" s="9">
        <v>8</v>
      </c>
      <c r="K9" s="9">
        <v>9</v>
      </c>
      <c r="L9" s="9">
        <v>10</v>
      </c>
      <c r="M9" s="9">
        <v>11</v>
      </c>
      <c r="N9" s="10">
        <v>12</v>
      </c>
      <c r="O9" s="9">
        <v>13</v>
      </c>
    </row>
    <row r="10" spans="1:19" x14ac:dyDescent="0.35">
      <c r="A10" s="9"/>
      <c r="B10" s="9" t="s">
        <v>2</v>
      </c>
      <c r="C10" s="8"/>
      <c r="D10" s="8"/>
      <c r="E10" s="9"/>
      <c r="F10" s="9"/>
      <c r="G10" s="8"/>
      <c r="H10" s="9"/>
      <c r="I10" s="9"/>
      <c r="J10" s="9" t="s">
        <v>3</v>
      </c>
      <c r="K10" s="9"/>
      <c r="L10" s="9"/>
      <c r="M10" s="9" t="s">
        <v>4</v>
      </c>
      <c r="N10" s="10"/>
      <c r="O10" s="9" t="s">
        <v>2</v>
      </c>
      <c r="Q10" s="11"/>
    </row>
    <row r="11" spans="1:19" x14ac:dyDescent="0.35">
      <c r="A11" s="9" t="s">
        <v>5</v>
      </c>
      <c r="B11" s="9" t="s">
        <v>6</v>
      </c>
      <c r="C11" s="9" t="s">
        <v>7</v>
      </c>
      <c r="D11" s="9" t="s">
        <v>8</v>
      </c>
      <c r="E11" s="9"/>
      <c r="F11" s="9" t="s">
        <v>9</v>
      </c>
      <c r="G11" s="9" t="s">
        <v>10</v>
      </c>
      <c r="H11" s="9" t="s">
        <v>2</v>
      </c>
      <c r="I11" s="9" t="s">
        <v>38</v>
      </c>
      <c r="J11" s="9" t="s">
        <v>2</v>
      </c>
      <c r="K11" s="9" t="s">
        <v>11</v>
      </c>
      <c r="L11" s="9" t="s">
        <v>12</v>
      </c>
      <c r="M11" s="9" t="s">
        <v>13</v>
      </c>
      <c r="N11" s="10" t="s">
        <v>14</v>
      </c>
      <c r="O11" s="9" t="s">
        <v>15</v>
      </c>
      <c r="Q11" s="10" t="s">
        <v>14</v>
      </c>
    </row>
    <row r="12" spans="1:19" ht="15" thickBot="1" x14ac:dyDescent="0.4">
      <c r="A12" s="13" t="s">
        <v>16</v>
      </c>
      <c r="B12" s="14"/>
      <c r="C12" s="14"/>
      <c r="D12" s="14"/>
      <c r="E12" s="14"/>
      <c r="F12" s="14"/>
      <c r="G12" s="14"/>
      <c r="H12" s="14"/>
      <c r="I12" s="14"/>
      <c r="J12" s="15"/>
      <c r="K12" s="14"/>
      <c r="L12" s="14"/>
      <c r="M12" s="14"/>
      <c r="N12" s="16"/>
      <c r="O12" s="14"/>
      <c r="Q12" s="17" t="s">
        <v>17</v>
      </c>
      <c r="R12" s="18"/>
      <c r="S12" s="19" t="s">
        <v>18</v>
      </c>
    </row>
    <row r="14" spans="1:19" x14ac:dyDescent="0.35">
      <c r="A14" s="70">
        <v>1</v>
      </c>
      <c r="B14" s="80">
        <v>16047200</v>
      </c>
      <c r="C14" s="80"/>
      <c r="E14" s="21"/>
      <c r="F14" s="21"/>
      <c r="G14" s="21"/>
      <c r="H14" s="21">
        <f t="shared" ref="H14:H31" si="0">B14+SUM(C14:G14)</f>
        <v>16047200</v>
      </c>
      <c r="I14" s="21">
        <f t="shared" ref="I14:I19" si="1">ROUND(SUM(C14:G14)/2,0)</f>
        <v>0</v>
      </c>
      <c r="J14" s="21">
        <f>+H14-I14</f>
        <v>16047200</v>
      </c>
      <c r="K14" s="82">
        <v>0.04</v>
      </c>
      <c r="L14" s="21">
        <v>0</v>
      </c>
      <c r="M14" s="21">
        <v>0</v>
      </c>
      <c r="N14" s="22">
        <f>(B14+(C14+G14)/2)*K14</f>
        <v>641888</v>
      </c>
      <c r="O14" s="21">
        <f t="shared" ref="O14:O31" si="2">+H14-N14</f>
        <v>15405312</v>
      </c>
      <c r="P14" s="21"/>
      <c r="Q14" s="23">
        <v>641888</v>
      </c>
      <c r="S14" s="23">
        <f t="shared" ref="S14:S31" si="3">N14-Q14</f>
        <v>0</v>
      </c>
    </row>
    <row r="15" spans="1:19" x14ac:dyDescent="0.35">
      <c r="A15" s="71" t="s">
        <v>19</v>
      </c>
      <c r="B15" s="80">
        <v>4725438</v>
      </c>
      <c r="C15" s="80">
        <v>52338</v>
      </c>
      <c r="E15" s="21"/>
      <c r="F15" s="21"/>
      <c r="G15" s="21"/>
      <c r="H15" s="21">
        <f t="shared" si="0"/>
        <v>4777776</v>
      </c>
      <c r="I15" s="21">
        <f>ROUND(SUM(C15:G15)/2,0)</f>
        <v>26169</v>
      </c>
      <c r="J15" s="21">
        <f t="shared" ref="J15:J22" si="4">+H15-I15</f>
        <v>4751607</v>
      </c>
      <c r="K15" s="82">
        <v>0.06</v>
      </c>
      <c r="L15" s="21">
        <v>0</v>
      </c>
      <c r="M15" s="21">
        <v>0</v>
      </c>
      <c r="N15" s="22">
        <f>(B15+(C15+G15)/2)*K15</f>
        <v>285096.42</v>
      </c>
      <c r="O15" s="21">
        <f t="shared" si="2"/>
        <v>4492679.58</v>
      </c>
      <c r="P15" s="21"/>
      <c r="Q15" s="23">
        <v>286032</v>
      </c>
      <c r="S15" s="23">
        <f t="shared" si="3"/>
        <v>-935.5800000000163</v>
      </c>
    </row>
    <row r="16" spans="1:19" x14ac:dyDescent="0.35">
      <c r="A16" s="70">
        <v>2</v>
      </c>
      <c r="B16" s="80">
        <v>2196427</v>
      </c>
      <c r="C16" s="80"/>
      <c r="E16" s="21"/>
      <c r="F16" s="21"/>
      <c r="G16" s="21"/>
      <c r="H16" s="21">
        <f t="shared" si="0"/>
        <v>2196427</v>
      </c>
      <c r="I16" s="21">
        <f t="shared" si="1"/>
        <v>0</v>
      </c>
      <c r="J16" s="21">
        <f t="shared" si="4"/>
        <v>2196427</v>
      </c>
      <c r="K16" s="82">
        <v>0.06</v>
      </c>
      <c r="L16" s="21">
        <v>0</v>
      </c>
      <c r="M16" s="21">
        <v>0</v>
      </c>
      <c r="N16" s="22">
        <f t="shared" ref="N16:N31" si="5">(B16+(C16+G16)/2)*K16</f>
        <v>131785.62</v>
      </c>
      <c r="O16" s="21">
        <f t="shared" si="2"/>
        <v>2064641.38</v>
      </c>
      <c r="P16" s="21"/>
      <c r="Q16" s="23">
        <v>131785.62</v>
      </c>
      <c r="S16" s="23">
        <f t="shared" si="3"/>
        <v>0</v>
      </c>
    </row>
    <row r="17" spans="1:19" x14ac:dyDescent="0.35">
      <c r="A17" s="70">
        <v>6</v>
      </c>
      <c r="B17" s="80">
        <v>62045</v>
      </c>
      <c r="C17" s="80"/>
      <c r="D17" s="21"/>
      <c r="E17" s="21"/>
      <c r="F17" s="21"/>
      <c r="G17" s="21"/>
      <c r="H17" s="21">
        <f t="shared" si="0"/>
        <v>62045</v>
      </c>
      <c r="I17" s="21">
        <f t="shared" si="1"/>
        <v>0</v>
      </c>
      <c r="J17" s="21">
        <f t="shared" si="4"/>
        <v>62045</v>
      </c>
      <c r="K17" s="82">
        <v>0.1</v>
      </c>
      <c r="L17" s="21">
        <v>0</v>
      </c>
      <c r="M17" s="21">
        <v>0</v>
      </c>
      <c r="N17" s="22">
        <f t="shared" si="5"/>
        <v>6204.5</v>
      </c>
      <c r="O17" s="21">
        <f t="shared" si="2"/>
        <v>55840.5</v>
      </c>
      <c r="P17" s="21"/>
      <c r="Q17" s="23">
        <v>6204.5</v>
      </c>
      <c r="S17" s="23">
        <f t="shared" si="3"/>
        <v>0</v>
      </c>
    </row>
    <row r="18" spans="1:19" x14ac:dyDescent="0.35">
      <c r="A18" s="70">
        <v>8</v>
      </c>
      <c r="B18" s="80">
        <v>1364070</v>
      </c>
      <c r="C18" s="80">
        <v>428081</v>
      </c>
      <c r="D18" s="21"/>
      <c r="E18" s="21"/>
      <c r="F18" s="21"/>
      <c r="G18" s="21"/>
      <c r="H18" s="21">
        <f t="shared" si="0"/>
        <v>1792151</v>
      </c>
      <c r="I18" s="21">
        <f t="shared" si="1"/>
        <v>214041</v>
      </c>
      <c r="J18" s="21">
        <f t="shared" si="4"/>
        <v>1578110</v>
      </c>
      <c r="K18" s="82">
        <v>0.2</v>
      </c>
      <c r="L18" s="21">
        <v>0</v>
      </c>
      <c r="M18" s="21">
        <v>0</v>
      </c>
      <c r="N18" s="22">
        <f t="shared" si="5"/>
        <v>315622.10000000003</v>
      </c>
      <c r="O18" s="21">
        <f t="shared" si="2"/>
        <v>1476528.9</v>
      </c>
      <c r="P18" s="21"/>
      <c r="Q18" s="23">
        <v>326191</v>
      </c>
      <c r="S18" s="23">
        <f t="shared" si="3"/>
        <v>-10568.899999999965</v>
      </c>
    </row>
    <row r="19" spans="1:19" x14ac:dyDescent="0.35">
      <c r="A19" s="70">
        <v>10</v>
      </c>
      <c r="B19" s="80">
        <v>365291</v>
      </c>
      <c r="C19" s="80">
        <v>334227</v>
      </c>
      <c r="D19" s="24"/>
      <c r="E19" s="24"/>
      <c r="G19" s="21">
        <v>-3540</v>
      </c>
      <c r="H19" s="21">
        <f t="shared" si="0"/>
        <v>695978</v>
      </c>
      <c r="I19" s="21">
        <f t="shared" si="1"/>
        <v>165344</v>
      </c>
      <c r="J19" s="21">
        <f>+H19-I19</f>
        <v>530634</v>
      </c>
      <c r="K19" s="83">
        <v>0.3</v>
      </c>
      <c r="L19" s="21">
        <v>0</v>
      </c>
      <c r="M19" s="21">
        <v>0</v>
      </c>
      <c r="N19" s="22">
        <f t="shared" si="5"/>
        <v>159190.35</v>
      </c>
      <c r="O19" s="21">
        <f t="shared" si="2"/>
        <v>536787.65</v>
      </c>
      <c r="P19" s="21"/>
      <c r="Q19" s="23">
        <v>159190.35</v>
      </c>
      <c r="S19" s="23">
        <f t="shared" si="3"/>
        <v>0</v>
      </c>
    </row>
    <row r="20" spans="1:19" x14ac:dyDescent="0.35">
      <c r="A20" s="70">
        <v>12</v>
      </c>
      <c r="B20" s="80">
        <v>141192</v>
      </c>
      <c r="C20" s="80">
        <v>178912</v>
      </c>
      <c r="D20" s="24"/>
      <c r="E20" s="24"/>
      <c r="F20" s="25"/>
      <c r="G20" s="24"/>
      <c r="H20" s="21">
        <f>B20+SUM(C20:G20)</f>
        <v>320104</v>
      </c>
      <c r="I20" s="24">
        <v>7847</v>
      </c>
      <c r="J20" s="24">
        <f t="shared" ref="J20:J21" si="6">+H20-I20</f>
        <v>312257</v>
      </c>
      <c r="K20" s="84">
        <v>1</v>
      </c>
      <c r="L20" s="21">
        <v>0</v>
      </c>
      <c r="M20" s="21">
        <v>0</v>
      </c>
      <c r="N20" s="85">
        <f>Q20</f>
        <v>256002</v>
      </c>
      <c r="O20" s="21">
        <f t="shared" si="2"/>
        <v>64102</v>
      </c>
      <c r="P20" s="21"/>
      <c r="Q20" s="23">
        <v>256002</v>
      </c>
      <c r="S20" s="23">
        <f t="shared" si="3"/>
        <v>0</v>
      </c>
    </row>
    <row r="21" spans="1:19" x14ac:dyDescent="0.35">
      <c r="A21" s="72">
        <v>14</v>
      </c>
      <c r="B21" s="81">
        <v>419441</v>
      </c>
      <c r="C21" s="81"/>
      <c r="D21" s="24"/>
      <c r="E21" s="24"/>
      <c r="F21" s="25"/>
      <c r="G21" s="24"/>
      <c r="H21" s="21">
        <f t="shared" si="0"/>
        <v>419441</v>
      </c>
      <c r="I21" s="24">
        <v>0</v>
      </c>
      <c r="J21" s="24">
        <f t="shared" si="6"/>
        <v>419441</v>
      </c>
      <c r="K21" s="84" t="s">
        <v>35</v>
      </c>
      <c r="L21" s="21">
        <v>0</v>
      </c>
      <c r="M21" s="21">
        <v>0</v>
      </c>
      <c r="N21" s="22">
        <f>Q21</f>
        <v>20267</v>
      </c>
      <c r="O21" s="21">
        <f t="shared" si="2"/>
        <v>399174</v>
      </c>
      <c r="P21" s="21"/>
      <c r="Q21" s="23">
        <v>20267</v>
      </c>
      <c r="S21" s="23">
        <f t="shared" si="3"/>
        <v>0</v>
      </c>
    </row>
    <row r="22" spans="1:19" x14ac:dyDescent="0.35">
      <c r="A22" s="72">
        <v>14</v>
      </c>
      <c r="B22" s="81">
        <v>336219</v>
      </c>
      <c r="C22" s="81"/>
      <c r="D22" s="21"/>
      <c r="E22" s="21"/>
      <c r="F22" s="25"/>
      <c r="G22" s="21"/>
      <c r="H22" s="21">
        <f t="shared" si="0"/>
        <v>336219</v>
      </c>
      <c r="I22" s="21">
        <f>ROUND(SUM(C22:G22)/2,0)</f>
        <v>0</v>
      </c>
      <c r="J22" s="21">
        <f t="shared" si="4"/>
        <v>336219</v>
      </c>
      <c r="K22" s="83" t="s">
        <v>36</v>
      </c>
      <c r="L22" s="21">
        <v>0</v>
      </c>
      <c r="M22" s="21">
        <v>0</v>
      </c>
      <c r="N22" s="22">
        <f>Q22</f>
        <v>32000</v>
      </c>
      <c r="O22" s="21">
        <f t="shared" si="2"/>
        <v>304219</v>
      </c>
      <c r="P22" s="21"/>
      <c r="Q22" s="23">
        <v>32000</v>
      </c>
      <c r="S22" s="23">
        <f t="shared" si="3"/>
        <v>0</v>
      </c>
    </row>
    <row r="23" spans="1:19" x14ac:dyDescent="0.35">
      <c r="A23" s="70">
        <v>17</v>
      </c>
      <c r="B23" s="80">
        <v>86723</v>
      </c>
      <c r="C23" s="80"/>
      <c r="D23" s="21"/>
      <c r="E23" s="21"/>
      <c r="F23" s="21"/>
      <c r="G23" s="21"/>
      <c r="H23" s="21">
        <f t="shared" si="0"/>
        <v>86723</v>
      </c>
      <c r="I23" s="21">
        <f t="shared" ref="I23:I25" si="7">ROUND(SUM(C23:G23)/2,0)</f>
        <v>0</v>
      </c>
      <c r="J23" s="21">
        <f>+H23-I23</f>
        <v>86723</v>
      </c>
      <c r="K23" s="83">
        <v>0.08</v>
      </c>
      <c r="L23" s="21">
        <v>0</v>
      </c>
      <c r="M23" s="21">
        <v>0</v>
      </c>
      <c r="N23" s="22">
        <f t="shared" si="5"/>
        <v>6937.84</v>
      </c>
      <c r="O23" s="21">
        <f t="shared" si="2"/>
        <v>79785.16</v>
      </c>
      <c r="P23" s="21"/>
      <c r="Q23" s="23">
        <v>6937.84</v>
      </c>
      <c r="S23" s="23">
        <f t="shared" si="3"/>
        <v>0</v>
      </c>
    </row>
    <row r="24" spans="1:19" x14ac:dyDescent="0.35">
      <c r="A24" s="70">
        <v>43.2</v>
      </c>
      <c r="B24" s="80">
        <v>6713</v>
      </c>
      <c r="C24" s="80"/>
      <c r="D24" s="21"/>
      <c r="E24" s="21"/>
      <c r="F24" s="21"/>
      <c r="G24" s="21"/>
      <c r="H24" s="21">
        <f t="shared" si="0"/>
        <v>6713</v>
      </c>
      <c r="I24" s="21">
        <f>ROUND(SUM(C24:G24)/2,0)</f>
        <v>0</v>
      </c>
      <c r="J24" s="21">
        <f t="shared" ref="J24:J31" si="8">+H24-I24</f>
        <v>6713</v>
      </c>
      <c r="K24" s="83">
        <v>0.5</v>
      </c>
      <c r="L24" s="21">
        <v>0</v>
      </c>
      <c r="M24" s="21">
        <v>0</v>
      </c>
      <c r="N24" s="22">
        <f t="shared" si="5"/>
        <v>3356.5</v>
      </c>
      <c r="O24" s="21">
        <f t="shared" si="2"/>
        <v>3356.5</v>
      </c>
      <c r="Q24" s="23">
        <v>3356.5</v>
      </c>
      <c r="S24" s="23">
        <f t="shared" si="3"/>
        <v>0</v>
      </c>
    </row>
    <row r="25" spans="1:19" x14ac:dyDescent="0.35">
      <c r="A25" s="70">
        <v>45</v>
      </c>
      <c r="B25" s="80">
        <v>72</v>
      </c>
      <c r="C25" s="80"/>
      <c r="D25" s="24"/>
      <c r="E25" s="24"/>
      <c r="F25" s="24"/>
      <c r="G25" s="24"/>
      <c r="H25" s="21">
        <f t="shared" si="0"/>
        <v>72</v>
      </c>
      <c r="I25" s="24">
        <f t="shared" si="7"/>
        <v>0</v>
      </c>
      <c r="J25" s="21">
        <f t="shared" si="8"/>
        <v>72</v>
      </c>
      <c r="K25" s="84">
        <v>0.45</v>
      </c>
      <c r="L25" s="21">
        <v>0</v>
      </c>
      <c r="M25" s="21">
        <v>0</v>
      </c>
      <c r="N25" s="22">
        <f t="shared" si="5"/>
        <v>32.4</v>
      </c>
      <c r="O25" s="21">
        <f t="shared" si="2"/>
        <v>39.6</v>
      </c>
      <c r="P25" s="21"/>
      <c r="Q25" s="23">
        <v>32.4</v>
      </c>
      <c r="S25" s="23">
        <f t="shared" si="3"/>
        <v>0</v>
      </c>
    </row>
    <row r="26" spans="1:19" x14ac:dyDescent="0.35">
      <c r="A26" s="70">
        <v>46</v>
      </c>
      <c r="B26" s="80">
        <v>1967</v>
      </c>
      <c r="C26" s="80"/>
      <c r="D26" s="24"/>
      <c r="E26" s="24"/>
      <c r="F26" s="24"/>
      <c r="G26" s="24"/>
      <c r="H26" s="21">
        <f t="shared" si="0"/>
        <v>1967</v>
      </c>
      <c r="I26" s="21">
        <f t="shared" ref="I26:I31" si="9">ROUND(SUM(C26:G26)/2,0)</f>
        <v>0</v>
      </c>
      <c r="J26" s="21">
        <f t="shared" si="8"/>
        <v>1967</v>
      </c>
      <c r="K26" s="84">
        <v>0.3</v>
      </c>
      <c r="L26" s="21">
        <v>0</v>
      </c>
      <c r="M26" s="21">
        <v>0</v>
      </c>
      <c r="N26" s="22">
        <f t="shared" si="5"/>
        <v>590.1</v>
      </c>
      <c r="O26" s="21">
        <f t="shared" si="2"/>
        <v>1376.9</v>
      </c>
      <c r="P26" s="21"/>
      <c r="Q26" s="23">
        <v>590.1</v>
      </c>
      <c r="S26" s="23">
        <f t="shared" si="3"/>
        <v>0</v>
      </c>
    </row>
    <row r="27" spans="1:19" x14ac:dyDescent="0.35">
      <c r="A27" s="70">
        <v>47</v>
      </c>
      <c r="B27" s="80">
        <v>22200849</v>
      </c>
      <c r="C27" s="80">
        <v>2070925</v>
      </c>
      <c r="D27" s="24"/>
      <c r="E27" s="24"/>
      <c r="F27" s="24"/>
      <c r="G27" s="24">
        <v>-4500</v>
      </c>
      <c r="H27" s="21">
        <f t="shared" si="0"/>
        <v>24267274</v>
      </c>
      <c r="I27" s="21">
        <f t="shared" si="9"/>
        <v>1033213</v>
      </c>
      <c r="J27" s="21">
        <f t="shared" si="8"/>
        <v>23234061</v>
      </c>
      <c r="K27" s="84">
        <v>0.08</v>
      </c>
      <c r="L27" s="21">
        <v>0</v>
      </c>
      <c r="M27" s="21">
        <v>0</v>
      </c>
      <c r="N27" s="22">
        <f t="shared" si="5"/>
        <v>1858724.92</v>
      </c>
      <c r="O27" s="21">
        <f t="shared" si="2"/>
        <v>22408549.079999998</v>
      </c>
      <c r="P27" s="21"/>
      <c r="Q27" s="23">
        <v>1888886</v>
      </c>
      <c r="S27" s="23">
        <f t="shared" si="3"/>
        <v>-30161.080000000075</v>
      </c>
    </row>
    <row r="28" spans="1:19" x14ac:dyDescent="0.35">
      <c r="A28" s="70">
        <v>50</v>
      </c>
      <c r="B28" s="80">
        <v>126635</v>
      </c>
      <c r="C28" s="80">
        <v>94549</v>
      </c>
      <c r="D28" s="24"/>
      <c r="E28" s="24"/>
      <c r="F28" s="24"/>
      <c r="G28" s="24"/>
      <c r="H28" s="21">
        <f t="shared" si="0"/>
        <v>221184</v>
      </c>
      <c r="I28" s="21">
        <f>ROUND(SUM(C28:G28)/2,0)</f>
        <v>47275</v>
      </c>
      <c r="J28" s="21">
        <f t="shared" si="8"/>
        <v>173909</v>
      </c>
      <c r="K28" s="84">
        <v>0.55000000000000004</v>
      </c>
      <c r="L28" s="21">
        <v>0</v>
      </c>
      <c r="M28" s="21">
        <v>0</v>
      </c>
      <c r="N28" s="22">
        <f t="shared" si="5"/>
        <v>95650.225000000006</v>
      </c>
      <c r="O28" s="21">
        <f t="shared" si="2"/>
        <v>125533.77499999999</v>
      </c>
      <c r="P28" s="21"/>
      <c r="Q28" s="23">
        <v>100838</v>
      </c>
      <c r="S28" s="23">
        <f t="shared" si="3"/>
        <v>-5187.7749999999942</v>
      </c>
    </row>
    <row r="29" spans="1:19" x14ac:dyDescent="0.35">
      <c r="A29" s="71">
        <v>14.1</v>
      </c>
      <c r="B29" s="80">
        <v>645434</v>
      </c>
      <c r="C29" s="80">
        <v>75196</v>
      </c>
      <c r="D29" s="24"/>
      <c r="E29" s="24"/>
      <c r="F29" s="24"/>
      <c r="G29" s="24"/>
      <c r="H29" s="21">
        <f t="shared" si="0"/>
        <v>720630</v>
      </c>
      <c r="I29" s="21">
        <f t="shared" si="9"/>
        <v>37598</v>
      </c>
      <c r="J29" s="21">
        <f t="shared" si="8"/>
        <v>683032</v>
      </c>
      <c r="K29" s="84">
        <v>0.05</v>
      </c>
      <c r="L29" s="21">
        <v>0</v>
      </c>
      <c r="M29" s="21">
        <v>0</v>
      </c>
      <c r="N29" s="85">
        <f>Q29</f>
        <v>47061</v>
      </c>
      <c r="O29" s="21">
        <f t="shared" si="2"/>
        <v>673569</v>
      </c>
      <c r="P29" s="21"/>
      <c r="Q29" s="23">
        <v>47061</v>
      </c>
      <c r="S29" s="23">
        <f t="shared" si="3"/>
        <v>0</v>
      </c>
    </row>
    <row r="30" spans="1:19" x14ac:dyDescent="0.35">
      <c r="A30" s="73" t="s">
        <v>32</v>
      </c>
      <c r="B30" s="80">
        <v>183470</v>
      </c>
      <c r="C30" s="80">
        <v>200793</v>
      </c>
      <c r="D30" s="24"/>
      <c r="E30" s="24"/>
      <c r="F30" s="24"/>
      <c r="G30" s="24">
        <v>-183470</v>
      </c>
      <c r="H30" s="21">
        <f t="shared" si="0"/>
        <v>200793</v>
      </c>
      <c r="I30" s="21">
        <f t="shared" si="9"/>
        <v>8662</v>
      </c>
      <c r="J30" s="21">
        <f t="shared" si="8"/>
        <v>192131</v>
      </c>
      <c r="K30" s="84">
        <v>0</v>
      </c>
      <c r="L30" s="21">
        <v>0</v>
      </c>
      <c r="M30" s="21">
        <v>0</v>
      </c>
      <c r="N30" s="22">
        <f t="shared" si="5"/>
        <v>0</v>
      </c>
      <c r="O30" s="21">
        <f t="shared" si="2"/>
        <v>200793</v>
      </c>
      <c r="P30" s="21"/>
      <c r="Q30" s="23">
        <v>0</v>
      </c>
      <c r="S30" s="23">
        <f t="shared" si="3"/>
        <v>0</v>
      </c>
    </row>
    <row r="31" spans="1:19" x14ac:dyDescent="0.35">
      <c r="A31" s="71" t="s">
        <v>33</v>
      </c>
      <c r="B31" s="80">
        <v>1225521</v>
      </c>
      <c r="C31" s="80">
        <v>1224900</v>
      </c>
      <c r="D31" s="24"/>
      <c r="E31" s="24"/>
      <c r="F31" s="24"/>
      <c r="G31" s="24">
        <v>-1225521</v>
      </c>
      <c r="H31" s="21">
        <f t="shared" si="0"/>
        <v>1224900</v>
      </c>
      <c r="I31" s="21">
        <f t="shared" si="9"/>
        <v>-311</v>
      </c>
      <c r="J31" s="21">
        <f t="shared" si="8"/>
        <v>1225211</v>
      </c>
      <c r="K31" s="84">
        <v>0</v>
      </c>
      <c r="L31" s="21">
        <v>0</v>
      </c>
      <c r="M31" s="21">
        <v>0</v>
      </c>
      <c r="N31" s="22">
        <f t="shared" si="5"/>
        <v>0</v>
      </c>
      <c r="O31" s="21">
        <f t="shared" si="2"/>
        <v>1224900</v>
      </c>
      <c r="P31" s="21"/>
      <c r="Q31" s="23">
        <v>0</v>
      </c>
      <c r="S31" s="23">
        <f t="shared" si="3"/>
        <v>0</v>
      </c>
    </row>
    <row r="32" spans="1:19" x14ac:dyDescent="0.35">
      <c r="A32" s="9"/>
      <c r="B32" s="20"/>
      <c r="C32" s="26"/>
      <c r="D32" s="26"/>
      <c r="E32" s="26"/>
      <c r="F32" s="26"/>
      <c r="G32" s="26"/>
      <c r="H32" s="26"/>
      <c r="I32" s="26"/>
      <c r="J32" s="26"/>
      <c r="K32" s="27"/>
      <c r="L32" s="26"/>
      <c r="M32" s="26"/>
      <c r="N32" s="26"/>
      <c r="O32" s="26"/>
      <c r="P32" s="21"/>
      <c r="Q32" s="23"/>
      <c r="S32" s="23">
        <v>0</v>
      </c>
    </row>
    <row r="33" spans="1:22" ht="15" thickBot="1" x14ac:dyDescent="0.4">
      <c r="B33" s="28">
        <f>SUM(B14:B32)</f>
        <v>50134707</v>
      </c>
      <c r="C33" s="28">
        <f t="shared" ref="C33:O33" si="10">SUM(C14:C32)</f>
        <v>4659921</v>
      </c>
      <c r="D33" s="28">
        <f t="shared" si="10"/>
        <v>0</v>
      </c>
      <c r="E33" s="28">
        <f t="shared" si="10"/>
        <v>0</v>
      </c>
      <c r="F33" s="28">
        <f t="shared" si="10"/>
        <v>0</v>
      </c>
      <c r="G33" s="28">
        <f t="shared" si="10"/>
        <v>-1417031</v>
      </c>
      <c r="H33" s="28">
        <f t="shared" si="10"/>
        <v>53377597</v>
      </c>
      <c r="I33" s="28">
        <f t="shared" si="10"/>
        <v>1539838</v>
      </c>
      <c r="J33" s="28">
        <f t="shared" si="10"/>
        <v>51837759</v>
      </c>
      <c r="K33" s="28">
        <f t="shared" si="10"/>
        <v>3.7699999999999996</v>
      </c>
      <c r="L33" s="28">
        <f t="shared" si="10"/>
        <v>0</v>
      </c>
      <c r="M33" s="28">
        <f t="shared" si="10"/>
        <v>0</v>
      </c>
      <c r="N33" s="28">
        <f t="shared" si="10"/>
        <v>3860408.9750000001</v>
      </c>
      <c r="O33" s="28">
        <f t="shared" si="10"/>
        <v>49517188.024999991</v>
      </c>
      <c r="Q33" s="79">
        <f>SUM(Q14:Q32)</f>
        <v>3907262.3100000005</v>
      </c>
      <c r="S33" s="79">
        <f>SUM(S14:S32)</f>
        <v>-46853.33500000005</v>
      </c>
      <c r="T33" s="23"/>
      <c r="V33" s="23"/>
    </row>
    <row r="34" spans="1:22" ht="15" thickTop="1" x14ac:dyDescent="0.35">
      <c r="B34" s="29"/>
      <c r="C34" s="8"/>
      <c r="D34" s="8"/>
      <c r="E34" s="8"/>
      <c r="N34" s="30"/>
      <c r="O34" s="30"/>
      <c r="Q34" t="s">
        <v>20</v>
      </c>
      <c r="S34" s="23">
        <f>S33*0.265</f>
        <v>-12416.133775000015</v>
      </c>
      <c r="V34" s="31"/>
    </row>
    <row r="35" spans="1:22" ht="15" thickBot="1" x14ac:dyDescent="0.4">
      <c r="A35" s="32"/>
      <c r="B35" s="33"/>
      <c r="E35" s="34"/>
      <c r="H35" s="33"/>
      <c r="L35" s="35"/>
      <c r="O35" s="36"/>
      <c r="P35" s="37"/>
      <c r="Q35" s="38" t="s">
        <v>21</v>
      </c>
      <c r="R35" s="38"/>
      <c r="S35" s="39">
        <f>S34/0.735</f>
        <v>-16892.699013605463</v>
      </c>
      <c r="V35" s="31"/>
    </row>
    <row r="36" spans="1:22" ht="15" thickTop="1" x14ac:dyDescent="0.35">
      <c r="A36" s="4" t="s">
        <v>22</v>
      </c>
      <c r="B36" s="33"/>
      <c r="E36" s="34"/>
      <c r="H36" s="33"/>
      <c r="L36" s="35"/>
      <c r="O36" s="36"/>
      <c r="P36" s="37"/>
      <c r="Q36" s="40"/>
      <c r="R36" s="40"/>
      <c r="S36" s="41"/>
    </row>
    <row r="37" spans="1:22" x14ac:dyDescent="0.35">
      <c r="A37" s="42"/>
      <c r="B37" s="33"/>
      <c r="E37" s="34"/>
      <c r="H37" s="33"/>
      <c r="L37" s="35"/>
      <c r="O37" s="36"/>
      <c r="P37" s="37"/>
      <c r="Q37" s="11"/>
      <c r="R37" s="40"/>
      <c r="S37" s="41"/>
    </row>
    <row r="38" spans="1:22" x14ac:dyDescent="0.35">
      <c r="A38" s="70">
        <v>1</v>
      </c>
      <c r="B38" s="20">
        <f>O14</f>
        <v>15405312</v>
      </c>
      <c r="C38" s="74"/>
      <c r="E38" s="20"/>
      <c r="F38" s="20"/>
      <c r="G38" s="74"/>
      <c r="H38" s="21">
        <f t="shared" ref="H38:H55" si="11">B38+SUM(C38:G38)</f>
        <v>15405312</v>
      </c>
      <c r="I38" s="21">
        <f t="shared" ref="I38:I43" si="12">ROUND(SUM(C38:G38)/2,0)</f>
        <v>0</v>
      </c>
      <c r="J38" s="21">
        <f>+H38-I38</f>
        <v>15405312</v>
      </c>
      <c r="K38" s="82">
        <v>0.04</v>
      </c>
      <c r="L38" s="20">
        <v>0</v>
      </c>
      <c r="M38" s="20">
        <v>0</v>
      </c>
      <c r="N38" s="22">
        <f>(B38+(C38+G38)/2)*K38</f>
        <v>616212.47999999998</v>
      </c>
      <c r="O38" s="21">
        <f>+H38-N38</f>
        <v>14789099.52</v>
      </c>
      <c r="P38" s="20"/>
      <c r="Q38" s="23">
        <v>616212.47999999998</v>
      </c>
      <c r="S38" s="23">
        <f>N38-Q38</f>
        <v>0</v>
      </c>
    </row>
    <row r="39" spans="1:22" x14ac:dyDescent="0.35">
      <c r="A39" s="71" t="s">
        <v>19</v>
      </c>
      <c r="B39" s="20">
        <f t="shared" ref="B39:B55" si="13">O15</f>
        <v>4492679.58</v>
      </c>
      <c r="C39" s="76">
        <v>223823</v>
      </c>
      <c r="E39" s="20"/>
      <c r="F39" s="20"/>
      <c r="G39" s="74"/>
      <c r="H39" s="21">
        <f t="shared" si="11"/>
        <v>4716502.58</v>
      </c>
      <c r="I39" s="21">
        <f t="shared" si="12"/>
        <v>111912</v>
      </c>
      <c r="J39" s="21">
        <f t="shared" ref="J39:J46" si="14">+H39-I39</f>
        <v>4604590.58</v>
      </c>
      <c r="K39" s="82">
        <v>0.06</v>
      </c>
      <c r="L39" s="20">
        <v>0</v>
      </c>
      <c r="M39" s="20">
        <v>0</v>
      </c>
      <c r="N39" s="22">
        <f t="shared" ref="N39:N55" si="15">(B39+(C39+G39)/2)*K39</f>
        <v>276275.46480000002</v>
      </c>
      <c r="O39" s="21">
        <f t="shared" ref="O39:O55" si="16">+H39-N39</f>
        <v>4440227.1151999999</v>
      </c>
      <c r="P39" s="20"/>
      <c r="Q39" s="23">
        <v>289648.70999999996</v>
      </c>
      <c r="S39" s="23">
        <f t="shared" ref="S39:S55" si="17">N39-Q39</f>
        <v>-13373.245199999947</v>
      </c>
    </row>
    <row r="40" spans="1:22" x14ac:dyDescent="0.35">
      <c r="A40" s="70">
        <v>2</v>
      </c>
      <c r="B40" s="20">
        <f t="shared" si="13"/>
        <v>2064641.38</v>
      </c>
      <c r="C40" s="76"/>
      <c r="E40" s="20"/>
      <c r="F40" s="20"/>
      <c r="G40" s="74"/>
      <c r="H40" s="21">
        <f t="shared" si="11"/>
        <v>2064641.38</v>
      </c>
      <c r="I40" s="21">
        <f t="shared" si="12"/>
        <v>0</v>
      </c>
      <c r="J40" s="21">
        <f t="shared" si="14"/>
        <v>2064641.38</v>
      </c>
      <c r="K40" s="82">
        <v>0.06</v>
      </c>
      <c r="L40" s="20">
        <v>0</v>
      </c>
      <c r="M40" s="20">
        <v>0</v>
      </c>
      <c r="N40" s="22">
        <f t="shared" si="15"/>
        <v>123878.48279999998</v>
      </c>
      <c r="O40" s="21">
        <f t="shared" si="16"/>
        <v>1940762.8972</v>
      </c>
      <c r="P40" s="20"/>
      <c r="Q40" s="23">
        <v>123878.48279999998</v>
      </c>
      <c r="S40" s="23">
        <f t="shared" si="17"/>
        <v>0</v>
      </c>
    </row>
    <row r="41" spans="1:22" x14ac:dyDescent="0.35">
      <c r="A41" s="70">
        <v>6</v>
      </c>
      <c r="B41" s="20">
        <f t="shared" si="13"/>
        <v>55840.5</v>
      </c>
      <c r="C41" s="76"/>
      <c r="D41" s="20"/>
      <c r="E41" s="20"/>
      <c r="F41" s="20"/>
      <c r="G41" s="74"/>
      <c r="H41" s="21">
        <f t="shared" si="11"/>
        <v>55840.5</v>
      </c>
      <c r="I41" s="21">
        <f t="shared" si="12"/>
        <v>0</v>
      </c>
      <c r="J41" s="21">
        <f t="shared" si="14"/>
        <v>55840.5</v>
      </c>
      <c r="K41" s="82">
        <v>0.1</v>
      </c>
      <c r="L41" s="20">
        <v>0</v>
      </c>
      <c r="M41" s="20">
        <v>0</v>
      </c>
      <c r="N41" s="22">
        <f t="shared" si="15"/>
        <v>5584.05</v>
      </c>
      <c r="O41" s="21">
        <f t="shared" si="16"/>
        <v>50256.45</v>
      </c>
      <c r="P41" s="20"/>
      <c r="Q41" s="23">
        <v>5584.05</v>
      </c>
      <c r="S41" s="23">
        <f t="shared" si="17"/>
        <v>0</v>
      </c>
    </row>
    <row r="42" spans="1:22" x14ac:dyDescent="0.35">
      <c r="A42" s="70">
        <v>8</v>
      </c>
      <c r="B42" s="20">
        <f t="shared" si="13"/>
        <v>1476528.9</v>
      </c>
      <c r="C42" s="76">
        <v>405907</v>
      </c>
      <c r="D42" s="20"/>
      <c r="E42" s="20"/>
      <c r="F42" s="20"/>
      <c r="G42" s="74"/>
      <c r="H42" s="21">
        <f t="shared" si="11"/>
        <v>1882435.9</v>
      </c>
      <c r="I42" s="21">
        <f t="shared" si="12"/>
        <v>202954</v>
      </c>
      <c r="J42" s="21">
        <f t="shared" si="14"/>
        <v>1679481.9</v>
      </c>
      <c r="K42" s="82">
        <v>0.2</v>
      </c>
      <c r="L42" s="20">
        <v>0</v>
      </c>
      <c r="M42" s="20">
        <v>0</v>
      </c>
      <c r="N42" s="22">
        <f t="shared" si="15"/>
        <v>335896.48</v>
      </c>
      <c r="O42" s="21">
        <f t="shared" si="16"/>
        <v>1546539.42</v>
      </c>
      <c r="P42" s="20"/>
      <c r="Q42" s="23">
        <v>414964.10000000003</v>
      </c>
      <c r="S42" s="23">
        <f>N42-Q42</f>
        <v>-79067.620000000054</v>
      </c>
    </row>
    <row r="43" spans="1:22" x14ac:dyDescent="0.35">
      <c r="A43" s="70">
        <v>10</v>
      </c>
      <c r="B43" s="20">
        <f t="shared" si="13"/>
        <v>536787.65</v>
      </c>
      <c r="C43" s="76">
        <v>56425</v>
      </c>
      <c r="D43" s="44"/>
      <c r="E43" s="44"/>
      <c r="G43" s="74"/>
      <c r="H43" s="21">
        <f t="shared" si="11"/>
        <v>593212.65</v>
      </c>
      <c r="I43" s="21">
        <f t="shared" si="12"/>
        <v>28213</v>
      </c>
      <c r="J43" s="21">
        <f>+H43-I43</f>
        <v>564999.65</v>
      </c>
      <c r="K43" s="83">
        <v>0.3</v>
      </c>
      <c r="L43" s="20">
        <v>0</v>
      </c>
      <c r="M43" s="20">
        <v>0</v>
      </c>
      <c r="N43" s="22">
        <f t="shared" si="15"/>
        <v>169500.04500000001</v>
      </c>
      <c r="O43" s="21">
        <f t="shared" si="16"/>
        <v>423712.60499999998</v>
      </c>
      <c r="P43" s="20"/>
      <c r="Q43" s="23">
        <v>186427.54500000001</v>
      </c>
      <c r="S43" s="23">
        <f t="shared" si="17"/>
        <v>-16927.5</v>
      </c>
    </row>
    <row r="44" spans="1:22" x14ac:dyDescent="0.35">
      <c r="A44" s="70">
        <v>12</v>
      </c>
      <c r="B44" s="20">
        <f t="shared" si="13"/>
        <v>64102</v>
      </c>
      <c r="C44" s="76">
        <v>253649</v>
      </c>
      <c r="D44" s="44"/>
      <c r="E44" s="44"/>
      <c r="F44" s="45"/>
      <c r="G44" s="74"/>
      <c r="H44" s="21">
        <f t="shared" si="11"/>
        <v>317751</v>
      </c>
      <c r="I44" s="24">
        <v>7847</v>
      </c>
      <c r="J44" s="24">
        <f t="shared" ref="J44:J45" si="18">+H44-I44</f>
        <v>309904</v>
      </c>
      <c r="K44" s="84">
        <v>1</v>
      </c>
      <c r="L44" s="20">
        <v>0</v>
      </c>
      <c r="M44" s="20">
        <v>0</v>
      </c>
      <c r="N44" s="85">
        <f t="shared" si="15"/>
        <v>190926.5</v>
      </c>
      <c r="O44" s="21">
        <f t="shared" si="16"/>
        <v>126824.5</v>
      </c>
      <c r="P44" s="20"/>
      <c r="Q44" s="23">
        <v>317751</v>
      </c>
      <c r="S44" s="23">
        <f t="shared" si="17"/>
        <v>-126824.5</v>
      </c>
    </row>
    <row r="45" spans="1:22" x14ac:dyDescent="0.35">
      <c r="A45" s="72">
        <v>14</v>
      </c>
      <c r="B45" s="20">
        <f t="shared" si="13"/>
        <v>399174</v>
      </c>
      <c r="C45" s="75"/>
      <c r="D45" s="44"/>
      <c r="E45" s="44"/>
      <c r="F45" s="45"/>
      <c r="G45" s="75"/>
      <c r="H45" s="21">
        <f t="shared" si="11"/>
        <v>399174</v>
      </c>
      <c r="I45" s="24">
        <v>0</v>
      </c>
      <c r="J45" s="24">
        <f t="shared" si="18"/>
        <v>399174</v>
      </c>
      <c r="K45" s="84" t="s">
        <v>35</v>
      </c>
      <c r="L45" s="20">
        <v>0</v>
      </c>
      <c r="M45" s="20">
        <v>0</v>
      </c>
      <c r="N45" s="22">
        <f>Q45</f>
        <v>20267</v>
      </c>
      <c r="O45" s="21">
        <f t="shared" si="16"/>
        <v>378907</v>
      </c>
      <c r="P45" s="20"/>
      <c r="Q45" s="23">
        <v>20267</v>
      </c>
      <c r="S45" s="23">
        <f t="shared" si="17"/>
        <v>0</v>
      </c>
    </row>
    <row r="46" spans="1:22" x14ac:dyDescent="0.35">
      <c r="A46" s="72">
        <v>14</v>
      </c>
      <c r="B46" s="20">
        <f t="shared" si="13"/>
        <v>304219</v>
      </c>
      <c r="C46" s="75"/>
      <c r="D46" s="20"/>
      <c r="E46" s="20"/>
      <c r="F46" s="45"/>
      <c r="G46" s="75"/>
      <c r="H46" s="21">
        <f t="shared" si="11"/>
        <v>304219</v>
      </c>
      <c r="I46" s="21">
        <f>ROUND(SUM(C46:G46)/2,0)</f>
        <v>0</v>
      </c>
      <c r="J46" s="21">
        <f t="shared" si="14"/>
        <v>304219</v>
      </c>
      <c r="K46" s="83" t="s">
        <v>36</v>
      </c>
      <c r="L46" s="20">
        <v>0</v>
      </c>
      <c r="M46" s="20">
        <v>0</v>
      </c>
      <c r="N46" s="22">
        <f>Q46</f>
        <v>32000</v>
      </c>
      <c r="O46" s="21">
        <f t="shared" si="16"/>
        <v>272219</v>
      </c>
      <c r="P46" s="20"/>
      <c r="Q46" s="23">
        <v>32000</v>
      </c>
      <c r="S46" s="23">
        <f t="shared" si="17"/>
        <v>0</v>
      </c>
    </row>
    <row r="47" spans="1:22" x14ac:dyDescent="0.35">
      <c r="A47" s="70">
        <v>17</v>
      </c>
      <c r="B47" s="20">
        <f t="shared" si="13"/>
        <v>79785.16</v>
      </c>
      <c r="C47" s="74"/>
      <c r="D47" s="20"/>
      <c r="E47" s="20"/>
      <c r="F47" s="20"/>
      <c r="G47" s="74"/>
      <c r="H47" s="21">
        <f t="shared" si="11"/>
        <v>79785.16</v>
      </c>
      <c r="I47" s="21">
        <f t="shared" ref="I47" si="19">ROUND(SUM(C47:G47)/2,0)</f>
        <v>0</v>
      </c>
      <c r="J47" s="21">
        <f>+H47-I47</f>
        <v>79785.16</v>
      </c>
      <c r="K47" s="83">
        <v>0.08</v>
      </c>
      <c r="L47" s="20">
        <v>0</v>
      </c>
      <c r="M47" s="20">
        <v>0</v>
      </c>
      <c r="N47" s="22">
        <f t="shared" si="15"/>
        <v>6382.8128000000006</v>
      </c>
      <c r="O47" s="21">
        <f t="shared" si="16"/>
        <v>73402.347200000004</v>
      </c>
      <c r="P47" s="20"/>
      <c r="Q47" s="23">
        <v>6382.8128000000006</v>
      </c>
      <c r="S47" s="23">
        <f t="shared" si="17"/>
        <v>0</v>
      </c>
    </row>
    <row r="48" spans="1:22" x14ac:dyDescent="0.35">
      <c r="A48" s="70">
        <v>43.2</v>
      </c>
      <c r="B48" s="20">
        <f t="shared" si="13"/>
        <v>3356.5</v>
      </c>
      <c r="C48" s="74"/>
      <c r="D48" s="20"/>
      <c r="E48" s="20"/>
      <c r="F48" s="20"/>
      <c r="G48" s="74"/>
      <c r="H48" s="21">
        <f t="shared" si="11"/>
        <v>3356.5</v>
      </c>
      <c r="I48" s="21">
        <f>ROUND(SUM(C48:G48)/2,0)</f>
        <v>0</v>
      </c>
      <c r="J48" s="21">
        <f t="shared" ref="J48:J55" si="20">+H48-I48</f>
        <v>3356.5</v>
      </c>
      <c r="K48" s="83">
        <v>0.5</v>
      </c>
      <c r="L48" s="20">
        <v>0</v>
      </c>
      <c r="M48" s="20">
        <v>0</v>
      </c>
      <c r="N48" s="22">
        <f t="shared" si="15"/>
        <v>1678.25</v>
      </c>
      <c r="O48" s="21">
        <f t="shared" si="16"/>
        <v>1678.25</v>
      </c>
      <c r="Q48" s="23">
        <v>1678.25</v>
      </c>
      <c r="S48" s="23">
        <f t="shared" si="17"/>
        <v>0</v>
      </c>
    </row>
    <row r="49" spans="1:22" x14ac:dyDescent="0.35">
      <c r="A49" s="70">
        <v>45</v>
      </c>
      <c r="B49" s="20">
        <f t="shared" si="13"/>
        <v>39.6</v>
      </c>
      <c r="C49" s="74"/>
      <c r="D49" s="20"/>
      <c r="E49" s="20"/>
      <c r="F49" s="20"/>
      <c r="G49" s="74"/>
      <c r="H49" s="21">
        <f t="shared" si="11"/>
        <v>39.6</v>
      </c>
      <c r="I49" s="24">
        <f t="shared" ref="I49" si="21">ROUND(SUM(C49:G49)/2,0)</f>
        <v>0</v>
      </c>
      <c r="J49" s="21">
        <f t="shared" si="20"/>
        <v>39.6</v>
      </c>
      <c r="K49" s="84">
        <v>0.45</v>
      </c>
      <c r="L49" s="20">
        <v>0</v>
      </c>
      <c r="M49" s="20">
        <v>0</v>
      </c>
      <c r="N49" s="22">
        <f t="shared" si="15"/>
        <v>17.82</v>
      </c>
      <c r="O49" s="21">
        <f t="shared" si="16"/>
        <v>21.78</v>
      </c>
      <c r="Q49" s="23">
        <v>17.82</v>
      </c>
      <c r="S49" s="23">
        <f t="shared" si="17"/>
        <v>0</v>
      </c>
    </row>
    <row r="50" spans="1:22" x14ac:dyDescent="0.35">
      <c r="A50" s="70">
        <v>46</v>
      </c>
      <c r="B50" s="20">
        <f t="shared" si="13"/>
        <v>1376.9</v>
      </c>
      <c r="C50" s="74"/>
      <c r="D50" s="20"/>
      <c r="E50" s="20"/>
      <c r="F50" s="20"/>
      <c r="G50" s="74"/>
      <c r="H50" s="21">
        <f t="shared" si="11"/>
        <v>1376.9</v>
      </c>
      <c r="I50" s="21">
        <f t="shared" ref="I50:I51" si="22">ROUND(SUM(C50:G50)/2,0)</f>
        <v>0</v>
      </c>
      <c r="J50" s="21">
        <f t="shared" si="20"/>
        <v>1376.9</v>
      </c>
      <c r="K50" s="84">
        <v>0.3</v>
      </c>
      <c r="L50" s="20">
        <v>0</v>
      </c>
      <c r="M50" s="20">
        <v>0</v>
      </c>
      <c r="N50" s="22">
        <f t="shared" si="15"/>
        <v>413.07</v>
      </c>
      <c r="O50" s="21">
        <f t="shared" si="16"/>
        <v>963.83000000000015</v>
      </c>
      <c r="Q50" s="23">
        <v>413.07</v>
      </c>
      <c r="S50" s="23">
        <f t="shared" si="17"/>
        <v>0</v>
      </c>
    </row>
    <row r="51" spans="1:22" x14ac:dyDescent="0.35">
      <c r="A51" s="70">
        <v>47</v>
      </c>
      <c r="B51" s="20">
        <f t="shared" si="13"/>
        <v>22408549.079999998</v>
      </c>
      <c r="C51" s="76">
        <v>1996642</v>
      </c>
      <c r="D51" s="20"/>
      <c r="E51" s="20"/>
      <c r="F51" s="20"/>
      <c r="G51" s="74"/>
      <c r="H51" s="21">
        <f t="shared" si="11"/>
        <v>24405191.079999998</v>
      </c>
      <c r="I51" s="21">
        <f t="shared" si="22"/>
        <v>998321</v>
      </c>
      <c r="J51" s="21">
        <f t="shared" si="20"/>
        <v>23406870.079999998</v>
      </c>
      <c r="K51" s="84">
        <v>0.08</v>
      </c>
      <c r="L51" s="20">
        <v>0</v>
      </c>
      <c r="M51" s="20">
        <v>0</v>
      </c>
      <c r="N51" s="22">
        <f t="shared" si="15"/>
        <v>1872549.6063999999</v>
      </c>
      <c r="O51" s="21">
        <f t="shared" si="16"/>
        <v>22532641.4736</v>
      </c>
      <c r="Q51" s="23">
        <v>2029868.08</v>
      </c>
      <c r="S51" s="23">
        <f t="shared" si="17"/>
        <v>-157318.47360000014</v>
      </c>
    </row>
    <row r="52" spans="1:22" x14ac:dyDescent="0.35">
      <c r="A52" s="70">
        <v>50</v>
      </c>
      <c r="B52" s="20">
        <f t="shared" si="13"/>
        <v>125533.77499999999</v>
      </c>
      <c r="C52" s="76">
        <v>75790</v>
      </c>
      <c r="D52" s="20"/>
      <c r="E52" s="20"/>
      <c r="F52" s="20"/>
      <c r="G52" s="74"/>
      <c r="H52" s="21">
        <f t="shared" si="11"/>
        <v>201323.77499999999</v>
      </c>
      <c r="I52" s="21">
        <f>ROUND(SUM(C52:G52)/2,0)</f>
        <v>37895</v>
      </c>
      <c r="J52" s="21">
        <f t="shared" si="20"/>
        <v>163428.77499999999</v>
      </c>
      <c r="K52" s="84">
        <v>0.55000000000000004</v>
      </c>
      <c r="L52" s="20">
        <v>0</v>
      </c>
      <c r="M52" s="20">
        <v>0</v>
      </c>
      <c r="N52" s="22">
        <f t="shared" si="15"/>
        <v>89885.826249999998</v>
      </c>
      <c r="O52" s="21">
        <f t="shared" si="16"/>
        <v>111437.94875</v>
      </c>
      <c r="Q52" s="23">
        <v>128717.05000000002</v>
      </c>
      <c r="S52" s="23">
        <f t="shared" si="17"/>
        <v>-38831.223750000019</v>
      </c>
    </row>
    <row r="53" spans="1:22" x14ac:dyDescent="0.35">
      <c r="A53" s="71">
        <v>14.1</v>
      </c>
      <c r="B53" s="20">
        <f>O29</f>
        <v>673569</v>
      </c>
      <c r="C53" s="76">
        <v>3150</v>
      </c>
      <c r="D53" s="20"/>
      <c r="E53" s="20"/>
      <c r="F53" s="20"/>
      <c r="G53" s="74"/>
      <c r="H53" s="21">
        <f t="shared" si="11"/>
        <v>676719</v>
      </c>
      <c r="I53" s="21">
        <f t="shared" ref="I53:I55" si="23">ROUND(SUM(C53:G53)/2,0)</f>
        <v>1575</v>
      </c>
      <c r="J53" s="21">
        <f t="shared" si="20"/>
        <v>675144</v>
      </c>
      <c r="K53" s="84">
        <v>0.05</v>
      </c>
      <c r="L53" s="20">
        <v>0</v>
      </c>
      <c r="M53" s="20">
        <v>0</v>
      </c>
      <c r="N53" s="85">
        <v>45762</v>
      </c>
      <c r="O53" s="21">
        <f>+H53-N53</f>
        <v>630957</v>
      </c>
      <c r="Q53" s="23">
        <v>45919.808400000002</v>
      </c>
      <c r="S53" s="23">
        <f t="shared" si="17"/>
        <v>-157.80840000000171</v>
      </c>
    </row>
    <row r="54" spans="1:22" x14ac:dyDescent="0.35">
      <c r="A54" s="73" t="s">
        <v>32</v>
      </c>
      <c r="B54" s="20">
        <f t="shared" si="13"/>
        <v>200793</v>
      </c>
      <c r="C54" s="74">
        <v>379927</v>
      </c>
      <c r="D54" s="20"/>
      <c r="E54" s="20"/>
      <c r="F54" s="20"/>
      <c r="G54" s="74">
        <v>-200793</v>
      </c>
      <c r="H54" s="21">
        <f t="shared" si="11"/>
        <v>379927</v>
      </c>
      <c r="I54" s="21">
        <f t="shared" si="23"/>
        <v>89567</v>
      </c>
      <c r="J54" s="21">
        <f t="shared" si="20"/>
        <v>290360</v>
      </c>
      <c r="K54" s="84">
        <v>0</v>
      </c>
      <c r="L54" s="20">
        <v>0</v>
      </c>
      <c r="M54" s="20">
        <v>0</v>
      </c>
      <c r="N54" s="22">
        <f t="shared" si="15"/>
        <v>0</v>
      </c>
      <c r="O54" s="21">
        <f t="shared" si="16"/>
        <v>379927</v>
      </c>
      <c r="Q54" s="23"/>
      <c r="S54" s="23">
        <f t="shared" si="17"/>
        <v>0</v>
      </c>
    </row>
    <row r="55" spans="1:22" x14ac:dyDescent="0.35">
      <c r="A55" s="71" t="s">
        <v>33</v>
      </c>
      <c r="B55" s="20">
        <f t="shared" si="13"/>
        <v>1224900</v>
      </c>
      <c r="C55" s="74">
        <v>1187486.23</v>
      </c>
      <c r="D55" s="20"/>
      <c r="E55" s="20"/>
      <c r="F55" s="20"/>
      <c r="G55" s="74">
        <v>-1224900</v>
      </c>
      <c r="H55" s="21">
        <f t="shared" si="11"/>
        <v>1187486.23</v>
      </c>
      <c r="I55" s="21">
        <f t="shared" si="23"/>
        <v>-18707</v>
      </c>
      <c r="J55" s="21">
        <f t="shared" si="20"/>
        <v>1206193.23</v>
      </c>
      <c r="K55" s="84">
        <v>0</v>
      </c>
      <c r="L55" s="20">
        <v>0</v>
      </c>
      <c r="M55" s="20">
        <v>0</v>
      </c>
      <c r="N55" s="22">
        <f t="shared" si="15"/>
        <v>0</v>
      </c>
      <c r="O55" s="21">
        <f t="shared" si="16"/>
        <v>1187486.23</v>
      </c>
      <c r="Q55" s="23"/>
      <c r="S55" s="23">
        <f t="shared" si="17"/>
        <v>0</v>
      </c>
    </row>
    <row r="56" spans="1:22" x14ac:dyDescent="0.35">
      <c r="A56" s="43"/>
      <c r="B56" s="20"/>
      <c r="C56" s="47"/>
      <c r="D56" s="47"/>
      <c r="E56" s="47"/>
      <c r="F56" s="47"/>
      <c r="G56" s="47"/>
      <c r="H56" s="47"/>
      <c r="I56" s="47"/>
      <c r="J56" s="47"/>
      <c r="K56" s="46"/>
      <c r="L56" s="47"/>
      <c r="M56" s="47"/>
      <c r="N56" s="48"/>
      <c r="O56" s="47"/>
      <c r="P56" s="20"/>
      <c r="Q56" s="23"/>
      <c r="S56" s="23">
        <v>0</v>
      </c>
    </row>
    <row r="57" spans="1:22" ht="15" thickBot="1" x14ac:dyDescent="0.4">
      <c r="A57" s="49"/>
      <c r="B57" s="28">
        <f>SUM(B38:B56)</f>
        <v>49517188.024999991</v>
      </c>
      <c r="C57" s="28">
        <f t="shared" ref="C57" si="24">SUM(C38:C56)</f>
        <v>4582799.2300000004</v>
      </c>
      <c r="D57" s="28">
        <f t="shared" ref="D57" si="25">SUM(D38:D56)</f>
        <v>0</v>
      </c>
      <c r="E57" s="28">
        <f t="shared" ref="E57" si="26">SUM(E38:E56)</f>
        <v>0</v>
      </c>
      <c r="F57" s="28">
        <f t="shared" ref="F57" si="27">SUM(F38:F56)</f>
        <v>0</v>
      </c>
      <c r="G57" s="28">
        <f t="shared" ref="G57" si="28">SUM(G38:G56)</f>
        <v>-1425693</v>
      </c>
      <c r="H57" s="28">
        <f t="shared" ref="H57" si="29">SUM(H38:H56)</f>
        <v>52674294.254999988</v>
      </c>
      <c r="I57" s="28">
        <f t="shared" ref="I57" si="30">SUM(I38:I56)</f>
        <v>1459577</v>
      </c>
      <c r="J57" s="28">
        <f t="shared" ref="J57" si="31">SUM(J38:J56)</f>
        <v>51214717.254999988</v>
      </c>
      <c r="K57" s="28">
        <f t="shared" ref="K57" si="32">SUM(K38:K56)</f>
        <v>3.7699999999999996</v>
      </c>
      <c r="L57" s="28">
        <f t="shared" ref="L57" si="33">SUM(L38:L56)</f>
        <v>0</v>
      </c>
      <c r="M57" s="28">
        <f t="shared" ref="M57" si="34">SUM(M38:M56)</f>
        <v>0</v>
      </c>
      <c r="N57" s="28">
        <f t="shared" ref="N57" si="35">SUM(N38:N56)</f>
        <v>3787229.8880499997</v>
      </c>
      <c r="O57" s="28">
        <f>SUM(O38:O56)</f>
        <v>48887064.36694999</v>
      </c>
      <c r="Q57" s="79">
        <f>SUM(Q38:Q56)</f>
        <v>4219730.2590000005</v>
      </c>
      <c r="S57" s="79">
        <f>SUM(S38:S56)</f>
        <v>-432500.37095000013</v>
      </c>
      <c r="T57" s="23"/>
      <c r="V57" s="23"/>
    </row>
    <row r="58" spans="1:22" ht="15" thickTop="1" x14ac:dyDescent="0.35">
      <c r="A58" s="49"/>
      <c r="B58" s="23"/>
      <c r="C58" s="8"/>
      <c r="D58" s="8"/>
      <c r="E58" s="8"/>
      <c r="N58" s="30"/>
      <c r="O58" s="30"/>
      <c r="Q58" t="s">
        <v>20</v>
      </c>
      <c r="S58" s="23">
        <f>S57*0.265</f>
        <v>-114612.59830175004</v>
      </c>
      <c r="V58" s="31"/>
    </row>
    <row r="59" spans="1:22" ht="15" thickBot="1" x14ac:dyDescent="0.4">
      <c r="A59" s="49"/>
      <c r="B59" s="23"/>
      <c r="E59" s="34"/>
      <c r="H59" s="33"/>
      <c r="L59" s="35"/>
      <c r="O59" s="36"/>
      <c r="P59" s="37"/>
      <c r="Q59" s="38" t="s">
        <v>21</v>
      </c>
      <c r="R59" s="38"/>
      <c r="S59" s="39">
        <f>S58/0.735</f>
        <v>-155935.50789353746</v>
      </c>
      <c r="V59" s="31"/>
    </row>
    <row r="60" spans="1:22" ht="15" thickTop="1" x14ac:dyDescent="0.35">
      <c r="A60" s="49"/>
      <c r="B60" s="23"/>
      <c r="C60" s="33"/>
      <c r="D60" s="50"/>
      <c r="E60" s="33"/>
      <c r="G60" s="33"/>
      <c r="K60" s="51"/>
      <c r="L60" s="33"/>
      <c r="M60" s="52"/>
    </row>
    <row r="61" spans="1:22" x14ac:dyDescent="0.35">
      <c r="A61" s="4" t="s">
        <v>23</v>
      </c>
      <c r="B61" s="33"/>
      <c r="E61" s="34"/>
      <c r="H61" s="33"/>
      <c r="L61" s="35"/>
      <c r="O61" s="36"/>
      <c r="P61" s="37"/>
      <c r="Q61" s="40"/>
      <c r="R61" s="40"/>
      <c r="S61" s="41"/>
    </row>
    <row r="62" spans="1:22" x14ac:dyDescent="0.35">
      <c r="A62" s="32"/>
      <c r="B62" s="33"/>
      <c r="E62" s="34"/>
      <c r="H62" s="33"/>
      <c r="L62" s="35"/>
      <c r="O62" s="36"/>
      <c r="P62" s="37"/>
      <c r="Q62" s="53"/>
      <c r="R62" s="35"/>
      <c r="S62" s="41"/>
    </row>
    <row r="63" spans="1:22" x14ac:dyDescent="0.35">
      <c r="A63" s="70">
        <v>1</v>
      </c>
      <c r="B63" s="20">
        <f>O38</f>
        <v>14789099.52</v>
      </c>
      <c r="C63" s="74"/>
      <c r="E63" s="20"/>
      <c r="F63" s="20"/>
      <c r="G63" s="20"/>
      <c r="H63" s="21">
        <f t="shared" ref="H63:H80" si="36">B63+SUM(C63:G63)</f>
        <v>14789099.52</v>
      </c>
      <c r="I63" s="21">
        <f t="shared" ref="I63:I68" si="37">ROUND(SUM(C63:G63)/2,0)</f>
        <v>0</v>
      </c>
      <c r="J63" s="21">
        <f>+H63-I63</f>
        <v>14789099.52</v>
      </c>
      <c r="K63" s="82">
        <v>0.04</v>
      </c>
      <c r="L63" s="20">
        <v>0</v>
      </c>
      <c r="M63" s="20">
        <v>0</v>
      </c>
      <c r="N63" s="22">
        <f>(B63+(C63+G63)/2)*K63</f>
        <v>591563.98080000002</v>
      </c>
      <c r="O63" s="21">
        <f>+H63-N63</f>
        <v>14197535.5392</v>
      </c>
      <c r="P63" s="21"/>
      <c r="Q63" s="23">
        <v>591563.98080000002</v>
      </c>
      <c r="S63" s="23">
        <f t="shared" ref="S63:S80" si="38">N63-Q63</f>
        <v>0</v>
      </c>
    </row>
    <row r="64" spans="1:22" x14ac:dyDescent="0.35">
      <c r="A64" s="71" t="s">
        <v>19</v>
      </c>
      <c r="B64" s="20">
        <f t="shared" ref="B64:B80" si="39">O39</f>
        <v>4440227.1151999999</v>
      </c>
      <c r="C64" s="74">
        <v>156731</v>
      </c>
      <c r="E64" s="20"/>
      <c r="F64" s="20"/>
      <c r="G64" s="20"/>
      <c r="H64" s="21">
        <f t="shared" si="36"/>
        <v>4596958.1151999999</v>
      </c>
      <c r="I64" s="21">
        <f t="shared" si="37"/>
        <v>78366</v>
      </c>
      <c r="J64" s="21">
        <f t="shared" ref="J64:J71" si="40">+H64-I64</f>
        <v>4518592.1151999999</v>
      </c>
      <c r="K64" s="82">
        <v>0.06</v>
      </c>
      <c r="L64" s="20">
        <v>0</v>
      </c>
      <c r="M64" s="20">
        <v>0</v>
      </c>
      <c r="N64" s="22">
        <f t="shared" ref="N64:N69" si="41">(B64+(C64+G64)/2)*K64</f>
        <v>271115.556912</v>
      </c>
      <c r="O64" s="21">
        <f t="shared" ref="O64:O72" si="42">+H64-N64</f>
        <v>4325842.5582879996</v>
      </c>
      <c r="P64" s="21"/>
      <c r="Q64" s="23">
        <v>279660.88740000001</v>
      </c>
      <c r="S64" s="23">
        <f t="shared" si="38"/>
        <v>-8545.3304880000069</v>
      </c>
    </row>
    <row r="65" spans="1:19" x14ac:dyDescent="0.35">
      <c r="A65" s="70">
        <v>2</v>
      </c>
      <c r="B65" s="20">
        <f t="shared" si="39"/>
        <v>1940762.8972</v>
      </c>
      <c r="C65" s="74"/>
      <c r="E65" s="20"/>
      <c r="F65" s="20"/>
      <c r="G65" s="20"/>
      <c r="H65" s="21">
        <f t="shared" si="36"/>
        <v>1940762.8972</v>
      </c>
      <c r="I65" s="21">
        <f t="shared" si="37"/>
        <v>0</v>
      </c>
      <c r="J65" s="21">
        <f t="shared" si="40"/>
        <v>1940762.8972</v>
      </c>
      <c r="K65" s="82">
        <v>0.06</v>
      </c>
      <c r="L65" s="20">
        <v>0</v>
      </c>
      <c r="M65" s="20">
        <v>0</v>
      </c>
      <c r="N65" s="22">
        <f t="shared" si="41"/>
        <v>116445.77383199999</v>
      </c>
      <c r="O65" s="21">
        <f t="shared" si="42"/>
        <v>1824317.1233679999</v>
      </c>
      <c r="P65" s="21"/>
      <c r="Q65" s="23">
        <v>116445.77383199999</v>
      </c>
      <c r="S65" s="23">
        <f t="shared" si="38"/>
        <v>0</v>
      </c>
    </row>
    <row r="66" spans="1:19" x14ac:dyDescent="0.35">
      <c r="A66" s="70">
        <v>6</v>
      </c>
      <c r="B66" s="20">
        <f t="shared" si="39"/>
        <v>50256.45</v>
      </c>
      <c r="C66" s="74"/>
      <c r="D66" s="20"/>
      <c r="E66" s="20"/>
      <c r="F66" s="20"/>
      <c r="G66" s="20"/>
      <c r="H66" s="21">
        <f t="shared" si="36"/>
        <v>50256.45</v>
      </c>
      <c r="I66" s="21">
        <f t="shared" si="37"/>
        <v>0</v>
      </c>
      <c r="J66" s="21">
        <f t="shared" si="40"/>
        <v>50256.45</v>
      </c>
      <c r="K66" s="82">
        <v>0.1</v>
      </c>
      <c r="L66" s="20">
        <v>0</v>
      </c>
      <c r="M66" s="20">
        <v>0</v>
      </c>
      <c r="N66" s="22">
        <f t="shared" si="41"/>
        <v>5025.6450000000004</v>
      </c>
      <c r="O66" s="21">
        <f t="shared" si="42"/>
        <v>45230.804999999993</v>
      </c>
      <c r="P66" s="21"/>
      <c r="Q66" s="23">
        <v>5025.6450000000004</v>
      </c>
      <c r="S66" s="23">
        <f t="shared" si="38"/>
        <v>0</v>
      </c>
    </row>
    <row r="67" spans="1:19" x14ac:dyDescent="0.35">
      <c r="A67" s="70">
        <v>8</v>
      </c>
      <c r="B67" s="20">
        <f t="shared" si="39"/>
        <v>1546539.42</v>
      </c>
      <c r="C67" s="74">
        <v>323963</v>
      </c>
      <c r="D67" s="20"/>
      <c r="E67" s="20"/>
      <c r="F67" s="20"/>
      <c r="G67" s="20"/>
      <c r="H67" s="21">
        <f t="shared" si="36"/>
        <v>1870502.42</v>
      </c>
      <c r="I67" s="21">
        <f t="shared" si="37"/>
        <v>161982</v>
      </c>
      <c r="J67" s="21">
        <f t="shared" si="40"/>
        <v>1708520.42</v>
      </c>
      <c r="K67" s="82">
        <v>0.2</v>
      </c>
      <c r="L67" s="20">
        <v>0</v>
      </c>
      <c r="M67" s="20">
        <v>0</v>
      </c>
      <c r="N67" s="22">
        <f t="shared" si="41"/>
        <v>341704.18400000001</v>
      </c>
      <c r="O67" s="21">
        <f t="shared" si="42"/>
        <v>1528798.236</v>
      </c>
      <c r="P67" s="21"/>
      <c r="Q67" s="23">
        <v>388569.48</v>
      </c>
      <c r="S67" s="23">
        <f t="shared" si="38"/>
        <v>-46865.295999999973</v>
      </c>
    </row>
    <row r="68" spans="1:19" x14ac:dyDescent="0.35">
      <c r="A68" s="70">
        <v>10</v>
      </c>
      <c r="B68" s="20">
        <f t="shared" si="39"/>
        <v>423712.60499999998</v>
      </c>
      <c r="C68" s="74"/>
      <c r="D68" s="44"/>
      <c r="E68" s="44"/>
      <c r="G68" s="20"/>
      <c r="H68" s="21">
        <f t="shared" si="36"/>
        <v>423712.60499999998</v>
      </c>
      <c r="I68" s="21">
        <f t="shared" si="37"/>
        <v>0</v>
      </c>
      <c r="J68" s="21">
        <f>+H68-I68</f>
        <v>423712.60499999998</v>
      </c>
      <c r="K68" s="83">
        <v>0.3</v>
      </c>
      <c r="L68" s="20">
        <v>0</v>
      </c>
      <c r="M68" s="20">
        <v>0</v>
      </c>
      <c r="N68" s="22">
        <f t="shared" si="41"/>
        <v>127113.78149999998</v>
      </c>
      <c r="O68" s="21">
        <f t="shared" si="42"/>
        <v>296598.8235</v>
      </c>
      <c r="P68" s="21"/>
      <c r="Q68" s="23">
        <v>122035.53149999998</v>
      </c>
      <c r="S68" s="23">
        <f t="shared" si="38"/>
        <v>5078.25</v>
      </c>
    </row>
    <row r="69" spans="1:19" x14ac:dyDescent="0.35">
      <c r="A69" s="70">
        <v>12</v>
      </c>
      <c r="B69" s="20">
        <f t="shared" si="39"/>
        <v>126824.5</v>
      </c>
      <c r="C69" s="74">
        <v>97425</v>
      </c>
      <c r="D69" s="44"/>
      <c r="E69" s="44"/>
      <c r="F69" s="45"/>
      <c r="G69" s="44"/>
      <c r="H69" s="21">
        <f t="shared" si="36"/>
        <v>224249.5</v>
      </c>
      <c r="I69" s="24">
        <v>7847</v>
      </c>
      <c r="J69" s="24">
        <f t="shared" ref="J69:J70" si="43">+H69-I69</f>
        <v>216402.5</v>
      </c>
      <c r="K69" s="84">
        <v>1</v>
      </c>
      <c r="L69" s="20">
        <v>0</v>
      </c>
      <c r="M69" s="20">
        <v>0</v>
      </c>
      <c r="N69" s="22">
        <f t="shared" si="41"/>
        <v>175537</v>
      </c>
      <c r="O69" s="21">
        <f t="shared" si="42"/>
        <v>48712.5</v>
      </c>
      <c r="P69" s="21"/>
      <c r="Q69" s="23">
        <v>97425</v>
      </c>
      <c r="S69" s="23">
        <f t="shared" si="38"/>
        <v>78112</v>
      </c>
    </row>
    <row r="70" spans="1:19" x14ac:dyDescent="0.35">
      <c r="A70" s="72">
        <v>14</v>
      </c>
      <c r="B70" s="20">
        <f t="shared" si="39"/>
        <v>378907</v>
      </c>
      <c r="C70" s="75"/>
      <c r="D70" s="44"/>
      <c r="E70" s="44"/>
      <c r="F70" s="45"/>
      <c r="G70" s="44"/>
      <c r="H70" s="21">
        <f t="shared" si="36"/>
        <v>378907</v>
      </c>
      <c r="I70" s="24">
        <v>0</v>
      </c>
      <c r="J70" s="24">
        <f t="shared" si="43"/>
        <v>378907</v>
      </c>
      <c r="K70" s="84" t="s">
        <v>35</v>
      </c>
      <c r="L70" s="20">
        <v>0</v>
      </c>
      <c r="M70" s="20">
        <v>0</v>
      </c>
      <c r="N70" s="22">
        <f>Q70</f>
        <v>20267</v>
      </c>
      <c r="O70" s="21">
        <f t="shared" si="42"/>
        <v>358640</v>
      </c>
      <c r="P70" s="21"/>
      <c r="Q70" s="23">
        <v>20267</v>
      </c>
      <c r="S70" s="23">
        <f t="shared" si="38"/>
        <v>0</v>
      </c>
    </row>
    <row r="71" spans="1:19" x14ac:dyDescent="0.35">
      <c r="A71" s="72">
        <v>14</v>
      </c>
      <c r="B71" s="20">
        <f t="shared" si="39"/>
        <v>272219</v>
      </c>
      <c r="C71" s="75"/>
      <c r="D71" s="20"/>
      <c r="E71" s="20"/>
      <c r="F71" s="45"/>
      <c r="G71" s="20"/>
      <c r="H71" s="21">
        <f t="shared" si="36"/>
        <v>272219</v>
      </c>
      <c r="I71" s="21">
        <f>ROUND(SUM(C71:G71)/2,0)</f>
        <v>0</v>
      </c>
      <c r="J71" s="21">
        <f t="shared" si="40"/>
        <v>272219</v>
      </c>
      <c r="K71" s="83" t="s">
        <v>36</v>
      </c>
      <c r="L71" s="20">
        <v>0</v>
      </c>
      <c r="M71" s="20">
        <v>0</v>
      </c>
      <c r="N71" s="22">
        <f>Q71</f>
        <v>32000</v>
      </c>
      <c r="O71" s="21">
        <f t="shared" si="42"/>
        <v>240219</v>
      </c>
      <c r="P71" s="21"/>
      <c r="Q71" s="23">
        <v>32000</v>
      </c>
      <c r="S71" s="23">
        <f t="shared" si="38"/>
        <v>0</v>
      </c>
    </row>
    <row r="72" spans="1:19" x14ac:dyDescent="0.35">
      <c r="A72" s="70">
        <v>17</v>
      </c>
      <c r="B72" s="20">
        <f t="shared" si="39"/>
        <v>73402.347200000004</v>
      </c>
      <c r="C72" s="74"/>
      <c r="D72" s="20"/>
      <c r="E72" s="20"/>
      <c r="F72" s="20"/>
      <c r="G72" s="20"/>
      <c r="H72" s="21">
        <f t="shared" si="36"/>
        <v>73402.347200000004</v>
      </c>
      <c r="I72" s="21">
        <f t="shared" ref="I72" si="44">ROUND(SUM(C72:G72)/2,0)</f>
        <v>0</v>
      </c>
      <c r="J72" s="21">
        <f>+H72-I72</f>
        <v>73402.347200000004</v>
      </c>
      <c r="K72" s="83">
        <v>0.08</v>
      </c>
      <c r="L72" s="20">
        <v>0</v>
      </c>
      <c r="M72" s="20">
        <v>0</v>
      </c>
      <c r="N72" s="22">
        <f t="shared" ref="N72" si="45">(B72+(C72+G72)/2)*K72</f>
        <v>5872.1877760000007</v>
      </c>
      <c r="O72" s="21">
        <f t="shared" si="42"/>
        <v>67530.159423999998</v>
      </c>
      <c r="P72" s="21"/>
      <c r="Q72" s="23">
        <v>5872.1877760000007</v>
      </c>
      <c r="S72" s="23">
        <f t="shared" si="38"/>
        <v>0</v>
      </c>
    </row>
    <row r="73" spans="1:19" x14ac:dyDescent="0.35">
      <c r="A73" s="70">
        <v>43.2</v>
      </c>
      <c r="B73" s="20">
        <f t="shared" si="39"/>
        <v>1678.25</v>
      </c>
      <c r="C73" s="74"/>
      <c r="D73" s="20"/>
      <c r="E73" s="20"/>
      <c r="F73" s="20"/>
      <c r="G73" s="20"/>
      <c r="H73" s="21">
        <f t="shared" si="36"/>
        <v>1678.25</v>
      </c>
      <c r="I73" s="21">
        <f>ROUND(SUM(C73:G73)/2,0)</f>
        <v>0</v>
      </c>
      <c r="J73" s="21">
        <f t="shared" ref="J73:J80" si="46">+H73-I73</f>
        <v>1678.25</v>
      </c>
      <c r="K73" s="83">
        <v>0.5</v>
      </c>
      <c r="L73" s="20">
        <v>0</v>
      </c>
      <c r="M73" s="20">
        <v>0</v>
      </c>
      <c r="N73" s="22">
        <f t="shared" ref="N73:N80" si="47">(B73+(C73+G73)/2)*K73</f>
        <v>839.125</v>
      </c>
      <c r="O73" s="21">
        <f t="shared" ref="O73:O80" si="48">+H73-N73</f>
        <v>839.125</v>
      </c>
      <c r="Q73" s="23">
        <v>839.125</v>
      </c>
      <c r="S73" s="23">
        <f t="shared" si="38"/>
        <v>0</v>
      </c>
    </row>
    <row r="74" spans="1:19" x14ac:dyDescent="0.35">
      <c r="A74" s="70">
        <v>45</v>
      </c>
      <c r="B74" s="20">
        <f t="shared" si="39"/>
        <v>21.78</v>
      </c>
      <c r="C74" s="74"/>
      <c r="D74" s="44"/>
      <c r="E74" s="44"/>
      <c r="F74" s="44"/>
      <c r="G74" s="44"/>
      <c r="H74" s="21">
        <f t="shared" si="36"/>
        <v>21.78</v>
      </c>
      <c r="I74" s="24">
        <f t="shared" ref="I74" si="49">ROUND(SUM(C74:G74)/2,0)</f>
        <v>0</v>
      </c>
      <c r="J74" s="21">
        <f t="shared" si="46"/>
        <v>21.78</v>
      </c>
      <c r="K74" s="84">
        <v>0.45</v>
      </c>
      <c r="L74" s="20">
        <v>0</v>
      </c>
      <c r="M74" s="20">
        <v>0</v>
      </c>
      <c r="N74" s="22">
        <f t="shared" si="47"/>
        <v>9.8010000000000002</v>
      </c>
      <c r="O74" s="21">
        <f t="shared" si="48"/>
        <v>11.979000000000001</v>
      </c>
      <c r="P74" s="21"/>
      <c r="Q74" s="23">
        <v>9.8010000000000002</v>
      </c>
      <c r="S74" s="23">
        <f t="shared" si="38"/>
        <v>0</v>
      </c>
    </row>
    <row r="75" spans="1:19" x14ac:dyDescent="0.35">
      <c r="A75" s="70">
        <v>46</v>
      </c>
      <c r="B75" s="20">
        <f t="shared" si="39"/>
        <v>963.83000000000015</v>
      </c>
      <c r="C75" s="74"/>
      <c r="D75" s="20"/>
      <c r="E75" s="20"/>
      <c r="F75" s="20"/>
      <c r="G75" s="20"/>
      <c r="H75" s="21">
        <f t="shared" si="36"/>
        <v>963.83000000000015</v>
      </c>
      <c r="I75" s="21">
        <f t="shared" ref="I75:I76" si="50">ROUND(SUM(C75:G75)/2,0)</f>
        <v>0</v>
      </c>
      <c r="J75" s="21">
        <f t="shared" si="46"/>
        <v>963.83000000000015</v>
      </c>
      <c r="K75" s="84">
        <v>0.3</v>
      </c>
      <c r="L75" s="20">
        <v>0</v>
      </c>
      <c r="M75" s="20">
        <v>0</v>
      </c>
      <c r="N75" s="22">
        <f t="shared" si="47"/>
        <v>289.14900000000006</v>
      </c>
      <c r="O75" s="21">
        <f t="shared" si="48"/>
        <v>674.68100000000004</v>
      </c>
      <c r="Q75" s="23">
        <v>289.14900000000006</v>
      </c>
      <c r="S75" s="23">
        <f t="shared" si="38"/>
        <v>0</v>
      </c>
    </row>
    <row r="76" spans="1:19" x14ac:dyDescent="0.35">
      <c r="A76" s="70">
        <v>47</v>
      </c>
      <c r="B76" s="20">
        <f t="shared" si="39"/>
        <v>22532641.4736</v>
      </c>
      <c r="C76" s="74">
        <v>1935140</v>
      </c>
      <c r="D76" s="20"/>
      <c r="E76" s="20"/>
      <c r="F76" s="20"/>
      <c r="G76" s="20"/>
      <c r="H76" s="21">
        <f t="shared" si="36"/>
        <v>24467781.4736</v>
      </c>
      <c r="I76" s="21">
        <f t="shared" si="50"/>
        <v>967570</v>
      </c>
      <c r="J76" s="21">
        <f t="shared" si="46"/>
        <v>23500211.4736</v>
      </c>
      <c r="K76" s="84">
        <v>0.08</v>
      </c>
      <c r="L76" s="20">
        <v>0</v>
      </c>
      <c r="M76" s="20">
        <v>0</v>
      </c>
      <c r="N76" s="22">
        <f t="shared" si="47"/>
        <v>1880016.9178880001</v>
      </c>
      <c r="O76" s="21">
        <f t="shared" si="48"/>
        <v>22587764.555712</v>
      </c>
      <c r="Q76" s="23">
        <v>2018542.24</v>
      </c>
      <c r="S76" s="23">
        <f t="shared" si="38"/>
        <v>-138525.32211199985</v>
      </c>
    </row>
    <row r="77" spans="1:19" x14ac:dyDescent="0.35">
      <c r="A77" s="70">
        <v>50</v>
      </c>
      <c r="B77" s="20">
        <f t="shared" si="39"/>
        <v>111437.94875</v>
      </c>
      <c r="C77" s="74">
        <v>52039</v>
      </c>
      <c r="D77" s="20"/>
      <c r="E77" s="20"/>
      <c r="F77" s="20"/>
      <c r="G77" s="20"/>
      <c r="H77" s="21">
        <f t="shared" si="36"/>
        <v>163476.94874999998</v>
      </c>
      <c r="I77" s="21">
        <f>ROUND(SUM(C77:G77)/2,0)</f>
        <v>26020</v>
      </c>
      <c r="J77" s="21">
        <f t="shared" si="46"/>
        <v>137456.94874999998</v>
      </c>
      <c r="K77" s="84">
        <v>0.55000000000000004</v>
      </c>
      <c r="L77" s="20">
        <v>0</v>
      </c>
      <c r="M77" s="20">
        <v>0</v>
      </c>
      <c r="N77" s="22">
        <f t="shared" si="47"/>
        <v>75601.596812499993</v>
      </c>
      <c r="O77" s="21">
        <f t="shared" si="48"/>
        <v>87875.351937499989</v>
      </c>
      <c r="Q77" s="23">
        <v>80012.597500000003</v>
      </c>
      <c r="S77" s="23">
        <f t="shared" si="38"/>
        <v>-4411.0006875000108</v>
      </c>
    </row>
    <row r="78" spans="1:19" x14ac:dyDescent="0.35">
      <c r="A78" s="71">
        <v>14.1</v>
      </c>
      <c r="B78" s="20">
        <f t="shared" si="39"/>
        <v>630957</v>
      </c>
      <c r="C78" s="74"/>
      <c r="D78" s="20"/>
      <c r="E78" s="20"/>
      <c r="F78" s="20"/>
      <c r="G78" s="20"/>
      <c r="H78" s="21">
        <f t="shared" si="36"/>
        <v>630957</v>
      </c>
      <c r="I78" s="21">
        <f t="shared" ref="I78:I80" si="51">ROUND(SUM(C78:G78)/2,0)</f>
        <v>0</v>
      </c>
      <c r="J78" s="21">
        <f t="shared" si="46"/>
        <v>630957</v>
      </c>
      <c r="K78" s="84">
        <v>0.05</v>
      </c>
      <c r="L78" s="20">
        <v>0</v>
      </c>
      <c r="M78" s="20">
        <v>0</v>
      </c>
      <c r="N78" s="85">
        <f>42713</f>
        <v>42713</v>
      </c>
      <c r="O78" s="21">
        <f t="shared" si="48"/>
        <v>588244</v>
      </c>
      <c r="Q78" s="23">
        <v>42704.712912000003</v>
      </c>
      <c r="S78" s="23">
        <f t="shared" si="38"/>
        <v>8.2870879999973113</v>
      </c>
    </row>
    <row r="79" spans="1:19" x14ac:dyDescent="0.35">
      <c r="A79" s="73" t="s">
        <v>32</v>
      </c>
      <c r="B79" s="20">
        <f t="shared" si="39"/>
        <v>379927</v>
      </c>
      <c r="C79" s="74">
        <v>387837</v>
      </c>
      <c r="D79" s="20"/>
      <c r="E79" s="20"/>
      <c r="F79" s="20"/>
      <c r="G79" s="20">
        <v>-379927</v>
      </c>
      <c r="H79" s="21">
        <f t="shared" si="36"/>
        <v>387837</v>
      </c>
      <c r="I79" s="21">
        <f t="shared" si="51"/>
        <v>3955</v>
      </c>
      <c r="J79" s="21">
        <f t="shared" si="46"/>
        <v>383882</v>
      </c>
      <c r="K79" s="84">
        <v>0</v>
      </c>
      <c r="L79" s="20">
        <v>0</v>
      </c>
      <c r="M79" s="20">
        <v>0</v>
      </c>
      <c r="N79" s="22">
        <f t="shared" si="47"/>
        <v>0</v>
      </c>
      <c r="O79" s="21">
        <f t="shared" si="48"/>
        <v>387837</v>
      </c>
      <c r="Q79" s="23">
        <v>0</v>
      </c>
      <c r="S79" s="23">
        <f t="shared" si="38"/>
        <v>0</v>
      </c>
    </row>
    <row r="80" spans="1:19" x14ac:dyDescent="0.35">
      <c r="A80" s="71" t="s">
        <v>33</v>
      </c>
      <c r="B80" s="20">
        <f t="shared" si="39"/>
        <v>1187486.23</v>
      </c>
      <c r="C80" s="74">
        <v>1233371</v>
      </c>
      <c r="D80" s="20"/>
      <c r="E80" s="20"/>
      <c r="F80" s="20"/>
      <c r="G80" s="20">
        <v>-1187486</v>
      </c>
      <c r="H80" s="21">
        <f t="shared" si="36"/>
        <v>1233371.23</v>
      </c>
      <c r="I80" s="21">
        <f t="shared" si="51"/>
        <v>22943</v>
      </c>
      <c r="J80" s="21">
        <f t="shared" si="46"/>
        <v>1210428.23</v>
      </c>
      <c r="K80" s="84">
        <v>0</v>
      </c>
      <c r="L80" s="20">
        <v>0</v>
      </c>
      <c r="M80" s="20">
        <v>0</v>
      </c>
      <c r="N80" s="22">
        <f t="shared" si="47"/>
        <v>0</v>
      </c>
      <c r="O80" s="21">
        <f t="shared" si="48"/>
        <v>1233371.23</v>
      </c>
      <c r="Q80" s="23">
        <v>0</v>
      </c>
      <c r="S80" s="23">
        <f t="shared" si="38"/>
        <v>0</v>
      </c>
    </row>
    <row r="81" spans="1:22" x14ac:dyDescent="0.35">
      <c r="A81" s="43"/>
      <c r="B81" s="54"/>
      <c r="C81" s="47"/>
      <c r="D81" s="47"/>
      <c r="E81" s="47"/>
      <c r="F81" s="47"/>
      <c r="G81" s="47"/>
      <c r="H81" s="47"/>
      <c r="I81" s="47"/>
      <c r="J81" s="47"/>
      <c r="K81" s="46"/>
      <c r="L81" s="47"/>
      <c r="M81" s="47"/>
      <c r="N81" s="48"/>
      <c r="O81" s="26"/>
      <c r="P81" s="21"/>
      <c r="Q81" s="23"/>
    </row>
    <row r="82" spans="1:22" ht="15" thickBot="1" x14ac:dyDescent="0.4">
      <c r="A82" s="49"/>
      <c r="B82" s="86">
        <f>SUM(B62:B81)</f>
        <v>48887064.36694999</v>
      </c>
      <c r="C82" s="86">
        <f>SUM(C62:C81)</f>
        <v>4186506</v>
      </c>
      <c r="D82" s="86">
        <f t="shared" ref="D82" si="52">SUM(D62:D81)</f>
        <v>0</v>
      </c>
      <c r="E82" s="86">
        <f t="shared" ref="E82" si="53">SUM(E62:E81)</f>
        <v>0</v>
      </c>
      <c r="F82" s="86">
        <f t="shared" ref="F82" si="54">SUM(F62:F81)</f>
        <v>0</v>
      </c>
      <c r="G82" s="86">
        <f t="shared" ref="G82" si="55">SUM(G62:G81)</f>
        <v>-1567413</v>
      </c>
      <c r="H82" s="86">
        <f t="shared" ref="H82" si="56">SUM(H62:H81)</f>
        <v>51506157.36694999</v>
      </c>
      <c r="I82" s="86">
        <f t="shared" ref="I82" si="57">SUM(I62:I81)</f>
        <v>1268683</v>
      </c>
      <c r="J82" s="86">
        <f t="shared" ref="J82" si="58">SUM(J62:J81)</f>
        <v>50237474.36694999</v>
      </c>
      <c r="K82" s="86">
        <f t="shared" ref="K82" si="59">SUM(K62:K81)</f>
        <v>3.7699999999999996</v>
      </c>
      <c r="L82" s="86">
        <f t="shared" ref="L82" si="60">SUM(L62:L81)</f>
        <v>0</v>
      </c>
      <c r="M82" s="86">
        <f t="shared" ref="M82" si="61">SUM(M62:M81)</f>
        <v>0</v>
      </c>
      <c r="N82" s="86">
        <f t="shared" ref="N82" si="62">SUM(N62:N81)</f>
        <v>3686114.6995205004</v>
      </c>
      <c r="O82" s="86">
        <f t="shared" ref="O82" si="63">SUM(O62:O81)</f>
        <v>47820042.667429499</v>
      </c>
      <c r="Q82" s="79">
        <f>SUM(Q63:Q81)</f>
        <v>3801263.1117199999</v>
      </c>
      <c r="S82" s="79">
        <f>SUM(S63:S81)</f>
        <v>-115148.41219949984</v>
      </c>
      <c r="T82" s="23"/>
      <c r="V82" s="23"/>
    </row>
    <row r="83" spans="1:22" ht="15" thickTop="1" x14ac:dyDescent="0.35">
      <c r="A83" s="49"/>
      <c r="B83" s="23"/>
      <c r="C83" s="8"/>
      <c r="D83" s="8"/>
      <c r="E83" s="8"/>
      <c r="N83" s="30"/>
      <c r="O83" s="55"/>
      <c r="Q83" s="56" t="s">
        <v>20</v>
      </c>
      <c r="S83" s="23">
        <f>S82*0.265</f>
        <v>-30514.329232867462</v>
      </c>
      <c r="V83" s="31"/>
    </row>
    <row r="84" spans="1:22" ht="15" thickBot="1" x14ac:dyDescent="0.4">
      <c r="A84" s="49"/>
      <c r="B84" s="23"/>
      <c r="E84" s="34"/>
      <c r="H84" s="33"/>
      <c r="L84" s="35"/>
      <c r="O84" s="36"/>
      <c r="P84" s="37"/>
      <c r="Q84" s="38" t="s">
        <v>21</v>
      </c>
      <c r="R84" s="38"/>
      <c r="S84" s="39">
        <f>S83/0.735</f>
        <v>-41516.094194377496</v>
      </c>
      <c r="V84" s="31"/>
    </row>
    <row r="85" spans="1:22" ht="15" thickTop="1" x14ac:dyDescent="0.35">
      <c r="A85" s="49"/>
      <c r="B85" s="23"/>
      <c r="C85" s="33"/>
      <c r="D85" s="50"/>
      <c r="E85" s="33"/>
      <c r="G85" s="33"/>
      <c r="K85" s="51"/>
      <c r="L85" s="33"/>
      <c r="M85" s="52"/>
    </row>
    <row r="86" spans="1:22" x14ac:dyDescent="0.35">
      <c r="A86" s="49"/>
      <c r="B86" s="23"/>
      <c r="C86" s="33"/>
      <c r="D86" s="50"/>
      <c r="E86" s="33"/>
      <c r="G86" s="33"/>
      <c r="K86" s="51"/>
      <c r="L86" s="33"/>
      <c r="M86" s="52"/>
    </row>
    <row r="87" spans="1:22" x14ac:dyDescent="0.35">
      <c r="A87" s="4" t="s">
        <v>24</v>
      </c>
      <c r="B87" s="23"/>
      <c r="C87" s="33"/>
      <c r="D87" s="50"/>
      <c r="E87" s="33"/>
      <c r="G87" s="33"/>
      <c r="K87" s="51"/>
      <c r="L87" s="33"/>
      <c r="M87" s="52"/>
    </row>
    <row r="88" spans="1:22" x14ac:dyDescent="0.35">
      <c r="A88" s="49"/>
      <c r="B88" s="9">
        <v>2</v>
      </c>
      <c r="C88" s="9">
        <v>3</v>
      </c>
      <c r="D88" s="9">
        <v>3.1</v>
      </c>
      <c r="E88" s="9"/>
      <c r="F88" s="9">
        <v>4</v>
      </c>
      <c r="G88" s="9">
        <v>5</v>
      </c>
      <c r="H88" s="9">
        <v>6</v>
      </c>
      <c r="I88" s="9">
        <v>7</v>
      </c>
      <c r="J88" s="9">
        <v>8</v>
      </c>
      <c r="K88" s="9">
        <v>9</v>
      </c>
      <c r="L88" s="9">
        <v>10</v>
      </c>
      <c r="M88" s="9">
        <v>11</v>
      </c>
      <c r="N88" s="10">
        <v>12</v>
      </c>
      <c r="O88" s="9">
        <v>13</v>
      </c>
    </row>
    <row r="89" spans="1:22" x14ac:dyDescent="0.35">
      <c r="A89" s="49"/>
      <c r="B89" s="9" t="s">
        <v>2</v>
      </c>
      <c r="C89" s="8"/>
      <c r="D89" s="8"/>
      <c r="E89" s="9"/>
      <c r="F89" s="9"/>
      <c r="G89" s="8"/>
      <c r="H89" s="9"/>
      <c r="I89" s="9"/>
      <c r="J89" s="9" t="s">
        <v>3</v>
      </c>
      <c r="K89" s="9"/>
      <c r="L89" s="9"/>
      <c r="M89" s="9" t="s">
        <v>4</v>
      </c>
      <c r="N89" s="10"/>
      <c r="O89" s="9" t="s">
        <v>2</v>
      </c>
      <c r="Q89" s="11"/>
    </row>
    <row r="90" spans="1:22" x14ac:dyDescent="0.35">
      <c r="A90" s="9" t="s">
        <v>5</v>
      </c>
      <c r="B90" s="9" t="s">
        <v>6</v>
      </c>
      <c r="C90" s="9" t="s">
        <v>7</v>
      </c>
      <c r="D90" s="9" t="s">
        <v>8</v>
      </c>
      <c r="E90" s="9"/>
      <c r="F90" s="9" t="s">
        <v>9</v>
      </c>
      <c r="G90" s="9" t="s">
        <v>10</v>
      </c>
      <c r="H90" s="9" t="s">
        <v>2</v>
      </c>
      <c r="I90" s="9" t="s">
        <v>38</v>
      </c>
      <c r="J90" s="9" t="s">
        <v>2</v>
      </c>
      <c r="K90" s="9" t="s">
        <v>11</v>
      </c>
      <c r="L90" s="9" t="s">
        <v>12</v>
      </c>
      <c r="M90" s="9" t="s">
        <v>13</v>
      </c>
      <c r="N90" s="10" t="s">
        <v>14</v>
      </c>
      <c r="O90" s="9" t="s">
        <v>15</v>
      </c>
      <c r="Q90" s="10" t="s">
        <v>14</v>
      </c>
    </row>
    <row r="91" spans="1:22" ht="15" thickBot="1" x14ac:dyDescent="0.4">
      <c r="A91" s="13" t="s">
        <v>16</v>
      </c>
      <c r="B91" s="14"/>
      <c r="C91" s="14"/>
      <c r="D91" s="14"/>
      <c r="E91" s="14"/>
      <c r="F91" s="14"/>
      <c r="G91" s="14"/>
      <c r="H91" s="14"/>
      <c r="I91" s="14"/>
      <c r="J91" s="15"/>
      <c r="K91" s="14"/>
      <c r="L91" s="14"/>
      <c r="M91" s="14"/>
      <c r="N91" s="16"/>
      <c r="O91" s="14"/>
      <c r="P91" s="18"/>
      <c r="Q91" s="17" t="s">
        <v>17</v>
      </c>
      <c r="R91" s="18"/>
      <c r="S91" s="19" t="s">
        <v>18</v>
      </c>
    </row>
    <row r="92" spans="1:22" x14ac:dyDescent="0.35">
      <c r="A92" s="9"/>
      <c r="B92" s="12"/>
      <c r="C92" s="12"/>
      <c r="D92" s="12"/>
      <c r="E92" s="12"/>
      <c r="F92" s="12"/>
      <c r="G92" s="12"/>
      <c r="H92" s="12"/>
      <c r="I92" s="12"/>
      <c r="J92" s="9"/>
      <c r="K92" s="9"/>
      <c r="L92" s="9"/>
      <c r="M92" s="9"/>
      <c r="N92" s="9"/>
      <c r="O92" s="9"/>
      <c r="S92" s="57"/>
    </row>
    <row r="93" spans="1:22" x14ac:dyDescent="0.35">
      <c r="A93" s="70">
        <v>1</v>
      </c>
      <c r="B93" s="20">
        <f>O63</f>
        <v>14197535.5392</v>
      </c>
      <c r="C93" s="74"/>
      <c r="E93" s="20"/>
      <c r="F93" s="20"/>
      <c r="G93" s="20"/>
      <c r="H93" s="20">
        <f>B93+C93+SUM(E93:G93)</f>
        <v>14197535.5392</v>
      </c>
      <c r="I93" s="21">
        <f t="shared" ref="I93:I98" si="64">ROUND(SUM(C93:G93)/2,0)</f>
        <v>0</v>
      </c>
      <c r="J93" s="21">
        <f>+H93-I93</f>
        <v>14197535.5392</v>
      </c>
      <c r="K93" s="82">
        <v>0.04</v>
      </c>
      <c r="L93" s="20">
        <v>0</v>
      </c>
      <c r="M93" s="20">
        <v>0</v>
      </c>
      <c r="N93" s="22">
        <f>((B93+(C93+G93-D93)/2)*K93)+D93</f>
        <v>567901.42156799999</v>
      </c>
      <c r="O93" s="21">
        <f>+H93-N93</f>
        <v>13629634.117632</v>
      </c>
      <c r="P93" s="20"/>
      <c r="Q93" s="23">
        <v>567901.42156799999</v>
      </c>
      <c r="S93" s="23">
        <f t="shared" ref="S93:S110" si="65">N93-Q93</f>
        <v>0</v>
      </c>
    </row>
    <row r="94" spans="1:22" x14ac:dyDescent="0.35">
      <c r="A94" s="71" t="s">
        <v>19</v>
      </c>
      <c r="B94" s="20">
        <f t="shared" ref="B94:B110" si="66">O64</f>
        <v>4325842.5582879996</v>
      </c>
      <c r="C94" s="74">
        <v>408325</v>
      </c>
      <c r="E94" s="20"/>
      <c r="F94" s="20"/>
      <c r="G94" s="20"/>
      <c r="H94" s="20">
        <f t="shared" ref="H94:H110" si="67">B94+C94+SUM(E94:G94)</f>
        <v>4734167.5582879996</v>
      </c>
      <c r="I94" s="21">
        <f t="shared" si="64"/>
        <v>204163</v>
      </c>
      <c r="J94" s="21">
        <f t="shared" ref="J94:J101" si="68">+H94-I94</f>
        <v>4530004.5582879996</v>
      </c>
      <c r="K94" s="82">
        <v>0.06</v>
      </c>
      <c r="L94" s="20">
        <v>0</v>
      </c>
      <c r="M94" s="20">
        <v>0</v>
      </c>
      <c r="N94" s="22">
        <f t="shared" ref="N94:N110" si="69">((B94+(C94+G94-D94)/2)*K94)+D94</f>
        <v>271800.30349727999</v>
      </c>
      <c r="O94" s="21">
        <f t="shared" ref="O94:O110" si="70">+H94-N94</f>
        <v>4462367.2547907196</v>
      </c>
      <c r="P94" s="20"/>
      <c r="Q94" s="23">
        <v>294928.55415599997</v>
      </c>
      <c r="S94" s="23">
        <f t="shared" si="65"/>
        <v>-23128.250658719975</v>
      </c>
    </row>
    <row r="95" spans="1:22" x14ac:dyDescent="0.35">
      <c r="A95" s="70">
        <v>2</v>
      </c>
      <c r="B95" s="20">
        <f t="shared" si="66"/>
        <v>1824317.1233679999</v>
      </c>
      <c r="C95" s="74"/>
      <c r="E95" s="20"/>
      <c r="F95" s="20"/>
      <c r="G95" s="20"/>
      <c r="H95" s="20">
        <f t="shared" si="67"/>
        <v>1824317.1233679999</v>
      </c>
      <c r="I95" s="21">
        <f t="shared" si="64"/>
        <v>0</v>
      </c>
      <c r="J95" s="21">
        <f t="shared" si="68"/>
        <v>1824317.1233679999</v>
      </c>
      <c r="K95" s="82">
        <v>0.06</v>
      </c>
      <c r="L95" s="20">
        <v>0</v>
      </c>
      <c r="M95" s="20">
        <v>0</v>
      </c>
      <c r="N95" s="22">
        <f t="shared" si="69"/>
        <v>109459.02740207998</v>
      </c>
      <c r="O95" s="21">
        <f t="shared" si="70"/>
        <v>1714858.09596592</v>
      </c>
      <c r="P95" s="20"/>
      <c r="Q95" s="23">
        <v>109459.02740207998</v>
      </c>
      <c r="S95" s="23">
        <f t="shared" si="65"/>
        <v>0</v>
      </c>
    </row>
    <row r="96" spans="1:22" x14ac:dyDescent="0.35">
      <c r="A96" s="70">
        <v>6</v>
      </c>
      <c r="B96" s="20">
        <f t="shared" si="66"/>
        <v>45230.804999999993</v>
      </c>
      <c r="C96" s="74"/>
      <c r="D96" s="20"/>
      <c r="E96" s="20"/>
      <c r="F96" s="20"/>
      <c r="G96" s="20"/>
      <c r="H96" s="20">
        <f t="shared" si="67"/>
        <v>45230.804999999993</v>
      </c>
      <c r="I96" s="21">
        <f t="shared" si="64"/>
        <v>0</v>
      </c>
      <c r="J96" s="21">
        <f t="shared" si="68"/>
        <v>45230.804999999993</v>
      </c>
      <c r="K96" s="82">
        <v>0.1</v>
      </c>
      <c r="L96" s="20">
        <v>0</v>
      </c>
      <c r="M96" s="20">
        <v>0</v>
      </c>
      <c r="N96" s="22">
        <f t="shared" si="69"/>
        <v>4523.0804999999991</v>
      </c>
      <c r="O96" s="21">
        <f t="shared" si="70"/>
        <v>40707.724499999997</v>
      </c>
      <c r="P96" s="20"/>
      <c r="Q96" s="23">
        <v>4523.0804999999991</v>
      </c>
      <c r="S96" s="23">
        <f t="shared" si="65"/>
        <v>0</v>
      </c>
    </row>
    <row r="97" spans="1:19" x14ac:dyDescent="0.35">
      <c r="A97" s="70">
        <v>8</v>
      </c>
      <c r="B97" s="20">
        <f t="shared" si="66"/>
        <v>1528798.236</v>
      </c>
      <c r="C97" s="74">
        <v>215805</v>
      </c>
      <c r="D97" s="20">
        <v>187468</v>
      </c>
      <c r="E97" s="20"/>
      <c r="F97" s="20"/>
      <c r="G97" s="20"/>
      <c r="H97" s="20">
        <f t="shared" si="67"/>
        <v>1744603.236</v>
      </c>
      <c r="I97" s="21">
        <f t="shared" si="64"/>
        <v>201637</v>
      </c>
      <c r="J97" s="21">
        <f t="shared" si="68"/>
        <v>1542966.236</v>
      </c>
      <c r="K97" s="82">
        <v>0.2</v>
      </c>
      <c r="L97" s="20">
        <v>0</v>
      </c>
      <c r="M97" s="20">
        <v>0</v>
      </c>
      <c r="N97" s="85">
        <f t="shared" si="69"/>
        <v>496061.34720000002</v>
      </c>
      <c r="O97" s="21">
        <f t="shared" si="70"/>
        <v>1248541.8888000001</v>
      </c>
      <c r="P97" s="20"/>
      <c r="Q97" s="23">
        <v>474428</v>
      </c>
      <c r="S97" s="23">
        <f t="shared" si="65"/>
        <v>21633.347200000018</v>
      </c>
    </row>
    <row r="98" spans="1:19" x14ac:dyDescent="0.35">
      <c r="A98" s="70">
        <v>10</v>
      </c>
      <c r="B98" s="20">
        <f t="shared" si="66"/>
        <v>296598.8235</v>
      </c>
      <c r="C98" s="74">
        <v>16511</v>
      </c>
      <c r="D98" s="44">
        <v>16511</v>
      </c>
      <c r="E98" s="44"/>
      <c r="G98" s="20"/>
      <c r="H98" s="20">
        <f t="shared" si="67"/>
        <v>313109.8235</v>
      </c>
      <c r="I98" s="21">
        <f t="shared" si="64"/>
        <v>16511</v>
      </c>
      <c r="J98" s="21">
        <f>+H98-I98</f>
        <v>296598.8235</v>
      </c>
      <c r="K98" s="83">
        <v>0.3</v>
      </c>
      <c r="L98" s="20">
        <v>0</v>
      </c>
      <c r="M98" s="20">
        <v>0</v>
      </c>
      <c r="N98" s="85">
        <f t="shared" si="69"/>
        <v>105490.64705</v>
      </c>
      <c r="O98" s="21">
        <f t="shared" si="70"/>
        <v>207619.17645</v>
      </c>
      <c r="P98" s="20"/>
      <c r="Q98" s="23">
        <v>101936</v>
      </c>
      <c r="S98" s="23">
        <f t="shared" si="65"/>
        <v>3554.6470499999996</v>
      </c>
    </row>
    <row r="99" spans="1:19" x14ac:dyDescent="0.35">
      <c r="A99" s="70">
        <v>12</v>
      </c>
      <c r="B99" s="20">
        <f t="shared" si="66"/>
        <v>48712.5</v>
      </c>
      <c r="C99" s="74">
        <v>66063</v>
      </c>
      <c r="D99" s="44"/>
      <c r="E99" s="44"/>
      <c r="F99" s="45"/>
      <c r="G99" s="44"/>
      <c r="H99" s="20">
        <f t="shared" si="67"/>
        <v>114775.5</v>
      </c>
      <c r="I99" s="24">
        <v>7847</v>
      </c>
      <c r="J99" s="24">
        <f t="shared" ref="J99:J100" si="71">+H99-I99</f>
        <v>106928.5</v>
      </c>
      <c r="K99" s="84">
        <v>1</v>
      </c>
      <c r="L99" s="20">
        <v>0</v>
      </c>
      <c r="M99" s="20">
        <v>0</v>
      </c>
      <c r="N99" s="22">
        <f t="shared" si="69"/>
        <v>81744</v>
      </c>
      <c r="O99" s="21">
        <f t="shared" si="70"/>
        <v>33031.5</v>
      </c>
      <c r="P99" s="20"/>
      <c r="Q99" s="23">
        <v>66063</v>
      </c>
      <c r="S99" s="23">
        <f t="shared" si="65"/>
        <v>15681</v>
      </c>
    </row>
    <row r="100" spans="1:19" x14ac:dyDescent="0.35">
      <c r="A100" s="72">
        <v>14</v>
      </c>
      <c r="B100" s="20">
        <f t="shared" si="66"/>
        <v>358640</v>
      </c>
      <c r="C100" s="75"/>
      <c r="D100" s="44"/>
      <c r="E100" s="44"/>
      <c r="F100" s="45"/>
      <c r="G100" s="44"/>
      <c r="H100" s="20">
        <f t="shared" si="67"/>
        <v>358640</v>
      </c>
      <c r="I100" s="24">
        <v>0</v>
      </c>
      <c r="J100" s="24">
        <f t="shared" si="71"/>
        <v>358640</v>
      </c>
      <c r="K100" s="84" t="s">
        <v>35</v>
      </c>
      <c r="L100" s="20">
        <v>0</v>
      </c>
      <c r="M100" s="20">
        <v>0</v>
      </c>
      <c r="N100" s="22">
        <f>Q100</f>
        <v>20267</v>
      </c>
      <c r="O100" s="21">
        <f t="shared" si="70"/>
        <v>338373</v>
      </c>
      <c r="P100" s="20"/>
      <c r="Q100" s="23">
        <v>20267</v>
      </c>
      <c r="S100" s="23">
        <f t="shared" si="65"/>
        <v>0</v>
      </c>
    </row>
    <row r="101" spans="1:19" x14ac:dyDescent="0.35">
      <c r="A101" s="72">
        <v>14</v>
      </c>
      <c r="B101" s="20">
        <f t="shared" si="66"/>
        <v>240219</v>
      </c>
      <c r="C101" s="75"/>
      <c r="D101" s="20"/>
      <c r="E101" s="20"/>
      <c r="F101" s="45"/>
      <c r="G101" s="20"/>
      <c r="H101" s="20">
        <f t="shared" si="67"/>
        <v>240219</v>
      </c>
      <c r="I101" s="21">
        <f>ROUND(SUM(C101:G101)/2,0)</f>
        <v>0</v>
      </c>
      <c r="J101" s="21">
        <f t="shared" si="68"/>
        <v>240219</v>
      </c>
      <c r="K101" s="83" t="s">
        <v>36</v>
      </c>
      <c r="L101" s="20">
        <v>0</v>
      </c>
      <c r="M101" s="20">
        <v>0</v>
      </c>
      <c r="N101" s="22">
        <f>Q101</f>
        <v>32000</v>
      </c>
      <c r="O101" s="21">
        <f t="shared" si="70"/>
        <v>208219</v>
      </c>
      <c r="P101" s="20"/>
      <c r="Q101" s="23">
        <v>32000</v>
      </c>
      <c r="S101" s="23">
        <f t="shared" si="65"/>
        <v>0</v>
      </c>
    </row>
    <row r="102" spans="1:19" x14ac:dyDescent="0.35">
      <c r="A102" s="70">
        <v>17</v>
      </c>
      <c r="B102" s="20">
        <f t="shared" si="66"/>
        <v>67530.159423999998</v>
      </c>
      <c r="C102" s="74"/>
      <c r="D102" s="20"/>
      <c r="E102" s="20"/>
      <c r="F102" s="20"/>
      <c r="G102" s="20"/>
      <c r="H102" s="20">
        <f t="shared" si="67"/>
        <v>67530.159423999998</v>
      </c>
      <c r="I102" s="21">
        <f t="shared" ref="I102" si="72">ROUND(SUM(C102:G102)/2,0)</f>
        <v>0</v>
      </c>
      <c r="J102" s="21">
        <f>+H102-I102</f>
        <v>67530.159423999998</v>
      </c>
      <c r="K102" s="83">
        <v>0.08</v>
      </c>
      <c r="L102" s="20">
        <v>0</v>
      </c>
      <c r="M102" s="20">
        <v>0</v>
      </c>
      <c r="N102" s="22">
        <f t="shared" si="69"/>
        <v>5402.4127539199999</v>
      </c>
      <c r="O102" s="21">
        <f t="shared" si="70"/>
        <v>62127.74667008</v>
      </c>
      <c r="P102" s="20"/>
      <c r="Q102" s="23">
        <v>5402.4127539199999</v>
      </c>
      <c r="S102" s="23">
        <f t="shared" si="65"/>
        <v>0</v>
      </c>
    </row>
    <row r="103" spans="1:19" x14ac:dyDescent="0.35">
      <c r="A103" s="70">
        <v>43.2</v>
      </c>
      <c r="B103" s="20">
        <f t="shared" si="66"/>
        <v>839.125</v>
      </c>
      <c r="C103" s="74"/>
      <c r="D103" s="20"/>
      <c r="E103" s="20"/>
      <c r="F103" s="20"/>
      <c r="G103" s="20"/>
      <c r="H103" s="20">
        <f t="shared" si="67"/>
        <v>839.125</v>
      </c>
      <c r="I103" s="21">
        <f>ROUND(SUM(C103:G103)/2,0)</f>
        <v>0</v>
      </c>
      <c r="J103" s="21">
        <f t="shared" ref="J103:J110" si="73">+H103-I103</f>
        <v>839.125</v>
      </c>
      <c r="K103" s="83">
        <v>0.5</v>
      </c>
      <c r="L103" s="20">
        <v>0</v>
      </c>
      <c r="M103" s="20">
        <v>0</v>
      </c>
      <c r="N103" s="22">
        <f t="shared" si="69"/>
        <v>419.5625</v>
      </c>
      <c r="O103" s="21">
        <f t="shared" si="70"/>
        <v>419.5625</v>
      </c>
      <c r="Q103" s="23">
        <v>419.5625</v>
      </c>
      <c r="S103" s="23">
        <f t="shared" si="65"/>
        <v>0</v>
      </c>
    </row>
    <row r="104" spans="1:19" x14ac:dyDescent="0.35">
      <c r="A104" s="70">
        <v>45</v>
      </c>
      <c r="B104" s="20">
        <f t="shared" si="66"/>
        <v>11.979000000000001</v>
      </c>
      <c r="C104" s="74"/>
      <c r="D104" s="44"/>
      <c r="E104" s="44"/>
      <c r="F104" s="44"/>
      <c r="G104" s="44"/>
      <c r="H104" s="20">
        <f t="shared" si="67"/>
        <v>11.979000000000001</v>
      </c>
      <c r="I104" s="24">
        <f t="shared" ref="I104" si="74">ROUND(SUM(C104:G104)/2,0)</f>
        <v>0</v>
      </c>
      <c r="J104" s="21">
        <f t="shared" si="73"/>
        <v>11.979000000000001</v>
      </c>
      <c r="K104" s="84">
        <v>0.45</v>
      </c>
      <c r="L104" s="20">
        <v>0</v>
      </c>
      <c r="M104" s="20">
        <v>0</v>
      </c>
      <c r="N104" s="22">
        <f t="shared" si="69"/>
        <v>5.3905500000000002</v>
      </c>
      <c r="O104" s="21">
        <f t="shared" si="70"/>
        <v>6.5884500000000008</v>
      </c>
      <c r="P104" s="20"/>
      <c r="Q104" s="23">
        <v>5.3905500000000002</v>
      </c>
      <c r="S104" s="23">
        <f t="shared" si="65"/>
        <v>0</v>
      </c>
    </row>
    <row r="105" spans="1:19" x14ac:dyDescent="0.35">
      <c r="A105" s="70">
        <v>46</v>
      </c>
      <c r="B105" s="20">
        <f t="shared" si="66"/>
        <v>674.68100000000004</v>
      </c>
      <c r="C105" s="74"/>
      <c r="D105" s="20"/>
      <c r="E105" s="20"/>
      <c r="F105" s="20"/>
      <c r="G105" s="20"/>
      <c r="H105" s="20">
        <f t="shared" si="67"/>
        <v>674.68100000000004</v>
      </c>
      <c r="I105" s="21">
        <f t="shared" ref="I105:I106" si="75">ROUND(SUM(C105:G105)/2,0)</f>
        <v>0</v>
      </c>
      <c r="J105" s="21">
        <f t="shared" si="73"/>
        <v>674.68100000000004</v>
      </c>
      <c r="K105" s="84">
        <v>0.3</v>
      </c>
      <c r="L105" s="20">
        <v>0</v>
      </c>
      <c r="M105" s="20">
        <v>0</v>
      </c>
      <c r="N105" s="22">
        <f t="shared" si="69"/>
        <v>202.40430000000001</v>
      </c>
      <c r="O105" s="21">
        <f t="shared" si="70"/>
        <v>472.27670000000001</v>
      </c>
      <c r="Q105" s="23">
        <v>202.40430000000001</v>
      </c>
      <c r="S105" s="23">
        <f t="shared" si="65"/>
        <v>0</v>
      </c>
    </row>
    <row r="106" spans="1:19" x14ac:dyDescent="0.35">
      <c r="A106" s="70">
        <v>47</v>
      </c>
      <c r="B106" s="20">
        <f t="shared" si="66"/>
        <v>22587764.555712</v>
      </c>
      <c r="C106" s="74">
        <v>2310647</v>
      </c>
      <c r="D106" s="20"/>
      <c r="E106" s="20"/>
      <c r="F106" s="20"/>
      <c r="G106" s="20"/>
      <c r="H106" s="20">
        <f t="shared" si="67"/>
        <v>24898411.555712</v>
      </c>
      <c r="I106" s="21">
        <f t="shared" si="75"/>
        <v>1155324</v>
      </c>
      <c r="J106" s="21">
        <f t="shared" si="73"/>
        <v>23743087.555712</v>
      </c>
      <c r="K106" s="84">
        <v>0.08</v>
      </c>
      <c r="L106" s="20">
        <v>0</v>
      </c>
      <c r="M106" s="20">
        <v>0</v>
      </c>
      <c r="N106" s="22">
        <f t="shared" si="69"/>
        <v>1899447.0444569599</v>
      </c>
      <c r="O106" s="21">
        <f t="shared" si="70"/>
        <v>22998964.511255041</v>
      </c>
      <c r="Q106" s="23">
        <v>2056931</v>
      </c>
      <c r="S106" s="23">
        <f t="shared" si="65"/>
        <v>-157483.95554304007</v>
      </c>
    </row>
    <row r="107" spans="1:19" x14ac:dyDescent="0.35">
      <c r="A107" s="70">
        <v>50</v>
      </c>
      <c r="B107" s="20">
        <f t="shared" si="66"/>
        <v>87875.351937499989</v>
      </c>
      <c r="C107" s="74">
        <v>275021</v>
      </c>
      <c r="D107" s="20">
        <v>51010</v>
      </c>
      <c r="E107" s="20"/>
      <c r="F107" s="20"/>
      <c r="G107" s="20"/>
      <c r="H107" s="20">
        <f t="shared" si="67"/>
        <v>362896.3519375</v>
      </c>
      <c r="I107" s="21">
        <f>ROUND(SUM(C107:G107)/2,0)</f>
        <v>163016</v>
      </c>
      <c r="J107" s="21">
        <f t="shared" si="73"/>
        <v>199880.3519375</v>
      </c>
      <c r="K107" s="84">
        <v>0.55000000000000004</v>
      </c>
      <c r="L107" s="20">
        <v>0</v>
      </c>
      <c r="M107" s="20">
        <v>0</v>
      </c>
      <c r="N107" s="85">
        <f t="shared" si="69"/>
        <v>160944.46856562502</v>
      </c>
      <c r="O107" s="21">
        <f t="shared" si="70"/>
        <v>201951.88337187498</v>
      </c>
      <c r="Q107" s="23">
        <v>257514</v>
      </c>
      <c r="S107" s="23">
        <f t="shared" si="65"/>
        <v>-96569.531434374978</v>
      </c>
    </row>
    <row r="108" spans="1:19" x14ac:dyDescent="0.35">
      <c r="A108" s="71">
        <v>14.1</v>
      </c>
      <c r="B108" s="20">
        <f t="shared" si="66"/>
        <v>588244</v>
      </c>
      <c r="C108" s="74"/>
      <c r="D108" s="20"/>
      <c r="E108" s="20"/>
      <c r="F108" s="20"/>
      <c r="G108" s="20"/>
      <c r="H108" s="20">
        <f t="shared" si="67"/>
        <v>588244</v>
      </c>
      <c r="I108" s="21">
        <f t="shared" ref="I108:I110" si="76">ROUND(SUM(C108:G108)/2,0)</f>
        <v>0</v>
      </c>
      <c r="J108" s="21">
        <f t="shared" si="73"/>
        <v>588244</v>
      </c>
      <c r="K108" s="84">
        <v>0.05</v>
      </c>
      <c r="L108" s="20">
        <v>0</v>
      </c>
      <c r="M108" s="20">
        <v>0</v>
      </c>
      <c r="N108" s="85">
        <v>39795</v>
      </c>
      <c r="O108" s="21">
        <f t="shared" si="70"/>
        <v>548449</v>
      </c>
      <c r="Q108" s="23">
        <v>39788</v>
      </c>
      <c r="S108" s="23">
        <f t="shared" si="65"/>
        <v>7</v>
      </c>
    </row>
    <row r="109" spans="1:19" x14ac:dyDescent="0.35">
      <c r="A109" s="73" t="s">
        <v>32</v>
      </c>
      <c r="B109" s="20">
        <f t="shared" si="66"/>
        <v>387837</v>
      </c>
      <c r="C109" s="74">
        <v>366392</v>
      </c>
      <c r="D109" s="20"/>
      <c r="E109" s="20"/>
      <c r="F109" s="20"/>
      <c r="G109" s="74">
        <v>-387837</v>
      </c>
      <c r="H109" s="20">
        <f t="shared" si="67"/>
        <v>366392</v>
      </c>
      <c r="I109" s="21">
        <f t="shared" si="76"/>
        <v>-10723</v>
      </c>
      <c r="J109" s="21">
        <f t="shared" si="73"/>
        <v>377115</v>
      </c>
      <c r="K109" s="84">
        <v>0</v>
      </c>
      <c r="L109" s="20">
        <v>0</v>
      </c>
      <c r="M109" s="20">
        <v>0</v>
      </c>
      <c r="N109" s="22">
        <f t="shared" si="69"/>
        <v>0</v>
      </c>
      <c r="O109" s="21">
        <f t="shared" si="70"/>
        <v>366392</v>
      </c>
      <c r="Q109" s="23">
        <v>0</v>
      </c>
      <c r="S109" s="23">
        <f t="shared" si="65"/>
        <v>0</v>
      </c>
    </row>
    <row r="110" spans="1:19" x14ac:dyDescent="0.35">
      <c r="A110" s="71" t="s">
        <v>33</v>
      </c>
      <c r="B110" s="20">
        <f t="shared" si="66"/>
        <v>1233371.23</v>
      </c>
      <c r="C110" s="74">
        <v>1348500</v>
      </c>
      <c r="D110" s="20"/>
      <c r="E110" s="20"/>
      <c r="F110" s="20"/>
      <c r="G110" s="74">
        <v>-1233371</v>
      </c>
      <c r="H110" s="20">
        <f t="shared" si="67"/>
        <v>1348500.23</v>
      </c>
      <c r="I110" s="21">
        <f t="shared" si="76"/>
        <v>57565</v>
      </c>
      <c r="J110" s="21">
        <f t="shared" si="73"/>
        <v>1290935.23</v>
      </c>
      <c r="K110" s="84">
        <v>0</v>
      </c>
      <c r="L110" s="20">
        <v>0</v>
      </c>
      <c r="M110" s="20">
        <v>0</v>
      </c>
      <c r="N110" s="22">
        <f t="shared" si="69"/>
        <v>0</v>
      </c>
      <c r="O110" s="21">
        <f t="shared" si="70"/>
        <v>1348500.23</v>
      </c>
      <c r="Q110" s="23">
        <v>0</v>
      </c>
      <c r="S110" s="23">
        <f t="shared" si="65"/>
        <v>0</v>
      </c>
    </row>
    <row r="111" spans="1:19" x14ac:dyDescent="0.35">
      <c r="A111" s="71"/>
      <c r="B111" s="20"/>
      <c r="C111" s="74"/>
      <c r="L111" s="20"/>
      <c r="M111" s="20"/>
      <c r="P111" s="20"/>
      <c r="Q111" s="23"/>
    </row>
    <row r="112" spans="1:19" x14ac:dyDescent="0.35">
      <c r="A112" s="71"/>
      <c r="B112" s="44"/>
      <c r="C112" s="44"/>
      <c r="D112" s="44"/>
      <c r="E112" s="44"/>
      <c r="F112" s="44"/>
      <c r="G112" s="44"/>
      <c r="H112" s="44"/>
      <c r="I112" s="44"/>
      <c r="J112" s="44"/>
      <c r="K112" s="46"/>
      <c r="L112" s="44"/>
      <c r="M112" s="44"/>
      <c r="N112" s="77"/>
      <c r="O112" s="44"/>
      <c r="P112" s="20"/>
      <c r="Q112" s="23"/>
    </row>
    <row r="113" spans="1:22" ht="15" thickBot="1" x14ac:dyDescent="0.4">
      <c r="A113" s="58"/>
      <c r="B113" s="86">
        <f>SUM(B93:B112)</f>
        <v>47820042.667429499</v>
      </c>
      <c r="C113" s="86">
        <f t="shared" ref="C113" si="77">SUM(C93:C112)</f>
        <v>5007264</v>
      </c>
      <c r="D113" s="86">
        <f t="shared" ref="D113" si="78">SUM(D93:D112)</f>
        <v>254989</v>
      </c>
      <c r="E113" s="86">
        <f t="shared" ref="E113" si="79">SUM(E93:E112)</f>
        <v>0</v>
      </c>
      <c r="F113" s="86">
        <f t="shared" ref="F113" si="80">SUM(F93:F112)</f>
        <v>0</v>
      </c>
      <c r="G113" s="86">
        <f t="shared" ref="G113" si="81">SUM(G93:G112)</f>
        <v>-1621208</v>
      </c>
      <c r="H113" s="86">
        <f t="shared" ref="H113" si="82">SUM(H93:H112)</f>
        <v>51206098.667429499</v>
      </c>
      <c r="I113" s="86">
        <f t="shared" ref="I113" si="83">SUM(I93:I112)</f>
        <v>1795340</v>
      </c>
      <c r="J113" s="86">
        <f t="shared" ref="J113" si="84">SUM(J93:J112)</f>
        <v>49410758.667429499</v>
      </c>
      <c r="K113" s="86">
        <f t="shared" ref="K113" si="85">SUM(K93:K112)</f>
        <v>3.7699999999999996</v>
      </c>
      <c r="L113" s="86">
        <f t="shared" ref="L113" si="86">SUM(L93:L112)</f>
        <v>0</v>
      </c>
      <c r="M113" s="86">
        <f t="shared" ref="M113" si="87">SUM(M93:M112)</f>
        <v>0</v>
      </c>
      <c r="N113" s="86">
        <f t="shared" ref="N113" si="88">SUM(N93:N112)</f>
        <v>3795463.1103438651</v>
      </c>
      <c r="O113" s="86">
        <f t="shared" ref="O113" si="89">SUM(O93:O112)</f>
        <v>47410635.557085626</v>
      </c>
      <c r="Q113" s="79">
        <f>SUM(Q93:Q112)</f>
        <v>4031768.8537300001</v>
      </c>
      <c r="S113" s="79">
        <f>SUM(S93:S112)</f>
        <v>-236305.743386135</v>
      </c>
      <c r="T113" s="23"/>
      <c r="V113" s="23"/>
    </row>
    <row r="114" spans="1:22" ht="15" thickTop="1" x14ac:dyDescent="0.35">
      <c r="A114" s="49"/>
      <c r="B114" s="23"/>
      <c r="C114" s="8"/>
      <c r="D114" s="8"/>
      <c r="E114" s="8"/>
      <c r="N114" s="30"/>
      <c r="O114" s="55"/>
      <c r="Q114" t="s">
        <v>20</v>
      </c>
      <c r="S114" s="23">
        <f>S113*0.265</f>
        <v>-62621.021997325777</v>
      </c>
      <c r="V114" s="31"/>
    </row>
    <row r="115" spans="1:22" ht="15" thickBot="1" x14ac:dyDescent="0.4">
      <c r="A115" s="49"/>
      <c r="B115" s="23"/>
      <c r="E115" s="34"/>
      <c r="H115" s="33"/>
      <c r="L115" s="35"/>
      <c r="O115" s="36"/>
      <c r="P115" s="37"/>
      <c r="Q115" s="38" t="s">
        <v>21</v>
      </c>
      <c r="R115" s="38"/>
      <c r="S115" s="39">
        <f>S114/0.735</f>
        <v>-85198.6693841167</v>
      </c>
      <c r="V115" s="31"/>
    </row>
    <row r="116" spans="1:22" ht="15" thickTop="1" x14ac:dyDescent="0.35">
      <c r="A116" s="49"/>
      <c r="B116" s="23"/>
      <c r="C116" s="33"/>
      <c r="D116" s="50"/>
      <c r="E116" s="33"/>
      <c r="G116" s="33"/>
      <c r="K116" s="51"/>
      <c r="L116" s="33"/>
      <c r="M116" s="52"/>
    </row>
    <row r="117" spans="1:22" x14ac:dyDescent="0.35">
      <c r="A117" s="4" t="s">
        <v>25</v>
      </c>
      <c r="B117" s="33"/>
      <c r="E117" s="34"/>
      <c r="H117" s="33"/>
      <c r="L117" s="35"/>
      <c r="O117" s="36"/>
      <c r="P117" s="37"/>
      <c r="Q117" s="40"/>
      <c r="R117" s="40"/>
      <c r="S117" s="41"/>
    </row>
    <row r="118" spans="1:22" x14ac:dyDescent="0.35">
      <c r="A118" s="59"/>
      <c r="B118" s="33"/>
      <c r="E118" s="34"/>
      <c r="H118" s="33"/>
      <c r="L118" s="35"/>
      <c r="O118" s="36"/>
      <c r="P118" s="37"/>
      <c r="Q118" s="60"/>
      <c r="R118" s="40"/>
      <c r="S118" s="41"/>
    </row>
    <row r="119" spans="1:22" x14ac:dyDescent="0.35">
      <c r="A119" s="70">
        <v>1</v>
      </c>
      <c r="B119" s="20">
        <f>O93</f>
        <v>13629634.117632</v>
      </c>
      <c r="C119" s="74"/>
      <c r="E119" s="20"/>
      <c r="F119" s="20"/>
      <c r="G119" s="20"/>
      <c r="H119" s="20">
        <f t="shared" ref="H119:H137" si="90">B119+C119+SUM(E119:G119)</f>
        <v>13629634.117632</v>
      </c>
      <c r="I119" s="21">
        <f t="shared" ref="I119:I124" si="91">ROUND(SUM(C119:G119)/2,0)</f>
        <v>0</v>
      </c>
      <c r="J119" s="21">
        <f>+H119-I119</f>
        <v>13629634.117632</v>
      </c>
      <c r="K119" s="82">
        <v>0.04</v>
      </c>
      <c r="L119" s="20">
        <v>0</v>
      </c>
      <c r="M119" s="20">
        <v>0</v>
      </c>
      <c r="N119" s="22">
        <f>((B119+(C119+G119-D119)/2)*K119)+D119</f>
        <v>545185.36470528005</v>
      </c>
      <c r="O119" s="21">
        <f>+H119-N119</f>
        <v>13084448.75292672</v>
      </c>
      <c r="P119" s="20"/>
      <c r="Q119" s="23">
        <v>545185.36470528005</v>
      </c>
      <c r="S119" s="23">
        <f>N119-Q119</f>
        <v>0</v>
      </c>
    </row>
    <row r="120" spans="1:22" x14ac:dyDescent="0.35">
      <c r="A120" s="71" t="s">
        <v>19</v>
      </c>
      <c r="B120" s="20">
        <f t="shared" ref="B120:B137" si="92">O94</f>
        <v>4462367.2547907196</v>
      </c>
      <c r="C120" s="74">
        <v>357228</v>
      </c>
      <c r="E120" s="20"/>
      <c r="F120" s="20"/>
      <c r="G120" s="20"/>
      <c r="H120" s="20">
        <f t="shared" si="90"/>
        <v>4819595.2547907196</v>
      </c>
      <c r="I120" s="21">
        <f t="shared" si="91"/>
        <v>178614</v>
      </c>
      <c r="J120" s="21">
        <f t="shared" ref="J120:J127" si="93">+H120-I120</f>
        <v>4640981.2547907196</v>
      </c>
      <c r="K120" s="82">
        <v>0.06</v>
      </c>
      <c r="L120" s="20">
        <v>0</v>
      </c>
      <c r="M120" s="20">
        <v>0</v>
      </c>
      <c r="N120" s="22">
        <f t="shared" ref="N120:N137" si="94">((B120+(C120+G120-D120)/2)*K120)+D120</f>
        <v>278458.87528744317</v>
      </c>
      <c r="O120" s="21">
        <f t="shared" ref="O120:O136" si="95">+H120-N120</f>
        <v>4541136.3795032762</v>
      </c>
      <c r="P120" s="20"/>
      <c r="Q120" s="23">
        <v>297133.61090664001</v>
      </c>
      <c r="S120" s="23">
        <f t="shared" ref="S120:S137" si="96">N120-Q120</f>
        <v>-18674.735619196843</v>
      </c>
    </row>
    <row r="121" spans="1:22" x14ac:dyDescent="0.35">
      <c r="A121" s="70">
        <v>2</v>
      </c>
      <c r="B121" s="20">
        <f t="shared" si="92"/>
        <v>1714858.09596592</v>
      </c>
      <c r="C121" s="74"/>
      <c r="E121" s="20"/>
      <c r="F121" s="20"/>
      <c r="G121" s="20"/>
      <c r="H121" s="20">
        <f t="shared" si="90"/>
        <v>1714858.09596592</v>
      </c>
      <c r="I121" s="21">
        <f t="shared" si="91"/>
        <v>0</v>
      </c>
      <c r="J121" s="21">
        <f t="shared" si="93"/>
        <v>1714858.09596592</v>
      </c>
      <c r="K121" s="82">
        <v>0.06</v>
      </c>
      <c r="L121" s="20">
        <v>0</v>
      </c>
      <c r="M121" s="20">
        <v>0</v>
      </c>
      <c r="N121" s="22">
        <f t="shared" si="94"/>
        <v>102891.48575795519</v>
      </c>
      <c r="O121" s="21">
        <f t="shared" si="95"/>
        <v>1611966.6102079649</v>
      </c>
      <c r="P121" s="20"/>
      <c r="Q121" s="23">
        <v>102891.48575795519</v>
      </c>
      <c r="S121" s="23">
        <f t="shared" si="96"/>
        <v>0</v>
      </c>
    </row>
    <row r="122" spans="1:22" x14ac:dyDescent="0.35">
      <c r="A122" s="70">
        <v>6</v>
      </c>
      <c r="B122" s="20">
        <f t="shared" si="92"/>
        <v>40707.724499999997</v>
      </c>
      <c r="C122" s="74"/>
      <c r="D122" s="22"/>
      <c r="E122" s="20"/>
      <c r="F122" s="20"/>
      <c r="G122" s="20"/>
      <c r="H122" s="20">
        <f t="shared" si="90"/>
        <v>40707.724499999997</v>
      </c>
      <c r="I122" s="21">
        <f t="shared" si="91"/>
        <v>0</v>
      </c>
      <c r="J122" s="21">
        <f t="shared" si="93"/>
        <v>40707.724499999997</v>
      </c>
      <c r="K122" s="82">
        <v>0.1</v>
      </c>
      <c r="L122" s="20">
        <v>0</v>
      </c>
      <c r="M122" s="20">
        <v>0</v>
      </c>
      <c r="N122" s="22">
        <f t="shared" si="94"/>
        <v>4070.7724499999999</v>
      </c>
      <c r="O122" s="21">
        <f t="shared" si="95"/>
        <v>36636.95205</v>
      </c>
      <c r="P122" s="20"/>
      <c r="Q122" s="23">
        <v>4070.7724499999999</v>
      </c>
      <c r="S122" s="23">
        <f t="shared" si="96"/>
        <v>0</v>
      </c>
    </row>
    <row r="123" spans="1:22" x14ac:dyDescent="0.35">
      <c r="A123" s="70">
        <v>8</v>
      </c>
      <c r="B123" s="20">
        <f t="shared" si="92"/>
        <v>1248541.8888000001</v>
      </c>
      <c r="C123" s="74">
        <v>70439</v>
      </c>
      <c r="D123" s="22">
        <f>C123</f>
        <v>70439</v>
      </c>
      <c r="E123" s="20"/>
      <c r="F123" s="20"/>
      <c r="G123" s="20"/>
      <c r="H123" s="20">
        <f t="shared" si="90"/>
        <v>1318980.8888000001</v>
      </c>
      <c r="I123" s="21">
        <f t="shared" si="91"/>
        <v>70439</v>
      </c>
      <c r="J123" s="21">
        <f t="shared" si="93"/>
        <v>1248541.8888000001</v>
      </c>
      <c r="K123" s="82">
        <v>0.2</v>
      </c>
      <c r="L123" s="20">
        <v>0</v>
      </c>
      <c r="M123" s="20">
        <v>0</v>
      </c>
      <c r="N123" s="85">
        <f>((B123+(C123+G123-D123)/2)*K123)+D123</f>
        <v>320147.37776000006</v>
      </c>
      <c r="O123" s="21">
        <f t="shared" si="95"/>
        <v>998833.51104000001</v>
      </c>
      <c r="P123" s="20"/>
      <c r="Q123" s="23">
        <v>297174</v>
      </c>
      <c r="S123" s="23">
        <f t="shared" si="96"/>
        <v>22973.377760000061</v>
      </c>
    </row>
    <row r="124" spans="1:22" x14ac:dyDescent="0.35">
      <c r="A124" s="70">
        <v>10</v>
      </c>
      <c r="B124" s="20">
        <f t="shared" si="92"/>
        <v>207619.17645</v>
      </c>
      <c r="C124" s="74">
        <v>68635</v>
      </c>
      <c r="D124" s="22">
        <f>C124</f>
        <v>68635</v>
      </c>
      <c r="E124" s="44"/>
      <c r="G124" s="20"/>
      <c r="H124" s="20">
        <f t="shared" si="90"/>
        <v>276254.17645000003</v>
      </c>
      <c r="I124" s="21">
        <f t="shared" si="91"/>
        <v>68635</v>
      </c>
      <c r="J124" s="21">
        <f>+H124-I124</f>
        <v>207619.17645000003</v>
      </c>
      <c r="K124" s="83">
        <v>0.3</v>
      </c>
      <c r="L124" s="20">
        <v>0</v>
      </c>
      <c r="M124" s="20">
        <v>0</v>
      </c>
      <c r="N124" s="85">
        <f>((B124+(C124+G124-D124)/2)*K124)+D124</f>
        <v>130920.752935</v>
      </c>
      <c r="O124" s="21">
        <f t="shared" si="95"/>
        <v>145333.42351500003</v>
      </c>
      <c r="P124" s="20"/>
      <c r="Q124" s="23">
        <v>128432</v>
      </c>
      <c r="S124" s="23">
        <f t="shared" si="96"/>
        <v>2488.7529349999968</v>
      </c>
    </row>
    <row r="125" spans="1:22" x14ac:dyDescent="0.35">
      <c r="A125" s="70">
        <v>12</v>
      </c>
      <c r="B125" s="20">
        <f t="shared" si="92"/>
        <v>33031.5</v>
      </c>
      <c r="C125" s="74">
        <v>14427</v>
      </c>
      <c r="D125" s="22">
        <f>C125</f>
        <v>14427</v>
      </c>
      <c r="E125" s="44"/>
      <c r="F125" s="45"/>
      <c r="G125" s="44"/>
      <c r="H125" s="20">
        <f t="shared" si="90"/>
        <v>47458.5</v>
      </c>
      <c r="I125" s="24">
        <v>7847</v>
      </c>
      <c r="J125" s="24">
        <f t="shared" ref="J125:J126" si="97">+H125-I125</f>
        <v>39611.5</v>
      </c>
      <c r="K125" s="84">
        <v>1</v>
      </c>
      <c r="L125" s="20">
        <v>0</v>
      </c>
      <c r="M125" s="20">
        <v>0</v>
      </c>
      <c r="N125" s="85">
        <f>((B125+(C125+G125-D125)/2)*K125)+D125</f>
        <v>47458.5</v>
      </c>
      <c r="O125" s="21">
        <f>+H125-N125</f>
        <v>0</v>
      </c>
      <c r="P125" s="20"/>
      <c r="Q125" s="23">
        <v>14427</v>
      </c>
      <c r="S125" s="23">
        <f t="shared" si="96"/>
        <v>33031.5</v>
      </c>
    </row>
    <row r="126" spans="1:22" x14ac:dyDescent="0.35">
      <c r="A126" s="72">
        <v>14</v>
      </c>
      <c r="B126" s="20">
        <f t="shared" si="92"/>
        <v>338373</v>
      </c>
      <c r="C126" s="75"/>
      <c r="D126" s="44"/>
      <c r="E126" s="44"/>
      <c r="F126" s="45"/>
      <c r="G126" s="44"/>
      <c r="H126" s="20">
        <f>B126+C126+SUM(E126:G126)</f>
        <v>338373</v>
      </c>
      <c r="I126" s="24">
        <v>0</v>
      </c>
      <c r="J126" s="24">
        <f t="shared" si="97"/>
        <v>338373</v>
      </c>
      <c r="K126" s="84" t="s">
        <v>35</v>
      </c>
      <c r="L126" s="20">
        <v>0</v>
      </c>
      <c r="M126" s="20">
        <v>0</v>
      </c>
      <c r="N126" s="22">
        <f>Q126</f>
        <v>20267</v>
      </c>
      <c r="O126" s="21">
        <f t="shared" si="95"/>
        <v>318106</v>
      </c>
      <c r="P126" s="20"/>
      <c r="Q126" s="23">
        <v>20267</v>
      </c>
      <c r="S126" s="23">
        <f t="shared" si="96"/>
        <v>0</v>
      </c>
    </row>
    <row r="127" spans="1:22" x14ac:dyDescent="0.35">
      <c r="A127" s="72">
        <v>14</v>
      </c>
      <c r="B127" s="20">
        <f t="shared" si="92"/>
        <v>208219</v>
      </c>
      <c r="C127" s="75"/>
      <c r="D127" s="20"/>
      <c r="E127" s="20"/>
      <c r="F127" s="45"/>
      <c r="G127" s="20"/>
      <c r="H127" s="20">
        <f t="shared" si="90"/>
        <v>208219</v>
      </c>
      <c r="I127" s="21">
        <f>ROUND(SUM(C127:G127)/2,0)</f>
        <v>0</v>
      </c>
      <c r="J127" s="21">
        <f t="shared" si="93"/>
        <v>208219</v>
      </c>
      <c r="K127" s="83" t="s">
        <v>36</v>
      </c>
      <c r="L127" s="20">
        <v>0</v>
      </c>
      <c r="M127" s="20">
        <v>0</v>
      </c>
      <c r="N127" s="22">
        <f>Q127</f>
        <v>32000</v>
      </c>
      <c r="O127" s="21">
        <f t="shared" si="95"/>
        <v>176219</v>
      </c>
      <c r="P127" s="20"/>
      <c r="Q127" s="23">
        <v>32000</v>
      </c>
      <c r="S127" s="23">
        <f t="shared" si="96"/>
        <v>0</v>
      </c>
    </row>
    <row r="128" spans="1:22" x14ac:dyDescent="0.35">
      <c r="A128" s="70">
        <v>17</v>
      </c>
      <c r="B128" s="20">
        <f t="shared" si="92"/>
        <v>62127.74667008</v>
      </c>
      <c r="C128" s="74"/>
      <c r="D128" s="20"/>
      <c r="E128" s="20"/>
      <c r="F128" s="20"/>
      <c r="G128" s="20"/>
      <c r="H128" s="20">
        <f t="shared" si="90"/>
        <v>62127.74667008</v>
      </c>
      <c r="I128" s="21">
        <f t="shared" ref="I128" si="98">ROUND(SUM(C128:G128)/2,0)</f>
        <v>0</v>
      </c>
      <c r="J128" s="21">
        <f>+H128-I128</f>
        <v>62127.74667008</v>
      </c>
      <c r="K128" s="83">
        <v>0.08</v>
      </c>
      <c r="L128" s="20">
        <v>0</v>
      </c>
      <c r="M128" s="20">
        <v>0</v>
      </c>
      <c r="N128" s="22">
        <f t="shared" si="94"/>
        <v>4970.2197336064</v>
      </c>
      <c r="O128" s="21">
        <f t="shared" si="95"/>
        <v>57157.526936473601</v>
      </c>
      <c r="P128" s="20"/>
      <c r="Q128" s="23">
        <v>4970.2197336064</v>
      </c>
      <c r="S128" s="23">
        <f t="shared" si="96"/>
        <v>0</v>
      </c>
    </row>
    <row r="129" spans="1:22" x14ac:dyDescent="0.35">
      <c r="A129" s="70">
        <v>43.2</v>
      </c>
      <c r="B129" s="20">
        <f t="shared" si="92"/>
        <v>419.5625</v>
      </c>
      <c r="C129" s="74"/>
      <c r="D129" s="20"/>
      <c r="E129" s="20"/>
      <c r="F129" s="20"/>
      <c r="G129" s="20"/>
      <c r="H129" s="20">
        <f t="shared" si="90"/>
        <v>419.5625</v>
      </c>
      <c r="I129" s="21">
        <f>ROUND(SUM(C129:G129)/2,0)</f>
        <v>0</v>
      </c>
      <c r="J129" s="21">
        <f t="shared" ref="J129:J137" si="99">+H129-I129</f>
        <v>419.5625</v>
      </c>
      <c r="K129" s="83">
        <v>0.5</v>
      </c>
      <c r="L129" s="20">
        <v>0</v>
      </c>
      <c r="M129" s="20">
        <v>0</v>
      </c>
      <c r="N129" s="22">
        <f t="shared" si="94"/>
        <v>209.78125</v>
      </c>
      <c r="O129" s="21">
        <f t="shared" si="95"/>
        <v>209.78125</v>
      </c>
      <c r="Q129" s="23">
        <v>209.78125</v>
      </c>
      <c r="S129" s="23">
        <f t="shared" si="96"/>
        <v>0</v>
      </c>
    </row>
    <row r="130" spans="1:22" x14ac:dyDescent="0.35">
      <c r="A130" s="70">
        <v>45</v>
      </c>
      <c r="B130" s="20">
        <f t="shared" si="92"/>
        <v>6.5884500000000008</v>
      </c>
      <c r="C130" s="74"/>
      <c r="D130" s="44"/>
      <c r="E130" s="44"/>
      <c r="F130" s="44"/>
      <c r="G130" s="44"/>
      <c r="H130" s="20">
        <f t="shared" si="90"/>
        <v>6.5884500000000008</v>
      </c>
      <c r="I130" s="24">
        <f t="shared" ref="I130" si="100">ROUND(SUM(C130:G130)/2,0)</f>
        <v>0</v>
      </c>
      <c r="J130" s="21">
        <f t="shared" si="99"/>
        <v>6.5884500000000008</v>
      </c>
      <c r="K130" s="84">
        <v>0.45</v>
      </c>
      <c r="L130" s="20">
        <v>0</v>
      </c>
      <c r="M130" s="20">
        <v>0</v>
      </c>
      <c r="N130" s="22">
        <f t="shared" si="94"/>
        <v>2.9648025000000002</v>
      </c>
      <c r="O130" s="21">
        <f t="shared" si="95"/>
        <v>3.6236475000000006</v>
      </c>
      <c r="P130" s="20"/>
      <c r="Q130" s="23">
        <v>2.9648025000000002</v>
      </c>
      <c r="S130" s="23">
        <f t="shared" si="96"/>
        <v>0</v>
      </c>
    </row>
    <row r="131" spans="1:22" x14ac:dyDescent="0.35">
      <c r="A131" s="70">
        <v>46</v>
      </c>
      <c r="B131" s="20">
        <f t="shared" si="92"/>
        <v>472.27670000000001</v>
      </c>
      <c r="C131" s="74"/>
      <c r="D131" s="20"/>
      <c r="E131" s="20"/>
      <c r="F131" s="20"/>
      <c r="G131" s="20"/>
      <c r="H131" s="20">
        <f t="shared" si="90"/>
        <v>472.27670000000001</v>
      </c>
      <c r="I131" s="21">
        <f t="shared" ref="I131:I132" si="101">ROUND(SUM(C131:G131)/2,0)</f>
        <v>0</v>
      </c>
      <c r="J131" s="21">
        <f t="shared" si="99"/>
        <v>472.27670000000001</v>
      </c>
      <c r="K131" s="84">
        <v>0.3</v>
      </c>
      <c r="L131" s="20">
        <v>0</v>
      </c>
      <c r="M131" s="20">
        <v>0</v>
      </c>
      <c r="N131" s="22">
        <f t="shared" si="94"/>
        <v>141.68301</v>
      </c>
      <c r="O131" s="21">
        <f t="shared" si="95"/>
        <v>330.59369000000004</v>
      </c>
      <c r="Q131" s="23">
        <v>141.68301</v>
      </c>
      <c r="S131" s="23">
        <f t="shared" si="96"/>
        <v>0</v>
      </c>
    </row>
    <row r="132" spans="1:22" x14ac:dyDescent="0.35">
      <c r="A132" s="70">
        <v>47</v>
      </c>
      <c r="B132" s="20">
        <f t="shared" si="92"/>
        <v>22998964.511255041</v>
      </c>
      <c r="C132" s="74">
        <v>2711138</v>
      </c>
      <c r="D132" s="20"/>
      <c r="E132" s="20"/>
      <c r="F132" s="20"/>
      <c r="G132" s="20"/>
      <c r="H132" s="20">
        <f t="shared" si="90"/>
        <v>25710102.511255041</v>
      </c>
      <c r="I132" s="21">
        <f t="shared" si="101"/>
        <v>1355569</v>
      </c>
      <c r="J132" s="21">
        <f t="shared" si="99"/>
        <v>24354533.511255041</v>
      </c>
      <c r="K132" s="84">
        <v>0.08</v>
      </c>
      <c r="L132" s="20">
        <v>0</v>
      </c>
      <c r="M132" s="20">
        <v>0</v>
      </c>
      <c r="N132" s="22">
        <f t="shared" si="94"/>
        <v>1948362.6809004033</v>
      </c>
      <c r="O132" s="21">
        <f t="shared" si="95"/>
        <v>23761739.830354638</v>
      </c>
      <c r="Q132" s="23">
        <v>2125287.1008000001</v>
      </c>
      <c r="S132" s="23">
        <f t="shared" si="96"/>
        <v>-176924.41989959683</v>
      </c>
    </row>
    <row r="133" spans="1:22" x14ac:dyDescent="0.35">
      <c r="A133" s="70">
        <v>50</v>
      </c>
      <c r="B133" s="20">
        <f t="shared" si="92"/>
        <v>201951.88337187498</v>
      </c>
      <c r="C133" s="74">
        <v>176461</v>
      </c>
      <c r="D133" s="22">
        <f>C133</f>
        <v>176461</v>
      </c>
      <c r="E133" s="20"/>
      <c r="F133" s="20"/>
      <c r="G133" s="20"/>
      <c r="H133" s="20">
        <f t="shared" si="90"/>
        <v>378412.88337187498</v>
      </c>
      <c r="I133" s="21">
        <f>ROUND(SUM(C133:G133)/2,0)</f>
        <v>176461</v>
      </c>
      <c r="J133" s="21">
        <f t="shared" si="99"/>
        <v>201951.88337187498</v>
      </c>
      <c r="K133" s="84">
        <v>0.55000000000000004</v>
      </c>
      <c r="L133" s="20">
        <v>0</v>
      </c>
      <c r="M133" s="20">
        <v>0</v>
      </c>
      <c r="N133" s="85">
        <f t="shared" si="94"/>
        <v>287534.53585453122</v>
      </c>
      <c r="O133" s="21">
        <f t="shared" si="95"/>
        <v>90878.347517343762</v>
      </c>
      <c r="Q133" s="23">
        <v>207785</v>
      </c>
      <c r="S133" s="23">
        <f t="shared" si="96"/>
        <v>79749.535854531219</v>
      </c>
    </row>
    <row r="134" spans="1:22" x14ac:dyDescent="0.35">
      <c r="A134" s="71">
        <v>14.1</v>
      </c>
      <c r="B134" s="20">
        <f t="shared" si="92"/>
        <v>548449</v>
      </c>
      <c r="C134" s="74"/>
      <c r="D134" s="20"/>
      <c r="E134" s="20"/>
      <c r="F134" s="20"/>
      <c r="H134" s="20">
        <f t="shared" si="90"/>
        <v>548449</v>
      </c>
      <c r="I134" s="21">
        <f t="shared" ref="I134:I136" si="102">ROUND(SUM(C134:G134)/2,0)</f>
        <v>0</v>
      </c>
      <c r="J134" s="21">
        <f t="shared" si="99"/>
        <v>548449</v>
      </c>
      <c r="K134" s="84">
        <v>0.05</v>
      </c>
      <c r="L134" s="20">
        <v>0</v>
      </c>
      <c r="M134" s="20">
        <v>0</v>
      </c>
      <c r="N134" s="85">
        <v>37078</v>
      </c>
      <c r="O134" s="21">
        <f t="shared" si="95"/>
        <v>511371</v>
      </c>
      <c r="Q134" s="23">
        <v>37071</v>
      </c>
      <c r="S134" s="23">
        <f t="shared" si="96"/>
        <v>7</v>
      </c>
    </row>
    <row r="135" spans="1:22" x14ac:dyDescent="0.35">
      <c r="A135" s="73" t="s">
        <v>32</v>
      </c>
      <c r="B135" s="20">
        <f t="shared" si="92"/>
        <v>366392</v>
      </c>
      <c r="C135" s="74"/>
      <c r="D135" s="20"/>
      <c r="E135" s="20"/>
      <c r="F135" s="20"/>
      <c r="G135" s="20">
        <v>-72634</v>
      </c>
      <c r="H135" s="20">
        <f t="shared" si="90"/>
        <v>293758</v>
      </c>
      <c r="I135" s="21">
        <f t="shared" si="102"/>
        <v>-36317</v>
      </c>
      <c r="J135" s="21">
        <f t="shared" si="99"/>
        <v>330075</v>
      </c>
      <c r="K135" s="84">
        <v>0</v>
      </c>
      <c r="L135" s="20">
        <v>0</v>
      </c>
      <c r="M135" s="20">
        <v>0</v>
      </c>
      <c r="N135" s="22">
        <f t="shared" si="94"/>
        <v>0</v>
      </c>
      <c r="O135" s="21">
        <f t="shared" si="95"/>
        <v>293758</v>
      </c>
      <c r="Q135" s="23">
        <v>0</v>
      </c>
      <c r="S135" s="23">
        <f t="shared" si="96"/>
        <v>0</v>
      </c>
    </row>
    <row r="136" spans="1:22" x14ac:dyDescent="0.35">
      <c r="A136" s="71" t="s">
        <v>33</v>
      </c>
      <c r="B136" s="20">
        <f t="shared" si="92"/>
        <v>1348500.23</v>
      </c>
      <c r="C136" s="74"/>
      <c r="D136" s="20"/>
      <c r="E136" s="20"/>
      <c r="F136" s="20"/>
      <c r="G136" s="20">
        <v>-39761</v>
      </c>
      <c r="H136" s="20">
        <f t="shared" si="90"/>
        <v>1308739.23</v>
      </c>
      <c r="I136" s="21">
        <f t="shared" si="102"/>
        <v>-19881</v>
      </c>
      <c r="J136" s="21">
        <f t="shared" si="99"/>
        <v>1328620.23</v>
      </c>
      <c r="K136" s="84">
        <v>0</v>
      </c>
      <c r="L136" s="20">
        <v>0</v>
      </c>
      <c r="M136" s="20">
        <v>0</v>
      </c>
      <c r="N136" s="22">
        <f t="shared" si="94"/>
        <v>0</v>
      </c>
      <c r="O136" s="21">
        <f t="shared" si="95"/>
        <v>1308739.23</v>
      </c>
      <c r="Q136" s="23">
        <v>0</v>
      </c>
      <c r="S136" s="23">
        <f t="shared" si="96"/>
        <v>0</v>
      </c>
    </row>
    <row r="137" spans="1:22" x14ac:dyDescent="0.35">
      <c r="A137" s="71" t="s">
        <v>34</v>
      </c>
      <c r="B137" s="20">
        <f t="shared" si="92"/>
        <v>0</v>
      </c>
      <c r="C137" s="74">
        <v>211458</v>
      </c>
      <c r="H137" s="20">
        <f t="shared" si="90"/>
        <v>211458</v>
      </c>
      <c r="I137" s="21">
        <f t="shared" ref="I137" si="103">ROUND(SUM(C137:G137)/2,0)</f>
        <v>105729</v>
      </c>
      <c r="J137" s="21">
        <f t="shared" si="99"/>
        <v>105729</v>
      </c>
      <c r="K137" s="84">
        <v>0</v>
      </c>
      <c r="L137" s="20">
        <v>0</v>
      </c>
      <c r="M137" s="20">
        <v>0</v>
      </c>
      <c r="N137" s="22">
        <f t="shared" si="94"/>
        <v>0</v>
      </c>
      <c r="O137" s="21">
        <f t="shared" ref="O137" si="104">+H137-N137</f>
        <v>211458</v>
      </c>
      <c r="P137" s="20"/>
      <c r="Q137" s="23">
        <v>0</v>
      </c>
      <c r="S137" s="23">
        <f t="shared" si="96"/>
        <v>0</v>
      </c>
    </row>
    <row r="138" spans="1:22" x14ac:dyDescent="0.35">
      <c r="A138" s="71"/>
      <c r="B138" s="23"/>
      <c r="C138" s="44"/>
      <c r="D138" s="44"/>
      <c r="E138" s="44"/>
      <c r="F138" s="44"/>
      <c r="G138" s="44"/>
      <c r="H138" s="44"/>
      <c r="I138" s="44"/>
      <c r="J138" s="44"/>
      <c r="K138" s="46"/>
      <c r="L138" s="44"/>
      <c r="M138" s="44"/>
      <c r="N138" s="78"/>
      <c r="O138" s="44"/>
      <c r="P138" s="20"/>
      <c r="Q138" s="23"/>
    </row>
    <row r="139" spans="1:22" ht="15" thickBot="1" x14ac:dyDescent="0.4">
      <c r="A139" s="58"/>
      <c r="B139" s="86">
        <f t="shared" ref="B139:O139" si="105">SUM(B119:B138)</f>
        <v>47410635.557085626</v>
      </c>
      <c r="C139" s="86">
        <f t="shared" si="105"/>
        <v>3609786</v>
      </c>
      <c r="D139" s="86">
        <f t="shared" si="105"/>
        <v>329962</v>
      </c>
      <c r="E139" s="86">
        <f t="shared" si="105"/>
        <v>0</v>
      </c>
      <c r="F139" s="86">
        <f t="shared" si="105"/>
        <v>0</v>
      </c>
      <c r="G139" s="86">
        <f t="shared" si="105"/>
        <v>-112395</v>
      </c>
      <c r="H139" s="86">
        <f t="shared" si="105"/>
        <v>50908026.557085626</v>
      </c>
      <c r="I139" s="86">
        <f t="shared" si="105"/>
        <v>1907096</v>
      </c>
      <c r="J139" s="86">
        <f t="shared" si="105"/>
        <v>49000930.557085626</v>
      </c>
      <c r="K139" s="86">
        <f t="shared" si="105"/>
        <v>3.7699999999999996</v>
      </c>
      <c r="L139" s="86">
        <f t="shared" si="105"/>
        <v>0</v>
      </c>
      <c r="M139" s="86">
        <f t="shared" si="105"/>
        <v>0</v>
      </c>
      <c r="N139" s="86">
        <f t="shared" si="105"/>
        <v>3759699.99444672</v>
      </c>
      <c r="O139" s="86">
        <f t="shared" si="105"/>
        <v>47148326.562638909</v>
      </c>
      <c r="Q139" s="87">
        <f>SUM(Q119:Q138)</f>
        <v>3817048.9834159818</v>
      </c>
      <c r="S139" s="87">
        <f>SUM(S119:S138)</f>
        <v>-57348.988969262398</v>
      </c>
      <c r="T139" s="23"/>
      <c r="V139" s="23"/>
    </row>
    <row r="140" spans="1:22" ht="15" thickTop="1" x14ac:dyDescent="0.35">
      <c r="A140" s="58"/>
      <c r="B140" s="23"/>
      <c r="C140" s="8"/>
      <c r="D140" s="8"/>
      <c r="E140" s="8"/>
      <c r="N140" s="30"/>
      <c r="O140" s="55"/>
      <c r="Q140" t="s">
        <v>20</v>
      </c>
      <c r="S140" s="23">
        <f>S139*0.265</f>
        <v>-15197.482076854536</v>
      </c>
      <c r="V140" s="31"/>
    </row>
    <row r="141" spans="1:22" ht="15" thickBot="1" x14ac:dyDescent="0.4">
      <c r="A141" s="58"/>
      <c r="B141" s="23"/>
      <c r="E141" s="34"/>
      <c r="H141" s="33"/>
      <c r="L141" s="35"/>
      <c r="O141" s="36"/>
      <c r="P141" s="37"/>
      <c r="Q141" s="38" t="s">
        <v>21</v>
      </c>
      <c r="R141" s="38"/>
      <c r="S141" s="39">
        <f>S140/0.735</f>
        <v>-20676.846363067398</v>
      </c>
      <c r="V141" s="31"/>
    </row>
    <row r="142" spans="1:22" ht="15" thickTop="1" x14ac:dyDescent="0.35">
      <c r="A142" s="49"/>
      <c r="B142" s="23"/>
      <c r="C142" s="33"/>
      <c r="D142" s="50"/>
      <c r="E142" s="33"/>
      <c r="G142" s="33"/>
      <c r="K142" s="51"/>
      <c r="L142" s="33"/>
      <c r="M142" s="52"/>
    </row>
    <row r="143" spans="1:22" x14ac:dyDescent="0.35">
      <c r="A143" s="4" t="s">
        <v>37</v>
      </c>
      <c r="B143" s="33"/>
      <c r="E143" s="34"/>
      <c r="H143" s="33"/>
      <c r="L143" s="35"/>
      <c r="O143" s="36"/>
      <c r="P143" s="37"/>
      <c r="Q143" s="40"/>
      <c r="R143" s="40"/>
      <c r="S143" s="41"/>
    </row>
    <row r="144" spans="1:22" x14ac:dyDescent="0.35">
      <c r="A144" s="59"/>
      <c r="B144" s="33"/>
      <c r="E144" s="34"/>
      <c r="H144" s="33"/>
      <c r="L144" s="35"/>
      <c r="O144" s="36"/>
      <c r="P144" s="37"/>
      <c r="Q144" s="60"/>
      <c r="R144" s="40"/>
      <c r="S144" s="41"/>
    </row>
    <row r="145" spans="1:19" x14ac:dyDescent="0.35">
      <c r="A145" s="70">
        <v>1</v>
      </c>
      <c r="B145" s="20">
        <f>O119</f>
        <v>13084448.75292672</v>
      </c>
      <c r="C145" s="74"/>
      <c r="E145" s="20"/>
      <c r="F145" s="20"/>
      <c r="G145" s="20"/>
      <c r="H145" s="20">
        <f t="shared" ref="H145:H163" si="106">B145+C145+SUM(E145:G145)</f>
        <v>13084448.75292672</v>
      </c>
      <c r="I145" s="21">
        <f t="shared" ref="I145:I150" si="107">ROUND(SUM(C145:G145)/2,0)</f>
        <v>0</v>
      </c>
      <c r="J145" s="21">
        <f>+H145-I145</f>
        <v>13084448.75292672</v>
      </c>
      <c r="K145" s="82">
        <v>0.04</v>
      </c>
      <c r="L145" s="20">
        <v>0</v>
      </c>
      <c r="M145" s="20">
        <v>0</v>
      </c>
      <c r="N145" s="22">
        <f>((B145+(C145+G145-D145)/2)*K145)+D145</f>
        <v>523377.95011706883</v>
      </c>
      <c r="O145" s="21">
        <f>+H145-N145</f>
        <v>12561070.802809652</v>
      </c>
      <c r="P145" s="20"/>
      <c r="Q145" s="23">
        <v>523377.95011706883</v>
      </c>
      <c r="S145" s="23">
        <f>N145-Q145</f>
        <v>0</v>
      </c>
    </row>
    <row r="146" spans="1:19" x14ac:dyDescent="0.35">
      <c r="A146" s="71" t="s">
        <v>19</v>
      </c>
      <c r="B146" s="20">
        <f t="shared" ref="B146:B163" si="108">O120</f>
        <v>4541136.3795032762</v>
      </c>
      <c r="C146" s="74">
        <v>916436</v>
      </c>
      <c r="E146" s="20"/>
      <c r="F146" s="20"/>
      <c r="G146" s="20"/>
      <c r="H146" s="20">
        <f t="shared" si="106"/>
        <v>5457572.3795032762</v>
      </c>
      <c r="I146" s="21">
        <f t="shared" si="107"/>
        <v>458218</v>
      </c>
      <c r="J146" s="21">
        <f t="shared" ref="J146:J153" si="109">+H146-I146</f>
        <v>4999354.3795032762</v>
      </c>
      <c r="K146" s="82">
        <v>0.06</v>
      </c>
      <c r="L146" s="20">
        <v>0</v>
      </c>
      <c r="M146" s="20">
        <v>0</v>
      </c>
      <c r="N146" s="22">
        <f t="shared" ref="N146" si="110">((B146+(C146+G146-D146)/2)*K146)+D146</f>
        <v>299961.26277019654</v>
      </c>
      <c r="O146" s="21">
        <f t="shared" ref="O146:O163" si="111">+H146-N146</f>
        <v>5157611.1167330798</v>
      </c>
      <c r="P146" s="20"/>
      <c r="Q146" s="23">
        <v>351067.99425224157</v>
      </c>
      <c r="S146" s="23">
        <f t="shared" ref="S146:S163" si="112">N146-Q146</f>
        <v>-51106.731482045026</v>
      </c>
    </row>
    <row r="147" spans="1:19" x14ac:dyDescent="0.35">
      <c r="A147" s="70">
        <v>2</v>
      </c>
      <c r="B147" s="20">
        <f t="shared" si="108"/>
        <v>1611966.6102079649</v>
      </c>
      <c r="C147" s="74"/>
      <c r="E147" s="20"/>
      <c r="F147" s="20"/>
      <c r="G147" s="20"/>
      <c r="H147" s="20">
        <f t="shared" si="106"/>
        <v>1611966.6102079649</v>
      </c>
      <c r="I147" s="21">
        <f t="shared" si="107"/>
        <v>0</v>
      </c>
      <c r="J147" s="21">
        <f t="shared" si="109"/>
        <v>1611966.6102079649</v>
      </c>
      <c r="K147" s="82">
        <v>0.06</v>
      </c>
      <c r="L147" s="20">
        <v>0</v>
      </c>
      <c r="M147" s="20">
        <v>0</v>
      </c>
      <c r="N147" s="22">
        <f t="shared" ref="N147:N163" si="113">((B147+(C147+G147-D147)/2)*K147)+D147</f>
        <v>96717.996612477888</v>
      </c>
      <c r="O147" s="21">
        <f t="shared" si="111"/>
        <v>1515248.6135954871</v>
      </c>
      <c r="P147" s="20"/>
      <c r="Q147" s="23">
        <v>96717.996612477888</v>
      </c>
      <c r="S147" s="23">
        <f t="shared" si="112"/>
        <v>0</v>
      </c>
    </row>
    <row r="148" spans="1:19" x14ac:dyDescent="0.35">
      <c r="A148" s="70">
        <v>6</v>
      </c>
      <c r="B148" s="20">
        <f t="shared" si="108"/>
        <v>36636.95205</v>
      </c>
      <c r="C148" s="74"/>
      <c r="D148" s="22"/>
      <c r="E148" s="20"/>
      <c r="F148" s="20"/>
      <c r="G148" s="20"/>
      <c r="H148" s="20">
        <f t="shared" si="106"/>
        <v>36636.95205</v>
      </c>
      <c r="I148" s="21">
        <f t="shared" si="107"/>
        <v>0</v>
      </c>
      <c r="J148" s="21">
        <f t="shared" si="109"/>
        <v>36636.95205</v>
      </c>
      <c r="K148" s="82">
        <v>0.1</v>
      </c>
      <c r="L148" s="20">
        <v>0</v>
      </c>
      <c r="M148" s="20">
        <v>0</v>
      </c>
      <c r="N148" s="22">
        <f t="shared" si="113"/>
        <v>3663.695205</v>
      </c>
      <c r="O148" s="21">
        <f t="shared" si="111"/>
        <v>32973.256844999996</v>
      </c>
      <c r="P148" s="20"/>
      <c r="Q148" s="23">
        <v>3663.695205</v>
      </c>
      <c r="S148" s="23">
        <f t="shared" si="112"/>
        <v>0</v>
      </c>
    </row>
    <row r="149" spans="1:19" x14ac:dyDescent="0.35">
      <c r="A149" s="70">
        <v>8</v>
      </c>
      <c r="B149" s="20">
        <f t="shared" si="108"/>
        <v>998833.51104000001</v>
      </c>
      <c r="C149" s="74">
        <v>440169</v>
      </c>
      <c r="D149" s="22">
        <f>C149</f>
        <v>440169</v>
      </c>
      <c r="E149" s="20"/>
      <c r="F149" s="20"/>
      <c r="G149" s="20"/>
      <c r="H149" s="20">
        <f t="shared" si="106"/>
        <v>1439002.51104</v>
      </c>
      <c r="I149" s="21">
        <f t="shared" si="107"/>
        <v>440169</v>
      </c>
      <c r="J149" s="21">
        <f t="shared" si="109"/>
        <v>998833.51104000001</v>
      </c>
      <c r="K149" s="82">
        <v>0.2</v>
      </c>
      <c r="L149" s="20">
        <v>0</v>
      </c>
      <c r="M149" s="20">
        <v>0</v>
      </c>
      <c r="N149" s="85">
        <f>((B149+(C149+G149-D149)/2)*K149)+D149</f>
        <v>639935.702208</v>
      </c>
      <c r="O149" s="21">
        <f t="shared" si="111"/>
        <v>799066.80883200001</v>
      </c>
      <c r="P149" s="20"/>
      <c r="Q149" s="23">
        <v>621557</v>
      </c>
      <c r="S149" s="23">
        <f t="shared" si="112"/>
        <v>18378.702208000002</v>
      </c>
    </row>
    <row r="150" spans="1:19" x14ac:dyDescent="0.35">
      <c r="A150" s="70">
        <v>10</v>
      </c>
      <c r="B150" s="20">
        <f t="shared" si="108"/>
        <v>145333.42351500003</v>
      </c>
      <c r="C150" s="74">
        <v>92935</v>
      </c>
      <c r="D150" s="22">
        <f>C150</f>
        <v>92935</v>
      </c>
      <c r="E150" s="44"/>
      <c r="G150" s="20"/>
      <c r="H150" s="20">
        <f t="shared" si="106"/>
        <v>238268.42351500003</v>
      </c>
      <c r="I150" s="21">
        <f t="shared" si="107"/>
        <v>92935</v>
      </c>
      <c r="J150" s="21">
        <f>+H150-I150</f>
        <v>145333.42351500003</v>
      </c>
      <c r="K150" s="83">
        <v>0.3</v>
      </c>
      <c r="L150" s="20">
        <v>0</v>
      </c>
      <c r="M150" s="20">
        <v>0</v>
      </c>
      <c r="N150" s="85">
        <f>((B150+(C150+G150-D150)/2)*K150)+D150</f>
        <v>136535.02705450001</v>
      </c>
      <c r="O150" s="21">
        <f t="shared" si="111"/>
        <v>101733.39646050002</v>
      </c>
      <c r="P150" s="20"/>
      <c r="Q150" s="23">
        <v>134793</v>
      </c>
      <c r="S150" s="23">
        <f t="shared" si="112"/>
        <v>1742.0270545000094</v>
      </c>
    </row>
    <row r="151" spans="1:19" x14ac:dyDescent="0.35">
      <c r="A151" s="70">
        <v>12</v>
      </c>
      <c r="B151" s="20">
        <f>O125</f>
        <v>0</v>
      </c>
      <c r="C151" s="74">
        <v>221093</v>
      </c>
      <c r="D151" s="22">
        <f>C151</f>
        <v>221093</v>
      </c>
      <c r="E151" s="44"/>
      <c r="F151" s="45"/>
      <c r="G151" s="44"/>
      <c r="H151" s="20">
        <f t="shared" si="106"/>
        <v>221093</v>
      </c>
      <c r="I151" s="24">
        <v>7847</v>
      </c>
      <c r="J151" s="24">
        <f t="shared" ref="J151:J152" si="114">+H151-I151</f>
        <v>213246</v>
      </c>
      <c r="K151" s="84">
        <v>1</v>
      </c>
      <c r="L151" s="20">
        <v>0</v>
      </c>
      <c r="M151" s="20">
        <v>0</v>
      </c>
      <c r="N151" s="85">
        <f>((B151+(C151+G151-D151)/2)*K151)+D151</f>
        <v>221093</v>
      </c>
      <c r="O151" s="21">
        <f t="shared" si="111"/>
        <v>0</v>
      </c>
      <c r="P151" s="20"/>
      <c r="Q151" s="23">
        <v>221093</v>
      </c>
      <c r="S151" s="23">
        <f t="shared" si="112"/>
        <v>0</v>
      </c>
    </row>
    <row r="152" spans="1:19" x14ac:dyDescent="0.35">
      <c r="A152" s="72">
        <v>14</v>
      </c>
      <c r="B152" s="20">
        <f t="shared" si="108"/>
        <v>318106</v>
      </c>
      <c r="C152" s="75"/>
      <c r="D152" s="44"/>
      <c r="E152" s="44"/>
      <c r="F152" s="45"/>
      <c r="G152" s="44"/>
      <c r="H152" s="20">
        <f t="shared" si="106"/>
        <v>318106</v>
      </c>
      <c r="I152" s="24">
        <v>0</v>
      </c>
      <c r="J152" s="24">
        <f t="shared" si="114"/>
        <v>318106</v>
      </c>
      <c r="K152" s="84" t="s">
        <v>35</v>
      </c>
      <c r="L152" s="20">
        <v>0</v>
      </c>
      <c r="M152" s="20">
        <v>0</v>
      </c>
      <c r="N152" s="22">
        <f>Q152</f>
        <v>20267</v>
      </c>
      <c r="O152" s="21">
        <f t="shared" si="111"/>
        <v>297839</v>
      </c>
      <c r="P152" s="20"/>
      <c r="Q152" s="23">
        <v>20267</v>
      </c>
      <c r="S152" s="23">
        <f t="shared" si="112"/>
        <v>0</v>
      </c>
    </row>
    <row r="153" spans="1:19" x14ac:dyDescent="0.35">
      <c r="A153" s="72">
        <v>14</v>
      </c>
      <c r="B153" s="20">
        <f t="shared" si="108"/>
        <v>176219</v>
      </c>
      <c r="C153" s="75"/>
      <c r="D153" s="20"/>
      <c r="E153" s="20"/>
      <c r="F153" s="45"/>
      <c r="G153" s="20"/>
      <c r="H153" s="20">
        <f t="shared" si="106"/>
        <v>176219</v>
      </c>
      <c r="I153" s="21">
        <f>ROUND(SUM(C153:G153)/2,0)</f>
        <v>0</v>
      </c>
      <c r="J153" s="21">
        <f t="shared" si="109"/>
        <v>176219</v>
      </c>
      <c r="K153" s="83" t="s">
        <v>36</v>
      </c>
      <c r="L153" s="20">
        <v>0</v>
      </c>
      <c r="M153" s="20">
        <v>0</v>
      </c>
      <c r="N153" s="22">
        <f>Q153</f>
        <v>32000</v>
      </c>
      <c r="O153" s="21">
        <f t="shared" si="111"/>
        <v>144219</v>
      </c>
      <c r="P153" s="20"/>
      <c r="Q153" s="23">
        <v>32000</v>
      </c>
      <c r="S153" s="23">
        <f t="shared" si="112"/>
        <v>0</v>
      </c>
    </row>
    <row r="154" spans="1:19" x14ac:dyDescent="0.35">
      <c r="A154" s="70">
        <v>17</v>
      </c>
      <c r="B154" s="20">
        <f t="shared" si="108"/>
        <v>57157.526936473601</v>
      </c>
      <c r="C154" s="74"/>
      <c r="D154" s="20"/>
      <c r="E154" s="20"/>
      <c r="F154" s="20"/>
      <c r="H154" s="20">
        <f t="shared" si="106"/>
        <v>57157.526936473601</v>
      </c>
      <c r="I154" s="21">
        <f t="shared" ref="I154" si="115">ROUND(SUM(C154:G154)/2,0)</f>
        <v>0</v>
      </c>
      <c r="J154" s="21">
        <f>+H154-I154</f>
        <v>57157.526936473601</v>
      </c>
      <c r="K154" s="83">
        <v>0.08</v>
      </c>
      <c r="L154" s="20">
        <v>0</v>
      </c>
      <c r="M154" s="20">
        <v>0</v>
      </c>
      <c r="N154" s="22">
        <f t="shared" si="113"/>
        <v>4572.6021549178886</v>
      </c>
      <c r="O154" s="21">
        <f t="shared" si="111"/>
        <v>52584.92478155571</v>
      </c>
      <c r="P154" s="20"/>
      <c r="Q154" s="23">
        <v>4572.6021549178886</v>
      </c>
      <c r="S154" s="23">
        <f t="shared" si="112"/>
        <v>0</v>
      </c>
    </row>
    <row r="155" spans="1:19" x14ac:dyDescent="0.35">
      <c r="A155" s="70">
        <v>43.2</v>
      </c>
      <c r="B155" s="20">
        <f t="shared" si="108"/>
        <v>209.78125</v>
      </c>
      <c r="C155" s="74"/>
      <c r="D155" s="20"/>
      <c r="E155" s="20"/>
      <c r="F155" s="20"/>
      <c r="G155" s="20"/>
      <c r="H155" s="20">
        <f t="shared" si="106"/>
        <v>209.78125</v>
      </c>
      <c r="I155" s="21">
        <f>ROUND(SUM(C155:G155)/2,0)</f>
        <v>0</v>
      </c>
      <c r="J155" s="21">
        <f t="shared" ref="J155:J163" si="116">+H155-I155</f>
        <v>209.78125</v>
      </c>
      <c r="K155" s="83">
        <v>0.5</v>
      </c>
      <c r="L155" s="20">
        <v>0</v>
      </c>
      <c r="M155" s="20">
        <v>0</v>
      </c>
      <c r="N155" s="22">
        <f t="shared" si="113"/>
        <v>104.890625</v>
      </c>
      <c r="O155" s="21">
        <f t="shared" si="111"/>
        <v>104.890625</v>
      </c>
      <c r="Q155" s="23">
        <v>104.890625</v>
      </c>
      <c r="S155" s="23">
        <f t="shared" si="112"/>
        <v>0</v>
      </c>
    </row>
    <row r="156" spans="1:19" x14ac:dyDescent="0.35">
      <c r="A156" s="70">
        <v>45</v>
      </c>
      <c r="B156" s="20">
        <f t="shared" si="108"/>
        <v>3.6236475000000006</v>
      </c>
      <c r="C156" s="74"/>
      <c r="D156" s="44"/>
      <c r="E156" s="44"/>
      <c r="F156" s="44"/>
      <c r="G156" s="44"/>
      <c r="H156" s="20">
        <f t="shared" si="106"/>
        <v>3.6236475000000006</v>
      </c>
      <c r="I156" s="24">
        <f t="shared" ref="I156" si="117">ROUND(SUM(C156:G156)/2,0)</f>
        <v>0</v>
      </c>
      <c r="J156" s="21">
        <f t="shared" si="116"/>
        <v>3.6236475000000006</v>
      </c>
      <c r="K156" s="84">
        <v>0.45</v>
      </c>
      <c r="L156" s="20">
        <v>0</v>
      </c>
      <c r="M156" s="20">
        <v>0</v>
      </c>
      <c r="N156" s="22">
        <f t="shared" si="113"/>
        <v>1.6306413750000004</v>
      </c>
      <c r="O156" s="21">
        <f t="shared" si="111"/>
        <v>1.9930061250000002</v>
      </c>
      <c r="P156" s="20"/>
      <c r="Q156" s="23">
        <v>1.6306413750000004</v>
      </c>
      <c r="S156" s="23">
        <f t="shared" si="112"/>
        <v>0</v>
      </c>
    </row>
    <row r="157" spans="1:19" x14ac:dyDescent="0.35">
      <c r="A157" s="70">
        <v>46</v>
      </c>
      <c r="B157" s="20">
        <f t="shared" si="108"/>
        <v>330.59369000000004</v>
      </c>
      <c r="C157" s="74"/>
      <c r="D157" s="20"/>
      <c r="E157" s="20"/>
      <c r="F157" s="20"/>
      <c r="G157" s="20"/>
      <c r="H157" s="20">
        <f t="shared" si="106"/>
        <v>330.59369000000004</v>
      </c>
      <c r="I157" s="21">
        <f t="shared" ref="I157:I158" si="118">ROUND(SUM(C157:G157)/2,0)</f>
        <v>0</v>
      </c>
      <c r="J157" s="21">
        <f t="shared" si="116"/>
        <v>330.59369000000004</v>
      </c>
      <c r="K157" s="84">
        <v>0.3</v>
      </c>
      <c r="L157" s="20">
        <v>0</v>
      </c>
      <c r="M157" s="20">
        <v>0</v>
      </c>
      <c r="N157" s="22">
        <f t="shared" si="113"/>
        <v>99.178107000000011</v>
      </c>
      <c r="O157" s="21">
        <f t="shared" si="111"/>
        <v>231.41558300000003</v>
      </c>
      <c r="Q157" s="23">
        <v>99.178107000000011</v>
      </c>
      <c r="S157" s="23">
        <f t="shared" si="112"/>
        <v>0</v>
      </c>
    </row>
    <row r="158" spans="1:19" x14ac:dyDescent="0.35">
      <c r="A158" s="70">
        <v>47</v>
      </c>
      <c r="B158" s="20">
        <f t="shared" si="108"/>
        <v>23761739.830354638</v>
      </c>
      <c r="C158" s="74">
        <v>2482744</v>
      </c>
      <c r="D158" s="20"/>
      <c r="E158" s="20"/>
      <c r="F158" s="20"/>
      <c r="G158" s="20"/>
      <c r="H158" s="20">
        <f t="shared" si="106"/>
        <v>26244483.830354638</v>
      </c>
      <c r="I158" s="21">
        <f t="shared" si="118"/>
        <v>1241372</v>
      </c>
      <c r="J158" s="21">
        <f t="shared" si="116"/>
        <v>25003111.830354638</v>
      </c>
      <c r="K158" s="84">
        <v>0.08</v>
      </c>
      <c r="L158" s="20">
        <v>0</v>
      </c>
      <c r="M158" s="20">
        <v>0</v>
      </c>
      <c r="N158" s="22">
        <f t="shared" si="113"/>
        <v>2000248.9464283711</v>
      </c>
      <c r="O158" s="21">
        <f t="shared" si="111"/>
        <v>24244234.883926269</v>
      </c>
      <c r="Q158" s="23">
        <v>2144747.892736</v>
      </c>
      <c r="S158" s="23">
        <f t="shared" si="112"/>
        <v>-144498.94630762888</v>
      </c>
    </row>
    <row r="159" spans="1:19" x14ac:dyDescent="0.35">
      <c r="A159" s="70">
        <v>50</v>
      </c>
      <c r="B159" s="20">
        <f t="shared" si="108"/>
        <v>90878.347517343762</v>
      </c>
      <c r="C159" s="74">
        <v>290629.45</v>
      </c>
      <c r="D159" s="22">
        <f>C159</f>
        <v>290629.45</v>
      </c>
      <c r="E159" s="20"/>
      <c r="F159" s="20"/>
      <c r="G159" s="20"/>
      <c r="H159" s="20">
        <f t="shared" si="106"/>
        <v>381507.79751734377</v>
      </c>
      <c r="I159" s="21">
        <f>ROUND(SUM(C159:G159)/2,0)</f>
        <v>290629</v>
      </c>
      <c r="J159" s="21">
        <f t="shared" si="116"/>
        <v>90878.797517343774</v>
      </c>
      <c r="K159" s="84">
        <v>0.55000000000000004</v>
      </c>
      <c r="L159" s="20">
        <v>0</v>
      </c>
      <c r="M159" s="20">
        <v>0</v>
      </c>
      <c r="N159" s="85">
        <f t="shared" si="113"/>
        <v>340612.54113453906</v>
      </c>
      <c r="O159" s="21">
        <f t="shared" si="111"/>
        <v>40895.256382804713</v>
      </c>
      <c r="Q159" s="23">
        <v>304724</v>
      </c>
      <c r="S159" s="23">
        <f t="shared" si="112"/>
        <v>35888.54113453906</v>
      </c>
    </row>
    <row r="160" spans="1:19" x14ac:dyDescent="0.35">
      <c r="A160" s="71">
        <v>14.1</v>
      </c>
      <c r="B160" s="20">
        <f t="shared" si="108"/>
        <v>511371</v>
      </c>
      <c r="C160" s="74"/>
      <c r="D160" s="20"/>
      <c r="E160" s="20"/>
      <c r="F160" s="20"/>
      <c r="G160" s="20"/>
      <c r="H160" s="20">
        <f t="shared" si="106"/>
        <v>511371</v>
      </c>
      <c r="I160" s="21">
        <f t="shared" ref="I160:I163" si="119">ROUND(SUM(C160:G160)/2,0)</f>
        <v>0</v>
      </c>
      <c r="J160" s="21">
        <f t="shared" si="116"/>
        <v>511371</v>
      </c>
      <c r="K160" s="84">
        <v>0.05</v>
      </c>
      <c r="L160" s="20">
        <v>0</v>
      </c>
      <c r="M160" s="20">
        <v>0</v>
      </c>
      <c r="N160" s="85">
        <v>34549</v>
      </c>
      <c r="O160" s="21">
        <f t="shared" si="111"/>
        <v>476822</v>
      </c>
      <c r="Q160" s="23">
        <v>34542</v>
      </c>
      <c r="S160" s="23">
        <f t="shared" si="112"/>
        <v>7</v>
      </c>
    </row>
    <row r="161" spans="1:22" x14ac:dyDescent="0.35">
      <c r="A161" s="73" t="s">
        <v>32</v>
      </c>
      <c r="B161" s="20">
        <f t="shared" si="108"/>
        <v>293758</v>
      </c>
      <c r="C161" s="74"/>
      <c r="D161" s="20"/>
      <c r="E161" s="20"/>
      <c r="F161" s="20"/>
      <c r="H161" s="20">
        <f t="shared" si="106"/>
        <v>293758</v>
      </c>
      <c r="I161" s="21">
        <f t="shared" si="119"/>
        <v>0</v>
      </c>
      <c r="J161" s="21">
        <f t="shared" si="116"/>
        <v>293758</v>
      </c>
      <c r="K161" s="84">
        <v>0</v>
      </c>
      <c r="L161" s="20">
        <v>0</v>
      </c>
      <c r="M161" s="20">
        <v>0</v>
      </c>
      <c r="N161" s="22">
        <f t="shared" si="113"/>
        <v>0</v>
      </c>
      <c r="O161" s="21">
        <f t="shared" si="111"/>
        <v>293758</v>
      </c>
      <c r="Q161" s="23">
        <v>0</v>
      </c>
      <c r="S161" s="23">
        <f t="shared" si="112"/>
        <v>0</v>
      </c>
    </row>
    <row r="162" spans="1:22" x14ac:dyDescent="0.35">
      <c r="A162" s="71" t="s">
        <v>33</v>
      </c>
      <c r="B162" s="20">
        <f t="shared" si="108"/>
        <v>1308739.23</v>
      </c>
      <c r="C162" s="74"/>
      <c r="D162" s="20"/>
      <c r="E162" s="20"/>
      <c r="F162" s="20"/>
      <c r="H162" s="20">
        <f t="shared" si="106"/>
        <v>1308739.23</v>
      </c>
      <c r="I162" s="21">
        <f t="shared" si="119"/>
        <v>0</v>
      </c>
      <c r="J162" s="21">
        <f t="shared" si="116"/>
        <v>1308739.23</v>
      </c>
      <c r="K162" s="84">
        <v>0</v>
      </c>
      <c r="L162" s="20">
        <v>0</v>
      </c>
      <c r="M162" s="20">
        <v>0</v>
      </c>
      <c r="N162" s="22">
        <f t="shared" si="113"/>
        <v>0</v>
      </c>
      <c r="O162" s="21">
        <f t="shared" si="111"/>
        <v>1308739.23</v>
      </c>
      <c r="Q162" s="23">
        <v>0</v>
      </c>
      <c r="S162" s="23">
        <f t="shared" si="112"/>
        <v>0</v>
      </c>
    </row>
    <row r="163" spans="1:22" x14ac:dyDescent="0.35">
      <c r="A163" s="71" t="s">
        <v>34</v>
      </c>
      <c r="B163" s="20">
        <f t="shared" si="108"/>
        <v>211458</v>
      </c>
      <c r="C163" s="74">
        <v>330356</v>
      </c>
      <c r="H163" s="20">
        <f t="shared" si="106"/>
        <v>541814</v>
      </c>
      <c r="I163" s="21">
        <f t="shared" si="119"/>
        <v>165178</v>
      </c>
      <c r="J163" s="21">
        <f t="shared" si="116"/>
        <v>376636</v>
      </c>
      <c r="K163" s="84">
        <v>0</v>
      </c>
      <c r="L163" s="20">
        <v>0</v>
      </c>
      <c r="M163" s="20">
        <v>0</v>
      </c>
      <c r="N163" s="22">
        <f t="shared" si="113"/>
        <v>0</v>
      </c>
      <c r="O163" s="21">
        <f t="shared" si="111"/>
        <v>541814</v>
      </c>
      <c r="P163" s="20"/>
      <c r="Q163" s="23">
        <v>0</v>
      </c>
      <c r="S163" s="23">
        <f t="shared" si="112"/>
        <v>0</v>
      </c>
    </row>
    <row r="164" spans="1:22" x14ac:dyDescent="0.35">
      <c r="A164" s="71"/>
      <c r="B164" s="23"/>
      <c r="C164" s="44"/>
      <c r="D164" s="44"/>
      <c r="E164" s="44"/>
      <c r="F164" s="44"/>
      <c r="G164" s="44"/>
      <c r="H164" s="44"/>
      <c r="I164" s="44"/>
      <c r="J164" s="44"/>
      <c r="K164" s="46"/>
      <c r="L164" s="44"/>
      <c r="M164" s="44"/>
      <c r="N164" s="78"/>
      <c r="O164" s="44"/>
      <c r="P164" s="20"/>
      <c r="Q164" s="23"/>
    </row>
    <row r="165" spans="1:22" ht="15" thickBot="1" x14ac:dyDescent="0.4">
      <c r="A165" s="58"/>
      <c r="B165" s="86">
        <f t="shared" ref="B165" si="120">SUM(B145:B164)</f>
        <v>47148326.562638909</v>
      </c>
      <c r="C165" s="86">
        <f t="shared" ref="C165" si="121">SUM(C145:C164)</f>
        <v>4774362.45</v>
      </c>
      <c r="D165" s="86">
        <f t="shared" ref="D165" si="122">SUM(D145:D164)</f>
        <v>1044826.45</v>
      </c>
      <c r="E165" s="86">
        <f t="shared" ref="E165" si="123">SUM(E145:E164)</f>
        <v>0</v>
      </c>
      <c r="F165" s="86">
        <f t="shared" ref="F165" si="124">SUM(F145:F164)</f>
        <v>0</v>
      </c>
      <c r="G165" s="86">
        <f t="shared" ref="G165" si="125">SUM(G145:G164)</f>
        <v>0</v>
      </c>
      <c r="H165" s="86">
        <f t="shared" ref="H165" si="126">SUM(H145:H164)</f>
        <v>51922689.012638912</v>
      </c>
      <c r="I165" s="86">
        <f t="shared" ref="I165" si="127">SUM(I145:I164)</f>
        <v>2696348</v>
      </c>
      <c r="J165" s="86">
        <f t="shared" ref="J165" si="128">SUM(J145:J164)</f>
        <v>49226341.012638912</v>
      </c>
      <c r="K165" s="86">
        <f t="shared" ref="K165" si="129">SUM(K145:K164)</f>
        <v>3.7699999999999996</v>
      </c>
      <c r="L165" s="86">
        <f t="shared" ref="L165" si="130">SUM(L145:L164)</f>
        <v>0</v>
      </c>
      <c r="M165" s="86">
        <f t="shared" ref="M165" si="131">SUM(M145:M164)</f>
        <v>0</v>
      </c>
      <c r="N165" s="86">
        <f t="shared" ref="N165" si="132">SUM(N145:N164)</f>
        <v>4353740.4230584465</v>
      </c>
      <c r="O165" s="86">
        <f t="shared" ref="O165" si="133">SUM(O145:O164)</f>
        <v>47568948.589580469</v>
      </c>
      <c r="P165" s="23"/>
      <c r="Q165" s="87">
        <f>SUM(Q145:Q164)</f>
        <v>4493329.8304510806</v>
      </c>
      <c r="R165" s="23"/>
      <c r="S165" s="87">
        <f>SUM(S145:S164)</f>
        <v>-139589.40739263484</v>
      </c>
      <c r="T165" s="23"/>
      <c r="V165" s="23"/>
    </row>
    <row r="166" spans="1:22" ht="15" thickTop="1" x14ac:dyDescent="0.35">
      <c r="A166" s="58"/>
      <c r="B166" s="23"/>
      <c r="C166" s="8"/>
      <c r="D166" s="8"/>
      <c r="E166" s="8"/>
      <c r="N166" s="30"/>
      <c r="O166" s="55"/>
      <c r="Q166" t="s">
        <v>20</v>
      </c>
      <c r="S166" s="23">
        <f>S165*0.265</f>
        <v>-36991.192959048232</v>
      </c>
      <c r="V166" s="31"/>
    </row>
    <row r="167" spans="1:22" ht="15" thickBot="1" x14ac:dyDescent="0.4">
      <c r="A167" s="58"/>
      <c r="B167" s="23"/>
      <c r="E167" s="34"/>
      <c r="H167" s="33"/>
      <c r="L167" s="35"/>
      <c r="O167" s="36"/>
      <c r="P167" s="37"/>
      <c r="Q167" s="38" t="s">
        <v>21</v>
      </c>
      <c r="R167" s="38"/>
      <c r="S167" s="39">
        <f>S166/0.735</f>
        <v>-50328.153685779907</v>
      </c>
      <c r="V167" s="31"/>
    </row>
    <row r="168" spans="1:22" ht="15.5" thickTop="1" thickBot="1" x14ac:dyDescent="0.4">
      <c r="Q168" s="31"/>
    </row>
    <row r="169" spans="1:22" x14ac:dyDescent="0.35">
      <c r="G169" s="61"/>
      <c r="H169" s="62"/>
      <c r="I169" s="62"/>
      <c r="J169" s="62"/>
      <c r="K169" s="63"/>
    </row>
    <row r="170" spans="1:22" x14ac:dyDescent="0.35">
      <c r="G170" s="64"/>
      <c r="I170" s="9" t="s">
        <v>26</v>
      </c>
      <c r="J170" s="9"/>
      <c r="K170" s="65"/>
    </row>
    <row r="171" spans="1:22" x14ac:dyDescent="0.35">
      <c r="G171" s="64">
        <v>2018</v>
      </c>
      <c r="I171" s="23">
        <f>S35</f>
        <v>-16892.699013605463</v>
      </c>
      <c r="J171" s="23"/>
      <c r="K171" s="65"/>
    </row>
    <row r="172" spans="1:22" x14ac:dyDescent="0.35">
      <c r="G172" s="64">
        <v>2019</v>
      </c>
      <c r="I172" s="23">
        <f>S59</f>
        <v>-155935.50789353746</v>
      </c>
      <c r="J172" s="23"/>
      <c r="K172" s="65"/>
    </row>
    <row r="173" spans="1:22" x14ac:dyDescent="0.35">
      <c r="G173" s="64">
        <v>2020</v>
      </c>
      <c r="I173" s="23">
        <f>S84</f>
        <v>-41516.094194377496</v>
      </c>
      <c r="J173" s="23"/>
      <c r="K173" s="65"/>
    </row>
    <row r="174" spans="1:22" x14ac:dyDescent="0.35">
      <c r="G174" s="64">
        <v>2021</v>
      </c>
      <c r="I174" s="23">
        <f>S115</f>
        <v>-85198.6693841167</v>
      </c>
      <c r="J174" s="23"/>
      <c r="K174" s="65"/>
    </row>
    <row r="175" spans="1:22" x14ac:dyDescent="0.35">
      <c r="G175" s="64">
        <v>2022</v>
      </c>
      <c r="I175" s="23">
        <f>S141</f>
        <v>-20676.846363067398</v>
      </c>
      <c r="J175" s="23"/>
      <c r="K175" s="65"/>
    </row>
    <row r="176" spans="1:22" x14ac:dyDescent="0.35">
      <c r="G176" s="64">
        <v>2023</v>
      </c>
      <c r="I176" s="23">
        <f>S167</f>
        <v>-50328.153685779907</v>
      </c>
      <c r="K176" s="65"/>
    </row>
    <row r="177" spans="1:19" x14ac:dyDescent="0.35">
      <c r="G177" s="64"/>
      <c r="K177" s="65"/>
    </row>
    <row r="178" spans="1:19" x14ac:dyDescent="0.35">
      <c r="G178" s="66" t="s">
        <v>27</v>
      </c>
      <c r="I178" s="67">
        <f>SUM(I171:I177)</f>
        <v>-370547.97053448443</v>
      </c>
      <c r="J178" s="67"/>
      <c r="K178" s="65"/>
    </row>
    <row r="179" spans="1:19" x14ac:dyDescent="0.35">
      <c r="G179" s="64"/>
      <c r="K179" s="65"/>
    </row>
    <row r="180" spans="1:19" ht="15" thickBot="1" x14ac:dyDescent="0.4">
      <c r="G180" s="68"/>
      <c r="H180" s="18"/>
      <c r="I180" s="18"/>
      <c r="J180" s="18"/>
      <c r="K180" s="69"/>
    </row>
    <row r="182" spans="1:19" x14ac:dyDescent="0.35">
      <c r="A182" s="118" t="s">
        <v>28</v>
      </c>
      <c r="B182" s="118"/>
      <c r="C182" s="118"/>
      <c r="D182" s="118"/>
      <c r="E182" s="118"/>
      <c r="F182" s="118"/>
      <c r="G182" s="118"/>
      <c r="H182" s="118"/>
      <c r="I182" s="118"/>
      <c r="J182" s="118"/>
      <c r="K182" s="118"/>
      <c r="L182" s="118"/>
      <c r="M182" s="118"/>
      <c r="N182" s="118"/>
      <c r="O182" s="118"/>
      <c r="P182" s="118"/>
      <c r="Q182" s="118"/>
      <c r="R182" s="118"/>
      <c r="S182" s="118"/>
    </row>
    <row r="183" spans="1:19" ht="14.4" customHeight="1" x14ac:dyDescent="0.35">
      <c r="A183" s="119" t="s">
        <v>29</v>
      </c>
      <c r="B183" s="119"/>
      <c r="C183" s="119"/>
      <c r="D183" s="119"/>
      <c r="E183" s="119"/>
      <c r="F183" s="119"/>
      <c r="G183" s="119"/>
      <c r="H183" s="119"/>
      <c r="I183" s="119"/>
      <c r="J183" s="119"/>
      <c r="K183" s="119"/>
      <c r="L183" s="119"/>
      <c r="M183" s="119"/>
      <c r="N183" s="119"/>
      <c r="O183" s="119"/>
      <c r="P183" s="119"/>
      <c r="Q183" s="119"/>
      <c r="R183" s="119"/>
      <c r="S183" s="119"/>
    </row>
    <row r="184" spans="1:19" x14ac:dyDescent="0.35">
      <c r="A184" s="119"/>
      <c r="B184" s="119"/>
      <c r="C184" s="119"/>
      <c r="D184" s="119"/>
      <c r="E184" s="119"/>
      <c r="F184" s="119"/>
      <c r="G184" s="119"/>
      <c r="H184" s="119"/>
      <c r="I184" s="119"/>
      <c r="J184" s="119"/>
      <c r="K184" s="119"/>
      <c r="L184" s="119"/>
      <c r="M184" s="119"/>
      <c r="N184" s="119"/>
      <c r="O184" s="119"/>
      <c r="P184" s="119"/>
      <c r="Q184" s="119"/>
      <c r="R184" s="119"/>
      <c r="S184" s="119"/>
    </row>
    <row r="185" spans="1:19" x14ac:dyDescent="0.35">
      <c r="A185" s="119"/>
      <c r="B185" s="119"/>
      <c r="C185" s="119"/>
      <c r="D185" s="119"/>
      <c r="E185" s="119"/>
      <c r="F185" s="119"/>
      <c r="G185" s="119"/>
      <c r="H185" s="119"/>
      <c r="I185" s="119"/>
      <c r="J185" s="119"/>
      <c r="K185" s="119"/>
      <c r="L185" s="119"/>
      <c r="M185" s="119"/>
      <c r="N185" s="119"/>
      <c r="O185" s="119"/>
      <c r="P185" s="119"/>
      <c r="Q185" s="119"/>
      <c r="R185" s="119"/>
      <c r="S185" s="119"/>
    </row>
    <row r="186" spans="1:19" x14ac:dyDescent="0.35">
      <c r="A186" s="119"/>
      <c r="B186" s="119"/>
      <c r="C186" s="119"/>
      <c r="D186" s="119"/>
      <c r="E186" s="119"/>
      <c r="F186" s="119"/>
      <c r="G186" s="119"/>
      <c r="H186" s="119"/>
      <c r="I186" s="119"/>
      <c r="J186" s="119"/>
      <c r="K186" s="119"/>
      <c r="L186" s="119"/>
      <c r="M186" s="119"/>
      <c r="N186" s="119"/>
      <c r="O186" s="119"/>
      <c r="P186" s="119"/>
      <c r="Q186" s="119"/>
      <c r="R186" s="119"/>
      <c r="S186" s="119"/>
    </row>
    <row r="187" spans="1:19" x14ac:dyDescent="0.35">
      <c r="A187" s="119"/>
      <c r="B187" s="119"/>
      <c r="C187" s="119"/>
      <c r="D187" s="119"/>
      <c r="E187" s="119"/>
      <c r="F187" s="119"/>
      <c r="G187" s="119"/>
      <c r="H187" s="119"/>
      <c r="I187" s="119"/>
      <c r="J187" s="119"/>
      <c r="K187" s="119"/>
      <c r="L187" s="119"/>
      <c r="M187" s="119"/>
      <c r="N187" s="119"/>
      <c r="O187" s="119"/>
      <c r="P187" s="119"/>
      <c r="Q187" s="119"/>
      <c r="R187" s="119"/>
      <c r="S187" s="119"/>
    </row>
    <row r="188" spans="1:19" x14ac:dyDescent="0.35">
      <c r="A188" s="119"/>
      <c r="B188" s="119"/>
      <c r="C188" s="119"/>
      <c r="D188" s="119"/>
      <c r="E188" s="119"/>
      <c r="F188" s="119"/>
      <c r="G188" s="119"/>
      <c r="H188" s="119"/>
      <c r="I188" s="119"/>
      <c r="J188" s="119"/>
      <c r="K188" s="119"/>
      <c r="L188" s="119"/>
      <c r="M188" s="119"/>
      <c r="N188" s="119"/>
      <c r="O188" s="119"/>
      <c r="P188" s="119"/>
      <c r="Q188" s="119"/>
      <c r="R188" s="119"/>
      <c r="S188" s="119"/>
    </row>
    <row r="189" spans="1:19" x14ac:dyDescent="0.35">
      <c r="A189" s="119"/>
      <c r="B189" s="119"/>
      <c r="C189" s="119"/>
      <c r="D189" s="119"/>
      <c r="E189" s="119"/>
      <c r="F189" s="119"/>
      <c r="G189" s="119"/>
      <c r="H189" s="119"/>
      <c r="I189" s="119"/>
      <c r="J189" s="119"/>
      <c r="K189" s="119"/>
      <c r="L189" s="119"/>
      <c r="M189" s="119"/>
      <c r="N189" s="119"/>
      <c r="O189" s="119"/>
      <c r="P189" s="119"/>
      <c r="Q189" s="119"/>
      <c r="R189" s="119"/>
      <c r="S189" s="119"/>
    </row>
    <row r="190" spans="1:19" x14ac:dyDescent="0.35">
      <c r="A190" s="119"/>
      <c r="B190" s="119"/>
      <c r="C190" s="119"/>
      <c r="D190" s="119"/>
      <c r="E190" s="119"/>
      <c r="F190" s="119"/>
      <c r="G190" s="119"/>
      <c r="H190" s="119"/>
      <c r="I190" s="119"/>
      <c r="J190" s="119"/>
      <c r="K190" s="119"/>
      <c r="L190" s="119"/>
      <c r="M190" s="119"/>
      <c r="N190" s="119"/>
      <c r="O190" s="119"/>
      <c r="P190" s="119"/>
      <c r="Q190" s="119"/>
      <c r="R190" s="119"/>
      <c r="S190" s="119"/>
    </row>
    <row r="191" spans="1:19" x14ac:dyDescent="0.35">
      <c r="A191" s="119"/>
      <c r="B191" s="119"/>
      <c r="C191" s="119"/>
      <c r="D191" s="119"/>
      <c r="E191" s="119"/>
      <c r="F191" s="119"/>
      <c r="G191" s="119"/>
      <c r="H191" s="119"/>
      <c r="I191" s="119"/>
      <c r="J191" s="119"/>
      <c r="K191" s="119"/>
      <c r="L191" s="119"/>
      <c r="M191" s="119"/>
      <c r="N191" s="119"/>
      <c r="O191" s="119"/>
      <c r="P191" s="119"/>
      <c r="Q191" s="119"/>
      <c r="R191" s="119"/>
      <c r="S191" s="119"/>
    </row>
    <row r="192" spans="1:19" x14ac:dyDescent="0.35">
      <c r="A192" s="119"/>
      <c r="B192" s="119"/>
      <c r="C192" s="119"/>
      <c r="D192" s="119"/>
      <c r="E192" s="119"/>
      <c r="F192" s="119"/>
      <c r="G192" s="119"/>
      <c r="H192" s="119"/>
      <c r="I192" s="119"/>
      <c r="J192" s="119"/>
      <c r="K192" s="119"/>
      <c r="L192" s="119"/>
      <c r="M192" s="119"/>
      <c r="N192" s="119"/>
      <c r="O192" s="119"/>
      <c r="P192" s="119"/>
      <c r="Q192" s="119"/>
      <c r="R192" s="119"/>
      <c r="S192" s="119"/>
    </row>
    <row r="193" spans="1:19" ht="90.75" customHeight="1" x14ac:dyDescent="0.35">
      <c r="A193" s="119"/>
      <c r="B193" s="119"/>
      <c r="C193" s="119"/>
      <c r="D193" s="119"/>
      <c r="E193" s="119"/>
      <c r="F193" s="119"/>
      <c r="G193" s="119"/>
      <c r="H193" s="119"/>
      <c r="I193" s="119"/>
      <c r="J193" s="119"/>
      <c r="K193" s="119"/>
      <c r="L193" s="119"/>
      <c r="M193" s="119"/>
      <c r="N193" s="119"/>
      <c r="O193" s="119"/>
      <c r="P193" s="119"/>
      <c r="Q193" s="119"/>
      <c r="R193" s="119"/>
      <c r="S193" s="119"/>
    </row>
  </sheetData>
  <mergeCells count="2">
    <mergeCell ref="A182:S182"/>
    <mergeCell ref="A183:S193"/>
  </mergeCells>
  <pageMargins left="0.7" right="0.7" top="0.75" bottom="0.75" header="0.3" footer="0.3"/>
  <pageSetup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Q150"/>
  <sheetViews>
    <sheetView tabSelected="1" topLeftCell="A4" zoomScale="84" zoomScaleNormal="84" workbookViewId="0">
      <selection activeCell="K132" sqref="K132"/>
    </sheetView>
  </sheetViews>
  <sheetFormatPr defaultRowHeight="15.5" x14ac:dyDescent="0.35"/>
  <cols>
    <col min="1" max="1" width="16.90625" customWidth="1"/>
    <col min="2" max="2" width="33.36328125" bestFit="1" customWidth="1"/>
    <col min="3" max="3" width="13.08984375" customWidth="1"/>
    <col min="4" max="4" width="14.90625" bestFit="1" customWidth="1"/>
    <col min="5" max="5" width="13.36328125" bestFit="1" customWidth="1"/>
    <col min="6" max="6" width="14.54296875" style="88" bestFit="1" customWidth="1"/>
    <col min="7" max="7" width="10.90625" bestFit="1" customWidth="1"/>
    <col min="8" max="8" width="17.6328125" bestFit="1" customWidth="1"/>
    <col min="9" max="10" width="13.90625" bestFit="1" customWidth="1"/>
    <col min="11" max="11" width="11.453125" bestFit="1" customWidth="1"/>
  </cols>
  <sheetData>
    <row r="1" spans="1:17" x14ac:dyDescent="0.35">
      <c r="A1" s="115" t="s">
        <v>31</v>
      </c>
      <c r="B1" s="88"/>
      <c r="C1" s="88"/>
      <c r="D1" s="88"/>
      <c r="E1" s="88"/>
    </row>
    <row r="2" spans="1:17" x14ac:dyDescent="0.35">
      <c r="A2" s="115" t="s">
        <v>47</v>
      </c>
      <c r="B2" s="88"/>
      <c r="C2" s="88"/>
      <c r="D2" s="88"/>
      <c r="E2" s="88"/>
    </row>
    <row r="3" spans="1:17" x14ac:dyDescent="0.35">
      <c r="A3" s="114">
        <v>1592.001</v>
      </c>
      <c r="B3" s="88"/>
      <c r="C3" s="88"/>
      <c r="D3" s="88"/>
      <c r="E3" s="88"/>
      <c r="K3" s="88"/>
      <c r="L3" s="88"/>
      <c r="M3" s="116"/>
      <c r="N3" s="117"/>
      <c r="O3" s="117"/>
      <c r="P3" s="117"/>
      <c r="Q3" s="117"/>
    </row>
    <row r="4" spans="1:17" x14ac:dyDescent="0.35">
      <c r="A4" s="88">
        <v>2019</v>
      </c>
      <c r="B4" s="88"/>
      <c r="C4" s="88"/>
      <c r="D4" s="88"/>
      <c r="E4" s="88"/>
      <c r="K4" s="88"/>
      <c r="L4" s="88"/>
      <c r="M4" s="116"/>
      <c r="N4" s="90"/>
      <c r="O4" s="88"/>
      <c r="P4" s="90"/>
      <c r="Q4" s="88"/>
    </row>
    <row r="5" spans="1:17" x14ac:dyDescent="0.35">
      <c r="A5" s="88"/>
      <c r="B5" s="88"/>
      <c r="C5" s="88"/>
      <c r="D5" s="88"/>
      <c r="E5" s="88"/>
    </row>
    <row r="6" spans="1:17" x14ac:dyDescent="0.35">
      <c r="A6" s="113"/>
      <c r="B6" s="105"/>
      <c r="C6" s="112" t="s">
        <v>56</v>
      </c>
      <c r="D6" s="112" t="s">
        <v>41</v>
      </c>
      <c r="E6" t="s">
        <v>55</v>
      </c>
    </row>
    <row r="7" spans="1:17" x14ac:dyDescent="0.35">
      <c r="A7" s="88" t="s">
        <v>53</v>
      </c>
      <c r="B7" s="109"/>
      <c r="C7" s="109"/>
      <c r="E7" s="105">
        <f>'[2]Comparison by KPMG'!I171</f>
        <v>-16892.699013605463</v>
      </c>
      <c r="F7" s="111"/>
    </row>
    <row r="8" spans="1:17" x14ac:dyDescent="0.35">
      <c r="A8" s="110">
        <v>43466</v>
      </c>
      <c r="B8" s="109"/>
      <c r="C8" s="109">
        <f t="shared" ref="C8:C19" si="0">E7*F8/12</f>
        <v>-34.489260486111156</v>
      </c>
      <c r="D8" s="107">
        <f>E7+C8</f>
        <v>-16927.188274091575</v>
      </c>
      <c r="E8" s="105">
        <f t="shared" ref="E8:E19" si="1">E7+B8</f>
        <v>-16892.699013605463</v>
      </c>
      <c r="F8" s="111">
        <v>2.4500000000000001E-2</v>
      </c>
    </row>
    <row r="9" spans="1:17" x14ac:dyDescent="0.35">
      <c r="A9" s="110">
        <v>43497</v>
      </c>
      <c r="B9" s="109"/>
      <c r="C9" s="109">
        <f t="shared" si="0"/>
        <v>-34.489260486111156</v>
      </c>
      <c r="D9" s="107">
        <f t="shared" ref="D9:D18" si="2">D8+C9</f>
        <v>-16961.677534577688</v>
      </c>
      <c r="E9" s="105">
        <f t="shared" si="1"/>
        <v>-16892.699013605463</v>
      </c>
      <c r="F9" s="111">
        <v>2.4500000000000001E-2</v>
      </c>
    </row>
    <row r="10" spans="1:17" x14ac:dyDescent="0.35">
      <c r="A10" s="110">
        <v>43525</v>
      </c>
      <c r="B10" s="105"/>
      <c r="C10" s="109">
        <f t="shared" si="0"/>
        <v>-34.489260486111156</v>
      </c>
      <c r="D10" s="107">
        <f t="shared" si="2"/>
        <v>-16996.1667950638</v>
      </c>
      <c r="E10" s="105">
        <f t="shared" si="1"/>
        <v>-16892.699013605463</v>
      </c>
      <c r="F10" s="111">
        <v>2.4500000000000001E-2</v>
      </c>
    </row>
    <row r="11" spans="1:17" x14ac:dyDescent="0.35">
      <c r="A11" s="110">
        <v>43556</v>
      </c>
      <c r="B11" s="105"/>
      <c r="C11" s="109">
        <f t="shared" si="0"/>
        <v>-30.688403208049923</v>
      </c>
      <c r="D11" s="107">
        <f t="shared" si="2"/>
        <v>-17026.855198271849</v>
      </c>
      <c r="E11" s="105">
        <f t="shared" si="1"/>
        <v>-16892.699013605463</v>
      </c>
      <c r="F11" s="111">
        <v>2.18E-2</v>
      </c>
    </row>
    <row r="12" spans="1:17" x14ac:dyDescent="0.35">
      <c r="A12" s="110">
        <v>43586</v>
      </c>
      <c r="B12" s="105"/>
      <c r="C12" s="109">
        <f t="shared" si="0"/>
        <v>-30.688403208049923</v>
      </c>
      <c r="D12" s="107">
        <f t="shared" si="2"/>
        <v>-17057.543601479898</v>
      </c>
      <c r="E12" s="105">
        <f t="shared" si="1"/>
        <v>-16892.699013605463</v>
      </c>
      <c r="F12" s="111">
        <v>2.18E-2</v>
      </c>
    </row>
    <row r="13" spans="1:17" x14ac:dyDescent="0.35">
      <c r="A13" s="110">
        <v>43617</v>
      </c>
      <c r="B13" s="105"/>
      <c r="C13" s="109">
        <f t="shared" si="0"/>
        <v>-30.688403208049923</v>
      </c>
      <c r="D13" s="107">
        <f t="shared" si="2"/>
        <v>-17088.232004687947</v>
      </c>
      <c r="E13" s="105">
        <f t="shared" si="1"/>
        <v>-16892.699013605463</v>
      </c>
      <c r="F13" s="111">
        <v>2.18E-2</v>
      </c>
    </row>
    <row r="14" spans="1:17" x14ac:dyDescent="0.35">
      <c r="A14" s="110">
        <v>43647</v>
      </c>
      <c r="B14" s="105"/>
      <c r="C14" s="109">
        <f t="shared" si="0"/>
        <v>-30.688403208049923</v>
      </c>
      <c r="D14" s="107">
        <f t="shared" si="2"/>
        <v>-17118.920407895996</v>
      </c>
      <c r="E14" s="105">
        <f t="shared" si="1"/>
        <v>-16892.699013605463</v>
      </c>
      <c r="F14" s="111">
        <v>2.18E-2</v>
      </c>
    </row>
    <row r="15" spans="1:17" x14ac:dyDescent="0.35">
      <c r="A15" s="110">
        <v>43678</v>
      </c>
      <c r="B15" s="105"/>
      <c r="C15" s="109">
        <f t="shared" si="0"/>
        <v>-30.688403208049923</v>
      </c>
      <c r="D15" s="107">
        <f t="shared" si="2"/>
        <v>-17149.608811104044</v>
      </c>
      <c r="E15" s="105">
        <f t="shared" si="1"/>
        <v>-16892.699013605463</v>
      </c>
      <c r="F15" s="111">
        <v>2.18E-2</v>
      </c>
    </row>
    <row r="16" spans="1:17" x14ac:dyDescent="0.35">
      <c r="A16" s="110">
        <v>43709</v>
      </c>
      <c r="B16" s="105"/>
      <c r="C16" s="109">
        <f t="shared" si="0"/>
        <v>-30.688403208049923</v>
      </c>
      <c r="D16" s="107">
        <f t="shared" si="2"/>
        <v>-17180.297214312093</v>
      </c>
      <c r="E16" s="105">
        <f t="shared" si="1"/>
        <v>-16892.699013605463</v>
      </c>
      <c r="F16" s="111">
        <v>2.18E-2</v>
      </c>
    </row>
    <row r="17" spans="1:11" x14ac:dyDescent="0.35">
      <c r="A17" s="110">
        <v>43739</v>
      </c>
      <c r="B17" s="105"/>
      <c r="C17" s="109">
        <f t="shared" si="0"/>
        <v>-30.688403208049923</v>
      </c>
      <c r="D17" s="107">
        <f t="shared" si="2"/>
        <v>-17210.985617520142</v>
      </c>
      <c r="E17" s="105">
        <f t="shared" si="1"/>
        <v>-16892.699013605463</v>
      </c>
      <c r="F17" s="108">
        <f>VLOOKUP(A17,[3]Input!$A$3:$B$14,2,FALSE)</f>
        <v>2.18E-2</v>
      </c>
    </row>
    <row r="18" spans="1:11" x14ac:dyDescent="0.35">
      <c r="A18" s="110">
        <v>43770</v>
      </c>
      <c r="B18" s="105"/>
      <c r="C18" s="109">
        <f t="shared" si="0"/>
        <v>-30.688403208049923</v>
      </c>
      <c r="D18" s="107">
        <f t="shared" si="2"/>
        <v>-17241.674020728191</v>
      </c>
      <c r="E18" s="105">
        <f t="shared" si="1"/>
        <v>-16892.699013605463</v>
      </c>
      <c r="F18" s="108">
        <f>VLOOKUP(A18,[3]Input!$A$3:$B$14,2,FALSE)</f>
        <v>2.18E-2</v>
      </c>
    </row>
    <row r="19" spans="1:11" x14ac:dyDescent="0.35">
      <c r="A19" s="110">
        <v>43800</v>
      </c>
      <c r="B19" s="105">
        <f>'[2]Comparison by KPMG'!I172</f>
        <v>-155935.50789353746</v>
      </c>
      <c r="C19" s="109">
        <f t="shared" si="0"/>
        <v>-30.688403208049923</v>
      </c>
      <c r="D19" s="107">
        <f>D18+C19+B19</f>
        <v>-173207.87031747372</v>
      </c>
      <c r="E19" s="105">
        <f t="shared" si="1"/>
        <v>-172828.20690714291</v>
      </c>
      <c r="F19" s="108">
        <f>VLOOKUP(A19,[3]Input!$A$3:$B$14,2,FALSE)</f>
        <v>2.18E-2</v>
      </c>
    </row>
    <row r="20" spans="1:11" ht="19" thickBot="1" x14ac:dyDescent="0.7">
      <c r="A20" s="88"/>
      <c r="B20" s="106">
        <f>SUM(B8:B19)</f>
        <v>-155935.50789353746</v>
      </c>
      <c r="C20" s="106">
        <f>SUM(C8:C19)</f>
        <v>-379.66341033078277</v>
      </c>
      <c r="D20" s="105"/>
      <c r="E20" s="88"/>
      <c r="H20" s="101" t="s">
        <v>65</v>
      </c>
      <c r="I20" s="92"/>
      <c r="J20" s="96" t="s">
        <v>50</v>
      </c>
      <c r="K20" s="96" t="s">
        <v>49</v>
      </c>
    </row>
    <row r="21" spans="1:11" ht="16.5" thickTop="1" thickBot="1" x14ac:dyDescent="0.4">
      <c r="A21" s="88"/>
      <c r="B21" s="88"/>
      <c r="C21" s="105"/>
      <c r="D21" s="88"/>
      <c r="E21" s="88"/>
      <c r="H21" s="92" t="s">
        <v>46</v>
      </c>
      <c r="I21" s="92">
        <f>SUM(J21:K21)</f>
        <v>-16892.699013605463</v>
      </c>
      <c r="J21" s="92">
        <f>E7</f>
        <v>-16892.699013605463</v>
      </c>
      <c r="K21" s="92">
        <f>C7</f>
        <v>0</v>
      </c>
    </row>
    <row r="22" spans="1:11" x14ac:dyDescent="0.35">
      <c r="A22" s="104" t="s">
        <v>52</v>
      </c>
      <c r="B22" s="103"/>
      <c r="C22" s="103"/>
      <c r="D22" s="102"/>
      <c r="E22" s="88"/>
      <c r="H22" s="96" t="s">
        <v>45</v>
      </c>
      <c r="I22" s="92"/>
      <c r="J22" s="92"/>
      <c r="K22" s="92"/>
    </row>
    <row r="23" spans="1:11" x14ac:dyDescent="0.35">
      <c r="A23" s="99" t="s">
        <v>48</v>
      </c>
      <c r="B23" s="98" t="s">
        <v>47</v>
      </c>
      <c r="C23" s="98"/>
      <c r="D23" s="97">
        <f>-430.06+308.91</f>
        <v>-121.14999999999998</v>
      </c>
      <c r="E23" s="88"/>
      <c r="H23" s="92" t="s">
        <v>43</v>
      </c>
      <c r="I23" s="92">
        <f>SUM(J23:K23)</f>
        <v>-155935.50789353746</v>
      </c>
      <c r="J23" s="92">
        <f>B20</f>
        <v>-155935.50789353746</v>
      </c>
    </row>
    <row r="24" spans="1:11" x14ac:dyDescent="0.35">
      <c r="A24" s="99" t="str">
        <f>IF(D24&gt;0,"6035.002-VR","4405.002-VR")</f>
        <v>6035.002-VR</v>
      </c>
      <c r="B24" s="98" t="str">
        <f>IF(D24&gt;0,"Interest Expense DVA","Interest Income DVA")</f>
        <v>Interest Expense DVA</v>
      </c>
      <c r="C24" s="98"/>
      <c r="D24" s="97">
        <f>-D23</f>
        <v>121.14999999999998</v>
      </c>
      <c r="E24" s="88"/>
      <c r="H24" s="92" t="s">
        <v>42</v>
      </c>
      <c r="I24" s="92">
        <f>SUM(J24:K24)</f>
        <v>-379.66341033078277</v>
      </c>
      <c r="J24" s="92"/>
      <c r="K24" s="92">
        <f>C20</f>
        <v>-379.66341033078277</v>
      </c>
    </row>
    <row r="25" spans="1:11" ht="16" thickBot="1" x14ac:dyDescent="0.4">
      <c r="A25" s="95" t="s">
        <v>64</v>
      </c>
      <c r="B25" s="94"/>
      <c r="C25" s="94"/>
      <c r="D25" s="93"/>
      <c r="E25" s="88"/>
      <c r="H25" s="92" t="s">
        <v>41</v>
      </c>
      <c r="I25" s="91">
        <f>SUM(I21:I24)</f>
        <v>-173207.87031747369</v>
      </c>
      <c r="J25" s="91">
        <f>SUM(J21:J24)</f>
        <v>-172828.20690714291</v>
      </c>
      <c r="K25" s="91">
        <f>SUM(K21:K24)</f>
        <v>-379.66341033078277</v>
      </c>
    </row>
    <row r="26" spans="1:11" x14ac:dyDescent="0.35">
      <c r="H26" s="88" t="s">
        <v>40</v>
      </c>
      <c r="I26">
        <v>-140393.65</v>
      </c>
    </row>
    <row r="27" spans="1:11" x14ac:dyDescent="0.35">
      <c r="A27" s="115" t="s">
        <v>31</v>
      </c>
      <c r="B27" s="88"/>
      <c r="C27" s="88"/>
      <c r="D27" s="88"/>
      <c r="E27" s="88"/>
      <c r="H27" s="88" t="s">
        <v>39</v>
      </c>
      <c r="I27" s="90">
        <f>I26-I25</f>
        <v>32814.220317473693</v>
      </c>
    </row>
    <row r="28" spans="1:11" x14ac:dyDescent="0.35">
      <c r="A28" s="115" t="s">
        <v>47</v>
      </c>
      <c r="B28" s="88"/>
      <c r="C28" s="88"/>
      <c r="D28" s="88"/>
      <c r="E28" s="88"/>
    </row>
    <row r="29" spans="1:11" x14ac:dyDescent="0.35">
      <c r="A29" s="114">
        <v>1592.001</v>
      </c>
      <c r="B29" s="88"/>
      <c r="C29" s="88"/>
      <c r="D29" s="88"/>
      <c r="E29" s="88"/>
    </row>
    <row r="30" spans="1:11" x14ac:dyDescent="0.35">
      <c r="A30" s="88">
        <v>2020</v>
      </c>
      <c r="B30" s="88"/>
      <c r="C30" s="88"/>
      <c r="D30" s="88"/>
      <c r="E30" s="88"/>
    </row>
    <row r="31" spans="1:11" x14ac:dyDescent="0.35">
      <c r="A31" s="88"/>
      <c r="B31" s="88"/>
      <c r="C31" s="88"/>
      <c r="D31" s="88"/>
      <c r="E31" s="88"/>
    </row>
    <row r="32" spans="1:11" x14ac:dyDescent="0.35">
      <c r="A32" s="113"/>
      <c r="B32" s="105"/>
      <c r="C32" s="112" t="s">
        <v>56</v>
      </c>
      <c r="D32" s="112" t="s">
        <v>41</v>
      </c>
      <c r="E32" t="s">
        <v>55</v>
      </c>
      <c r="G32" t="s">
        <v>54</v>
      </c>
    </row>
    <row r="33" spans="1:11" x14ac:dyDescent="0.35">
      <c r="A33" s="88" t="s">
        <v>53</v>
      </c>
      <c r="B33" s="109"/>
      <c r="C33" s="109"/>
      <c r="D33" s="107">
        <f>D19</f>
        <v>-173207.87031747372</v>
      </c>
      <c r="E33" s="105">
        <f>E19</f>
        <v>-172828.20690714291</v>
      </c>
      <c r="F33" s="111"/>
      <c r="G33" s="107">
        <f>C20</f>
        <v>-379.66341033078277</v>
      </c>
    </row>
    <row r="34" spans="1:11" x14ac:dyDescent="0.35">
      <c r="A34" s="110">
        <v>43831</v>
      </c>
      <c r="B34" s="109"/>
      <c r="C34" s="109">
        <f t="shared" ref="C34:C45" si="3">E33*F34/12</f>
        <v>-313.97124254797626</v>
      </c>
      <c r="D34" s="107">
        <f t="shared" ref="D34:D45" si="4">E34+G34</f>
        <v>-173521.84156002168</v>
      </c>
      <c r="E34" s="105">
        <f t="shared" ref="E34:E45" si="5">E33+B34</f>
        <v>-172828.20690714291</v>
      </c>
      <c r="F34" s="108">
        <f>VLOOKUP(A34,[4]Input!$A$3:$B$26,2,FALSE)</f>
        <v>2.18E-2</v>
      </c>
      <c r="G34" s="107">
        <f t="shared" ref="G34:G45" si="6">G33+C34</f>
        <v>-693.63465287875897</v>
      </c>
    </row>
    <row r="35" spans="1:11" x14ac:dyDescent="0.35">
      <c r="A35" s="110">
        <v>43862</v>
      </c>
      <c r="B35" s="109"/>
      <c r="C35" s="109">
        <f t="shared" si="3"/>
        <v>-313.97124254797626</v>
      </c>
      <c r="D35" s="107">
        <f t="shared" si="4"/>
        <v>-173835.81280256965</v>
      </c>
      <c r="E35" s="105">
        <f t="shared" si="5"/>
        <v>-172828.20690714291</v>
      </c>
      <c r="F35" s="108">
        <f>VLOOKUP(A35,[4]Input!$A$3:$B$26,2,FALSE)</f>
        <v>2.18E-2</v>
      </c>
      <c r="G35" s="107">
        <f t="shared" si="6"/>
        <v>-1007.6058954267353</v>
      </c>
    </row>
    <row r="36" spans="1:11" x14ac:dyDescent="0.35">
      <c r="A36" s="110">
        <v>43891</v>
      </c>
      <c r="B36" s="105"/>
      <c r="C36" s="109">
        <f t="shared" si="3"/>
        <v>-313.97124254797626</v>
      </c>
      <c r="D36" s="107">
        <f t="shared" si="4"/>
        <v>-174149.78404511762</v>
      </c>
      <c r="E36" s="105">
        <f t="shared" si="5"/>
        <v>-172828.20690714291</v>
      </c>
      <c r="F36" s="108">
        <f>VLOOKUP(A36,[4]Input!$A$3:$B$26,2,FALSE)</f>
        <v>2.18E-2</v>
      </c>
      <c r="G36" s="107">
        <f t="shared" si="6"/>
        <v>-1321.5771379747116</v>
      </c>
    </row>
    <row r="37" spans="1:11" x14ac:dyDescent="0.35">
      <c r="A37" s="110">
        <v>43922</v>
      </c>
      <c r="B37" s="105"/>
      <c r="C37" s="109">
        <f t="shared" si="3"/>
        <v>-313.97124254797626</v>
      </c>
      <c r="D37" s="107">
        <f t="shared" si="4"/>
        <v>-174463.75528766561</v>
      </c>
      <c r="E37" s="105">
        <f t="shared" si="5"/>
        <v>-172828.20690714291</v>
      </c>
      <c r="F37" s="108">
        <f>VLOOKUP(A37,[4]Input!$A$3:$B$26,2,FALSE)</f>
        <v>2.18E-2</v>
      </c>
      <c r="G37" s="107">
        <f t="shared" si="6"/>
        <v>-1635.5483805226879</v>
      </c>
    </row>
    <row r="38" spans="1:11" x14ac:dyDescent="0.35">
      <c r="A38" s="110">
        <v>43952</v>
      </c>
      <c r="B38" s="105"/>
      <c r="C38" s="109">
        <f t="shared" si="3"/>
        <v>-313.97124254797626</v>
      </c>
      <c r="D38" s="107">
        <f t="shared" si="4"/>
        <v>-174777.72653021358</v>
      </c>
      <c r="E38" s="105">
        <f t="shared" si="5"/>
        <v>-172828.20690714291</v>
      </c>
      <c r="F38" s="108">
        <f>VLOOKUP(A38,[4]Input!$A$3:$B$26,2,FALSE)</f>
        <v>2.18E-2</v>
      </c>
      <c r="G38" s="107">
        <f t="shared" si="6"/>
        <v>-1949.5196230706642</v>
      </c>
    </row>
    <row r="39" spans="1:11" x14ac:dyDescent="0.35">
      <c r="A39" s="110">
        <v>43983</v>
      </c>
      <c r="B39" s="105"/>
      <c r="C39" s="109">
        <f t="shared" si="3"/>
        <v>-313.97124254797626</v>
      </c>
      <c r="D39" s="107">
        <f t="shared" si="4"/>
        <v>-175091.69777276154</v>
      </c>
      <c r="E39" s="105">
        <f t="shared" si="5"/>
        <v>-172828.20690714291</v>
      </c>
      <c r="F39" s="108">
        <f>VLOOKUP(A39,[4]Input!$A$3:$B$26,2,FALSE)</f>
        <v>2.18E-2</v>
      </c>
      <c r="G39" s="107">
        <f t="shared" si="6"/>
        <v>-2263.4908656186403</v>
      </c>
    </row>
    <row r="40" spans="1:11" x14ac:dyDescent="0.35">
      <c r="A40" s="110">
        <v>44013</v>
      </c>
      <c r="B40" s="105"/>
      <c r="C40" s="109">
        <f t="shared" si="3"/>
        <v>-82.093398280892885</v>
      </c>
      <c r="D40" s="107">
        <f t="shared" si="4"/>
        <v>-175173.79117104245</v>
      </c>
      <c r="E40" s="105">
        <f t="shared" si="5"/>
        <v>-172828.20690714291</v>
      </c>
      <c r="F40" s="108">
        <f>VLOOKUP(A40,[4]Input!$A$3:$B$26,2,FALSE)</f>
        <v>5.7000000000000002E-3</v>
      </c>
      <c r="G40" s="107">
        <f t="shared" si="6"/>
        <v>-2345.5842638995332</v>
      </c>
    </row>
    <row r="41" spans="1:11" x14ac:dyDescent="0.35">
      <c r="A41" s="110">
        <v>44044</v>
      </c>
      <c r="B41" s="105"/>
      <c r="C41" s="109">
        <f t="shared" si="3"/>
        <v>-82.093398280892885</v>
      </c>
      <c r="D41" s="107">
        <f t="shared" si="4"/>
        <v>-175255.88456932333</v>
      </c>
      <c r="E41" s="105">
        <f t="shared" si="5"/>
        <v>-172828.20690714291</v>
      </c>
      <c r="F41" s="108">
        <f>VLOOKUP(A41,[4]Input!$A$3:$B$26,2,FALSE)</f>
        <v>5.7000000000000002E-3</v>
      </c>
      <c r="G41" s="107">
        <f t="shared" si="6"/>
        <v>-2427.6776621804261</v>
      </c>
    </row>
    <row r="42" spans="1:11" x14ac:dyDescent="0.35">
      <c r="A42" s="110">
        <v>44075</v>
      </c>
      <c r="B42" s="105"/>
      <c r="C42" s="109">
        <f t="shared" si="3"/>
        <v>-82.093398280892885</v>
      </c>
      <c r="D42" s="107">
        <f t="shared" si="4"/>
        <v>-175337.97796760424</v>
      </c>
      <c r="E42" s="105">
        <f t="shared" si="5"/>
        <v>-172828.20690714291</v>
      </c>
      <c r="F42" s="108">
        <f>VLOOKUP(A42,[4]Input!$A$3:$B$26,2,FALSE)</f>
        <v>5.7000000000000002E-3</v>
      </c>
      <c r="G42" s="107">
        <f t="shared" si="6"/>
        <v>-2509.7710604613189</v>
      </c>
    </row>
    <row r="43" spans="1:11" x14ac:dyDescent="0.35">
      <c r="A43" s="110">
        <v>44105</v>
      </c>
      <c r="B43" s="105"/>
      <c r="C43" s="109">
        <f t="shared" si="3"/>
        <v>-82.093398280892885</v>
      </c>
      <c r="D43" s="107">
        <f t="shared" si="4"/>
        <v>-175420.07136588512</v>
      </c>
      <c r="E43" s="105">
        <f t="shared" si="5"/>
        <v>-172828.20690714291</v>
      </c>
      <c r="F43" s="108">
        <f>VLOOKUP(A43,[4]Input!$A$3:$B$26,2,FALSE)</f>
        <v>5.7000000000000002E-3</v>
      </c>
      <c r="G43" s="107">
        <f t="shared" si="6"/>
        <v>-2591.8644587422118</v>
      </c>
    </row>
    <row r="44" spans="1:11" x14ac:dyDescent="0.35">
      <c r="A44" s="110">
        <v>44136</v>
      </c>
      <c r="B44" s="105"/>
      <c r="C44" s="109">
        <f t="shared" si="3"/>
        <v>-82.093398280892885</v>
      </c>
      <c r="D44" s="107">
        <f t="shared" si="4"/>
        <v>-175502.16476416602</v>
      </c>
      <c r="E44" s="105">
        <f t="shared" si="5"/>
        <v>-172828.20690714291</v>
      </c>
      <c r="F44" s="108">
        <f>VLOOKUP(A44,[4]Input!$A$3:$B$26,2,FALSE)</f>
        <v>5.7000000000000002E-3</v>
      </c>
      <c r="G44" s="107">
        <f t="shared" si="6"/>
        <v>-2673.9578570231047</v>
      </c>
    </row>
    <row r="45" spans="1:11" x14ac:dyDescent="0.35">
      <c r="A45" s="110">
        <v>44166</v>
      </c>
      <c r="B45" s="105">
        <f>'[2]Comparison by KPMG'!I173</f>
        <v>-41516.094194377496</v>
      </c>
      <c r="C45" s="109">
        <f t="shared" si="3"/>
        <v>-82.093398280892885</v>
      </c>
      <c r="D45" s="107">
        <f t="shared" si="4"/>
        <v>-217100.35235682441</v>
      </c>
      <c r="E45" s="105">
        <f t="shared" si="5"/>
        <v>-214344.30110152042</v>
      </c>
      <c r="F45" s="108">
        <f>VLOOKUP(A45,[4]Input!$A$3:$B$26,2,FALSE)</f>
        <v>5.7000000000000002E-3</v>
      </c>
      <c r="G45" s="107">
        <f t="shared" si="6"/>
        <v>-2756.0512553039976</v>
      </c>
    </row>
    <row r="46" spans="1:11" ht="16" thickBot="1" x14ac:dyDescent="0.4">
      <c r="A46" s="88"/>
      <c r="B46" s="106">
        <f>SUM(B34:B45)</f>
        <v>-41516.094194377496</v>
      </c>
      <c r="C46" s="106">
        <f>SUM(C34:C45)</f>
        <v>-2376.3878449732151</v>
      </c>
      <c r="D46" s="105"/>
      <c r="E46" s="88"/>
    </row>
    <row r="47" spans="1:11" ht="16.5" thickTop="1" thickBot="1" x14ac:dyDescent="0.4">
      <c r="A47" s="88"/>
      <c r="B47" s="88"/>
      <c r="C47" s="105"/>
      <c r="D47" s="88"/>
      <c r="E47" s="88"/>
    </row>
    <row r="48" spans="1:11" ht="18.5" x14ac:dyDescent="0.65">
      <c r="A48" s="104" t="s">
        <v>52</v>
      </c>
      <c r="B48" s="103"/>
      <c r="C48" s="103"/>
      <c r="D48" s="102"/>
      <c r="E48" s="88"/>
      <c r="H48" s="101" t="s">
        <v>63</v>
      </c>
      <c r="I48" s="92"/>
      <c r="J48" s="96" t="s">
        <v>50</v>
      </c>
      <c r="K48" s="96" t="s">
        <v>49</v>
      </c>
    </row>
    <row r="49" spans="1:11" x14ac:dyDescent="0.35">
      <c r="A49" s="99" t="s">
        <v>48</v>
      </c>
      <c r="B49" s="98" t="s">
        <v>47</v>
      </c>
      <c r="C49" s="98"/>
      <c r="D49" s="97">
        <f>C45</f>
        <v>-82.093398280892885</v>
      </c>
      <c r="E49" s="88"/>
      <c r="H49" s="92" t="s">
        <v>46</v>
      </c>
      <c r="I49" s="92">
        <f>SUM(J49:K49)</f>
        <v>-173207.87031747369</v>
      </c>
      <c r="J49" s="92">
        <f>E33</f>
        <v>-172828.20690714291</v>
      </c>
      <c r="K49" s="92">
        <f>C20</f>
        <v>-379.66341033078277</v>
      </c>
    </row>
    <row r="50" spans="1:11" x14ac:dyDescent="0.35">
      <c r="A50" s="99" t="str">
        <f>IF(D50&gt;0,"6035.002-VR","4405.002-VR")</f>
        <v>6035.002-VR</v>
      </c>
      <c r="B50" s="98" t="str">
        <f>IF(D50&gt;0,"Interest Expense DVA","Interest Income DVA")</f>
        <v>Interest Expense DVA</v>
      </c>
      <c r="C50" s="98"/>
      <c r="D50" s="97">
        <f>-D49</f>
        <v>82.093398280892885</v>
      </c>
      <c r="E50" s="88"/>
      <c r="H50" s="96" t="s">
        <v>45</v>
      </c>
      <c r="I50" s="92"/>
      <c r="J50" s="92"/>
      <c r="K50" s="92"/>
    </row>
    <row r="51" spans="1:11" ht="16" thickBot="1" x14ac:dyDescent="0.4">
      <c r="A51" s="95" t="s">
        <v>62</v>
      </c>
      <c r="B51" s="94"/>
      <c r="C51" s="94"/>
      <c r="D51" s="93"/>
      <c r="E51" s="88"/>
      <c r="H51" s="92" t="s">
        <v>43</v>
      </c>
      <c r="I51" s="92">
        <f>SUM(J51:K51)</f>
        <v>-41516.094194377496</v>
      </c>
      <c r="J51" s="92">
        <f>B46</f>
        <v>-41516.094194377496</v>
      </c>
    </row>
    <row r="52" spans="1:11" x14ac:dyDescent="0.35">
      <c r="H52" s="92" t="s">
        <v>42</v>
      </c>
      <c r="I52" s="92">
        <f>C46</f>
        <v>-2376.3878449732151</v>
      </c>
      <c r="J52" s="92"/>
      <c r="K52" s="92">
        <f>C46</f>
        <v>-2376.3878449732151</v>
      </c>
    </row>
    <row r="53" spans="1:11" ht="16" thickBot="1" x14ac:dyDescent="0.4">
      <c r="H53" s="92" t="s">
        <v>41</v>
      </c>
      <c r="I53" s="91">
        <f>SUM(I49:I52)</f>
        <v>-217100.35235682441</v>
      </c>
      <c r="J53" s="91">
        <f>SUM(J49:J52)</f>
        <v>-214344.30110152042</v>
      </c>
      <c r="K53" s="91">
        <f>SUM(K49:K52)</f>
        <v>-2756.051255303998</v>
      </c>
    </row>
    <row r="54" spans="1:11" ht="16" thickTop="1" x14ac:dyDescent="0.35">
      <c r="H54" s="88" t="s">
        <v>40</v>
      </c>
      <c r="I54">
        <v>-272186.34000000003</v>
      </c>
    </row>
    <row r="55" spans="1:11" x14ac:dyDescent="0.35">
      <c r="H55" s="88" t="s">
        <v>39</v>
      </c>
      <c r="I55" s="90">
        <f>I54-I53</f>
        <v>-55085.987643175613</v>
      </c>
    </row>
    <row r="59" spans="1:11" x14ac:dyDescent="0.35">
      <c r="A59" s="115" t="s">
        <v>31</v>
      </c>
      <c r="B59" s="88"/>
      <c r="C59" s="88"/>
      <c r="D59" s="88"/>
      <c r="E59" s="88"/>
    </row>
    <row r="60" spans="1:11" x14ac:dyDescent="0.35">
      <c r="A60" s="115" t="s">
        <v>47</v>
      </c>
      <c r="B60" s="88"/>
      <c r="C60" s="88"/>
      <c r="D60" s="88"/>
      <c r="E60" s="88"/>
    </row>
    <row r="61" spans="1:11" x14ac:dyDescent="0.35">
      <c r="A61" s="114">
        <v>1592.001</v>
      </c>
      <c r="B61" s="88"/>
      <c r="C61" s="88"/>
      <c r="D61" s="88"/>
      <c r="E61" s="88"/>
    </row>
    <row r="62" spans="1:11" x14ac:dyDescent="0.35">
      <c r="A62" s="88">
        <v>2021</v>
      </c>
      <c r="B62" s="88"/>
      <c r="C62" s="88"/>
      <c r="D62" s="88"/>
      <c r="E62" s="88"/>
    </row>
    <row r="63" spans="1:11" x14ac:dyDescent="0.35">
      <c r="A63" s="88"/>
      <c r="B63" s="88"/>
      <c r="C63" s="88"/>
      <c r="D63" s="88"/>
      <c r="E63" s="88"/>
    </row>
    <row r="64" spans="1:11" x14ac:dyDescent="0.35">
      <c r="A64" s="113"/>
      <c r="B64" s="105"/>
      <c r="C64" s="112" t="s">
        <v>56</v>
      </c>
      <c r="D64" s="112" t="s">
        <v>41</v>
      </c>
      <c r="E64" t="s">
        <v>55</v>
      </c>
      <c r="G64" t="s">
        <v>54</v>
      </c>
    </row>
    <row r="65" spans="1:10" x14ac:dyDescent="0.35">
      <c r="A65" s="88" t="s">
        <v>53</v>
      </c>
      <c r="B65" s="109"/>
      <c r="C65" s="109"/>
      <c r="D65" s="107">
        <f>D45</f>
        <v>-217100.35235682441</v>
      </c>
      <c r="E65" s="107">
        <f>E45</f>
        <v>-214344.30110152042</v>
      </c>
      <c r="F65" s="111"/>
      <c r="G65" s="107">
        <f>G45</f>
        <v>-2756.0512553039976</v>
      </c>
    </row>
    <row r="66" spans="1:10" x14ac:dyDescent="0.35">
      <c r="A66" s="110">
        <v>44197</v>
      </c>
      <c r="B66" s="109"/>
      <c r="C66" s="109">
        <f t="shared" ref="C66:C77" si="7">E65*F66/12</f>
        <v>-101.81354302322221</v>
      </c>
      <c r="D66" s="107">
        <f t="shared" ref="D66:D77" si="8">E66+G66</f>
        <v>-217202.16589984763</v>
      </c>
      <c r="E66" s="105">
        <f t="shared" ref="E66:E77" si="9">E65+B66</f>
        <v>-214344.30110152042</v>
      </c>
      <c r="F66" s="108">
        <f>VLOOKUP(A66,[4]Input!$A:$B,2,FALSE)</f>
        <v>5.7000000000000002E-3</v>
      </c>
      <c r="G66" s="107">
        <f t="shared" ref="G66:G77" si="10">G65+C66</f>
        <v>-2857.8647983272199</v>
      </c>
    </row>
    <row r="67" spans="1:10" x14ac:dyDescent="0.35">
      <c r="A67" s="110">
        <v>44228</v>
      </c>
      <c r="B67" s="109"/>
      <c r="C67" s="109">
        <f t="shared" si="7"/>
        <v>-101.81354302322221</v>
      </c>
      <c r="D67" s="107">
        <f t="shared" si="8"/>
        <v>-217303.97944287086</v>
      </c>
      <c r="E67" s="105">
        <f t="shared" si="9"/>
        <v>-214344.30110152042</v>
      </c>
      <c r="F67" s="108">
        <f>VLOOKUP(A67,[4]Input!$A:$B,2,FALSE)</f>
        <v>5.7000000000000002E-3</v>
      </c>
      <c r="G67" s="107">
        <f t="shared" si="10"/>
        <v>-2959.6783413504422</v>
      </c>
    </row>
    <row r="68" spans="1:10" x14ac:dyDescent="0.35">
      <c r="A68" s="110">
        <v>44256</v>
      </c>
      <c r="B68" s="109"/>
      <c r="C68" s="109">
        <f t="shared" si="7"/>
        <v>-101.81354302322221</v>
      </c>
      <c r="D68" s="107">
        <f t="shared" si="8"/>
        <v>-217405.79298589408</v>
      </c>
      <c r="E68" s="105">
        <f t="shared" si="9"/>
        <v>-214344.30110152042</v>
      </c>
      <c r="F68" s="108">
        <f>VLOOKUP(A68,[4]Input!$A:$B,2,FALSE)</f>
        <v>5.7000000000000002E-3</v>
      </c>
      <c r="G68" s="107">
        <f t="shared" si="10"/>
        <v>-3061.4918843736646</v>
      </c>
    </row>
    <row r="69" spans="1:10" x14ac:dyDescent="0.35">
      <c r="A69" s="110">
        <v>44287</v>
      </c>
      <c r="B69" s="109"/>
      <c r="C69" s="109">
        <f t="shared" si="7"/>
        <v>-101.81354302322221</v>
      </c>
      <c r="D69" s="107">
        <f t="shared" si="8"/>
        <v>-217507.6065289173</v>
      </c>
      <c r="E69" s="105">
        <f t="shared" si="9"/>
        <v>-214344.30110152042</v>
      </c>
      <c r="F69" s="108">
        <f>VLOOKUP(A69,[4]Input!$A:$B,2,FALSE)</f>
        <v>5.7000000000000002E-3</v>
      </c>
      <c r="G69" s="107">
        <f t="shared" si="10"/>
        <v>-3163.3054273968869</v>
      </c>
    </row>
    <row r="70" spans="1:10" x14ac:dyDescent="0.35">
      <c r="A70" s="110">
        <v>44317</v>
      </c>
      <c r="B70" s="109"/>
      <c r="C70" s="109">
        <f t="shared" si="7"/>
        <v>-101.81354302322221</v>
      </c>
      <c r="D70" s="107">
        <f t="shared" si="8"/>
        <v>-217609.42007194052</v>
      </c>
      <c r="E70" s="105">
        <f t="shared" si="9"/>
        <v>-214344.30110152042</v>
      </c>
      <c r="F70" s="108">
        <f>VLOOKUP(A70,[4]Input!$A:$B,2,FALSE)</f>
        <v>5.7000000000000002E-3</v>
      </c>
      <c r="G70" s="107">
        <f t="shared" si="10"/>
        <v>-3265.1189704201092</v>
      </c>
    </row>
    <row r="71" spans="1:10" x14ac:dyDescent="0.35">
      <c r="A71" s="110">
        <v>44348</v>
      </c>
      <c r="B71" s="109"/>
      <c r="C71" s="109">
        <f t="shared" si="7"/>
        <v>-101.81354302322221</v>
      </c>
      <c r="D71" s="107">
        <f t="shared" si="8"/>
        <v>-217711.23361496377</v>
      </c>
      <c r="E71" s="105">
        <f t="shared" si="9"/>
        <v>-214344.30110152042</v>
      </c>
      <c r="F71" s="108">
        <f>VLOOKUP(A71,[4]Input!$A:$B,2,FALSE)</f>
        <v>5.7000000000000002E-3</v>
      </c>
      <c r="G71" s="107">
        <f t="shared" si="10"/>
        <v>-3366.9325134433316</v>
      </c>
    </row>
    <row r="72" spans="1:10" x14ac:dyDescent="0.35">
      <c r="A72" s="110">
        <v>44378</v>
      </c>
      <c r="B72" s="109"/>
      <c r="C72" s="109">
        <f t="shared" si="7"/>
        <v>-101.81354302322221</v>
      </c>
      <c r="D72" s="107">
        <f t="shared" si="8"/>
        <v>-217813.04715798699</v>
      </c>
      <c r="E72" s="105">
        <f t="shared" si="9"/>
        <v>-214344.30110152042</v>
      </c>
      <c r="F72" s="108">
        <f>VLOOKUP(A72,[4]Input!$A:$B,2,FALSE)</f>
        <v>5.7000000000000002E-3</v>
      </c>
      <c r="G72" s="107">
        <f t="shared" si="10"/>
        <v>-3468.7460564665539</v>
      </c>
    </row>
    <row r="73" spans="1:10" x14ac:dyDescent="0.35">
      <c r="A73" s="110">
        <v>44409</v>
      </c>
      <c r="B73" s="109"/>
      <c r="C73" s="109">
        <f t="shared" si="7"/>
        <v>-101.81354302322221</v>
      </c>
      <c r="D73" s="107">
        <f t="shared" si="8"/>
        <v>-217914.86070101021</v>
      </c>
      <c r="E73" s="105">
        <f t="shared" si="9"/>
        <v>-214344.30110152042</v>
      </c>
      <c r="F73" s="108">
        <f>VLOOKUP(A73,[4]Input!$A:$B,2,FALSE)</f>
        <v>5.7000000000000002E-3</v>
      </c>
      <c r="G73" s="107">
        <f t="shared" si="10"/>
        <v>-3570.5595994897762</v>
      </c>
    </row>
    <row r="74" spans="1:10" x14ac:dyDescent="0.35">
      <c r="A74" s="110">
        <v>44440</v>
      </c>
      <c r="B74" s="109"/>
      <c r="C74" s="109">
        <f t="shared" si="7"/>
        <v>-101.81354302322221</v>
      </c>
      <c r="D74" s="107">
        <f t="shared" si="8"/>
        <v>-218016.67424403343</v>
      </c>
      <c r="E74" s="105">
        <f t="shared" si="9"/>
        <v>-214344.30110152042</v>
      </c>
      <c r="F74" s="108">
        <f>VLOOKUP(A74,[4]Input!$A:$B,2,FALSE)</f>
        <v>5.7000000000000002E-3</v>
      </c>
      <c r="G74" s="107">
        <f t="shared" si="10"/>
        <v>-3672.3731425129986</v>
      </c>
    </row>
    <row r="75" spans="1:10" x14ac:dyDescent="0.35">
      <c r="A75" s="110">
        <v>44470</v>
      </c>
      <c r="B75" s="109"/>
      <c r="C75" s="109">
        <f t="shared" si="7"/>
        <v>-101.81354302322221</v>
      </c>
      <c r="D75" s="107">
        <f t="shared" si="8"/>
        <v>-218118.48778705666</v>
      </c>
      <c r="E75" s="105">
        <f t="shared" si="9"/>
        <v>-214344.30110152042</v>
      </c>
      <c r="F75" s="108">
        <f>VLOOKUP(A75,[4]Input!$A:$B,2,FALSE)</f>
        <v>5.7000000000000002E-3</v>
      </c>
      <c r="G75" s="107">
        <f t="shared" si="10"/>
        <v>-3774.1866855362209</v>
      </c>
    </row>
    <row r="76" spans="1:10" x14ac:dyDescent="0.35">
      <c r="A76" s="110">
        <v>44501</v>
      </c>
      <c r="B76" s="109"/>
      <c r="C76" s="109">
        <f t="shared" si="7"/>
        <v>-101.81354302322221</v>
      </c>
      <c r="D76" s="107">
        <f t="shared" si="8"/>
        <v>-218220.30133007988</v>
      </c>
      <c r="E76" s="105">
        <f t="shared" si="9"/>
        <v>-214344.30110152042</v>
      </c>
      <c r="F76" s="108">
        <f>VLOOKUP(A76,[4]Input!$A:$B,2,FALSE)</f>
        <v>5.7000000000000002E-3</v>
      </c>
      <c r="G76" s="107">
        <f t="shared" si="10"/>
        <v>-3876.0002285594433</v>
      </c>
    </row>
    <row r="77" spans="1:10" x14ac:dyDescent="0.35">
      <c r="A77" s="110">
        <v>44531</v>
      </c>
      <c r="B77" s="105">
        <f>'[2]Comparison by KPMG'!I174</f>
        <v>-85198.6693841167</v>
      </c>
      <c r="C77" s="109">
        <f t="shared" si="7"/>
        <v>-101.81354302322221</v>
      </c>
      <c r="D77" s="107">
        <f t="shared" si="8"/>
        <v>-303520.78425721981</v>
      </c>
      <c r="E77" s="105">
        <f t="shared" si="9"/>
        <v>-299542.97048563714</v>
      </c>
      <c r="F77" s="108">
        <f>VLOOKUP(A77,[4]Input!$A:$B,2,FALSE)</f>
        <v>5.7000000000000002E-3</v>
      </c>
      <c r="G77" s="107">
        <f t="shared" si="10"/>
        <v>-3977.8137715826656</v>
      </c>
    </row>
    <row r="78" spans="1:10" ht="16" thickBot="1" x14ac:dyDescent="0.4">
      <c r="A78" s="88"/>
      <c r="B78" s="106">
        <f>SUM(B66:B77)</f>
        <v>-85198.6693841167</v>
      </c>
      <c r="C78" s="106">
        <f>SUM(C66:C77)</f>
        <v>-1221.7625162786665</v>
      </c>
      <c r="D78" s="105"/>
      <c r="E78" s="88"/>
    </row>
    <row r="79" spans="1:10" ht="16.5" thickTop="1" thickBot="1" x14ac:dyDescent="0.4">
      <c r="A79" s="88"/>
      <c r="B79" s="88"/>
      <c r="C79" s="88"/>
      <c r="D79" s="88"/>
      <c r="E79" s="88"/>
      <c r="F79"/>
    </row>
    <row r="80" spans="1:10" ht="18.5" x14ac:dyDescent="0.65">
      <c r="A80" s="104" t="s">
        <v>52</v>
      </c>
      <c r="B80" s="103"/>
      <c r="C80" s="102"/>
      <c r="D80" s="88"/>
      <c r="E80" s="88"/>
      <c r="F80"/>
      <c r="G80" s="101" t="s">
        <v>61</v>
      </c>
      <c r="H80" s="92"/>
      <c r="I80" s="96" t="s">
        <v>50</v>
      </c>
      <c r="J80" s="96" t="s">
        <v>49</v>
      </c>
    </row>
    <row r="81" spans="1:10" x14ac:dyDescent="0.35">
      <c r="A81" s="99" t="s">
        <v>48</v>
      </c>
      <c r="B81" s="98" t="s">
        <v>47</v>
      </c>
      <c r="C81" s="97">
        <f>C77</f>
        <v>-101.81354302322221</v>
      </c>
      <c r="D81" s="88"/>
      <c r="E81" s="88"/>
      <c r="F81"/>
      <c r="G81" s="92" t="s">
        <v>46</v>
      </c>
      <c r="H81" s="92">
        <f>SUM(I81:J81)</f>
        <v>-217100.35235682441</v>
      </c>
      <c r="I81" s="92">
        <f>E65</f>
        <v>-214344.30110152042</v>
      </c>
      <c r="J81" s="92">
        <f>G45</f>
        <v>-2756.0512553039976</v>
      </c>
    </row>
    <row r="82" spans="1:10" x14ac:dyDescent="0.35">
      <c r="A82" s="99" t="str">
        <f>IF(C82&gt;0,"6035.002-VR","4405.002-VR")</f>
        <v>6035.002-VR</v>
      </c>
      <c r="B82" s="98" t="str">
        <f>IF(C82&gt;0,"Interest Expense DVA","Interest Income DVA")</f>
        <v>Interest Expense DVA</v>
      </c>
      <c r="C82" s="97">
        <f>-C81</f>
        <v>101.81354302322221</v>
      </c>
      <c r="D82" s="88"/>
      <c r="E82" s="88"/>
      <c r="F82"/>
      <c r="G82" s="96" t="s">
        <v>45</v>
      </c>
      <c r="H82" s="92"/>
      <c r="I82" s="92"/>
      <c r="J82" s="92"/>
    </row>
    <row r="83" spans="1:10" ht="16" thickBot="1" x14ac:dyDescent="0.4">
      <c r="A83" s="95" t="s">
        <v>60</v>
      </c>
      <c r="B83" s="94"/>
      <c r="C83" s="93"/>
      <c r="D83" s="88"/>
      <c r="E83" s="88"/>
      <c r="F83"/>
      <c r="G83" s="92" t="s">
        <v>43</v>
      </c>
      <c r="H83" s="92">
        <f>SUM(I83:J83)</f>
        <v>-85198.6693841167</v>
      </c>
      <c r="I83" s="92">
        <f>B78</f>
        <v>-85198.6693841167</v>
      </c>
    </row>
    <row r="84" spans="1:10" x14ac:dyDescent="0.35">
      <c r="E84" s="88"/>
      <c r="F84"/>
      <c r="G84" s="92" t="s">
        <v>42</v>
      </c>
      <c r="H84" s="92">
        <f>C78</f>
        <v>-1221.7625162786665</v>
      </c>
      <c r="I84" s="92"/>
      <c r="J84" s="92">
        <f>C78</f>
        <v>-1221.7625162786665</v>
      </c>
    </row>
    <row r="85" spans="1:10" ht="16" thickBot="1" x14ac:dyDescent="0.4">
      <c r="E85" s="88"/>
      <c r="F85"/>
      <c r="G85" s="92" t="s">
        <v>41</v>
      </c>
      <c r="H85" s="91">
        <f>SUM(H81:H84)</f>
        <v>-303520.78425721976</v>
      </c>
      <c r="I85" s="91">
        <f>SUM(I81:I84)</f>
        <v>-299542.97048563714</v>
      </c>
      <c r="J85" s="91">
        <f>SUM(J81:J84)</f>
        <v>-3977.8137715826642</v>
      </c>
    </row>
    <row r="86" spans="1:10" ht="16" thickTop="1" x14ac:dyDescent="0.35">
      <c r="H86" s="88" t="s">
        <v>40</v>
      </c>
      <c r="I86">
        <v>-434217.54122549994</v>
      </c>
    </row>
    <row r="87" spans="1:10" x14ac:dyDescent="0.35">
      <c r="H87" s="88" t="s">
        <v>39</v>
      </c>
      <c r="I87" s="90">
        <f>I86-H85</f>
        <v>-130696.75696828018</v>
      </c>
    </row>
    <row r="91" spans="1:10" x14ac:dyDescent="0.35">
      <c r="A91" s="115" t="s">
        <v>31</v>
      </c>
      <c r="B91" s="88"/>
      <c r="C91" s="88"/>
      <c r="D91" s="88"/>
      <c r="E91" s="88"/>
    </row>
    <row r="92" spans="1:10" x14ac:dyDescent="0.35">
      <c r="A92" s="115" t="s">
        <v>47</v>
      </c>
      <c r="B92" s="88"/>
      <c r="C92" s="88"/>
      <c r="D92" s="88"/>
      <c r="E92" s="88"/>
    </row>
    <row r="93" spans="1:10" x14ac:dyDescent="0.35">
      <c r="A93" s="114">
        <v>1592.001</v>
      </c>
      <c r="B93" s="88"/>
      <c r="C93" s="88"/>
      <c r="D93" s="88"/>
      <c r="E93" s="88"/>
    </row>
    <row r="94" spans="1:10" x14ac:dyDescent="0.35">
      <c r="A94" s="88">
        <v>2022</v>
      </c>
      <c r="B94" s="88"/>
      <c r="C94" s="88"/>
      <c r="D94" s="88"/>
      <c r="E94" s="88"/>
    </row>
    <row r="95" spans="1:10" x14ac:dyDescent="0.35">
      <c r="A95" s="88"/>
      <c r="B95" s="88"/>
      <c r="C95" s="88"/>
      <c r="D95" s="88"/>
      <c r="E95" s="88"/>
    </row>
    <row r="96" spans="1:10" x14ac:dyDescent="0.35">
      <c r="A96" s="113"/>
      <c r="B96" s="105"/>
      <c r="C96" s="112" t="s">
        <v>56</v>
      </c>
      <c r="D96" s="112" t="s">
        <v>41</v>
      </c>
      <c r="E96" t="s">
        <v>55</v>
      </c>
      <c r="G96" t="s">
        <v>54</v>
      </c>
    </row>
    <row r="97" spans="1:10" x14ac:dyDescent="0.35">
      <c r="A97" s="88" t="s">
        <v>53</v>
      </c>
      <c r="B97" s="109"/>
      <c r="C97" s="109"/>
      <c r="D97" s="107">
        <f>D77</f>
        <v>-303520.78425721981</v>
      </c>
      <c r="E97" s="107">
        <f>E77</f>
        <v>-299542.97048563714</v>
      </c>
      <c r="F97" s="111"/>
      <c r="G97" s="107">
        <v>-4723.9512255</v>
      </c>
    </row>
    <row r="98" spans="1:10" x14ac:dyDescent="0.35">
      <c r="A98" s="110">
        <v>44562</v>
      </c>
      <c r="B98" s="109"/>
      <c r="C98" s="109">
        <f t="shared" ref="C98:C109" si="11">E97*F98/12</f>
        <v>-142.28291098067766</v>
      </c>
      <c r="D98" s="107">
        <f t="shared" ref="D98:D109" si="12">E98+G98</f>
        <v>-304470.93116638716</v>
      </c>
      <c r="E98" s="105">
        <f t="shared" ref="E98:E109" si="13">E97+B98</f>
        <v>-299542.97048563714</v>
      </c>
      <c r="F98" s="108">
        <v>5.7000000000000002E-3</v>
      </c>
      <c r="G98" s="107">
        <v>-4927.9606807500004</v>
      </c>
    </row>
    <row r="99" spans="1:10" x14ac:dyDescent="0.35">
      <c r="A99" s="110">
        <v>44593</v>
      </c>
      <c r="B99" s="109"/>
      <c r="C99" s="109">
        <f t="shared" si="11"/>
        <v>-142.28291098067766</v>
      </c>
      <c r="D99" s="107">
        <f t="shared" si="12"/>
        <v>-304680.06159663713</v>
      </c>
      <c r="E99" s="105">
        <f t="shared" si="13"/>
        <v>-299542.97048563714</v>
      </c>
      <c r="F99" s="108">
        <v>5.7000000000000002E-3</v>
      </c>
      <c r="G99" s="107">
        <v>-5137.0911110000006</v>
      </c>
    </row>
    <row r="100" spans="1:10" x14ac:dyDescent="0.35">
      <c r="A100" s="110">
        <v>44621</v>
      </c>
      <c r="B100" s="109"/>
      <c r="C100" s="109">
        <f t="shared" si="11"/>
        <v>-142.28291098067766</v>
      </c>
      <c r="D100" s="107">
        <f t="shared" si="12"/>
        <v>-304894.31300188712</v>
      </c>
      <c r="E100" s="105">
        <f t="shared" si="13"/>
        <v>-299542.97048563714</v>
      </c>
      <c r="F100" s="108">
        <v>5.7000000000000002E-3</v>
      </c>
      <c r="G100" s="107">
        <v>-5351.3425162500007</v>
      </c>
    </row>
    <row r="101" spans="1:10" x14ac:dyDescent="0.35">
      <c r="A101" s="110">
        <v>44652</v>
      </c>
      <c r="B101" s="109"/>
      <c r="C101" s="109">
        <f t="shared" si="11"/>
        <v>-254.61152491279157</v>
      </c>
      <c r="D101" s="107">
        <f t="shared" si="12"/>
        <v>-305286.87410338712</v>
      </c>
      <c r="E101" s="105">
        <f t="shared" si="13"/>
        <v>-299542.97048563714</v>
      </c>
      <c r="F101" s="108">
        <v>1.0200000000000001E-2</v>
      </c>
      <c r="G101" s="107">
        <v>-5743.9036177500011</v>
      </c>
    </row>
    <row r="102" spans="1:10" x14ac:dyDescent="0.35">
      <c r="A102" s="110">
        <v>44682</v>
      </c>
      <c r="B102" s="109"/>
      <c r="C102" s="109">
        <f t="shared" si="11"/>
        <v>-254.61152491279157</v>
      </c>
      <c r="D102" s="107">
        <f t="shared" si="12"/>
        <v>-305688.59905488713</v>
      </c>
      <c r="E102" s="105">
        <f t="shared" si="13"/>
        <v>-299542.97048563714</v>
      </c>
      <c r="F102" s="108">
        <v>1.0200000000000001E-2</v>
      </c>
      <c r="G102" s="107">
        <v>-6145.6285692500014</v>
      </c>
    </row>
    <row r="103" spans="1:10" x14ac:dyDescent="0.35">
      <c r="A103" s="110">
        <v>44713</v>
      </c>
      <c r="B103" s="109"/>
      <c r="C103" s="109">
        <f t="shared" si="11"/>
        <v>-254.61152491279157</v>
      </c>
      <c r="D103" s="107">
        <f t="shared" si="12"/>
        <v>-306099.48785638716</v>
      </c>
      <c r="E103" s="105">
        <f t="shared" si="13"/>
        <v>-299542.97048563714</v>
      </c>
      <c r="F103" s="108">
        <v>1.0200000000000001E-2</v>
      </c>
      <c r="G103" s="107">
        <v>-6556.5173707500016</v>
      </c>
    </row>
    <row r="104" spans="1:10" x14ac:dyDescent="0.35">
      <c r="A104" s="110">
        <v>44743</v>
      </c>
      <c r="B104" s="109"/>
      <c r="C104" s="109">
        <f t="shared" si="11"/>
        <v>-549.16211255700136</v>
      </c>
      <c r="D104" s="107">
        <f t="shared" si="12"/>
        <v>-307005.48377138714</v>
      </c>
      <c r="E104" s="105">
        <f t="shared" si="13"/>
        <v>-299542.97048563714</v>
      </c>
      <c r="F104" s="108">
        <v>2.1999999999999999E-2</v>
      </c>
      <c r="G104" s="107">
        <v>-7462.5132857500012</v>
      </c>
    </row>
    <row r="105" spans="1:10" x14ac:dyDescent="0.35">
      <c r="A105" s="110">
        <v>44774</v>
      </c>
      <c r="B105" s="109"/>
      <c r="C105" s="109">
        <f t="shared" si="11"/>
        <v>-549.16211255700136</v>
      </c>
      <c r="D105" s="107">
        <f t="shared" si="12"/>
        <v>-307931.24485305382</v>
      </c>
      <c r="E105" s="105">
        <f t="shared" si="13"/>
        <v>-299542.97048563714</v>
      </c>
      <c r="F105" s="108">
        <v>2.1999999999999999E-2</v>
      </c>
      <c r="G105" s="107">
        <v>-8388.2743674166668</v>
      </c>
    </row>
    <row r="106" spans="1:10" x14ac:dyDescent="0.35">
      <c r="A106" s="110">
        <v>44805</v>
      </c>
      <c r="B106" s="109"/>
      <c r="C106" s="109">
        <f t="shared" si="11"/>
        <v>-549.16211255700136</v>
      </c>
      <c r="D106" s="107">
        <f t="shared" si="12"/>
        <v>-308876.77110138716</v>
      </c>
      <c r="E106" s="105">
        <f t="shared" si="13"/>
        <v>-299542.97048563714</v>
      </c>
      <c r="F106" s="108">
        <v>2.1999999999999999E-2</v>
      </c>
      <c r="G106" s="107">
        <v>-9333.8006157500004</v>
      </c>
    </row>
    <row r="107" spans="1:10" x14ac:dyDescent="0.35">
      <c r="A107" s="110">
        <v>44835</v>
      </c>
      <c r="B107" s="109"/>
      <c r="C107" s="109">
        <f t="shared" si="11"/>
        <v>-966.02607981617973</v>
      </c>
      <c r="D107" s="107">
        <f t="shared" si="12"/>
        <v>-310574.80645413714</v>
      </c>
      <c r="E107" s="105">
        <f t="shared" si="13"/>
        <v>-299542.97048563714</v>
      </c>
      <c r="F107" s="108">
        <v>3.8699999999999998E-2</v>
      </c>
      <c r="G107" s="107">
        <v>-11031.8359685</v>
      </c>
    </row>
    <row r="108" spans="1:10" x14ac:dyDescent="0.35">
      <c r="A108" s="110">
        <v>44866</v>
      </c>
      <c r="B108" s="109"/>
      <c r="C108" s="109">
        <f t="shared" si="11"/>
        <v>-966.02607981617973</v>
      </c>
      <c r="D108" s="107">
        <f t="shared" si="12"/>
        <v>-312307.61053188716</v>
      </c>
      <c r="E108" s="105">
        <f t="shared" si="13"/>
        <v>-299542.97048563714</v>
      </c>
      <c r="F108" s="108">
        <v>3.8699999999999998E-2</v>
      </c>
      <c r="G108" s="107">
        <v>-12764.640046249999</v>
      </c>
    </row>
    <row r="109" spans="1:10" x14ac:dyDescent="0.35">
      <c r="A109" s="110">
        <v>44896</v>
      </c>
      <c r="B109" s="109">
        <f>'[2]Comparison by KPMG'!I175</f>
        <v>-20676.846363067398</v>
      </c>
      <c r="C109" s="109">
        <f t="shared" si="11"/>
        <v>-966.02607981617973</v>
      </c>
      <c r="D109" s="107">
        <f t="shared" si="12"/>
        <v>-333950.48297477071</v>
      </c>
      <c r="E109" s="105">
        <f t="shared" si="13"/>
        <v>-320219.81684870453</v>
      </c>
      <c r="F109" s="108">
        <v>3.8699999999999998E-2</v>
      </c>
      <c r="G109" s="107">
        <f>G108+C109</f>
        <v>-13730.666126066179</v>
      </c>
    </row>
    <row r="110" spans="1:10" ht="16" thickBot="1" x14ac:dyDescent="0.4">
      <c r="A110" s="88"/>
      <c r="B110" s="106">
        <f>SUM(B98:B109)</f>
        <v>-20676.846363067398</v>
      </c>
      <c r="C110" s="106">
        <v>-9808.2616234999987</v>
      </c>
      <c r="D110" s="105"/>
      <c r="E110" s="88"/>
    </row>
    <row r="111" spans="1:10" ht="16.5" thickTop="1" thickBot="1" x14ac:dyDescent="0.4">
      <c r="A111" s="88"/>
      <c r="B111" s="88"/>
      <c r="C111" s="88"/>
      <c r="D111" s="88"/>
      <c r="E111" s="88"/>
      <c r="F111"/>
    </row>
    <row r="112" spans="1:10" ht="18.5" x14ac:dyDescent="0.65">
      <c r="A112" s="104" t="s">
        <v>52</v>
      </c>
      <c r="B112" s="103"/>
      <c r="C112" s="102"/>
      <c r="D112" s="88"/>
      <c r="E112" s="88"/>
      <c r="F112"/>
      <c r="G112" s="101" t="s">
        <v>51</v>
      </c>
      <c r="H112" s="92"/>
      <c r="I112" s="96" t="s">
        <v>50</v>
      </c>
      <c r="J112" s="96" t="s">
        <v>49</v>
      </c>
    </row>
    <row r="113" spans="1:10" x14ac:dyDescent="0.35">
      <c r="A113" s="99" t="s">
        <v>48</v>
      </c>
      <c r="B113" s="98" t="s">
        <v>47</v>
      </c>
      <c r="C113" s="97">
        <v>-1767.5728027499999</v>
      </c>
      <c r="D113" s="88"/>
      <c r="E113" s="88"/>
      <c r="F113"/>
      <c r="G113" s="92" t="s">
        <v>46</v>
      </c>
      <c r="H113" s="92">
        <f>SUM(I113:J113)</f>
        <v>-303520.78425721981</v>
      </c>
      <c r="I113" s="92">
        <f>E97</f>
        <v>-299542.97048563714</v>
      </c>
      <c r="J113" s="92">
        <f>G77</f>
        <v>-3977.8137715826656</v>
      </c>
    </row>
    <row r="114" spans="1:10" x14ac:dyDescent="0.35">
      <c r="A114" s="99" t="s">
        <v>59</v>
      </c>
      <c r="B114" s="98" t="s">
        <v>58</v>
      </c>
      <c r="C114" s="97">
        <v>1767.5728027499999</v>
      </c>
      <c r="D114" s="88"/>
      <c r="E114" s="88"/>
      <c r="F114"/>
      <c r="G114" s="96" t="s">
        <v>45</v>
      </c>
      <c r="H114" s="92"/>
      <c r="I114" s="92"/>
      <c r="J114" s="92"/>
    </row>
    <row r="115" spans="1:10" ht="16" thickBot="1" x14ac:dyDescent="0.4">
      <c r="A115" s="95" t="s">
        <v>57</v>
      </c>
      <c r="B115" s="94"/>
      <c r="C115" s="93"/>
      <c r="D115" s="88"/>
      <c r="E115" s="88"/>
      <c r="F115"/>
      <c r="G115" s="92" t="s">
        <v>43</v>
      </c>
      <c r="H115" s="92">
        <f>SUM(I115:J115)</f>
        <v>-20676.846363067398</v>
      </c>
      <c r="I115" s="92">
        <f>B110</f>
        <v>-20676.846363067398</v>
      </c>
    </row>
    <row r="116" spans="1:10" x14ac:dyDescent="0.35">
      <c r="E116" s="88"/>
      <c r="F116"/>
      <c r="G116" s="92" t="s">
        <v>42</v>
      </c>
      <c r="H116" s="92">
        <f>C110</f>
        <v>-9808.2616234999987</v>
      </c>
      <c r="I116" s="92"/>
      <c r="J116" s="92">
        <f>C110</f>
        <v>-9808.2616234999987</v>
      </c>
    </row>
    <row r="117" spans="1:10" ht="16" thickBot="1" x14ac:dyDescent="0.4">
      <c r="E117" s="88"/>
      <c r="F117"/>
      <c r="G117" s="92" t="s">
        <v>41</v>
      </c>
      <c r="H117" s="91">
        <f>SUM(H113:H116)</f>
        <v>-334005.89224378718</v>
      </c>
      <c r="I117" s="91">
        <f>SUM(I113:I116)</f>
        <v>-320219.81684870453</v>
      </c>
      <c r="J117" s="91">
        <f>SUM(J113:J116)</f>
        <v>-13786.075395082664</v>
      </c>
    </row>
    <row r="118" spans="1:10" ht="16" thickTop="1" x14ac:dyDescent="0.35">
      <c r="H118" s="88" t="s">
        <v>40</v>
      </c>
      <c r="I118">
        <v>-542611.80000000005</v>
      </c>
    </row>
    <row r="119" spans="1:10" x14ac:dyDescent="0.35">
      <c r="H119" s="88" t="s">
        <v>39</v>
      </c>
      <c r="I119" s="90">
        <f>I118-H117</f>
        <v>-208605.90775621287</v>
      </c>
    </row>
    <row r="121" spans="1:10" x14ac:dyDescent="0.35">
      <c r="A121" s="115" t="s">
        <v>31</v>
      </c>
      <c r="B121" s="88"/>
      <c r="C121" s="88"/>
      <c r="D121" s="88"/>
      <c r="E121" s="88"/>
    </row>
    <row r="122" spans="1:10" x14ac:dyDescent="0.35">
      <c r="A122" s="115" t="s">
        <v>47</v>
      </c>
      <c r="B122" s="88"/>
      <c r="C122" s="88"/>
      <c r="D122" s="88"/>
      <c r="E122" s="88"/>
    </row>
    <row r="123" spans="1:10" x14ac:dyDescent="0.35">
      <c r="A123" s="114">
        <v>1592.001</v>
      </c>
      <c r="B123" s="88"/>
      <c r="C123" s="88"/>
      <c r="D123" s="88"/>
      <c r="E123" s="88"/>
    </row>
    <row r="124" spans="1:10" x14ac:dyDescent="0.35">
      <c r="A124" s="88">
        <v>2023</v>
      </c>
      <c r="B124" s="88"/>
      <c r="C124" s="88"/>
      <c r="D124" s="88"/>
      <c r="E124" s="88"/>
    </row>
    <row r="125" spans="1:10" x14ac:dyDescent="0.35">
      <c r="A125" s="88"/>
      <c r="B125" s="88"/>
      <c r="C125" s="88"/>
      <c r="D125" s="88"/>
      <c r="E125" s="88"/>
    </row>
    <row r="126" spans="1:10" x14ac:dyDescent="0.35">
      <c r="A126" s="113"/>
      <c r="B126" s="105"/>
      <c r="C126" s="112" t="s">
        <v>56</v>
      </c>
      <c r="D126" s="112" t="s">
        <v>41</v>
      </c>
      <c r="E126" t="s">
        <v>55</v>
      </c>
      <c r="G126" t="s">
        <v>54</v>
      </c>
    </row>
    <row r="127" spans="1:10" x14ac:dyDescent="0.35">
      <c r="A127" s="88" t="s">
        <v>53</v>
      </c>
      <c r="B127" s="109"/>
      <c r="C127" s="109"/>
      <c r="D127" s="107">
        <f>D109</f>
        <v>-333950.48297477071</v>
      </c>
      <c r="E127" s="107">
        <f>E109</f>
        <v>-320219.81684870453</v>
      </c>
      <c r="F127" s="111"/>
      <c r="G127" s="107">
        <f>G109</f>
        <v>-13730.666126066179</v>
      </c>
    </row>
    <row r="128" spans="1:10" x14ac:dyDescent="0.35">
      <c r="A128" s="110">
        <v>44927</v>
      </c>
      <c r="B128" s="109"/>
      <c r="C128" s="109">
        <f t="shared" ref="C128:C139" si="14">E127*F128/12</f>
        <v>-1262.1997780786437</v>
      </c>
      <c r="D128" s="107">
        <f t="shared" ref="D128:D139" si="15">E128+G128</f>
        <v>-335212.68275284936</v>
      </c>
      <c r="E128" s="105">
        <f t="shared" ref="E128:E139" si="16">E127+B128</f>
        <v>-320219.81684870453</v>
      </c>
      <c r="F128" s="108">
        <f>VLOOKUP(A128,[4]Input!$A:$B,2,FALSE)</f>
        <v>4.7300000000000002E-2</v>
      </c>
      <c r="G128" s="107">
        <f t="shared" ref="G128:G139" si="17">G127+C128</f>
        <v>-14992.865904144823</v>
      </c>
    </row>
    <row r="129" spans="1:10" x14ac:dyDescent="0.35">
      <c r="A129" s="110">
        <v>44958</v>
      </c>
      <c r="B129" s="109"/>
      <c r="C129" s="109">
        <f t="shared" si="14"/>
        <v>-1262.1997780786437</v>
      </c>
      <c r="D129" s="107">
        <f t="shared" si="15"/>
        <v>-336474.88253092801</v>
      </c>
      <c r="E129" s="105">
        <f t="shared" si="16"/>
        <v>-320219.81684870453</v>
      </c>
      <c r="F129" s="108">
        <f>VLOOKUP(A129,[4]Input!$A:$B,2,FALSE)</f>
        <v>4.7300000000000002E-2</v>
      </c>
      <c r="G129" s="107">
        <f t="shared" si="17"/>
        <v>-16255.065682223467</v>
      </c>
    </row>
    <row r="130" spans="1:10" x14ac:dyDescent="0.35">
      <c r="A130" s="110">
        <v>44986</v>
      </c>
      <c r="B130" s="109"/>
      <c r="C130" s="109">
        <f t="shared" si="14"/>
        <v>-1262.1997780786437</v>
      </c>
      <c r="D130" s="107">
        <f t="shared" si="15"/>
        <v>-337737.08230900666</v>
      </c>
      <c r="E130" s="105">
        <f t="shared" si="16"/>
        <v>-320219.81684870453</v>
      </c>
      <c r="F130" s="108">
        <f>VLOOKUP(A130,[4]Input!$A:$B,2,FALSE)</f>
        <v>4.7300000000000002E-2</v>
      </c>
      <c r="G130" s="107">
        <f t="shared" si="17"/>
        <v>-17517.265460302111</v>
      </c>
    </row>
    <row r="131" spans="1:10" x14ac:dyDescent="0.35">
      <c r="A131" s="110">
        <v>45017</v>
      </c>
      <c r="B131" s="109"/>
      <c r="C131" s="109">
        <f t="shared" si="14"/>
        <v>-1328.9122399221237</v>
      </c>
      <c r="D131" s="107">
        <f t="shared" si="15"/>
        <v>-339065.99454892875</v>
      </c>
      <c r="E131" s="105">
        <f t="shared" si="16"/>
        <v>-320219.81684870453</v>
      </c>
      <c r="F131" s="108">
        <f>VLOOKUP(A131,[4]Input!$A:$B,2,FALSE)</f>
        <v>4.9799999999999997E-2</v>
      </c>
      <c r="G131" s="107">
        <f t="shared" si="17"/>
        <v>-18846.177700224234</v>
      </c>
    </row>
    <row r="132" spans="1:10" x14ac:dyDescent="0.35">
      <c r="A132" s="110">
        <v>45047</v>
      </c>
      <c r="B132" s="109"/>
      <c r="C132" s="109">
        <f t="shared" si="14"/>
        <v>-1328.9122399221237</v>
      </c>
      <c r="D132" s="107">
        <f t="shared" si="15"/>
        <v>-340394.9067888509</v>
      </c>
      <c r="E132" s="105">
        <f t="shared" si="16"/>
        <v>-320219.81684870453</v>
      </c>
      <c r="F132" s="108">
        <f>VLOOKUP(A132,[4]Input!$A:$B,2,FALSE)</f>
        <v>4.9799999999999997E-2</v>
      </c>
      <c r="G132" s="107">
        <f t="shared" si="17"/>
        <v>-20175.089940146358</v>
      </c>
    </row>
    <row r="133" spans="1:10" x14ac:dyDescent="0.35">
      <c r="A133" s="110">
        <v>45078</v>
      </c>
      <c r="B133" s="109"/>
      <c r="C133" s="109">
        <f t="shared" si="14"/>
        <v>-1328.9122399221237</v>
      </c>
      <c r="D133" s="107">
        <f t="shared" si="15"/>
        <v>-341723.819028773</v>
      </c>
      <c r="E133" s="105">
        <f t="shared" si="16"/>
        <v>-320219.81684870453</v>
      </c>
      <c r="F133" s="108">
        <f>VLOOKUP(A133,[4]Input!$A:$B,2,FALSE)</f>
        <v>4.9799999999999997E-2</v>
      </c>
      <c r="G133" s="107">
        <f t="shared" si="17"/>
        <v>-21504.002180068481</v>
      </c>
    </row>
    <row r="134" spans="1:10" x14ac:dyDescent="0.35">
      <c r="A134" s="110">
        <v>45108</v>
      </c>
      <c r="B134" s="109"/>
      <c r="C134" s="109">
        <f t="shared" si="14"/>
        <v>-1328.9122399221237</v>
      </c>
      <c r="D134" s="107">
        <f t="shared" si="15"/>
        <v>-343052.73126869515</v>
      </c>
      <c r="E134" s="105">
        <f t="shared" si="16"/>
        <v>-320219.81684870453</v>
      </c>
      <c r="F134" s="108">
        <f>VLOOKUP(A134,[4]Input!$A:$B,2,FALSE)</f>
        <v>4.9799999999999997E-2</v>
      </c>
      <c r="G134" s="107">
        <f t="shared" si="17"/>
        <v>-22832.914419990604</v>
      </c>
    </row>
    <row r="135" spans="1:10" x14ac:dyDescent="0.35">
      <c r="A135" s="110">
        <v>45139</v>
      </c>
      <c r="B135" s="109"/>
      <c r="C135" s="109">
        <f t="shared" si="14"/>
        <v>-1328.9122399221237</v>
      </c>
      <c r="D135" s="107">
        <f t="shared" si="15"/>
        <v>-344381.64350861724</v>
      </c>
      <c r="E135" s="105">
        <f t="shared" si="16"/>
        <v>-320219.81684870453</v>
      </c>
      <c r="F135" s="108">
        <f>VLOOKUP(A135,[4]Input!$A:$B,2,FALSE)</f>
        <v>4.9799999999999997E-2</v>
      </c>
      <c r="G135" s="107">
        <f t="shared" si="17"/>
        <v>-24161.826659912727</v>
      </c>
    </row>
    <row r="136" spans="1:10" x14ac:dyDescent="0.35">
      <c r="A136" s="110">
        <v>45170</v>
      </c>
      <c r="B136" s="109"/>
      <c r="C136" s="109">
        <f t="shared" si="14"/>
        <v>-1328.9122399221237</v>
      </c>
      <c r="D136" s="107">
        <f t="shared" si="15"/>
        <v>-345710.55574853939</v>
      </c>
      <c r="E136" s="105">
        <f t="shared" si="16"/>
        <v>-320219.81684870453</v>
      </c>
      <c r="F136" s="108">
        <f>VLOOKUP(A136,[4]Input!$A:$B,2,FALSE)</f>
        <v>4.9799999999999997E-2</v>
      </c>
      <c r="G136" s="107">
        <f t="shared" si="17"/>
        <v>-25490.738899834851</v>
      </c>
    </row>
    <row r="137" spans="1:10" x14ac:dyDescent="0.35">
      <c r="A137" s="110">
        <v>45200</v>
      </c>
      <c r="B137" s="109"/>
      <c r="C137" s="109">
        <f t="shared" si="14"/>
        <v>-1465.0056620828234</v>
      </c>
      <c r="D137" s="107">
        <f t="shared" si="15"/>
        <v>-347175.56141062221</v>
      </c>
      <c r="E137" s="105">
        <f t="shared" si="16"/>
        <v>-320219.81684870453</v>
      </c>
      <c r="F137" s="108">
        <f>VLOOKUP(A137,[4]Input!$A:$B,2,FALSE)</f>
        <v>5.4899999999999997E-2</v>
      </c>
      <c r="G137" s="107">
        <f t="shared" si="17"/>
        <v>-26955.744561917672</v>
      </c>
    </row>
    <row r="138" spans="1:10" x14ac:dyDescent="0.35">
      <c r="A138" s="110">
        <v>45231</v>
      </c>
      <c r="B138" s="109"/>
      <c r="C138" s="109">
        <f t="shared" si="14"/>
        <v>-1465.0056620828234</v>
      </c>
      <c r="D138" s="107">
        <f t="shared" si="15"/>
        <v>-348640.56707270502</v>
      </c>
      <c r="E138" s="105">
        <f t="shared" si="16"/>
        <v>-320219.81684870453</v>
      </c>
      <c r="F138" s="108">
        <f>VLOOKUP(A138,[4]Input!$A:$B,2,FALSE)</f>
        <v>5.4899999999999997E-2</v>
      </c>
      <c r="G138" s="107">
        <f t="shared" si="17"/>
        <v>-28420.750224000494</v>
      </c>
    </row>
    <row r="139" spans="1:10" x14ac:dyDescent="0.35">
      <c r="A139" s="110">
        <v>45261</v>
      </c>
      <c r="B139" s="109">
        <f>'[2]Comparison by KPMG'!I176</f>
        <v>-50328.153685779907</v>
      </c>
      <c r="C139" s="109">
        <f t="shared" si="14"/>
        <v>-1465.0056620828234</v>
      </c>
      <c r="D139" s="107">
        <f t="shared" si="15"/>
        <v>-400433.72642056772</v>
      </c>
      <c r="E139" s="105">
        <f t="shared" si="16"/>
        <v>-370547.97053448443</v>
      </c>
      <c r="F139" s="108">
        <f>VLOOKUP(A139,[4]Input!$A:$B,2,FALSE)</f>
        <v>5.4899999999999997E-2</v>
      </c>
      <c r="G139" s="107">
        <f t="shared" si="17"/>
        <v>-29885.755886083316</v>
      </c>
    </row>
    <row r="140" spans="1:10" ht="16" thickBot="1" x14ac:dyDescent="0.4">
      <c r="A140" s="88"/>
      <c r="B140" s="106">
        <f>SUM(B128:B139)</f>
        <v>-50328.153685779907</v>
      </c>
      <c r="C140" s="106">
        <f>SUM(C128:C139)</f>
        <v>-16155.089760017143</v>
      </c>
      <c r="D140" s="105"/>
      <c r="E140" s="88"/>
    </row>
    <row r="141" spans="1:10" ht="16.5" thickTop="1" thickBot="1" x14ac:dyDescent="0.4">
      <c r="A141" s="88"/>
      <c r="B141" s="88"/>
      <c r="C141" s="88"/>
      <c r="D141" s="88"/>
      <c r="E141" s="88"/>
      <c r="F141"/>
    </row>
    <row r="142" spans="1:10" ht="19" thickBot="1" x14ac:dyDescent="0.7">
      <c r="A142" s="104" t="s">
        <v>52</v>
      </c>
      <c r="B142" s="103"/>
      <c r="C142" s="102"/>
      <c r="D142" s="88"/>
      <c r="E142" s="88"/>
      <c r="F142"/>
      <c r="G142" s="101" t="s">
        <v>51</v>
      </c>
      <c r="H142" s="92"/>
      <c r="I142" s="96" t="s">
        <v>50</v>
      </c>
      <c r="J142" s="96" t="s">
        <v>49</v>
      </c>
    </row>
    <row r="143" spans="1:10" x14ac:dyDescent="0.35">
      <c r="A143" s="99" t="s">
        <v>48</v>
      </c>
      <c r="B143" s="98" t="s">
        <v>47</v>
      </c>
      <c r="C143" s="100">
        <f>C139</f>
        <v>-1465.0056620828234</v>
      </c>
      <c r="D143" s="88"/>
      <c r="E143" s="88"/>
      <c r="F143"/>
      <c r="G143" s="92" t="s">
        <v>46</v>
      </c>
      <c r="H143" s="92">
        <f>SUM(I143:J143)</f>
        <v>-333950.48297477071</v>
      </c>
      <c r="I143" s="92">
        <f>E127</f>
        <v>-320219.81684870453</v>
      </c>
      <c r="J143" s="92">
        <f>G109</f>
        <v>-13730.666126066179</v>
      </c>
    </row>
    <row r="144" spans="1:10" x14ac:dyDescent="0.35">
      <c r="A144" s="99" t="str">
        <f>IF(C144&gt;0,"6035.002-VR","4405.002-VR")</f>
        <v>6035.002-VR</v>
      </c>
      <c r="B144" s="98" t="str">
        <f>IF(C144&gt;0,"Interest Expense DVA","Interest Income DVA")</f>
        <v>Interest Expense DVA</v>
      </c>
      <c r="C144" s="97">
        <f>-C143</f>
        <v>1465.0056620828234</v>
      </c>
      <c r="D144" s="88"/>
      <c r="E144" s="88"/>
      <c r="F144"/>
      <c r="G144" s="96" t="s">
        <v>45</v>
      </c>
      <c r="H144" s="92"/>
      <c r="I144" s="92"/>
      <c r="J144" s="92"/>
    </row>
    <row r="145" spans="1:10" ht="16" thickBot="1" x14ac:dyDescent="0.4">
      <c r="A145" s="95" t="s">
        <v>44</v>
      </c>
      <c r="B145" s="94"/>
      <c r="C145" s="93"/>
      <c r="D145" s="88"/>
      <c r="E145" s="88"/>
      <c r="F145"/>
      <c r="G145" s="92" t="s">
        <v>43</v>
      </c>
      <c r="H145" s="92">
        <f>SUM(I145:J145)</f>
        <v>-50328.153685779907</v>
      </c>
      <c r="I145" s="92">
        <f>B140</f>
        <v>-50328.153685779907</v>
      </c>
    </row>
    <row r="146" spans="1:10" x14ac:dyDescent="0.35">
      <c r="E146" s="88"/>
      <c r="F146"/>
      <c r="G146" s="92" t="s">
        <v>42</v>
      </c>
      <c r="H146" s="92">
        <f>C140</f>
        <v>-16155.089760017143</v>
      </c>
      <c r="I146" s="92"/>
      <c r="J146" s="92">
        <f>C140</f>
        <v>-16155.089760017143</v>
      </c>
    </row>
    <row r="147" spans="1:10" ht="16" thickBot="1" x14ac:dyDescent="0.4">
      <c r="E147" s="88"/>
      <c r="F147"/>
      <c r="G147" s="92" t="s">
        <v>41</v>
      </c>
      <c r="H147" s="91">
        <f>SUM(H143:H146)</f>
        <v>-400433.72642056772</v>
      </c>
      <c r="I147" s="91">
        <f>SUM(I143:I146)</f>
        <v>-370547.97053448443</v>
      </c>
      <c r="J147" s="91">
        <f>SUM(J143:J146)</f>
        <v>-29885.755886083323</v>
      </c>
    </row>
    <row r="148" spans="1:10" ht="16" thickTop="1" x14ac:dyDescent="0.35">
      <c r="H148" s="88" t="s">
        <v>40</v>
      </c>
      <c r="I148">
        <v>-701709.05</v>
      </c>
    </row>
    <row r="149" spans="1:10" x14ac:dyDescent="0.35">
      <c r="H149" s="88" t="s">
        <v>39</v>
      </c>
      <c r="I149" s="90">
        <f>I148-H147</f>
        <v>-301275.32357943233</v>
      </c>
    </row>
    <row r="150" spans="1:10" x14ac:dyDescent="0.35">
      <c r="I150" s="89">
        <f>I147-'[2]1592.001 - Original'!I147</f>
        <v>286903.61946551554</v>
      </c>
      <c r="J150" s="89">
        <f>J147-'[2]1592.001 - Original'!J147</f>
        <v>14371.70780341667</v>
      </c>
    </row>
  </sheetData>
  <pageMargins left="0.7" right="0.7" top="0.75" bottom="0.75" header="0.3" footer="0.3"/>
  <pageSetup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1592.001 - Correction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Lem, Kaitlin</dc:creator>
  <cp:lastModifiedBy>Megan Gooding</cp:lastModifiedBy>
  <dcterms:created xsi:type="dcterms:W3CDTF">2024-04-04T14:05:13Z</dcterms:created>
  <dcterms:modified xsi:type="dcterms:W3CDTF">2024-05-08T15:59:51Z</dcterms:modified>
</cp:coreProperties>
</file>