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pegresearch-my.sharepoint.com/personal/mnlowry_pacificeconomicsgroup_com/Documents/Microsoft Teams Chat Files/"/>
    </mc:Choice>
  </mc:AlternateContent>
  <xr:revisionPtr revIDLastSave="797" documentId="8_{99880AFC-9C5A-44ED-8591-E87298BD7DF3}" xr6:coauthVersionLast="47" xr6:coauthVersionMax="47" xr10:uidLastSave="{2B1C5A98-CA8A-465B-BF83-34F4234C6D9F}"/>
  <bookViews>
    <workbookView xWindow="28680" yWindow="1725" windowWidth="29040" windowHeight="15720" xr2:uid="{00000000-000D-0000-FFFF-FFFF00000000}"/>
  </bookViews>
  <sheets>
    <sheet name="THESL Capex Calculations" sheetId="3" r:id="rId1"/>
    <sheet name="Customer &amp; Gen Connections" sheetId="5" r:id="rId2"/>
    <sheet name="External Initiated Calcs" sheetId="4" r:id="rId3"/>
  </sheets>
  <externalReferences>
    <externalReference r:id="rId4"/>
  </externalReferences>
  <definedNames>
    <definedName name="_Key1" localSheetId="0" hidden="1">#REF!</definedName>
    <definedName name="_Key1" hidden="1">#REF!</definedName>
    <definedName name="_Order1" hidden="1">0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0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localSheetId="0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localSheetId="0" hidden="1">[1]summary!#REF!</definedName>
    <definedName name="Crystal_1_1_WEBI_DataGrid" hidden="1">[1]summary!#REF!</definedName>
    <definedName name="Crystal_1_1_WEBI_HHeading" localSheetId="0" hidden="1">[1]summary!#REF!</definedName>
    <definedName name="Crystal_1_1_WEBI_HHeading" hidden="1">[1]summary!#REF!</definedName>
    <definedName name="Crystal_1_1_WEBI_Table" localSheetId="0" hidden="1">[1]summary!#REF!</definedName>
    <definedName name="Crystal_1_1_WEBI_Table" hidden="1">[1]summary!#REF!</definedName>
    <definedName name="Crystal_10_1_WEBI_DataGrid" localSheetId="0" hidden="1">#REF!</definedName>
    <definedName name="Crystal_10_1_WEBI_DataGrid" hidden="1">#REF!</definedName>
    <definedName name="Crystal_10_1_WEBI_HHeading" localSheetId="0" hidden="1">#REF!</definedName>
    <definedName name="Crystal_10_1_WEBI_HHeading" hidden="1">#REF!</definedName>
    <definedName name="Crystal_10_1_WEBI_Table" localSheetId="0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localSheetId="0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e" localSheetId="0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localSheetId="0" hidden="1">#REF!</definedName>
    <definedName name="etet" hidden="1">#REF!</definedName>
    <definedName name="ff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0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localSheetId="0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jhgjhgjg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j" localSheetId="0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0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0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0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localSheetId="0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localSheetId="0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0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j\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localSheetId="0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localSheetId="0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localSheetId="0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p" localSheetId="0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localSheetId="0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'THESL Capex Calculations'!$C$2:$AF$70</definedName>
    <definedName name="rr" localSheetId="0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tyr" localSheetId="0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localSheetId="0" hidden="1">#REF!</definedName>
    <definedName name="tretert" hidden="1">#REF!</definedName>
    <definedName name="tryytry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localSheetId="0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localSheetId="0" hidden="1">#REF!</definedName>
    <definedName name="tutu" hidden="1">#REF!</definedName>
    <definedName name="uu" localSheetId="0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localSheetId="0" hidden="1">#REF!</definedName>
    <definedName name="uuu" hidden="1">#REF!</definedName>
    <definedName name="uuuu" localSheetId="0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localSheetId="0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localSheetId="0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0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0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0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0" hidden="1">{"datatable",#N/A,FALSE,"Cust.Adds_Volumes"}</definedName>
    <definedName name="wrn.custadds_volumes." hidden="1">{"datatable",#N/A,FALSE,"Cust.Adds_Volumes"}</definedName>
    <definedName name="wrn.Depreciation._.Expense." localSheetId="0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0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0" hidden="1">{"income",#N/A,FALSE,"income_statement"}</definedName>
    <definedName name="wrn.income." hidden="1">{"income",#N/A,FALSE,"income_statement"}</definedName>
    <definedName name="wrn.Input._.Items." localSheetId="0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0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0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localSheetId="0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y" localSheetId="0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3" l="1"/>
  <c r="H66" i="3"/>
  <c r="X64" i="3"/>
  <c r="X66" i="3"/>
  <c r="F10" i="3" l="1"/>
  <c r="G10" i="3"/>
  <c r="H10" i="3"/>
  <c r="I10" i="3"/>
  <c r="E10" i="3"/>
  <c r="Y10" i="3"/>
  <c r="Z10" i="3"/>
  <c r="AA10" i="3"/>
  <c r="AB10" i="3"/>
  <c r="X10" i="3"/>
  <c r="AE37" i="3"/>
  <c r="C7" i="5"/>
  <c r="D7" i="5"/>
  <c r="E7" i="5"/>
  <c r="F7" i="5"/>
  <c r="G7" i="5"/>
  <c r="H7" i="5"/>
  <c r="I7" i="5"/>
  <c r="J7" i="5"/>
  <c r="K7" i="5"/>
  <c r="B7" i="5"/>
  <c r="AE31" i="3"/>
  <c r="AE30" i="3"/>
  <c r="AE29" i="3"/>
  <c r="AE28" i="3"/>
  <c r="AE57" i="3"/>
  <c r="AE56" i="3"/>
  <c r="AE52" i="3"/>
  <c r="AE40" i="3"/>
  <c r="AE48" i="3"/>
  <c r="AE47" i="3"/>
  <c r="AE46" i="3"/>
  <c r="AE36" i="3"/>
  <c r="AE27" i="3"/>
  <c r="AE26" i="3"/>
  <c r="AE22" i="3"/>
  <c r="AE21" i="3"/>
  <c r="AE20" i="3"/>
  <c r="V6" i="3"/>
  <c r="U6" i="3"/>
  <c r="T6" i="3"/>
  <c r="S6" i="3"/>
  <c r="R6" i="3"/>
  <c r="I6" i="3"/>
  <c r="H6" i="3"/>
  <c r="N6" i="3" s="1"/>
  <c r="G6" i="3"/>
  <c r="M6" i="3" s="1"/>
  <c r="F6" i="3"/>
  <c r="L6" i="3" s="1"/>
  <c r="E6" i="3"/>
  <c r="K6" i="3" s="1"/>
  <c r="K10" i="3" l="1"/>
  <c r="O6" i="3"/>
  <c r="AE10" i="3"/>
  <c r="O57" i="3" l="1"/>
  <c r="N57" i="3"/>
  <c r="M57" i="3"/>
  <c r="L57" i="3"/>
  <c r="O56" i="3"/>
  <c r="N56" i="3"/>
  <c r="M56" i="3"/>
  <c r="L56" i="3"/>
  <c r="O52" i="3"/>
  <c r="N52" i="3"/>
  <c r="M52" i="3"/>
  <c r="L52" i="3"/>
  <c r="O48" i="3"/>
  <c r="N48" i="3"/>
  <c r="M48" i="3"/>
  <c r="L48" i="3"/>
  <c r="O47" i="3"/>
  <c r="N47" i="3"/>
  <c r="M47" i="3"/>
  <c r="L47" i="3"/>
  <c r="O46" i="3"/>
  <c r="N46" i="3"/>
  <c r="M46" i="3"/>
  <c r="L46" i="3"/>
  <c r="O40" i="3"/>
  <c r="N40" i="3"/>
  <c r="M40" i="3"/>
  <c r="L40" i="3"/>
  <c r="O37" i="3"/>
  <c r="N37" i="3"/>
  <c r="M37" i="3"/>
  <c r="L37" i="3"/>
  <c r="O36" i="3"/>
  <c r="N36" i="3"/>
  <c r="M36" i="3"/>
  <c r="L36" i="3"/>
  <c r="O31" i="3"/>
  <c r="N31" i="3"/>
  <c r="M31" i="3"/>
  <c r="L31" i="3"/>
  <c r="O30" i="3"/>
  <c r="N30" i="3"/>
  <c r="M30" i="3"/>
  <c r="L30" i="3"/>
  <c r="O29" i="3"/>
  <c r="N29" i="3"/>
  <c r="M29" i="3"/>
  <c r="L29" i="3"/>
  <c r="O28" i="3"/>
  <c r="N28" i="3"/>
  <c r="M28" i="3"/>
  <c r="L28" i="3"/>
  <c r="O27" i="3"/>
  <c r="N27" i="3"/>
  <c r="M27" i="3"/>
  <c r="L27" i="3"/>
  <c r="O26" i="3"/>
  <c r="N26" i="3"/>
  <c r="M26" i="3"/>
  <c r="L26" i="3"/>
  <c r="O22" i="3"/>
  <c r="N22" i="3"/>
  <c r="M22" i="3"/>
  <c r="L22" i="3"/>
  <c r="O21" i="3"/>
  <c r="N21" i="3"/>
  <c r="M21" i="3"/>
  <c r="L21" i="3"/>
  <c r="O20" i="3"/>
  <c r="N20" i="3"/>
  <c r="M20" i="3"/>
  <c r="L20" i="3"/>
  <c r="O10" i="3"/>
  <c r="N10" i="3"/>
  <c r="M10" i="3"/>
  <c r="L10" i="3"/>
  <c r="K57" i="3"/>
  <c r="K56" i="3"/>
  <c r="K52" i="3"/>
  <c r="K48" i="3"/>
  <c r="K47" i="3"/>
  <c r="K46" i="3"/>
  <c r="K40" i="3"/>
  <c r="K37" i="3"/>
  <c r="K36" i="3"/>
  <c r="K31" i="3"/>
  <c r="K30" i="3"/>
  <c r="K29" i="3"/>
  <c r="K28" i="3"/>
  <c r="K27" i="3"/>
  <c r="K26" i="3"/>
  <c r="K22" i="3"/>
  <c r="K21" i="3"/>
  <c r="K20" i="3"/>
  <c r="A85" i="3"/>
  <c r="P10" i="3" l="1"/>
  <c r="S10" i="3" s="1"/>
  <c r="P56" i="3"/>
  <c r="V56" i="3" s="1"/>
  <c r="P31" i="3"/>
  <c r="V10" i="3"/>
  <c r="P36" i="3"/>
  <c r="P29" i="3"/>
  <c r="P21" i="3"/>
  <c r="P22" i="3"/>
  <c r="P30" i="3"/>
  <c r="P46" i="3"/>
  <c r="P47" i="3"/>
  <c r="P48" i="3"/>
  <c r="P37" i="3"/>
  <c r="P20" i="3"/>
  <c r="P28" i="3"/>
  <c r="P40" i="3"/>
  <c r="P57" i="3"/>
  <c r="P26" i="3"/>
  <c r="P27" i="3"/>
  <c r="P52" i="3"/>
  <c r="E11" i="3"/>
  <c r="E64" i="3" s="1"/>
  <c r="F11" i="3"/>
  <c r="F64" i="3" s="1"/>
  <c r="G11" i="3"/>
  <c r="G64" i="3" s="1"/>
  <c r="B5" i="4"/>
  <c r="C5" i="4"/>
  <c r="D5" i="4"/>
  <c r="Y11" i="3"/>
  <c r="Y64" i="3" s="1"/>
  <c r="Z11" i="3"/>
  <c r="Z64" i="3" s="1"/>
  <c r="AA11" i="3"/>
  <c r="AA64" i="3" s="1"/>
  <c r="AB11" i="3"/>
  <c r="AB64" i="3" s="1"/>
  <c r="X11" i="3"/>
  <c r="I11" i="3"/>
  <c r="I64" i="3" s="1"/>
  <c r="H11" i="3"/>
  <c r="H64" i="3" s="1"/>
  <c r="F5" i="4"/>
  <c r="G5" i="4"/>
  <c r="H5" i="4"/>
  <c r="I5" i="4"/>
  <c r="J5" i="4"/>
  <c r="K5" i="4"/>
  <c r="E5" i="4"/>
  <c r="AB51" i="3"/>
  <c r="AA51" i="3"/>
  <c r="Z51" i="3"/>
  <c r="Y51" i="3"/>
  <c r="X51" i="3"/>
  <c r="I51" i="3"/>
  <c r="H51" i="3"/>
  <c r="G51" i="3"/>
  <c r="F51" i="3"/>
  <c r="E51" i="3"/>
  <c r="K51" i="3" s="1"/>
  <c r="AB25" i="3"/>
  <c r="AA25" i="3"/>
  <c r="Z25" i="3"/>
  <c r="Y25" i="3"/>
  <c r="X25" i="3"/>
  <c r="I25" i="3"/>
  <c r="H25" i="3"/>
  <c r="G25" i="3"/>
  <c r="F25" i="3"/>
  <c r="E25" i="3"/>
  <c r="K25" i="3" s="1"/>
  <c r="E66" i="3" l="1"/>
  <c r="E67" i="3"/>
  <c r="K67" i="3"/>
  <c r="U10" i="3"/>
  <c r="AE25" i="3"/>
  <c r="N25" i="3"/>
  <c r="N51" i="3"/>
  <c r="O51" i="3"/>
  <c r="AE51" i="3"/>
  <c r="T10" i="3"/>
  <c r="AD10" i="3" s="1"/>
  <c r="AF10" i="3" s="1"/>
  <c r="O25" i="3"/>
  <c r="L51" i="3"/>
  <c r="L25" i="3"/>
  <c r="L67" i="3" s="1"/>
  <c r="M51" i="3"/>
  <c r="M25" i="3"/>
  <c r="T56" i="3"/>
  <c r="U56" i="3"/>
  <c r="S56" i="3"/>
  <c r="AD56" i="3" s="1"/>
  <c r="AF56" i="3" s="1"/>
  <c r="U48" i="3"/>
  <c r="S48" i="3"/>
  <c r="V48" i="3"/>
  <c r="T48" i="3"/>
  <c r="V30" i="3"/>
  <c r="U30" i="3"/>
  <c r="T30" i="3"/>
  <c r="S30" i="3"/>
  <c r="V52" i="3"/>
  <c r="T52" i="3"/>
  <c r="S52" i="3"/>
  <c r="U52" i="3"/>
  <c r="S22" i="3"/>
  <c r="V22" i="3"/>
  <c r="T22" i="3"/>
  <c r="U22" i="3"/>
  <c r="T27" i="3"/>
  <c r="S27" i="3"/>
  <c r="V27" i="3"/>
  <c r="U27" i="3"/>
  <c r="T21" i="3"/>
  <c r="S21" i="3"/>
  <c r="U21" i="3"/>
  <c r="V21" i="3"/>
  <c r="V47" i="3"/>
  <c r="T47" i="3"/>
  <c r="U47" i="3"/>
  <c r="S47" i="3"/>
  <c r="U36" i="3"/>
  <c r="T36" i="3"/>
  <c r="V36" i="3"/>
  <c r="S36" i="3"/>
  <c r="AD36" i="3" s="1"/>
  <c r="AF36" i="3" s="1"/>
  <c r="V57" i="3"/>
  <c r="U57" i="3"/>
  <c r="T57" i="3"/>
  <c r="S57" i="3"/>
  <c r="U31" i="3"/>
  <c r="V31" i="3"/>
  <c r="T31" i="3"/>
  <c r="S31" i="3"/>
  <c r="U46" i="3"/>
  <c r="V46" i="3"/>
  <c r="T46" i="3"/>
  <c r="S46" i="3"/>
  <c r="T29" i="3"/>
  <c r="S29" i="3"/>
  <c r="V29" i="3"/>
  <c r="U29" i="3"/>
  <c r="V26" i="3"/>
  <c r="T26" i="3"/>
  <c r="U26" i="3"/>
  <c r="S26" i="3"/>
  <c r="T40" i="3"/>
  <c r="V40" i="3"/>
  <c r="U40" i="3"/>
  <c r="S40" i="3"/>
  <c r="T28" i="3"/>
  <c r="S28" i="3"/>
  <c r="V28" i="3"/>
  <c r="U28" i="3"/>
  <c r="T20" i="3"/>
  <c r="U20" i="3"/>
  <c r="S20" i="3"/>
  <c r="V20" i="3"/>
  <c r="T37" i="3"/>
  <c r="V37" i="3"/>
  <c r="U37" i="3"/>
  <c r="S37" i="3"/>
  <c r="AD37" i="3" s="1"/>
  <c r="G66" i="3"/>
  <c r="X67" i="3"/>
  <c r="Y66" i="3"/>
  <c r="AA66" i="3"/>
  <c r="Z66" i="3"/>
  <c r="AB67" i="3"/>
  <c r="F67" i="3"/>
  <c r="G67" i="3"/>
  <c r="Y67" i="3"/>
  <c r="AD40" i="3" l="1"/>
  <c r="AD31" i="3"/>
  <c r="AF31" i="3" s="1"/>
  <c r="P51" i="3"/>
  <c r="AD46" i="3"/>
  <c r="AF46" i="3" s="1"/>
  <c r="AD47" i="3"/>
  <c r="AF47" i="3" s="1"/>
  <c r="AD30" i="3"/>
  <c r="O67" i="3"/>
  <c r="M67" i="3"/>
  <c r="V51" i="3"/>
  <c r="S51" i="3"/>
  <c r="U51" i="3"/>
  <c r="T51" i="3"/>
  <c r="AD29" i="3"/>
  <c r="P25" i="3"/>
  <c r="AD28" i="3"/>
  <c r="AD48" i="3"/>
  <c r="AF48" i="3" s="1"/>
  <c r="AD26" i="3"/>
  <c r="AF26" i="3" s="1"/>
  <c r="AD57" i="3"/>
  <c r="N67" i="3"/>
  <c r="AD52" i="3"/>
  <c r="AD21" i="3"/>
  <c r="AF21" i="3" s="1"/>
  <c r="AD27" i="3"/>
  <c r="AF27" i="3" s="1"/>
  <c r="AD20" i="3"/>
  <c r="AF20" i="3" s="1"/>
  <c r="AD22" i="3"/>
  <c r="AF22" i="3" s="1"/>
  <c r="I67" i="3"/>
  <c r="AA67" i="3"/>
  <c r="Z67" i="3"/>
  <c r="AE67" i="3" s="1"/>
  <c r="H67" i="3"/>
  <c r="F66" i="3"/>
  <c r="AB66" i="3"/>
  <c r="T25" i="3" l="1"/>
  <c r="T67" i="3" s="1"/>
  <c r="S25" i="3"/>
  <c r="U25" i="3"/>
  <c r="U67" i="3" s="1"/>
  <c r="V25" i="3"/>
  <c r="V67" i="3" s="1"/>
  <c r="P67" i="3"/>
  <c r="AD51" i="3"/>
  <c r="AF51" i="3" s="1"/>
  <c r="AD25" i="3" l="1"/>
  <c r="AF25" i="3" s="1"/>
  <c r="S67" i="3"/>
  <c r="AD67" i="3" s="1"/>
  <c r="AF67" i="3" l="1"/>
</calcChain>
</file>

<file path=xl/sharedStrings.xml><?xml version="1.0" encoding="utf-8"?>
<sst xmlns="http://schemas.openxmlformats.org/spreadsheetml/2006/main" count="105" uniqueCount="87">
  <si>
    <t>Total</t>
  </si>
  <si>
    <t>Network System Renewal</t>
  </si>
  <si>
    <t>Reactive and Corrective Capital</t>
  </si>
  <si>
    <t>Stations Renewal</t>
  </si>
  <si>
    <t>Overhead Infrastructure Relocation</t>
  </si>
  <si>
    <t>PILC Piece Outs &amp; Leakers</t>
  </si>
  <si>
    <t>Underground Legacy Infrastructure</t>
  </si>
  <si>
    <t>Overhead System Renewal</t>
  </si>
  <si>
    <t>Network Condition Monitoring and Control</t>
  </si>
  <si>
    <t>Overhead Momentary Reduction</t>
  </si>
  <si>
    <t>Design Enhancement</t>
  </si>
  <si>
    <t>Facilities Management and Security</t>
  </si>
  <si>
    <t>Fleet and Equipment</t>
  </si>
  <si>
    <t>IT/OT Systems</t>
  </si>
  <si>
    <t>AFUDC</t>
  </si>
  <si>
    <t>Other Total</t>
  </si>
  <si>
    <t>Miscellaneous</t>
  </si>
  <si>
    <t>Underground Renewal - Downtown</t>
  </si>
  <si>
    <t>Underground Renewal - Horseshoe</t>
  </si>
  <si>
    <t>Other Total Expenditures</t>
  </si>
  <si>
    <t>Miscellaneous Capital Contributions</t>
  </si>
  <si>
    <t>Control Operations Reinforcement</t>
  </si>
  <si>
    <t>Enterprise Data Centre</t>
  </si>
  <si>
    <t>Non-tracked portion</t>
  </si>
  <si>
    <t>Comments</t>
  </si>
  <si>
    <t>[A]</t>
  </si>
  <si>
    <t>[B]</t>
  </si>
  <si>
    <t>Subtotal</t>
  </si>
  <si>
    <t>[A/B]</t>
  </si>
  <si>
    <t>Subtotal: System Access Total Expenditures</t>
  </si>
  <si>
    <t>Subtotal: System Access Capital Contributions</t>
  </si>
  <si>
    <t>Subtotal: System Access Net Expenditures</t>
  </si>
  <si>
    <t>Subtotal: System Renewal Total Expenditures</t>
  </si>
  <si>
    <t>Subtotal: System Renewal Capital Contributions</t>
  </si>
  <si>
    <t>Subtotal: System Renewal Net Expenditures</t>
  </si>
  <si>
    <t>Subtotal: System Service Total Expenditures</t>
  </si>
  <si>
    <t>Subtotal: System Service Capital Contributions</t>
  </si>
  <si>
    <t>Subtotal: System Service Net Expenditures</t>
  </si>
  <si>
    <t>Subtotal: General Plant Total Expenditures</t>
  </si>
  <si>
    <t>Subtotal: General Plant Capital Contributions</t>
  </si>
  <si>
    <t>Subtotal: General Plant Net Expenditures</t>
  </si>
  <si>
    <t>K-Bar Capex: PEG Candidates</t>
  </si>
  <si>
    <t>Total Net Capex</t>
  </si>
  <si>
    <r>
      <t>Generation Protection, Monitoring and Control (e.g., monitoring and control systems for renewable DER facilities greater than 50 kW)</t>
    </r>
    <r>
      <rPr>
        <vertAlign val="superscript"/>
        <sz val="11"/>
        <rFont val="Calibri"/>
        <family val="2"/>
        <scheme val="minor"/>
      </rPr>
      <t>1</t>
    </r>
  </si>
  <si>
    <r>
      <t>Metering</t>
    </r>
    <r>
      <rPr>
        <vertAlign val="superscript"/>
        <sz val="11"/>
        <rFont val="Calibri"/>
        <family val="2"/>
        <scheme val="minor"/>
      </rPr>
      <t>1</t>
    </r>
  </si>
  <si>
    <r>
      <t>Tracked portion - Control &amp; Monitoring (e.g., interstation control wiring upgrades from copper to fiber)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</t>
    </r>
  </si>
  <si>
    <r>
      <t>System Enhancements (e.g., installation of sensors, remotely operable feeder ties)</t>
    </r>
    <r>
      <rPr>
        <vertAlign val="superscript"/>
        <sz val="11"/>
        <rFont val="Calibri"/>
        <family val="2"/>
        <scheme val="minor"/>
      </rPr>
      <t>1</t>
    </r>
  </si>
  <si>
    <r>
      <t>Tracked portion - Communications infrastructure (e.g., replacing radio SCADA endpoints on poles with cellular SCADA endpoints)</t>
    </r>
    <r>
      <rPr>
        <vertAlign val="superscript"/>
        <sz val="11"/>
        <rFont val="Calibri"/>
        <family val="2"/>
        <scheme val="minor"/>
      </rPr>
      <t>1</t>
    </r>
  </si>
  <si>
    <t>System Access</t>
  </si>
  <si>
    <t>System Renewal</t>
  </si>
  <si>
    <t>System Service</t>
  </si>
  <si>
    <t>General Plant</t>
  </si>
  <si>
    <t xml:space="preserve">Less Renewable Generation Facility Assets and Other Non-Rate-Regulated Utility Assets </t>
  </si>
  <si>
    <t>Area Conversions (e.g., rear lot and box construction)</t>
  </si>
  <si>
    <r>
      <t>Non-Wires Solutions (e.g., storage)</t>
    </r>
    <r>
      <rPr>
        <vertAlign val="superscript"/>
        <sz val="11"/>
        <rFont val="Calibri"/>
        <family val="2"/>
        <scheme val="minor"/>
      </rPr>
      <t>1</t>
    </r>
  </si>
  <si>
    <r>
      <t>Externally-Initiated Plant Relocations &amp; Expansion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(net of contributions)</t>
    </r>
  </si>
  <si>
    <r>
      <t>Stations Expansion</t>
    </r>
    <r>
      <rPr>
        <vertAlign val="superscript"/>
        <sz val="11"/>
        <rFont val="Calibri"/>
        <family val="2"/>
        <scheme val="minor"/>
      </rPr>
      <t>1</t>
    </r>
  </si>
  <si>
    <t>Source of capex data: EB-2023-0195, Exhibit 2B, Section E4, Appendix B, p.1, April 2, 2024</t>
  </si>
  <si>
    <t>Gross Capex</t>
  </si>
  <si>
    <t>Capital Contributions</t>
  </si>
  <si>
    <t>Net Capex</t>
  </si>
  <si>
    <t>Calculation of Externally Initiated Plant Relocations and Expansion</t>
  </si>
  <si>
    <t>Table 2</t>
  </si>
  <si>
    <t>Revenue Cap Index</t>
  </si>
  <si>
    <t>Growth  Rate</t>
  </si>
  <si>
    <t>Calculating K-Bar Capex Budgets for THESL</t>
  </si>
  <si>
    <t>Average</t>
  </si>
  <si>
    <t>Revenue Cap Index Growth Rate</t>
  </si>
  <si>
    <t>Averages 2026-2029</t>
  </si>
  <si>
    <t>Customer and Generation Connections Gross Capex</t>
  </si>
  <si>
    <t>Customer Connections Capital Contributions</t>
  </si>
  <si>
    <t>Generation Connections Capital Contributions</t>
  </si>
  <si>
    <t>Customer and Generation Connections (net of contributions)</t>
  </si>
  <si>
    <t>Illustrative Establishment of Capex Budgets for K-bar Calculations</t>
  </si>
  <si>
    <t>% Forecasted and/or Tracked</t>
  </si>
  <si>
    <r>
      <t>Forecasted and/or Tracked Capex: PEG Candidates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</si>
  <si>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Shaded rows indicate capex projects PEG currently considers candidates for forecasting and/or in some cases variance account treatment.  </t>
    </r>
  </si>
  <si>
    <t>Expiring Plan Capex (Nominal $)</t>
  </si>
  <si>
    <t>Expiring Plan Capex (2024$)</t>
  </si>
  <si>
    <t>New Plan Capex (K-bar Budget)</t>
  </si>
  <si>
    <t>New Plan Capex (THESL Proposal)</t>
  </si>
  <si>
    <t>THESL Proposed Capex</t>
  </si>
  <si>
    <t>Capex Shortfall</t>
  </si>
  <si>
    <t>Capex Projects</t>
  </si>
  <si>
    <t xml:space="preserve">K-Bar Capex Budget </t>
  </si>
  <si>
    <r>
      <t>Load Demand</t>
    </r>
    <r>
      <rPr>
        <vertAlign val="superscript"/>
        <sz val="11"/>
        <rFont val="Calibri"/>
        <family val="2"/>
        <scheme val="minor"/>
      </rPr>
      <t>1</t>
    </r>
  </si>
  <si>
    <t>Most capex in this category is proposed for forecast and/or variance account treatment.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</si>
</sst>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"/>
    <numFmt numFmtId="167" formatCode="0.0%"/>
    <numFmt numFmtId="168" formatCode="0.0"/>
    <numFmt numFmtId="169" formatCode="0.0_);\(0.0\)"/>
    <numFmt numFmtId="171" formatCode="0.000%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b/>
      <sz val="20"/>
      <color theme="1"/>
      <name val="Calibri"/>
      <family val="2"/>
      <scheme val="minor"/>
    </font>
    <font>
      <b/>
      <sz val="14"/>
      <name val="Arial"/>
      <family val="2"/>
    </font>
    <font>
      <b/>
      <sz val="28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Protection="1">
      <protection locked="0"/>
    </xf>
    <xf numFmtId="166" fontId="0" fillId="0" borderId="2" xfId="2" applyNumberFormat="1" applyFont="1" applyFill="1" applyBorder="1" applyProtection="1">
      <protection locked="0"/>
    </xf>
    <xf numFmtId="166" fontId="0" fillId="0" borderId="0" xfId="0" applyNumberForma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165" fontId="0" fillId="0" borderId="0" xfId="3" applyFo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66" fontId="0" fillId="2" borderId="2" xfId="2" applyNumberFormat="1" applyFont="1" applyFill="1" applyBorder="1" applyProtection="1">
      <protection locked="0"/>
    </xf>
    <xf numFmtId="167" fontId="0" fillId="0" borderId="0" xfId="4" applyNumberFormat="1" applyFon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6" fontId="0" fillId="0" borderId="0" xfId="2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166" fontId="4" fillId="0" borderId="0" xfId="0" applyNumberFormat="1" applyFont="1"/>
    <xf numFmtId="166" fontId="1" fillId="0" borderId="0" xfId="0" applyNumberFormat="1" applyFont="1" applyProtection="1">
      <protection locked="0"/>
    </xf>
    <xf numFmtId="166" fontId="2" fillId="0" borderId="0" xfId="0" applyNumberFormat="1" applyFont="1"/>
    <xf numFmtId="0" fontId="6" fillId="0" borderId="0" xfId="0" applyFont="1" applyAlignment="1">
      <alignment horizontal="center" vertical="center" wrapText="1"/>
    </xf>
    <xf numFmtId="167" fontId="0" fillId="0" borderId="0" xfId="4" applyNumberFormat="1" applyFont="1" applyFill="1" applyBorder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8" fontId="0" fillId="0" borderId="0" xfId="4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166" fontId="4" fillId="0" borderId="2" xfId="0" applyNumberFormat="1" applyFont="1" applyBorder="1"/>
    <xf numFmtId="166" fontId="0" fillId="0" borderId="2" xfId="0" applyNumberFormat="1" applyBorder="1"/>
    <xf numFmtId="166" fontId="0" fillId="0" borderId="0" xfId="0" applyNumberFormat="1"/>
    <xf numFmtId="0" fontId="9" fillId="0" borderId="2" xfId="0" applyFont="1" applyBorder="1" applyProtection="1">
      <protection locked="0"/>
    </xf>
    <xf numFmtId="0" fontId="9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 indent="3"/>
      <protection locked="0"/>
    </xf>
    <xf numFmtId="0" fontId="9" fillId="0" borderId="2" xfId="0" applyFont="1" applyBorder="1" applyAlignment="1" applyProtection="1">
      <alignment horizontal="left" indent="3"/>
      <protection locked="0"/>
    </xf>
    <xf numFmtId="0" fontId="9" fillId="0" borderId="2" xfId="1" applyFont="1" applyBorder="1" applyAlignment="1">
      <alignment wrapText="1"/>
    </xf>
    <xf numFmtId="3" fontId="10" fillId="0" borderId="3" xfId="0" applyNumberFormat="1" applyFont="1" applyBorder="1"/>
    <xf numFmtId="166" fontId="10" fillId="0" borderId="3" xfId="0" applyNumberFormat="1" applyFont="1" applyBorder="1"/>
    <xf numFmtId="0" fontId="9" fillId="2" borderId="2" xfId="0" applyFont="1" applyFill="1" applyBorder="1" applyAlignment="1" applyProtection="1">
      <alignment horizontal="left" wrapText="1"/>
      <protection locked="0"/>
    </xf>
    <xf numFmtId="0" fontId="10" fillId="0" borderId="3" xfId="0" applyFont="1" applyBorder="1" applyProtection="1">
      <protection locked="0"/>
    </xf>
    <xf numFmtId="167" fontId="4" fillId="0" borderId="0" xfId="4" applyNumberFormat="1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166" fontId="0" fillId="0" borderId="1" xfId="0" applyNumberFormat="1" applyBorder="1"/>
    <xf numFmtId="166" fontId="9" fillId="0" borderId="5" xfId="0" applyNumberFormat="1" applyFont="1" applyBorder="1" applyProtection="1">
      <protection locked="0"/>
    </xf>
    <xf numFmtId="166" fontId="9" fillId="0" borderId="4" xfId="0" applyNumberFormat="1" applyFont="1" applyBorder="1" applyProtection="1">
      <protection locked="0"/>
    </xf>
    <xf numFmtId="166" fontId="9" fillId="0" borderId="0" xfId="0" applyNumberFormat="1" applyFont="1" applyProtection="1">
      <protection locked="0"/>
    </xf>
    <xf numFmtId="166" fontId="9" fillId="0" borderId="9" xfId="0" applyNumberFormat="1" applyFont="1" applyBorder="1" applyProtection="1">
      <protection locked="0"/>
    </xf>
    <xf numFmtId="166" fontId="9" fillId="0" borderId="8" xfId="0" applyNumberFormat="1" applyFont="1" applyBorder="1" applyProtection="1">
      <protection locked="0"/>
    </xf>
    <xf numFmtId="166" fontId="9" fillId="0" borderId="2" xfId="0" applyNumberFormat="1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8" fontId="0" fillId="0" borderId="16" xfId="0" applyNumberFormat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2" fontId="0" fillId="0" borderId="4" xfId="0" applyNumberFormat="1" applyBorder="1" applyProtection="1">
      <protection locked="0"/>
    </xf>
    <xf numFmtId="168" fontId="4" fillId="0" borderId="0" xfId="0" applyNumberFormat="1" applyFont="1" applyProtection="1">
      <protection locked="0"/>
    </xf>
    <xf numFmtId="2" fontId="4" fillId="0" borderId="4" xfId="0" applyNumberFormat="1" applyFont="1" applyBorder="1" applyProtection="1">
      <protection locked="0"/>
    </xf>
    <xf numFmtId="2" fontId="0" fillId="0" borderId="16" xfId="0" applyNumberFormat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8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2" xfId="0" applyFont="1" applyBorder="1" applyProtection="1">
      <protection locked="0"/>
    </xf>
    <xf numFmtId="0" fontId="4" fillId="3" borderId="2" xfId="0" applyFont="1" applyFill="1" applyBorder="1" applyProtection="1">
      <protection locked="0"/>
    </xf>
    <xf numFmtId="168" fontId="4" fillId="3" borderId="2" xfId="4" applyNumberFormat="1" applyFont="1" applyFill="1" applyBorder="1" applyProtection="1">
      <protection locked="0"/>
    </xf>
    <xf numFmtId="168" fontId="4" fillId="3" borderId="2" xfId="0" applyNumberFormat="1" applyFont="1" applyFill="1" applyBorder="1" applyProtection="1">
      <protection locked="0"/>
    </xf>
    <xf numFmtId="2" fontId="4" fillId="3" borderId="2" xfId="0" applyNumberFormat="1" applyFon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6" fontId="0" fillId="0" borderId="1" xfId="2" applyNumberFormat="1" applyFont="1" applyFill="1" applyBorder="1" applyProtection="1">
      <protection locked="0"/>
    </xf>
    <xf numFmtId="2" fontId="4" fillId="0" borderId="12" xfId="0" applyNumberFormat="1" applyFont="1" applyBorder="1" applyProtection="1">
      <protection locked="0"/>
    </xf>
    <xf numFmtId="166" fontId="0" fillId="2" borderId="9" xfId="2" applyNumberFormat="1" applyFont="1" applyFill="1" applyBorder="1" applyProtection="1">
      <protection locked="0"/>
    </xf>
    <xf numFmtId="168" fontId="0" fillId="0" borderId="18" xfId="0" applyNumberFormat="1" applyBorder="1" applyProtection="1">
      <protection locked="0"/>
    </xf>
    <xf numFmtId="168" fontId="0" fillId="0" borderId="19" xfId="0" applyNumberFormat="1" applyBorder="1" applyProtection="1">
      <protection locked="0"/>
    </xf>
    <xf numFmtId="2" fontId="0" fillId="0" borderId="20" xfId="0" applyNumberFormat="1" applyBorder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166" fontId="9" fillId="2" borderId="2" xfId="2" applyNumberFormat="1" applyFont="1" applyFill="1" applyBorder="1" applyProtection="1">
      <protection locked="0"/>
    </xf>
    <xf numFmtId="166" fontId="9" fillId="0" borderId="2" xfId="0" applyNumberFormat="1" applyFont="1" applyBorder="1"/>
    <xf numFmtId="166" fontId="9" fillId="2" borderId="9" xfId="2" applyNumberFormat="1" applyFont="1" applyFill="1" applyBorder="1" applyProtection="1">
      <protection locked="0"/>
    </xf>
    <xf numFmtId="171" fontId="0" fillId="0" borderId="0" xfId="4" applyNumberFormat="1" applyFont="1" applyProtection="1">
      <protection locked="0"/>
    </xf>
    <xf numFmtId="168" fontId="0" fillId="2" borderId="10" xfId="0" applyNumberFormat="1" applyFill="1" applyBorder="1" applyProtection="1">
      <protection locked="0"/>
    </xf>
    <xf numFmtId="168" fontId="4" fillId="0" borderId="23" xfId="0" applyNumberFormat="1" applyFont="1" applyBorder="1" applyProtection="1">
      <protection locked="0"/>
    </xf>
    <xf numFmtId="168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8" fontId="4" fillId="0" borderId="24" xfId="0" applyNumberFormat="1" applyFont="1" applyBorder="1" applyProtection="1">
      <protection locked="0"/>
    </xf>
    <xf numFmtId="2" fontId="4" fillId="0" borderId="25" xfId="0" applyNumberFormat="1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166" fontId="18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2" fontId="18" fillId="0" borderId="0" xfId="0" applyNumberFormat="1" applyFont="1" applyProtection="1">
      <protection locked="0"/>
    </xf>
    <xf numFmtId="166" fontId="19" fillId="0" borderId="0" xfId="0" applyNumberFormat="1" applyFont="1" applyAlignment="1" applyProtection="1">
      <alignment horizontal="left" vertical="top" wrapText="1"/>
      <protection locked="0"/>
    </xf>
    <xf numFmtId="9" fontId="18" fillId="0" borderId="0" xfId="4" applyFont="1" applyProtection="1">
      <protection locked="0"/>
    </xf>
    <xf numFmtId="167" fontId="19" fillId="0" borderId="0" xfId="4" applyNumberFormat="1" applyFont="1" applyAlignment="1" applyProtection="1">
      <alignment horizontal="left" vertical="top" wrapText="1"/>
      <protection locked="0"/>
    </xf>
    <xf numFmtId="3" fontId="18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left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168" fontId="16" fillId="0" borderId="0" xfId="0" applyNumberFormat="1" applyFont="1" applyAlignment="1">
      <alignment horizontal="right" vertical="top" indent="1" shrinkToFit="1"/>
    </xf>
    <xf numFmtId="168" fontId="16" fillId="0" borderId="0" xfId="0" applyNumberFormat="1" applyFont="1" applyAlignment="1">
      <alignment horizontal="left" vertical="top" indent="1" shrinkToFit="1"/>
    </xf>
    <xf numFmtId="169" fontId="17" fillId="0" borderId="0" xfId="0" applyNumberFormat="1" applyFont="1" applyAlignment="1">
      <alignment horizontal="right" vertical="top" shrinkToFit="1"/>
    </xf>
    <xf numFmtId="169" fontId="17" fillId="0" borderId="0" xfId="0" applyNumberFormat="1" applyFont="1" applyAlignment="1">
      <alignment horizontal="left" vertical="top" shrinkToFit="1"/>
    </xf>
    <xf numFmtId="168" fontId="0" fillId="0" borderId="0" xfId="0" applyNumberFormat="1"/>
    <xf numFmtId="1" fontId="0" fillId="0" borderId="0" xfId="0" applyNumberFormat="1"/>
    <xf numFmtId="1" fontId="7" fillId="0" borderId="0" xfId="0" applyNumberFormat="1" applyFont="1"/>
    <xf numFmtId="43" fontId="9" fillId="0" borderId="0" xfId="3" applyNumberFormat="1" applyFont="1" applyFill="1"/>
    <xf numFmtId="0" fontId="8" fillId="0" borderId="0" xfId="0" applyFont="1" applyAlignment="1" applyProtection="1">
      <alignment horizontal="center" wrapText="1"/>
      <protection locked="0"/>
    </xf>
    <xf numFmtId="166" fontId="9" fillId="2" borderId="0" xfId="2" applyNumberFormat="1" applyFont="1" applyFill="1" applyBorder="1" applyProtection="1">
      <protection locked="0"/>
    </xf>
    <xf numFmtId="166" fontId="0" fillId="2" borderId="0" xfId="2" applyNumberFormat="1" applyFont="1" applyFill="1" applyBorder="1" applyAlignment="1" applyProtection="1">
      <alignment horizontal="right"/>
      <protection locked="0"/>
    </xf>
    <xf numFmtId="166" fontId="0" fillId="2" borderId="0" xfId="2" applyNumberFormat="1" applyFont="1" applyFill="1" applyBorder="1" applyProtection="1">
      <protection locked="0"/>
    </xf>
    <xf numFmtId="166" fontId="4" fillId="2" borderId="0" xfId="0" applyNumberFormat="1" applyFont="1" applyFill="1" applyProtection="1">
      <protection locked="0"/>
    </xf>
    <xf numFmtId="168" fontId="4" fillId="3" borderId="0" xfId="4" applyNumberFormat="1" applyFont="1" applyFill="1" applyBorder="1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9" fontId="24" fillId="0" borderId="0" xfId="0" applyNumberFormat="1" applyFont="1" applyProtection="1">
      <protection locked="0"/>
    </xf>
    <xf numFmtId="3" fontId="26" fillId="0" borderId="0" xfId="0" applyNumberFormat="1" applyFont="1" applyAlignment="1">
      <alignment horizontal="center"/>
    </xf>
    <xf numFmtId="168" fontId="24" fillId="0" borderId="0" xfId="0" applyNumberFormat="1" applyFont="1" applyProtection="1">
      <protection locked="0"/>
    </xf>
    <xf numFmtId="167" fontId="25" fillId="0" borderId="0" xfId="0" applyNumberFormat="1" applyFont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left" wrapText="1"/>
      <protection locked="0"/>
    </xf>
    <xf numFmtId="0" fontId="9" fillId="0" borderId="5" xfId="0" applyFont="1" applyBorder="1" applyProtection="1">
      <protection locked="0"/>
    </xf>
    <xf numFmtId="0" fontId="15" fillId="0" borderId="13" xfId="0" applyFont="1" applyBorder="1" applyAlignment="1" applyProtection="1">
      <alignment horizontal="left" indent="2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9" xfId="0" applyFont="1" applyBorder="1" applyProtection="1"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10" fontId="22" fillId="4" borderId="0" xfId="0" applyNumberFormat="1" applyFont="1" applyFill="1" applyAlignment="1">
      <alignment horizontal="center"/>
    </xf>
    <xf numFmtId="0" fontId="6" fillId="0" borderId="0" xfId="0" applyFont="1" applyProtection="1">
      <protection locked="0"/>
    </xf>
    <xf numFmtId="166" fontId="0" fillId="0" borderId="16" xfId="2" applyNumberFormat="1" applyFont="1" applyFill="1" applyBorder="1" applyProtection="1">
      <protection locked="0"/>
    </xf>
    <xf numFmtId="166" fontId="9" fillId="2" borderId="16" xfId="2" applyNumberFormat="1" applyFont="1" applyFill="1" applyBorder="1" applyProtection="1">
      <protection locked="0"/>
    </xf>
    <xf numFmtId="166" fontId="0" fillId="2" borderId="16" xfId="2" applyNumberFormat="1" applyFont="1" applyFill="1" applyBorder="1" applyAlignment="1" applyProtection="1">
      <alignment horizontal="right"/>
      <protection locked="0"/>
    </xf>
    <xf numFmtId="166" fontId="0" fillId="2" borderId="16" xfId="2" applyNumberFormat="1" applyFont="1" applyFill="1" applyBorder="1" applyProtection="1">
      <protection locked="0"/>
    </xf>
    <xf numFmtId="166" fontId="0" fillId="0" borderId="16" xfId="0" applyNumberFormat="1" applyBorder="1"/>
    <xf numFmtId="166" fontId="9" fillId="0" borderId="16" xfId="0" applyNumberFormat="1" applyFont="1" applyBorder="1" applyProtection="1">
      <protection locked="0"/>
    </xf>
    <xf numFmtId="166" fontId="0" fillId="0" borderId="13" xfId="2" applyNumberFormat="1" applyFont="1" applyFill="1" applyBorder="1" applyProtection="1">
      <protection locked="0"/>
    </xf>
    <xf numFmtId="166" fontId="9" fillId="2" borderId="4" xfId="2" applyNumberFormat="1" applyFont="1" applyFill="1" applyBorder="1" applyProtection="1">
      <protection locked="0"/>
    </xf>
    <xf numFmtId="166" fontId="0" fillId="2" borderId="4" xfId="2" applyNumberFormat="1" applyFont="1" applyFill="1" applyBorder="1" applyAlignment="1" applyProtection="1">
      <alignment horizontal="right"/>
      <protection locked="0"/>
    </xf>
    <xf numFmtId="166" fontId="0" fillId="2" borderId="4" xfId="2" applyNumberFormat="1" applyFont="1" applyFill="1" applyBorder="1" applyProtection="1">
      <protection locked="0"/>
    </xf>
    <xf numFmtId="166" fontId="0" fillId="0" borderId="4" xfId="2" applyNumberFormat="1" applyFont="1" applyFill="1" applyBorder="1" applyProtection="1">
      <protection locked="0"/>
    </xf>
    <xf numFmtId="167" fontId="4" fillId="3" borderId="2" xfId="4" applyNumberFormat="1" applyFont="1" applyFill="1" applyBorder="1" applyProtection="1">
      <protection locked="0"/>
    </xf>
    <xf numFmtId="10" fontId="27" fillId="0" borderId="0" xfId="4" applyNumberFormat="1" applyFont="1" applyAlignment="1" applyProtection="1">
      <alignment horizontal="center" vertical="top" wrapText="1"/>
      <protection locked="0"/>
    </xf>
    <xf numFmtId="168" fontId="0" fillId="0" borderId="2" xfId="2" applyNumberFormat="1" applyFont="1" applyFill="1" applyBorder="1" applyProtection="1">
      <protection locked="0"/>
    </xf>
    <xf numFmtId="166" fontId="0" fillId="0" borderId="4" xfId="0" applyNumberForma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2" fontId="0" fillId="2" borderId="0" xfId="0" applyNumberFormat="1" applyFill="1" applyProtection="1">
      <protection locked="0"/>
    </xf>
    <xf numFmtId="166" fontId="4" fillId="0" borderId="17" xfId="0" applyNumberFormat="1" applyFont="1" applyBorder="1"/>
    <xf numFmtId="166" fontId="4" fillId="0" borderId="10" xfId="0" applyNumberFormat="1" applyFont="1" applyBorder="1"/>
    <xf numFmtId="166" fontId="4" fillId="0" borderId="6" xfId="0" applyNumberFormat="1" applyFont="1" applyBorder="1"/>
    <xf numFmtId="166" fontId="0" fillId="0" borderId="10" xfId="2" applyNumberFormat="1" applyFont="1" applyFill="1" applyBorder="1" applyProtection="1">
      <protection locked="0"/>
    </xf>
    <xf numFmtId="166" fontId="0" fillId="0" borderId="6" xfId="2" applyNumberFormat="1" applyFont="1" applyFill="1" applyBorder="1" applyProtection="1">
      <protection locked="0"/>
    </xf>
    <xf numFmtId="166" fontId="0" fillId="0" borderId="26" xfId="2" applyNumberFormat="1" applyFont="1" applyFill="1" applyBorder="1" applyProtection="1">
      <protection locked="0"/>
    </xf>
    <xf numFmtId="166" fontId="0" fillId="0" borderId="27" xfId="2" applyNumberFormat="1" applyFont="1" applyFill="1" applyBorder="1" applyProtection="1">
      <protection locked="0"/>
    </xf>
    <xf numFmtId="166" fontId="0" fillId="0" borderId="28" xfId="2" applyNumberFormat="1" applyFont="1" applyFill="1" applyBorder="1" applyProtection="1">
      <protection locked="0"/>
    </xf>
    <xf numFmtId="166" fontId="0" fillId="0" borderId="26" xfId="0" applyNumberFormat="1" applyBorder="1"/>
    <xf numFmtId="2" fontId="4" fillId="0" borderId="0" xfId="4" applyNumberFormat="1" applyFont="1" applyFill="1" applyBorder="1" applyProtection="1">
      <protection locked="0"/>
    </xf>
    <xf numFmtId="166" fontId="10" fillId="0" borderId="24" xfId="0" applyNumberFormat="1" applyFont="1" applyBorder="1"/>
    <xf numFmtId="166" fontId="10" fillId="0" borderId="23" xfId="0" applyNumberFormat="1" applyFont="1" applyBorder="1"/>
    <xf numFmtId="166" fontId="10" fillId="0" borderId="25" xfId="0" applyNumberFormat="1" applyFont="1" applyBorder="1"/>
    <xf numFmtId="166" fontId="4" fillId="0" borderId="1" xfId="0" applyNumberFormat="1" applyFont="1" applyBorder="1"/>
    <xf numFmtId="2" fontId="0" fillId="0" borderId="1" xfId="0" applyNumberFormat="1" applyBorder="1" applyProtection="1">
      <protection locked="0"/>
    </xf>
    <xf numFmtId="166" fontId="0" fillId="0" borderId="9" xfId="2" applyNumberFormat="1" applyFont="1" applyFill="1" applyBorder="1" applyProtection="1">
      <protection locked="0"/>
    </xf>
    <xf numFmtId="168" fontId="0" fillId="0" borderId="1" xfId="2" applyNumberFormat="1" applyFont="1" applyFill="1" applyBorder="1" applyProtection="1">
      <protection locked="0"/>
    </xf>
    <xf numFmtId="166" fontId="10" fillId="0" borderId="29" xfId="0" applyNumberFormat="1" applyFont="1" applyBorder="1"/>
    <xf numFmtId="166" fontId="0" fillId="0" borderId="15" xfId="0" applyNumberFormat="1" applyBorder="1"/>
    <xf numFmtId="166" fontId="0" fillId="0" borderId="19" xfId="0" applyNumberFormat="1" applyBorder="1"/>
    <xf numFmtId="2" fontId="0" fillId="0" borderId="19" xfId="0" applyNumberFormat="1" applyBorder="1" applyProtection="1">
      <protection locked="0"/>
    </xf>
    <xf numFmtId="2" fontId="0" fillId="0" borderId="23" xfId="0" applyNumberFormat="1" applyBorder="1" applyProtection="1">
      <protection locked="0"/>
    </xf>
    <xf numFmtId="166" fontId="4" fillId="2" borderId="1" xfId="0" applyNumberFormat="1" applyFont="1" applyFill="1" applyBorder="1" applyProtection="1">
      <protection locked="0"/>
    </xf>
    <xf numFmtId="166" fontId="4" fillId="2" borderId="17" xfId="0" applyNumberFormat="1" applyFont="1" applyFill="1" applyBorder="1" applyProtection="1">
      <protection locked="0"/>
    </xf>
    <xf numFmtId="166" fontId="4" fillId="2" borderId="10" xfId="0" applyNumberFormat="1" applyFont="1" applyFill="1" applyBorder="1" applyProtection="1">
      <protection locked="0"/>
    </xf>
    <xf numFmtId="166" fontId="4" fillId="2" borderId="6" xfId="0" applyNumberFormat="1" applyFont="1" applyFill="1" applyBorder="1" applyProtection="1">
      <protection locked="0"/>
    </xf>
    <xf numFmtId="168" fontId="4" fillId="0" borderId="10" xfId="0" applyNumberFormat="1" applyFont="1" applyBorder="1" applyProtection="1">
      <protection locked="0"/>
    </xf>
    <xf numFmtId="166" fontId="10" fillId="0" borderId="2" xfId="0" applyNumberFormat="1" applyFont="1" applyBorder="1"/>
    <xf numFmtId="2" fontId="0" fillId="0" borderId="10" xfId="0" applyNumberFormat="1" applyBorder="1" applyProtection="1">
      <protection locked="0"/>
    </xf>
    <xf numFmtId="168" fontId="4" fillId="0" borderId="17" xfId="0" applyNumberFormat="1" applyFont="1" applyBorder="1" applyProtection="1">
      <protection locked="0"/>
    </xf>
    <xf numFmtId="2" fontId="0" fillId="0" borderId="13" xfId="0" applyNumberFormat="1" applyBorder="1" applyProtection="1">
      <protection locked="0"/>
    </xf>
    <xf numFmtId="168" fontId="0" fillId="0" borderId="14" xfId="0" applyNumberFormat="1" applyBorder="1" applyProtection="1">
      <protection locked="0"/>
    </xf>
    <xf numFmtId="168" fontId="0" fillId="0" borderId="17" xfId="0" applyNumberFormat="1" applyBorder="1" applyProtection="1">
      <protection locked="0"/>
    </xf>
    <xf numFmtId="168" fontId="0" fillId="0" borderId="10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168" fontId="4" fillId="0" borderId="13" xfId="0" applyNumberFormat="1" applyFont="1" applyBorder="1" applyProtection="1">
      <protection locked="0"/>
    </xf>
    <xf numFmtId="2" fontId="4" fillId="0" borderId="13" xfId="0" applyNumberFormat="1" applyFont="1" applyBorder="1" applyProtection="1">
      <protection locked="0"/>
    </xf>
    <xf numFmtId="168" fontId="0" fillId="0" borderId="13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0" fontId="15" fillId="0" borderId="0" xfId="0" applyFont="1" applyAlignment="1" applyProtection="1">
      <alignment horizontal="left" indent="2"/>
      <protection locked="0"/>
    </xf>
    <xf numFmtId="0" fontId="6" fillId="0" borderId="4" xfId="0" applyFont="1" applyBorder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2" fontId="0" fillId="2" borderId="32" xfId="0" applyNumberFormat="1" applyFill="1" applyBorder="1" applyProtection="1">
      <protection locked="0"/>
    </xf>
    <xf numFmtId="0" fontId="10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14" fillId="5" borderId="2" xfId="0" applyNumberFormat="1" applyFont="1" applyFill="1" applyBorder="1" applyAlignment="1">
      <alignment horizontal="center" vertical="center" wrapText="1"/>
    </xf>
    <xf numFmtId="10" fontId="14" fillId="5" borderId="7" xfId="0" applyNumberFormat="1" applyFont="1" applyFill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3" fillId="0" borderId="10" xfId="0" applyFont="1" applyBorder="1" applyAlignment="1" applyProtection="1">
      <alignment horizontal="center" vertical="top"/>
      <protection locked="0"/>
    </xf>
    <xf numFmtId="0" fontId="28" fillId="0" borderId="0" xfId="0" applyFont="1" applyAlignment="1" applyProtection="1">
      <alignment horizontal="center"/>
      <protection locked="0"/>
    </xf>
    <xf numFmtId="166" fontId="0" fillId="2" borderId="9" xfId="2" applyNumberFormat="1" applyFont="1" applyFill="1" applyBorder="1" applyAlignment="1" applyProtection="1">
      <alignment horizontal="right"/>
      <protection locked="0"/>
    </xf>
    <xf numFmtId="166" fontId="0" fillId="2" borderId="1" xfId="2" applyNumberFormat="1" applyFont="1" applyFill="1" applyBorder="1" applyAlignment="1" applyProtection="1">
      <alignment horizontal="right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horizontal="center"/>
      <protection locked="0"/>
    </xf>
    <xf numFmtId="168" fontId="0" fillId="2" borderId="14" xfId="0" applyNumberFormat="1" applyFill="1" applyBorder="1" applyAlignment="1" applyProtection="1">
      <alignment horizontal="right"/>
      <protection locked="0"/>
    </xf>
    <xf numFmtId="168" fontId="0" fillId="2" borderId="17" xfId="0" applyNumberFormat="1" applyFill="1" applyBorder="1" applyAlignment="1" applyProtection="1">
      <alignment horizontal="right"/>
      <protection locked="0"/>
    </xf>
    <xf numFmtId="168" fontId="0" fillId="2" borderId="13" xfId="0" applyNumberFormat="1" applyFill="1" applyBorder="1" applyAlignment="1" applyProtection="1">
      <alignment horizontal="right"/>
      <protection locked="0"/>
    </xf>
    <xf numFmtId="168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 indent="2"/>
      <protection locked="0"/>
    </xf>
    <xf numFmtId="0" fontId="15" fillId="0" borderId="10" xfId="0" applyFont="1" applyBorder="1" applyAlignment="1" applyProtection="1">
      <alignment horizontal="left" indent="2"/>
      <protection locked="0"/>
    </xf>
    <xf numFmtId="0" fontId="0" fillId="0" borderId="0" xfId="0" applyAlignment="1">
      <alignment horizontal="center"/>
    </xf>
    <xf numFmtId="1" fontId="7" fillId="0" borderId="0" xfId="0" applyNumberFormat="1" applyFont="1" applyBorder="1"/>
    <xf numFmtId="0" fontId="31" fillId="0" borderId="0" xfId="0" applyFont="1" applyAlignment="1" applyProtection="1">
      <alignment horizontal="center" vertical="top"/>
      <protection locked="0"/>
    </xf>
    <xf numFmtId="167" fontId="26" fillId="0" borderId="0" xfId="0" applyNumberFormat="1" applyFont="1" applyAlignment="1" applyProtection="1">
      <alignment horizontal="center" wrapText="1"/>
      <protection locked="0"/>
    </xf>
    <xf numFmtId="168" fontId="26" fillId="0" borderId="0" xfId="0" applyNumberFormat="1" applyFont="1" applyProtection="1">
      <protection locked="0"/>
    </xf>
    <xf numFmtId="168" fontId="18" fillId="0" borderId="0" xfId="0" applyNumberFormat="1" applyFont="1" applyProtection="1">
      <protection locked="0"/>
    </xf>
    <xf numFmtId="0" fontId="32" fillId="0" borderId="0" xfId="0" applyFont="1" applyBorder="1" applyAlignment="1" applyProtection="1">
      <alignment horizontal="center" vertical="top"/>
      <protection locked="0"/>
    </xf>
    <xf numFmtId="0" fontId="32" fillId="0" borderId="0" xfId="0" applyFont="1" applyBorder="1" applyAlignment="1" applyProtection="1">
      <alignment horizontal="center" vertical="top"/>
      <protection locked="0"/>
    </xf>
    <xf numFmtId="0" fontId="26" fillId="0" borderId="0" xfId="0" applyFont="1" applyBorder="1"/>
    <xf numFmtId="0" fontId="18" fillId="0" borderId="0" xfId="0" applyFont="1" applyBorder="1" applyProtection="1">
      <protection locked="0"/>
    </xf>
    <xf numFmtId="167" fontId="26" fillId="0" borderId="0" xfId="0" applyNumberFormat="1" applyFont="1" applyBorder="1" applyAlignment="1" applyProtection="1">
      <alignment horizontal="center" wrapText="1"/>
      <protection locked="0"/>
    </xf>
    <xf numFmtId="167" fontId="26" fillId="0" borderId="0" xfId="0" applyNumberFormat="1" applyFont="1" applyBorder="1" applyProtection="1">
      <protection locked="0"/>
    </xf>
    <xf numFmtId="168" fontId="26" fillId="0" borderId="0" xfId="0" applyNumberFormat="1" applyFont="1" applyBorder="1"/>
    <xf numFmtId="168" fontId="32" fillId="0" borderId="0" xfId="0" applyNumberFormat="1" applyFont="1" applyBorder="1" applyAlignment="1" applyProtection="1">
      <alignment horizontal="left" vertical="top" wrapText="1"/>
      <protection locked="0"/>
    </xf>
    <xf numFmtId="3" fontId="26" fillId="0" borderId="0" xfId="0" applyNumberFormat="1" applyFont="1" applyBorder="1" applyAlignment="1">
      <alignment horizontal="center"/>
    </xf>
    <xf numFmtId="168" fontId="26" fillId="0" borderId="0" xfId="0" applyNumberFormat="1" applyFont="1" applyBorder="1" applyProtection="1">
      <protection locked="0"/>
    </xf>
    <xf numFmtId="0" fontId="32" fillId="0" borderId="0" xfId="0" applyFont="1" applyBorder="1" applyAlignment="1" applyProtection="1">
      <alignment horizontal="left" vertical="top" wrapText="1"/>
      <protection locked="0"/>
    </xf>
    <xf numFmtId="0" fontId="26" fillId="0" borderId="0" xfId="0" applyFont="1" applyBorder="1" applyProtection="1">
      <protection locked="0"/>
    </xf>
    <xf numFmtId="0" fontId="32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3" fontId="18" fillId="0" borderId="0" xfId="0" applyNumberFormat="1" applyFont="1" applyBorder="1" applyAlignment="1">
      <alignment horizontal="center"/>
    </xf>
    <xf numFmtId="168" fontId="26" fillId="0" borderId="0" xfId="0" applyNumberFormat="1" applyFont="1" applyFill="1" applyBorder="1" applyProtection="1">
      <protection locked="0"/>
    </xf>
    <xf numFmtId="168" fontId="26" fillId="0" borderId="0" xfId="0" applyNumberFormat="1" applyFont="1" applyFill="1" applyProtection="1">
      <protection locked="0"/>
    </xf>
    <xf numFmtId="168" fontId="24" fillId="0" borderId="0" xfId="0" applyNumberFormat="1" applyFont="1" applyFill="1" applyProtection="1"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166" fontId="9" fillId="2" borderId="30" xfId="2" applyNumberFormat="1" applyFont="1" applyFill="1" applyBorder="1" applyProtection="1">
      <protection locked="0"/>
    </xf>
    <xf numFmtId="166" fontId="9" fillId="2" borderId="31" xfId="2" applyNumberFormat="1" applyFont="1" applyFill="1" applyBorder="1" applyProtection="1">
      <protection locked="0"/>
    </xf>
    <xf numFmtId="2" fontId="9" fillId="2" borderId="31" xfId="0" applyNumberFormat="1" applyFont="1" applyFill="1" applyBorder="1" applyProtection="1">
      <protection locked="0"/>
    </xf>
    <xf numFmtId="168" fontId="9" fillId="2" borderId="21" xfId="0" applyNumberFormat="1" applyFont="1" applyFill="1" applyBorder="1" applyProtection="1">
      <protection locked="0"/>
    </xf>
    <xf numFmtId="168" fontId="9" fillId="2" borderId="31" xfId="0" applyNumberFormat="1" applyFont="1" applyFill="1" applyBorder="1" applyProtection="1">
      <protection locked="0"/>
    </xf>
    <xf numFmtId="2" fontId="9" fillId="2" borderId="22" xfId="0" applyNumberFormat="1" applyFont="1" applyFill="1" applyBorder="1" applyProtection="1">
      <protection locked="0"/>
    </xf>
    <xf numFmtId="0" fontId="0" fillId="0" borderId="0" xfId="0" applyAlignment="1" applyProtection="1">
      <protection locked="0"/>
    </xf>
    <xf numFmtId="3" fontId="0" fillId="0" borderId="0" xfId="0" applyNumberFormat="1" applyProtection="1">
      <protection locked="0"/>
    </xf>
  </cellXfs>
  <cellStyles count="5">
    <cellStyle name="Comma" xfId="3" builtinId="3"/>
    <cellStyle name="Currency" xfId="2" builtinId="4"/>
    <cellStyle name="Normal" xfId="0" builtinId="0"/>
    <cellStyle name="Normal 122 2" xfId="1" xr:uid="{00000000-0005-0000-0000-000001000000}"/>
    <cellStyle name="Percent" xfId="4" builtinId="5"/>
  </cellStyles>
  <dxfs count="0"/>
  <tableStyles count="0" defaultTableStyle="TableStyleMedium2" defaultPivotStyle="PivotStyleLight16"/>
  <colors>
    <mruColors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E1-6D31-4281-B0B9-73D6BCA12E4C}">
  <sheetPr>
    <tabColor rgb="FFFF9900"/>
    <pageSetUpPr fitToPage="1"/>
  </sheetPr>
  <dimension ref="A1:BC92"/>
  <sheetViews>
    <sheetView showGridLines="0" tabSelected="1" topLeftCell="A34" zoomScale="80" zoomScaleNormal="80" zoomScaleSheetLayoutView="99" workbookViewId="0">
      <selection activeCell="I66" sqref="I66"/>
    </sheetView>
  </sheetViews>
  <sheetFormatPr defaultColWidth="9.44140625" defaultRowHeight="14.4" x14ac:dyDescent="0.3"/>
  <cols>
    <col min="1" max="1" width="9.44140625" style="1"/>
    <col min="2" max="2" width="13.6640625" style="1" customWidth="1"/>
    <col min="3" max="3" width="45.109375" style="1" customWidth="1"/>
    <col min="4" max="4" width="1.109375" style="1" customWidth="1"/>
    <col min="5" max="5" width="9.6640625" style="1" customWidth="1"/>
    <col min="6" max="9" width="7.6640625" style="1" customWidth="1"/>
    <col min="10" max="10" width="1.44140625" style="1" customWidth="1"/>
    <col min="11" max="16" width="9.6640625" style="1" customWidth="1"/>
    <col min="17" max="17" width="1.6640625" style="1" customWidth="1"/>
    <col min="18" max="18" width="7.44140625" style="1" customWidth="1"/>
    <col min="19" max="19" width="11" style="1" customWidth="1"/>
    <col min="20" max="20" width="9.5546875" style="1" customWidth="1"/>
    <col min="21" max="21" width="8" style="1" customWidth="1"/>
    <col min="22" max="22" width="8.88671875" style="1" customWidth="1"/>
    <col min="23" max="23" width="1.6640625" style="1" customWidth="1"/>
    <col min="24" max="28" width="7.6640625" style="1" customWidth="1"/>
    <col min="29" max="29" width="1.5546875" style="1" customWidth="1"/>
    <col min="30" max="30" width="8.6640625" style="1" customWidth="1"/>
    <col min="31" max="31" width="9.88671875" style="1" customWidth="1"/>
    <col min="32" max="32" width="8.6640625" style="1" customWidth="1"/>
    <col min="33" max="33" width="1.6640625" style="1" customWidth="1"/>
    <col min="34" max="34" width="16.33203125" style="1" customWidth="1"/>
    <col min="35" max="41" width="9.44140625" style="1"/>
    <col min="45" max="16384" width="9.44140625" style="1"/>
  </cols>
  <sheetData>
    <row r="1" spans="3:53" ht="18" x14ac:dyDescent="0.35">
      <c r="C1" s="213" t="s">
        <v>62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</row>
    <row r="2" spans="3:53" ht="36.6" x14ac:dyDescent="0.7">
      <c r="C2" s="223" t="s">
        <v>73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199"/>
      <c r="AH2" s="199"/>
    </row>
    <row r="3" spans="3:53" ht="21" customHeight="1" x14ac:dyDescent="0.3">
      <c r="C3" s="79"/>
      <c r="D3" s="79"/>
      <c r="J3" s="110"/>
      <c r="Q3" s="17"/>
      <c r="W3" s="17"/>
      <c r="AG3" s="17"/>
    </row>
    <row r="4" spans="3:53" ht="33.75" customHeight="1" x14ac:dyDescent="0.3">
      <c r="C4" s="130"/>
      <c r="D4" s="191"/>
      <c r="E4" s="195">
        <v>2020</v>
      </c>
      <c r="F4" s="195">
        <v>2021</v>
      </c>
      <c r="G4" s="195">
        <v>2022</v>
      </c>
      <c r="H4" s="195">
        <v>2023</v>
      </c>
      <c r="I4" s="195">
        <v>2024</v>
      </c>
      <c r="J4" s="196"/>
      <c r="K4" s="195">
        <v>2020</v>
      </c>
      <c r="L4" s="195">
        <v>2021</v>
      </c>
      <c r="M4" s="195">
        <v>2022</v>
      </c>
      <c r="N4" s="195">
        <v>2023</v>
      </c>
      <c r="O4" s="195">
        <v>2024</v>
      </c>
      <c r="P4" s="195" t="s">
        <v>66</v>
      </c>
      <c r="Q4" s="196"/>
      <c r="R4" s="195">
        <v>2025</v>
      </c>
      <c r="S4" s="195">
        <v>2026</v>
      </c>
      <c r="T4" s="195">
        <v>2027</v>
      </c>
      <c r="U4" s="195">
        <v>2028</v>
      </c>
      <c r="V4" s="195">
        <v>2029</v>
      </c>
      <c r="W4" s="196"/>
      <c r="X4" s="195">
        <v>2025</v>
      </c>
      <c r="Y4" s="195">
        <v>2026</v>
      </c>
      <c r="Z4" s="195">
        <v>2027</v>
      </c>
      <c r="AA4" s="195">
        <v>2028</v>
      </c>
      <c r="AB4" s="195">
        <v>2029</v>
      </c>
      <c r="AD4" s="218" t="s">
        <v>68</v>
      </c>
      <c r="AE4" s="219"/>
      <c r="AF4" s="220"/>
      <c r="AG4" s="21"/>
      <c r="AH4" s="12" t="s">
        <v>24</v>
      </c>
      <c r="AI4" s="12"/>
      <c r="AJ4" s="12"/>
      <c r="AK4" s="12"/>
      <c r="AL4" s="12"/>
      <c r="AM4" s="12"/>
      <c r="AN4" s="12"/>
    </row>
    <row r="5" spans="3:53" ht="18" customHeight="1" x14ac:dyDescent="0.3">
      <c r="C5" s="130"/>
      <c r="D5" s="130"/>
      <c r="E5" s="200" t="s">
        <v>67</v>
      </c>
      <c r="F5" s="200"/>
      <c r="G5" s="200"/>
      <c r="H5" s="200"/>
      <c r="I5" s="201"/>
      <c r="J5" s="194"/>
      <c r="K5" s="202" t="s">
        <v>67</v>
      </c>
      <c r="L5" s="202"/>
      <c r="M5" s="202"/>
      <c r="N5" s="202"/>
      <c r="O5" s="202"/>
      <c r="P5" s="202"/>
      <c r="Q5" s="194"/>
      <c r="R5" s="202" t="s">
        <v>67</v>
      </c>
      <c r="S5" s="202"/>
      <c r="T5" s="202"/>
      <c r="U5" s="202"/>
      <c r="V5" s="202"/>
      <c r="W5" s="21"/>
      <c r="X5" s="21"/>
      <c r="Y5" s="21"/>
      <c r="Z5" s="21"/>
      <c r="AA5" s="21"/>
      <c r="AB5" s="21"/>
      <c r="AD5" s="203" t="s">
        <v>84</v>
      </c>
      <c r="AE5" s="205" t="s">
        <v>81</v>
      </c>
      <c r="AF5" s="221" t="s">
        <v>82</v>
      </c>
      <c r="AG5" s="21"/>
      <c r="AH5" s="10"/>
      <c r="AI5" s="10"/>
      <c r="AJ5" s="10"/>
      <c r="AK5" s="10"/>
      <c r="AL5" s="10"/>
      <c r="AM5" s="10"/>
      <c r="AN5" s="10"/>
    </row>
    <row r="6" spans="3:53" ht="33.75" customHeight="1" x14ac:dyDescent="0.3">
      <c r="D6" s="130"/>
      <c r="E6" s="197">
        <f>B80</f>
        <v>2.0530315058679853E-2</v>
      </c>
      <c r="F6" s="197">
        <f>B81</f>
        <v>3.3716237234496002E-2</v>
      </c>
      <c r="G6" s="197">
        <f>B82</f>
        <v>5.4475313343570718E-2</v>
      </c>
      <c r="H6" s="197">
        <f>B83</f>
        <v>3.173810863005614E-2</v>
      </c>
      <c r="I6" s="197">
        <f>B84</f>
        <v>1.9457960263180848E-2</v>
      </c>
      <c r="J6" s="196"/>
      <c r="K6" s="197">
        <f>E6</f>
        <v>2.0530315058679853E-2</v>
      </c>
      <c r="L6" s="197">
        <f t="shared" ref="L6:O6" si="0">F6</f>
        <v>3.3716237234496002E-2</v>
      </c>
      <c r="M6" s="197">
        <f t="shared" si="0"/>
        <v>5.4475313343570718E-2</v>
      </c>
      <c r="N6" s="197">
        <f t="shared" si="0"/>
        <v>3.173810863005614E-2</v>
      </c>
      <c r="O6" s="197">
        <f t="shared" si="0"/>
        <v>1.9457960263180848E-2</v>
      </c>
      <c r="P6" s="197"/>
      <c r="Q6" s="196"/>
      <c r="R6" s="197">
        <f>B85</f>
        <v>1.4191692390294922E-2</v>
      </c>
      <c r="S6" s="198">
        <f>B86</f>
        <v>1.4160989343138695E-2</v>
      </c>
      <c r="T6" s="197">
        <f>B87</f>
        <v>1.5068505225301419E-2</v>
      </c>
      <c r="U6" s="197">
        <f>B88</f>
        <v>1.4533957165689258E-2</v>
      </c>
      <c r="V6" s="197">
        <f>B89</f>
        <v>1.4893014534763049E-2</v>
      </c>
      <c r="W6" s="21"/>
      <c r="X6" s="21"/>
      <c r="Y6" s="21"/>
      <c r="Z6" s="21"/>
      <c r="AA6" s="21"/>
      <c r="AB6" s="21"/>
      <c r="AD6" s="204"/>
      <c r="AE6" s="206"/>
      <c r="AF6" s="222"/>
      <c r="AG6" s="21"/>
      <c r="AH6" s="10"/>
      <c r="AI6" s="10"/>
      <c r="AJ6" s="10"/>
      <c r="AK6" s="10"/>
      <c r="AL6" s="10"/>
      <c r="AM6" s="10"/>
      <c r="AN6" s="10"/>
    </row>
    <row r="7" spans="3:53" ht="33.75" customHeight="1" x14ac:dyDescent="0.3">
      <c r="C7" s="192" t="s">
        <v>83</v>
      </c>
      <c r="D7" s="130"/>
      <c r="E7" s="214" t="s">
        <v>77</v>
      </c>
      <c r="F7" s="215"/>
      <c r="G7" s="215"/>
      <c r="H7" s="215"/>
      <c r="I7" s="216"/>
      <c r="J7" s="21"/>
      <c r="K7" s="217" t="s">
        <v>78</v>
      </c>
      <c r="L7" s="217"/>
      <c r="M7" s="217"/>
      <c r="N7" s="217"/>
      <c r="O7" s="217"/>
      <c r="P7" s="217"/>
      <c r="Q7" s="21"/>
      <c r="R7" s="214" t="s">
        <v>79</v>
      </c>
      <c r="S7" s="215"/>
      <c r="T7" s="215"/>
      <c r="U7" s="215"/>
      <c r="V7" s="216"/>
      <c r="W7" s="21"/>
      <c r="X7" s="217" t="s">
        <v>80</v>
      </c>
      <c r="Y7" s="217"/>
      <c r="Z7" s="217"/>
      <c r="AA7" s="217"/>
      <c r="AB7" s="217"/>
      <c r="AD7" s="204"/>
      <c r="AE7" s="206"/>
      <c r="AF7" s="222"/>
      <c r="AG7" s="21"/>
      <c r="AH7" s="10"/>
      <c r="AI7" s="10"/>
      <c r="AJ7" s="10"/>
      <c r="AK7" s="10"/>
      <c r="AL7" s="10"/>
      <c r="AM7" s="10"/>
      <c r="AN7" s="10"/>
    </row>
    <row r="8" spans="3:53" ht="15.6" customHeight="1" x14ac:dyDescent="0.3">
      <c r="C8" s="230" t="s">
        <v>48</v>
      </c>
      <c r="D8" s="19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3"/>
      <c r="AD8" s="51" t="s">
        <v>25</v>
      </c>
      <c r="AE8" s="13" t="s">
        <v>26</v>
      </c>
      <c r="AF8" s="55" t="s">
        <v>28</v>
      </c>
      <c r="AG8" s="15"/>
    </row>
    <row r="9" spans="3:53" ht="3" customHeight="1" x14ac:dyDescent="0.3">
      <c r="C9" s="231"/>
      <c r="D9" s="190"/>
      <c r="E9" s="149"/>
      <c r="F9" s="149"/>
      <c r="G9" s="149"/>
      <c r="H9" s="149"/>
      <c r="I9" s="149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3"/>
      <c r="AD9" s="146"/>
      <c r="AE9" s="147"/>
      <c r="AF9" s="148"/>
      <c r="AG9" s="15"/>
    </row>
    <row r="10" spans="3:53" ht="30.75" customHeight="1" x14ac:dyDescent="0.3">
      <c r="C10" s="125" t="s">
        <v>72</v>
      </c>
      <c r="D10" s="31"/>
      <c r="E10" s="167">
        <f>'Customer &amp; Gen Connections'!B7</f>
        <v>35.679952168973472</v>
      </c>
      <c r="F10" s="167">
        <f>'Customer &amp; Gen Connections'!C7</f>
        <v>92.758529843770333</v>
      </c>
      <c r="G10" s="167">
        <f>'Customer &amp; Gen Connections'!D7</f>
        <v>75.920811403010376</v>
      </c>
      <c r="H10" s="167">
        <f>'Customer &amp; Gen Connections'!E7</f>
        <v>86.751437184661441</v>
      </c>
      <c r="I10" s="167">
        <f>'Customer &amp; Gen Connections'!F7</f>
        <v>78.151814306033629</v>
      </c>
      <c r="J10" s="166"/>
      <c r="K10" s="2">
        <f>E10*(1+$F$6)*(1+$G$6)*(1+$H$6)*(1+$I$6)</f>
        <v>40.907299625843329</v>
      </c>
      <c r="L10" s="2">
        <f>F10*(1+$G$6)*(1+$H$6)*(1+$I$6)</f>
        <v>102.87955260883005</v>
      </c>
      <c r="M10" s="2">
        <f>G10*(1+$H$6)*(1+$I$6)</f>
        <v>79.854544063507902</v>
      </c>
      <c r="N10" s="2">
        <f>H10*(1+$I$6)</f>
        <v>88.439443202174402</v>
      </c>
      <c r="O10" s="2">
        <f>I10</f>
        <v>78.151814306033629</v>
      </c>
      <c r="P10" s="2">
        <f>AVERAGE(K10:O10)</f>
        <v>78.046530761277864</v>
      </c>
      <c r="Q10" s="166"/>
      <c r="R10" s="2"/>
      <c r="S10" s="2">
        <f>P10*(1+$R$6)*(1+$S$6)</f>
        <v>80.275044095130482</v>
      </c>
      <c r="T10" s="2">
        <f>$P10*(1+$R$6)*(1+$S$6)*(1+$T$6)</f>
        <v>81.484669016539257</v>
      </c>
      <c r="U10" s="2">
        <f>$P10*(1+$R$6)*(1+$S$6)*(1+$T$6)*(1+$U$6)</f>
        <v>82.668963705686011</v>
      </c>
      <c r="V10" s="2">
        <f>$P10*(1+$R$6)*(1+$S$6)*(1+$T$6)*(1+$U$6)*(1+$V$6)</f>
        <v>83.900153783728584</v>
      </c>
      <c r="W10" s="16"/>
      <c r="X10" s="144">
        <f>'Customer &amp; Gen Connections'!G7</f>
        <v>84.481706481202224</v>
      </c>
      <c r="Y10" s="144">
        <f>'Customer &amp; Gen Connections'!H7</f>
        <v>89.926041287570655</v>
      </c>
      <c r="Z10" s="144">
        <f>'Customer &amp; Gen Connections'!I7</f>
        <v>95.330284347892999</v>
      </c>
      <c r="AA10" s="144">
        <f>'Customer &amp; Gen Connections'!J7</f>
        <v>100.69592534857358</v>
      </c>
      <c r="AB10" s="144">
        <f>'Customer &amp; Gen Connections'!K7</f>
        <v>105.95553003887589</v>
      </c>
      <c r="AC10" s="189"/>
      <c r="AD10" s="52">
        <f>AVERAGE(S10:V10)</f>
        <v>82.082207650271073</v>
      </c>
      <c r="AE10" s="27">
        <f>AVERAGE(Y10:AB10)</f>
        <v>97.976945255728296</v>
      </c>
      <c r="AF10" s="56">
        <f>AD10/AE10</f>
        <v>0.83777063508184924</v>
      </c>
      <c r="AG10" s="16"/>
    </row>
    <row r="11" spans="3:53" ht="33" customHeight="1" x14ac:dyDescent="0.3">
      <c r="C11" s="40" t="s">
        <v>55</v>
      </c>
      <c r="D11" s="122"/>
      <c r="E11" s="82">
        <f>'External Initiated Calcs'!B5</f>
        <v>8.6951847099999924</v>
      </c>
      <c r="F11" s="82">
        <f>'External Initiated Calcs'!C5</f>
        <v>9.2839926099994727</v>
      </c>
      <c r="G11" s="82">
        <f>'External Initiated Calcs'!D5</f>
        <v>12.858969169999995</v>
      </c>
      <c r="H11" s="82">
        <f>'External Initiated Calcs'!E5</f>
        <v>15.958723470000024</v>
      </c>
      <c r="I11" s="82">
        <f>'External Initiated Calcs'!F5</f>
        <v>12.996556978271201</v>
      </c>
      <c r="J11" s="111"/>
      <c r="K11" s="132"/>
      <c r="L11" s="111"/>
      <c r="M11" s="111"/>
      <c r="N11" s="111"/>
      <c r="O11" s="111"/>
      <c r="P11" s="138"/>
      <c r="Q11" s="113"/>
      <c r="R11" s="134"/>
      <c r="S11" s="113"/>
      <c r="T11" s="113"/>
      <c r="U11" s="113"/>
      <c r="V11" s="140"/>
      <c r="W11" s="113"/>
      <c r="X11" s="75">
        <f>'External Initiated Calcs'!G5</f>
        <v>22.55848386418208</v>
      </c>
      <c r="Y11" s="75">
        <f>'External Initiated Calcs'!H5</f>
        <v>16.682000416940554</v>
      </c>
      <c r="Z11" s="75">
        <f>'External Initiated Calcs'!I5</f>
        <v>11.932751169221504</v>
      </c>
      <c r="AA11" s="75">
        <f>'External Initiated Calcs'!J5</f>
        <v>12.139333690958722</v>
      </c>
      <c r="AB11" s="75">
        <f>'External Initiated Calcs'!K5</f>
        <v>12.635762161496622</v>
      </c>
      <c r="AC11" s="150"/>
      <c r="AD11" s="60"/>
      <c r="AE11" s="61"/>
      <c r="AF11" s="62"/>
      <c r="AG11" s="16"/>
      <c r="AH11" s="24"/>
    </row>
    <row r="12" spans="3:53" ht="27.75" customHeight="1" x14ac:dyDescent="0.3">
      <c r="C12" s="211" t="s">
        <v>43</v>
      </c>
      <c r="D12" s="100"/>
      <c r="E12" s="209">
        <v>0.80007326000000012</v>
      </c>
      <c r="F12" s="209">
        <v>0.81663691999999988</v>
      </c>
      <c r="G12" s="209">
        <v>0.14299050999999999</v>
      </c>
      <c r="H12" s="209">
        <v>0.2</v>
      </c>
      <c r="I12" s="209">
        <v>7.8</v>
      </c>
      <c r="J12" s="112"/>
      <c r="K12" s="133"/>
      <c r="L12" s="112"/>
      <c r="M12" s="112"/>
      <c r="N12" s="112"/>
      <c r="O12" s="112"/>
      <c r="P12" s="139"/>
      <c r="Q12" s="112"/>
      <c r="R12" s="133"/>
      <c r="S12" s="112"/>
      <c r="T12" s="112"/>
      <c r="U12" s="112"/>
      <c r="V12" s="139"/>
      <c r="W12" s="112"/>
      <c r="X12" s="209">
        <v>5.8588171776396587</v>
      </c>
      <c r="Y12" s="209">
        <v>6.0663214307112856</v>
      </c>
      <c r="Z12" s="209">
        <v>6.2809665651021138</v>
      </c>
      <c r="AA12" s="209">
        <v>6.4909875753436257</v>
      </c>
      <c r="AB12" s="209">
        <v>10.288408972507654</v>
      </c>
      <c r="AC12" s="150"/>
      <c r="AD12" s="224"/>
      <c r="AE12" s="226"/>
      <c r="AF12" s="228"/>
      <c r="AG12" s="16"/>
      <c r="AH12" s="24"/>
      <c r="AR12" s="102"/>
      <c r="AS12" s="103"/>
      <c r="AT12" s="103"/>
      <c r="AU12" s="103"/>
      <c r="AV12" s="103"/>
      <c r="AW12" s="103"/>
      <c r="AX12" s="103"/>
      <c r="AY12" s="103"/>
      <c r="AZ12" s="103"/>
      <c r="BA12" s="103"/>
    </row>
    <row r="13" spans="3:53" ht="16.2" customHeight="1" x14ac:dyDescent="0.3">
      <c r="C13" s="212"/>
      <c r="D13" s="101"/>
      <c r="E13" s="210"/>
      <c r="F13" s="210"/>
      <c r="G13" s="210"/>
      <c r="H13" s="210"/>
      <c r="I13" s="210"/>
      <c r="J13" s="112"/>
      <c r="K13" s="133"/>
      <c r="L13" s="112"/>
      <c r="M13" s="112"/>
      <c r="N13" s="112"/>
      <c r="O13" s="112"/>
      <c r="P13" s="139"/>
      <c r="Q13" s="112"/>
      <c r="R13" s="133"/>
      <c r="S13" s="112"/>
      <c r="T13" s="112"/>
      <c r="U13" s="112"/>
      <c r="V13" s="139"/>
      <c r="W13" s="112"/>
      <c r="X13" s="210"/>
      <c r="Y13" s="210"/>
      <c r="Z13" s="210"/>
      <c r="AA13" s="210"/>
      <c r="AB13" s="210"/>
      <c r="AC13" s="150"/>
      <c r="AD13" s="225"/>
      <c r="AE13" s="227"/>
      <c r="AF13" s="229"/>
      <c r="AG13" s="16"/>
    </row>
    <row r="14" spans="3:53" ht="16.2" x14ac:dyDescent="0.3">
      <c r="C14" s="32" t="s">
        <v>85</v>
      </c>
      <c r="D14" s="32"/>
      <c r="E14" s="8">
        <v>24.025390530311597</v>
      </c>
      <c r="F14" s="8">
        <v>29.933005354017023</v>
      </c>
      <c r="G14" s="8">
        <v>30.821669444944128</v>
      </c>
      <c r="H14" s="8">
        <v>26.732643633441793</v>
      </c>
      <c r="I14" s="8">
        <v>23.191005577867795</v>
      </c>
      <c r="J14" s="113"/>
      <c r="K14" s="134"/>
      <c r="L14" s="113"/>
      <c r="M14" s="113"/>
      <c r="N14" s="113"/>
      <c r="O14" s="113"/>
      <c r="P14" s="140"/>
      <c r="Q14" s="113"/>
      <c r="R14" s="134"/>
      <c r="S14" s="113"/>
      <c r="T14" s="113"/>
      <c r="U14" s="113"/>
      <c r="V14" s="140"/>
      <c r="W14" s="113"/>
      <c r="X14" s="8">
        <v>43.538624629155663</v>
      </c>
      <c r="Y14" s="8">
        <v>46.419527836693035</v>
      </c>
      <c r="Z14" s="8">
        <v>38.052291565151563</v>
      </c>
      <c r="AA14" s="8">
        <v>42.662739377817914</v>
      </c>
      <c r="AB14" s="8">
        <v>46.415267703964943</v>
      </c>
      <c r="AC14" s="150"/>
      <c r="AD14" s="71"/>
      <c r="AE14" s="61"/>
      <c r="AF14" s="72"/>
      <c r="AG14" s="16"/>
      <c r="AH14" s="24"/>
      <c r="AR14" s="104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3:53" ht="16.2" x14ac:dyDescent="0.3">
      <c r="C15" s="32" t="s">
        <v>44</v>
      </c>
      <c r="D15" s="32"/>
      <c r="E15" s="8">
        <v>11.22231901969614</v>
      </c>
      <c r="F15" s="8">
        <v>8.0849370022852085</v>
      </c>
      <c r="G15" s="8">
        <v>8.444840065730002</v>
      </c>
      <c r="H15" s="8">
        <v>7.9909144235429439</v>
      </c>
      <c r="I15" s="8">
        <v>44.599259527114604</v>
      </c>
      <c r="J15" s="113"/>
      <c r="K15" s="134"/>
      <c r="L15" s="113"/>
      <c r="M15" s="113"/>
      <c r="N15" s="113"/>
      <c r="O15" s="113"/>
      <c r="P15" s="140"/>
      <c r="Q15" s="113"/>
      <c r="R15" s="134"/>
      <c r="S15" s="113"/>
      <c r="T15" s="113"/>
      <c r="U15" s="113"/>
      <c r="V15" s="140"/>
      <c r="W15" s="113"/>
      <c r="X15" s="8">
        <v>63.684006430207923</v>
      </c>
      <c r="Y15" s="8">
        <v>69.902387845786464</v>
      </c>
      <c r="Z15" s="8">
        <v>72.352242029285321</v>
      </c>
      <c r="AA15" s="8">
        <v>34.653523856020009</v>
      </c>
      <c r="AB15" s="8">
        <v>7.3527573428788777</v>
      </c>
      <c r="AC15" s="150"/>
      <c r="AD15" s="60"/>
      <c r="AE15" s="84"/>
      <c r="AF15" s="62"/>
      <c r="AG15" s="16"/>
      <c r="AH15" s="24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</row>
    <row r="16" spans="3:53" x14ac:dyDescent="0.3">
      <c r="C16" s="43" t="s">
        <v>29</v>
      </c>
      <c r="D16" s="43"/>
      <c r="E16" s="44">
        <v>225.22291968898119</v>
      </c>
      <c r="F16" s="44">
        <v>240.67710173007202</v>
      </c>
      <c r="G16" s="44">
        <v>244.28928059368448</v>
      </c>
      <c r="H16" s="44">
        <v>278.2</v>
      </c>
      <c r="I16" s="44">
        <v>314.2</v>
      </c>
      <c r="J16" s="30"/>
      <c r="K16" s="131"/>
      <c r="L16" s="16"/>
      <c r="M16" s="16"/>
      <c r="N16" s="16"/>
      <c r="O16" s="16"/>
      <c r="P16" s="141"/>
      <c r="Q16" s="30"/>
      <c r="R16" s="135"/>
      <c r="S16" s="16"/>
      <c r="T16" s="16"/>
      <c r="U16" s="16"/>
      <c r="V16" s="141"/>
      <c r="W16" s="30"/>
      <c r="X16" s="44">
        <v>384.12163858238756</v>
      </c>
      <c r="Y16" s="44">
        <v>379.79627881770199</v>
      </c>
      <c r="Z16" s="44">
        <v>364.74853567665355</v>
      </c>
      <c r="AA16" s="44">
        <v>343.84250984871386</v>
      </c>
      <c r="AB16" s="44">
        <v>337.54772621972404</v>
      </c>
      <c r="AC16" s="14"/>
      <c r="AD16" s="52"/>
      <c r="AE16" s="27"/>
      <c r="AF16" s="56"/>
      <c r="AG16" s="18"/>
      <c r="AH16" s="24" t="s">
        <v>27</v>
      </c>
      <c r="AR16" s="30"/>
      <c r="AS16" s="30"/>
      <c r="AT16" s="30"/>
      <c r="AU16" s="30"/>
      <c r="AV16" s="30"/>
      <c r="AW16" s="30"/>
      <c r="AX16" s="30"/>
      <c r="AY16" s="30"/>
      <c r="AZ16" s="30"/>
      <c r="BA16" s="30"/>
    </row>
    <row r="17" spans="3:55" x14ac:dyDescent="0.3">
      <c r="C17" s="31" t="s">
        <v>30</v>
      </c>
      <c r="D17" s="123"/>
      <c r="E17" s="45">
        <v>144.81583979000018</v>
      </c>
      <c r="F17" s="46">
        <v>100.32944942999998</v>
      </c>
      <c r="G17" s="46">
        <v>115.89244852025384</v>
      </c>
      <c r="H17" s="46">
        <v>140.4</v>
      </c>
      <c r="I17" s="46">
        <v>147.5</v>
      </c>
      <c r="J17" s="47"/>
      <c r="K17" s="131"/>
      <c r="L17" s="16"/>
      <c r="M17" s="16"/>
      <c r="N17" s="16"/>
      <c r="O17" s="16"/>
      <c r="P17" s="141"/>
      <c r="Q17" s="47"/>
      <c r="R17" s="136"/>
      <c r="S17" s="16"/>
      <c r="T17" s="16"/>
      <c r="U17" s="16"/>
      <c r="V17" s="141"/>
      <c r="W17" s="47"/>
      <c r="X17" s="45">
        <v>164.00339407477279</v>
      </c>
      <c r="Y17" s="46">
        <v>150.73277205736719</v>
      </c>
      <c r="Z17" s="46">
        <v>140.73497034553179</v>
      </c>
      <c r="AA17" s="46">
        <v>147.20062409314164</v>
      </c>
      <c r="AB17" s="46">
        <v>154.89466035237984</v>
      </c>
      <c r="AC17" s="14"/>
      <c r="AD17" s="52"/>
      <c r="AE17" s="27"/>
      <c r="AF17" s="56"/>
      <c r="AG17" s="19"/>
      <c r="AH17" s="24" t="s">
        <v>27</v>
      </c>
    </row>
    <row r="18" spans="3:55" ht="20.100000000000001" customHeight="1" x14ac:dyDescent="0.3">
      <c r="C18" s="66" t="s">
        <v>31</v>
      </c>
      <c r="D18" s="66"/>
      <c r="E18" s="28">
        <v>80.40707989898101</v>
      </c>
      <c r="F18" s="28">
        <v>140.34765230007204</v>
      </c>
      <c r="G18" s="28">
        <v>128.39683207343063</v>
      </c>
      <c r="H18" s="28">
        <v>137.69999999999999</v>
      </c>
      <c r="I18" s="28">
        <v>166.7</v>
      </c>
      <c r="J18" s="164"/>
      <c r="K18" s="151"/>
      <c r="L18" s="152"/>
      <c r="M18" s="152"/>
      <c r="N18" s="152"/>
      <c r="O18" s="152"/>
      <c r="P18" s="153"/>
      <c r="Q18" s="164"/>
      <c r="R18" s="151"/>
      <c r="S18" s="154"/>
      <c r="T18" s="154"/>
      <c r="U18" s="154"/>
      <c r="V18" s="155"/>
      <c r="W18" s="152"/>
      <c r="X18" s="28">
        <v>220.11824450761478</v>
      </c>
      <c r="Y18" s="28">
        <v>229.0635067603348</v>
      </c>
      <c r="Z18" s="28">
        <v>224.01356533112175</v>
      </c>
      <c r="AA18" s="28">
        <v>196.64188575557222</v>
      </c>
      <c r="AB18" s="28">
        <v>182.6530658673442</v>
      </c>
      <c r="AC18" s="165"/>
      <c r="AD18" s="183"/>
      <c r="AE18" s="27"/>
      <c r="AF18" s="58"/>
      <c r="AG18" s="18"/>
      <c r="AH18" s="24" t="s">
        <v>27</v>
      </c>
    </row>
    <row r="19" spans="3:55" ht="16.5" customHeight="1" x14ac:dyDescent="0.3">
      <c r="C19" s="190" t="s">
        <v>49</v>
      </c>
      <c r="D19" s="190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4"/>
      <c r="AD19" s="57"/>
      <c r="AE19" s="186"/>
      <c r="AF19" s="187"/>
      <c r="AG19" s="18"/>
      <c r="AH19" s="24"/>
    </row>
    <row r="20" spans="3:55" ht="14.4" customHeight="1" x14ac:dyDescent="0.3">
      <c r="C20" s="34" t="s">
        <v>53</v>
      </c>
      <c r="D20" s="34"/>
      <c r="E20" s="2">
        <v>35.632938501303812</v>
      </c>
      <c r="F20" s="2">
        <v>39.519101108433063</v>
      </c>
      <c r="G20" s="2">
        <v>33.772322465720841</v>
      </c>
      <c r="H20" s="2">
        <v>41.5</v>
      </c>
      <c r="I20" s="2">
        <v>58.9</v>
      </c>
      <c r="J20" s="137"/>
      <c r="K20" s="2">
        <f t="shared" ref="K20:K22" si="1">E20*(1+F$6)*(1+G$6)*(1+H$6)*(1+I$6)</f>
        <v>40.853398146918551</v>
      </c>
      <c r="L20" s="2">
        <f>F20*(1+$G$6)*(1+$H$6)*(1+$I$6)</f>
        <v>43.831089694785256</v>
      </c>
      <c r="M20" s="2">
        <f>G20*(1+$H$6)*(1+$I$6)</f>
        <v>35.522189010205537</v>
      </c>
      <c r="N20" s="2">
        <f>H20*(1+$I$6)</f>
        <v>42.307505350922007</v>
      </c>
      <c r="O20" s="2">
        <f>I20</f>
        <v>58.9</v>
      </c>
      <c r="P20" s="2">
        <f>AVERAGE(K20:O20)</f>
        <v>44.282836440566271</v>
      </c>
      <c r="Q20" s="137"/>
      <c r="R20" s="2"/>
      <c r="S20" s="2">
        <f>P20*(1+$R$6)*(1+$S$6)</f>
        <v>45.547273059414401</v>
      </c>
      <c r="T20" s="2">
        <f>$P20*(1+$R$6)*(1+$S$6)*(1+$T$6)</f>
        <v>46.233602381508419</v>
      </c>
      <c r="U20" s="2">
        <f>$P20*(1+$R$6)*(1+$S$6)*(1+$T$6)*(1+$U$6)</f>
        <v>46.905559578136774</v>
      </c>
      <c r="V20" s="2">
        <f>$P20*(1+$R$6)*(1+$S$6)*(1+$T$6)*(1+$U$6)*(1+$V$6)</f>
        <v>47.604124758695157</v>
      </c>
      <c r="W20" s="137"/>
      <c r="X20" s="2">
        <v>64.3531579045966</v>
      </c>
      <c r="Y20" s="2">
        <v>61.134814657310628</v>
      </c>
      <c r="Z20" s="2">
        <v>33.646859152121252</v>
      </c>
      <c r="AA20" s="2">
        <v>39.024353039051448</v>
      </c>
      <c r="AB20" s="2">
        <v>38.576037479588521</v>
      </c>
      <c r="AC20" s="181"/>
      <c r="AD20" s="182">
        <f>AVERAGE(S20:V20)</f>
        <v>46.572639944438684</v>
      </c>
      <c r="AE20" s="188">
        <f t="shared" ref="AE20:AE22" si="2">AVERAGE(Y20:AB20)</f>
        <v>43.095516082017966</v>
      </c>
      <c r="AF20" s="189">
        <f t="shared" ref="AF20:AF22" si="3">AD20/AE20</f>
        <v>1.0806841216567211</v>
      </c>
      <c r="AG20" s="16"/>
      <c r="AH20" s="24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3:55" x14ac:dyDescent="0.3">
      <c r="C21" s="31" t="s">
        <v>1</v>
      </c>
      <c r="D21" s="31"/>
      <c r="E21" s="2">
        <v>15.04147427500958</v>
      </c>
      <c r="F21" s="2">
        <v>22.113231366284872</v>
      </c>
      <c r="G21" s="2">
        <v>32.123329429987365</v>
      </c>
      <c r="H21" s="2">
        <v>25.6</v>
      </c>
      <c r="I21" s="2">
        <v>25.3</v>
      </c>
      <c r="J21" s="16"/>
      <c r="K21" s="2">
        <f t="shared" si="1"/>
        <v>17.245149098526216</v>
      </c>
      <c r="L21" s="2">
        <f>F21*(1+$G$6)*(1+$H$6)*(1+$I$6)</f>
        <v>24.526039314450433</v>
      </c>
      <c r="M21" s="2">
        <f>G21*(1+$H$6)*(1+$I$6)</f>
        <v>33.787755663156574</v>
      </c>
      <c r="N21" s="2">
        <f>H21*(1+$I$6)</f>
        <v>26.098123782737431</v>
      </c>
      <c r="O21" s="2">
        <f>I21</f>
        <v>25.3</v>
      </c>
      <c r="P21" s="2">
        <f>AVERAGE(K21:O21)</f>
        <v>25.39141357177413</v>
      </c>
      <c r="Q21" s="16"/>
      <c r="R21" s="2"/>
      <c r="S21" s="2">
        <f>P21*(1+$R$6)*(1+$S$6)</f>
        <v>26.116431111415231</v>
      </c>
      <c r="T21" s="2">
        <f>$P21*(1+$R$6)*(1+$S$6)*(1+$T$6)</f>
        <v>26.509966690083818</v>
      </c>
      <c r="U21" s="2">
        <f>$P21*(1+$R$6)*(1+$S$6)*(1+$T$6)*(1+$U$6)</f>
        <v>26.895261410421345</v>
      </c>
      <c r="V21" s="2">
        <f>$P21*(1+$R$6)*(1+$S$6)*(1+$T$6)*(1+$U$6)*(1+$V$6)</f>
        <v>27.295812929522999</v>
      </c>
      <c r="W21" s="16"/>
      <c r="X21" s="2">
        <v>13.712315543254739</v>
      </c>
      <c r="Y21" s="2">
        <v>14.807942243704044</v>
      </c>
      <c r="Z21" s="2">
        <v>30.51455768397804</v>
      </c>
      <c r="AA21" s="2">
        <v>31.221369956008729</v>
      </c>
      <c r="AB21" s="2">
        <v>33.171489418997105</v>
      </c>
      <c r="AC21" s="14"/>
      <c r="AD21" s="52">
        <f>AVERAGE(S21:V21)</f>
        <v>26.704368035360847</v>
      </c>
      <c r="AE21" s="27">
        <f t="shared" si="2"/>
        <v>27.428839825671979</v>
      </c>
      <c r="AF21" s="56">
        <f t="shared" si="3"/>
        <v>0.9735872244354622</v>
      </c>
      <c r="AG21" s="16"/>
      <c r="AH21" s="24"/>
      <c r="AT21" s="5"/>
      <c r="AU21" s="5"/>
      <c r="AV21" s="5"/>
      <c r="AW21" s="5"/>
      <c r="AX21" s="5"/>
      <c r="AY21" s="5"/>
      <c r="AZ21" s="5"/>
      <c r="BA21" s="5"/>
      <c r="BB21" s="5"/>
      <c r="BC21" s="5"/>
    </row>
    <row r="22" spans="3:55" x14ac:dyDescent="0.3">
      <c r="C22" s="31" t="s">
        <v>2</v>
      </c>
      <c r="D22" s="31"/>
      <c r="E22" s="2">
        <v>63.094865009448412</v>
      </c>
      <c r="F22" s="2">
        <v>54.544559100111279</v>
      </c>
      <c r="G22" s="2">
        <v>59.714732129526652</v>
      </c>
      <c r="H22" s="2">
        <v>67.8</v>
      </c>
      <c r="I22" s="2">
        <v>61.9</v>
      </c>
      <c r="J22" s="16"/>
      <c r="K22" s="2">
        <f t="shared" si="1"/>
        <v>72.338677349406908</v>
      </c>
      <c r="L22" s="2">
        <f>F22*(1+$G$6)*(1+$H$6)*(1+$I$6)</f>
        <v>60.495998016749589</v>
      </c>
      <c r="M22" s="2">
        <f>G22*(1+$H$6)*(1+$I$6)</f>
        <v>62.808769031264319</v>
      </c>
      <c r="N22" s="2">
        <f>H22*(1+$I$6)</f>
        <v>69.119249705843657</v>
      </c>
      <c r="O22" s="2">
        <f>I22</f>
        <v>61.9</v>
      </c>
      <c r="P22" s="2">
        <f>AVERAGE(K22:O22)</f>
        <v>65.3325388206529</v>
      </c>
      <c r="Q22" s="16"/>
      <c r="R22" s="2"/>
      <c r="S22" s="2">
        <f>P22*(1+$R$6)*(1+$S$6)</f>
        <v>67.198021276773858</v>
      </c>
      <c r="T22" s="2">
        <f>$P22*(1+$R$6)*(1+$S$6)*(1+$T$6)</f>
        <v>68.210595011512837</v>
      </c>
      <c r="U22" s="2">
        <f>$P22*(1+$R$6)*(1+$S$6)*(1+$T$6)*(1+$U$6)</f>
        <v>69.201964877656337</v>
      </c>
      <c r="V22" s="2">
        <f>$P22*(1+$R$6)*(1+$S$6)*(1+$T$6)*(1+$U$6)*(1+$V$6)</f>
        <v>70.232590746413436</v>
      </c>
      <c r="W22" s="16"/>
      <c r="X22" s="2">
        <v>61.558055255382094</v>
      </c>
      <c r="Y22" s="2">
        <v>64.779009806534759</v>
      </c>
      <c r="Z22" s="2">
        <v>64.796027535972044</v>
      </c>
      <c r="AA22" s="2">
        <v>67.281867277885169</v>
      </c>
      <c r="AB22" s="2">
        <v>69.676498117417452</v>
      </c>
      <c r="AC22" s="14"/>
      <c r="AD22" s="52">
        <f>AVERAGE(S22:V22)</f>
        <v>68.710792978089117</v>
      </c>
      <c r="AE22" s="27">
        <f t="shared" si="2"/>
        <v>66.633350684452353</v>
      </c>
      <c r="AF22" s="56">
        <f t="shared" si="3"/>
        <v>1.0311772148976068</v>
      </c>
      <c r="AG22" s="16"/>
      <c r="AH22" s="24"/>
      <c r="AT22" s="5"/>
      <c r="AU22" s="5"/>
      <c r="AV22" s="5"/>
      <c r="AW22" s="5"/>
      <c r="AX22" s="5"/>
      <c r="AY22" s="5"/>
      <c r="AZ22" s="5"/>
      <c r="BA22" s="5"/>
      <c r="BB22" s="5"/>
      <c r="BC22" s="5"/>
    </row>
    <row r="23" spans="3:55" x14ac:dyDescent="0.3">
      <c r="C23" s="31" t="s">
        <v>3</v>
      </c>
      <c r="D23" s="31"/>
      <c r="E23" s="2">
        <v>30.156639903992776</v>
      </c>
      <c r="F23" s="2">
        <v>33.559538727450615</v>
      </c>
      <c r="G23" s="2">
        <v>27.445529355972109</v>
      </c>
      <c r="H23" s="2">
        <v>21.9</v>
      </c>
      <c r="I23" s="2">
        <v>40.6</v>
      </c>
      <c r="J23" s="16"/>
      <c r="K23" s="131"/>
      <c r="L23" s="16"/>
      <c r="M23" s="16"/>
      <c r="N23" s="16"/>
      <c r="O23" s="16"/>
      <c r="P23" s="141"/>
      <c r="Q23" s="16"/>
      <c r="R23" s="131"/>
      <c r="S23" s="16"/>
      <c r="T23" s="16"/>
      <c r="U23" s="16"/>
      <c r="V23" s="141"/>
      <c r="W23" s="16"/>
      <c r="X23" s="2">
        <v>56.382049157803849</v>
      </c>
      <c r="Y23" s="2">
        <v>56.693452546045783</v>
      </c>
      <c r="Z23" s="2">
        <v>58.811715559821437</v>
      </c>
      <c r="AA23" s="2">
        <v>58.579166433661221</v>
      </c>
      <c r="AB23" s="2">
        <v>52.263341866199042</v>
      </c>
      <c r="AC23" s="14"/>
      <c r="AD23" s="52"/>
      <c r="AE23" s="27"/>
      <c r="AF23" s="56"/>
      <c r="AG23" s="16"/>
      <c r="AT23" s="5"/>
      <c r="AU23" s="5"/>
      <c r="AV23" s="5"/>
      <c r="AW23" s="5"/>
      <c r="AX23" s="5"/>
      <c r="AY23" s="5"/>
      <c r="AZ23" s="5"/>
      <c r="BA23" s="5"/>
      <c r="BB23" s="5"/>
      <c r="BC23" s="5"/>
    </row>
    <row r="24" spans="3:55" ht="50.1" customHeight="1" x14ac:dyDescent="0.3">
      <c r="C24" s="35" t="s">
        <v>45</v>
      </c>
      <c r="D24" s="35"/>
      <c r="E24" s="8">
        <v>4.7</v>
      </c>
      <c r="F24" s="8">
        <v>3.1</v>
      </c>
      <c r="G24" s="8">
        <v>5.0999999999999996</v>
      </c>
      <c r="H24" s="80">
        <v>6.9</v>
      </c>
      <c r="I24" s="80">
        <v>8.1</v>
      </c>
      <c r="J24" s="111"/>
      <c r="K24" s="132"/>
      <c r="L24" s="111"/>
      <c r="M24" s="111"/>
      <c r="N24" s="111"/>
      <c r="O24" s="111"/>
      <c r="P24" s="138"/>
      <c r="Q24" s="113"/>
      <c r="R24" s="134"/>
      <c r="S24" s="113"/>
      <c r="T24" s="113"/>
      <c r="U24" s="113"/>
      <c r="V24" s="140"/>
      <c r="W24" s="113"/>
      <c r="X24" s="8">
        <v>11.9</v>
      </c>
      <c r="Y24" s="8">
        <v>12.1</v>
      </c>
      <c r="Z24" s="8">
        <v>13.5</v>
      </c>
      <c r="AA24" s="8">
        <v>13.1</v>
      </c>
      <c r="AB24" s="8">
        <v>14.2</v>
      </c>
      <c r="AC24" s="150"/>
      <c r="AD24" s="60"/>
      <c r="AE24" s="61"/>
      <c r="AF24" s="62"/>
      <c r="AG24" s="16"/>
      <c r="AH24" s="24"/>
      <c r="AT24" s="5"/>
      <c r="AU24" s="5"/>
      <c r="AV24" s="5"/>
      <c r="AW24" s="5"/>
      <c r="AX24" s="5"/>
      <c r="AY24" s="5"/>
      <c r="AZ24" s="5"/>
      <c r="BA24" s="5"/>
      <c r="BB24" s="5"/>
      <c r="BC24" s="5"/>
    </row>
    <row r="25" spans="3:55" x14ac:dyDescent="0.3">
      <c r="C25" s="36" t="s">
        <v>23</v>
      </c>
      <c r="D25" s="36"/>
      <c r="E25" s="2">
        <f>E23-E24</f>
        <v>25.456639903992777</v>
      </c>
      <c r="F25" s="2">
        <f t="shared" ref="F25:AB25" si="4">F23-F24</f>
        <v>30.459538727450614</v>
      </c>
      <c r="G25" s="2">
        <f t="shared" si="4"/>
        <v>22.345529355972111</v>
      </c>
      <c r="H25" s="2">
        <f t="shared" si="4"/>
        <v>14.999999999999998</v>
      </c>
      <c r="I25" s="2">
        <f t="shared" si="4"/>
        <v>32.5</v>
      </c>
      <c r="J25" s="16"/>
      <c r="K25" s="2">
        <f t="shared" ref="K25" si="5">E25*(1+F$6)*(1+G$6)*(1+H$6)*(1+I$6)</f>
        <v>29.186204933463404</v>
      </c>
      <c r="L25" s="2">
        <f t="shared" ref="L25" si="6">F25*(1+$G$6)*(1+$H$6)*(1+$I$6)</f>
        <v>33.7830248304858</v>
      </c>
      <c r="M25" s="2">
        <f t="shared" ref="M25" si="7">G25*(1+$H$6)*(1+$I$6)</f>
        <v>23.503332295894435</v>
      </c>
      <c r="N25" s="2">
        <f t="shared" ref="N25" si="8">H25*(1+$I$6)</f>
        <v>15.291869403947711</v>
      </c>
      <c r="O25" s="2">
        <f t="shared" ref="O25" si="9">I25</f>
        <v>32.5</v>
      </c>
      <c r="P25" s="2">
        <f t="shared" ref="P25" si="10">AVERAGE(K25:O25)</f>
        <v>26.852886292758274</v>
      </c>
      <c r="Q25" s="16"/>
      <c r="R25" s="2"/>
      <c r="S25" s="2">
        <f t="shared" ref="S25" si="11">P25*(1+$R$6)*(1+$S$6)</f>
        <v>27.619634213160779</v>
      </c>
      <c r="T25" s="2">
        <f t="shared" ref="T25:T31" si="12">$P25*(1+$R$6)*(1+$S$6)*(1+$T$6)</f>
        <v>28.035820815622706</v>
      </c>
      <c r="U25" s="2">
        <f t="shared" ref="U25:U31" si="13">$P25*(1+$R$6)*(1+$S$6)*(1+$T$6)*(1+$U$6)</f>
        <v>28.443292234461907</v>
      </c>
      <c r="V25" s="2">
        <f t="shared" ref="V25:V31" si="14">$P25*(1+$R$6)*(1+$S$6)*(1+$T$6)*(1+$U$6)*(1+$V$6)</f>
        <v>28.866898599126259</v>
      </c>
      <c r="W25" s="16"/>
      <c r="X25" s="2">
        <f t="shared" si="4"/>
        <v>44.48204915780385</v>
      </c>
      <c r="Y25" s="2">
        <f t="shared" si="4"/>
        <v>44.593452546045782</v>
      </c>
      <c r="Z25" s="2">
        <f t="shared" si="4"/>
        <v>45.311715559821437</v>
      </c>
      <c r="AA25" s="2">
        <f t="shared" si="4"/>
        <v>45.47916643366122</v>
      </c>
      <c r="AB25" s="2">
        <f t="shared" si="4"/>
        <v>38.063341866199039</v>
      </c>
      <c r="AC25" s="14"/>
      <c r="AD25" s="52">
        <f>AVERAGE(S25:V25)</f>
        <v>28.241411465592915</v>
      </c>
      <c r="AE25" s="27">
        <f t="shared" ref="AE25:AE27" si="15">AVERAGE(Y25:AB25)</f>
        <v>43.361919101431866</v>
      </c>
      <c r="AF25" s="56">
        <f t="shared" ref="AF25:AF27" si="16">AD25/AE25</f>
        <v>0.65129523902138242</v>
      </c>
      <c r="AG25" s="16"/>
      <c r="AH25" s="24"/>
      <c r="AT25" s="5"/>
      <c r="AU25" s="5"/>
      <c r="AV25" s="5"/>
      <c r="AW25" s="5"/>
      <c r="AX25" s="5"/>
      <c r="AY25" s="5"/>
      <c r="AZ25" s="5"/>
      <c r="BA25" s="5"/>
      <c r="BB25" s="5"/>
      <c r="BC25" s="5"/>
    </row>
    <row r="26" spans="3:55" x14ac:dyDescent="0.3">
      <c r="C26" s="31" t="s">
        <v>17</v>
      </c>
      <c r="D26" s="31"/>
      <c r="E26" s="2">
        <v>7.0853017154869455</v>
      </c>
      <c r="F26" s="2">
        <v>8.5203457406888603</v>
      </c>
      <c r="G26" s="2">
        <v>20.178133094660037</v>
      </c>
      <c r="H26" s="2">
        <v>27.6</v>
      </c>
      <c r="I26" s="2">
        <v>16.8</v>
      </c>
      <c r="J26" s="16"/>
      <c r="K26" s="2">
        <f t="shared" ref="K26:K31" si="17">E26*(1+F$6)*(1+G$6)*(1+H$6)*(1+I$6)</f>
        <v>8.1233449765374228</v>
      </c>
      <c r="L26" s="2">
        <f t="shared" ref="L26:L31" si="18">F26*(1+$G$6)*(1+$H$6)*(1+$I$6)</f>
        <v>9.4500134850238897</v>
      </c>
      <c r="M26" s="2">
        <f t="shared" ref="M26:M31" si="19">G26*(1+$H$6)*(1+$I$6)</f>
        <v>21.223635371512451</v>
      </c>
      <c r="N26" s="2">
        <f t="shared" ref="N26:N31" si="20">H26*(1+$I$6)</f>
        <v>28.137039703263792</v>
      </c>
      <c r="O26" s="2">
        <f t="shared" ref="O26:O31" si="21">I26</f>
        <v>16.8</v>
      </c>
      <c r="P26" s="2">
        <f t="shared" ref="P26:P31" si="22">AVERAGE(K26:O26)</f>
        <v>16.74680670726751</v>
      </c>
      <c r="Q26" s="16"/>
      <c r="R26" s="2"/>
      <c r="S26" s="2">
        <f t="shared" ref="S26:S31" si="23">P26*(1+$R$6)*(1+$S$6)</f>
        <v>17.224989166917776</v>
      </c>
      <c r="T26" s="2">
        <f t="shared" si="12"/>
        <v>17.484544006185239</v>
      </c>
      <c r="U26" s="2">
        <f t="shared" si="13"/>
        <v>17.738663619832746</v>
      </c>
      <c r="V26" s="2">
        <f t="shared" si="14"/>
        <v>18.002845794950186</v>
      </c>
      <c r="W26" s="16"/>
      <c r="X26" s="2">
        <v>20.542345052101158</v>
      </c>
      <c r="Y26" s="2">
        <v>25.989682410393996</v>
      </c>
      <c r="Z26" s="2">
        <v>32.323996260387929</v>
      </c>
      <c r="AA26" s="2">
        <v>41.281386749221063</v>
      </c>
      <c r="AB26" s="2">
        <v>44.997136639528463</v>
      </c>
      <c r="AC26" s="14"/>
      <c r="AD26" s="52">
        <f>AVERAGE(S26:V26)</f>
        <v>17.612760646971488</v>
      </c>
      <c r="AE26" s="27">
        <f t="shared" si="15"/>
        <v>36.148050514882861</v>
      </c>
      <c r="AF26" s="56">
        <f t="shared" si="16"/>
        <v>0.48723957159791975</v>
      </c>
      <c r="AG26" s="16"/>
      <c r="AH26" s="24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3:55" x14ac:dyDescent="0.3">
      <c r="C27" s="31" t="s">
        <v>18</v>
      </c>
      <c r="D27" s="31"/>
      <c r="E27" s="2">
        <v>73.537415000631725</v>
      </c>
      <c r="F27" s="2">
        <v>50.852485209960847</v>
      </c>
      <c r="G27" s="2">
        <v>64.428737443855994</v>
      </c>
      <c r="H27" s="2">
        <v>71.8</v>
      </c>
      <c r="I27" s="2">
        <v>102.5</v>
      </c>
      <c r="J27" s="16"/>
      <c r="K27" s="2">
        <f t="shared" si="17"/>
        <v>84.311129535557754</v>
      </c>
      <c r="L27" s="2">
        <f t="shared" si="18"/>
        <v>56.401076388979426</v>
      </c>
      <c r="M27" s="2">
        <f t="shared" si="19"/>
        <v>67.767024062160843</v>
      </c>
      <c r="N27" s="2">
        <f t="shared" si="20"/>
        <v>73.197081546896385</v>
      </c>
      <c r="O27" s="2">
        <f t="shared" si="21"/>
        <v>102.5</v>
      </c>
      <c r="P27" s="2">
        <f t="shared" si="22"/>
        <v>76.835262306718889</v>
      </c>
      <c r="Q27" s="16"/>
      <c r="R27" s="2"/>
      <c r="S27" s="2">
        <f t="shared" si="23"/>
        <v>79.029189504896678</v>
      </c>
      <c r="T27" s="2">
        <f t="shared" si="12"/>
        <v>80.220041259902558</v>
      </c>
      <c r="U27" s="2">
        <f t="shared" si="13"/>
        <v>81.385955903403811</v>
      </c>
      <c r="V27" s="2">
        <f t="shared" si="14"/>
        <v>82.598038127598784</v>
      </c>
      <c r="W27" s="16"/>
      <c r="X27" s="2">
        <v>92.563699962889331</v>
      </c>
      <c r="Y27" s="2">
        <v>82.319687088070779</v>
      </c>
      <c r="Z27" s="2">
        <v>93.781096694464154</v>
      </c>
      <c r="AA27" s="2">
        <v>101.13539481548017</v>
      </c>
      <c r="AB27" s="2">
        <v>105.9078947735243</v>
      </c>
      <c r="AC27" s="14"/>
      <c r="AD27" s="52">
        <f>AVERAGE(S27:V27)</f>
        <v>80.808306198950447</v>
      </c>
      <c r="AE27" s="27">
        <f t="shared" si="15"/>
        <v>95.786018342884859</v>
      </c>
      <c r="AF27" s="56">
        <f t="shared" si="16"/>
        <v>0.84363362834105127</v>
      </c>
      <c r="AG27" s="16"/>
      <c r="AH27" s="24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3:55" x14ac:dyDescent="0.3">
      <c r="C28" s="31" t="s">
        <v>4</v>
      </c>
      <c r="D28" s="31"/>
      <c r="E28" s="2">
        <v>0.72312144783357257</v>
      </c>
      <c r="F28" s="2">
        <v>0.15587429956753449</v>
      </c>
      <c r="G28" s="2">
        <v>0.1666225737935432</v>
      </c>
      <c r="H28" s="2">
        <v>0</v>
      </c>
      <c r="I28" s="2">
        <v>0.2</v>
      </c>
      <c r="J28" s="16"/>
      <c r="K28" s="2">
        <f t="shared" si="17"/>
        <v>0.82906349179819094</v>
      </c>
      <c r="L28" s="2">
        <f t="shared" si="18"/>
        <v>0.17288197893748417</v>
      </c>
      <c r="M28" s="2">
        <f t="shared" si="19"/>
        <v>0.1752558938067936</v>
      </c>
      <c r="N28" s="2">
        <f t="shared" si="20"/>
        <v>0</v>
      </c>
      <c r="O28" s="2">
        <f t="shared" si="21"/>
        <v>0.2</v>
      </c>
      <c r="P28" s="2">
        <f t="shared" si="22"/>
        <v>0.27544027290849377</v>
      </c>
      <c r="Q28" s="16"/>
      <c r="R28" s="2"/>
      <c r="S28" s="2">
        <f t="shared" si="23"/>
        <v>0.28330509809507498</v>
      </c>
      <c r="T28" s="2">
        <f t="shared" si="12"/>
        <v>0.28757408244607519</v>
      </c>
      <c r="U28" s="2">
        <f t="shared" si="13"/>
        <v>0.29175367184230883</v>
      </c>
      <c r="V28" s="2">
        <f t="shared" si="14"/>
        <v>0.29609876351762682</v>
      </c>
      <c r="W28" s="16"/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14"/>
      <c r="AD28" s="52">
        <f>AVERAGE(S28:V28)</f>
        <v>0.28968290397527147</v>
      </c>
      <c r="AE28" s="27">
        <f t="shared" ref="AE28:AE31" si="24">AVERAGE(Y28:AB28)</f>
        <v>0</v>
      </c>
      <c r="AF28" s="56"/>
      <c r="AG28" s="16"/>
      <c r="AH28" s="24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3:55" x14ac:dyDescent="0.3">
      <c r="C29" s="31" t="s">
        <v>5</v>
      </c>
      <c r="D29" s="31"/>
      <c r="E29" s="2">
        <v>-6.2290619805573946E-2</v>
      </c>
      <c r="F29" s="2">
        <v>-4.1218852136359216E-2</v>
      </c>
      <c r="G29" s="2">
        <v>6.6175451339194761E-3</v>
      </c>
      <c r="H29" s="2">
        <v>-0.1</v>
      </c>
      <c r="I29" s="2">
        <v>0</v>
      </c>
      <c r="J29" s="16"/>
      <c r="K29" s="2">
        <f t="shared" si="17"/>
        <v>-7.1416604938218303E-2</v>
      </c>
      <c r="L29" s="2">
        <f t="shared" si="18"/>
        <v>-4.5716303114984654E-2</v>
      </c>
      <c r="M29" s="2">
        <f t="shared" si="19"/>
        <v>6.9604241541058078E-3</v>
      </c>
      <c r="N29" s="2">
        <f t="shared" si="20"/>
        <v>-0.10194579602631809</v>
      </c>
      <c r="O29" s="2">
        <f t="shared" si="21"/>
        <v>0</v>
      </c>
      <c r="P29" s="2">
        <f t="shared" si="22"/>
        <v>-4.2423655985083047E-2</v>
      </c>
      <c r="Q29" s="16"/>
      <c r="R29" s="2"/>
      <c r="S29" s="2">
        <f t="shared" si="23"/>
        <v>-4.3635006215661652E-2</v>
      </c>
      <c r="T29" s="2">
        <f t="shared" si="12"/>
        <v>-4.4292520534828413E-2</v>
      </c>
      <c r="U29" s="2">
        <f t="shared" si="13"/>
        <v>-4.493626613104202E-2</v>
      </c>
      <c r="V29" s="2">
        <f t="shared" si="14"/>
        <v>-4.560550259566961E-2</v>
      </c>
      <c r="W29" s="16"/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14"/>
      <c r="AD29" s="52">
        <f>AVERAGE(S29:V29)</f>
        <v>-4.4617323869300424E-2</v>
      </c>
      <c r="AE29" s="27">
        <f t="shared" si="24"/>
        <v>0</v>
      </c>
      <c r="AF29" s="56"/>
      <c r="AG29" s="16"/>
      <c r="AH29" s="24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3:55" x14ac:dyDescent="0.3">
      <c r="C30" s="31" t="s">
        <v>6</v>
      </c>
      <c r="D30" s="31"/>
      <c r="E30" s="2">
        <v>0.3201477452201123</v>
      </c>
      <c r="F30" s="2">
        <v>-0.13477525972403584</v>
      </c>
      <c r="G30" s="2">
        <v>0.60222333730429667</v>
      </c>
      <c r="H30" s="2">
        <v>0</v>
      </c>
      <c r="I30" s="2">
        <v>0</v>
      </c>
      <c r="J30" s="16"/>
      <c r="K30" s="2">
        <f t="shared" si="17"/>
        <v>0.36705149368573475</v>
      </c>
      <c r="L30" s="2">
        <f t="shared" si="18"/>
        <v>-0.14948079110892562</v>
      </c>
      <c r="M30" s="2">
        <f t="shared" si="19"/>
        <v>0.63342671312561716</v>
      </c>
      <c r="N30" s="2">
        <f t="shared" si="20"/>
        <v>0</v>
      </c>
      <c r="O30" s="2">
        <f t="shared" si="21"/>
        <v>0</v>
      </c>
      <c r="P30" s="2">
        <f t="shared" si="22"/>
        <v>0.17019948314048525</v>
      </c>
      <c r="Q30" s="16"/>
      <c r="R30" s="2"/>
      <c r="S30" s="2">
        <f t="shared" si="23"/>
        <v>0.17505929963576985</v>
      </c>
      <c r="T30" s="2">
        <f t="shared" si="12"/>
        <v>0.17769718160706907</v>
      </c>
      <c r="U30" s="2">
        <f t="shared" si="13"/>
        <v>0.18027982483300992</v>
      </c>
      <c r="V30" s="2">
        <f t="shared" si="14"/>
        <v>0.18296473488457246</v>
      </c>
      <c r="W30" s="16"/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14"/>
      <c r="AD30" s="52">
        <f>AVERAGE(S30:V30)</f>
        <v>0.17900026024010532</v>
      </c>
      <c r="AE30" s="27">
        <f t="shared" si="24"/>
        <v>0</v>
      </c>
      <c r="AF30" s="56"/>
      <c r="AG30" s="16"/>
      <c r="AH30" s="24"/>
      <c r="AT30" s="5"/>
      <c r="AU30" s="5"/>
      <c r="AV30" s="5"/>
      <c r="AW30" s="5"/>
      <c r="AX30" s="5"/>
      <c r="AY30" s="5"/>
      <c r="AZ30" s="5"/>
      <c r="BA30" s="5"/>
      <c r="BB30" s="5"/>
      <c r="BC30" s="5"/>
    </row>
    <row r="31" spans="3:55" x14ac:dyDescent="0.3">
      <c r="C31" s="31" t="s">
        <v>7</v>
      </c>
      <c r="D31" s="31"/>
      <c r="E31" s="2">
        <v>36.13327337233175</v>
      </c>
      <c r="F31" s="2">
        <v>38.225036507362034</v>
      </c>
      <c r="G31" s="2">
        <v>38.213881931600291</v>
      </c>
      <c r="H31" s="2">
        <v>49.3</v>
      </c>
      <c r="I31" s="2">
        <v>60.9</v>
      </c>
      <c r="J31" s="16"/>
      <c r="K31" s="2">
        <f t="shared" si="17"/>
        <v>41.427035364408873</v>
      </c>
      <c r="L31" s="2">
        <f t="shared" si="18"/>
        <v>42.395827757911725</v>
      </c>
      <c r="M31" s="2">
        <f t="shared" si="19"/>
        <v>40.19388178487862</v>
      </c>
      <c r="N31" s="2">
        <f t="shared" si="20"/>
        <v>50.259277440974813</v>
      </c>
      <c r="O31" s="2">
        <f t="shared" si="21"/>
        <v>60.9</v>
      </c>
      <c r="P31" s="2">
        <f t="shared" si="22"/>
        <v>47.035204469634806</v>
      </c>
      <c r="Q31" s="16"/>
      <c r="R31" s="2"/>
      <c r="S31" s="2">
        <f t="shared" si="23"/>
        <v>48.378231242236339</v>
      </c>
      <c r="T31" s="2">
        <f t="shared" si="12"/>
        <v>49.107218872500816</v>
      </c>
      <c r="U31" s="2">
        <f t="shared" si="13"/>
        <v>49.820941088119874</v>
      </c>
      <c r="V31" s="2">
        <f t="shared" si="14"/>
        <v>50.562925087880814</v>
      </c>
      <c r="W31" s="16"/>
      <c r="X31" s="2">
        <v>50.54989680737183</v>
      </c>
      <c r="Y31" s="2">
        <v>60.816662351950356</v>
      </c>
      <c r="Z31" s="2">
        <v>77.423114057745579</v>
      </c>
      <c r="AA31" s="2">
        <v>85.164314146439267</v>
      </c>
      <c r="AB31" s="2">
        <v>84.491944748497716</v>
      </c>
      <c r="AC31" s="14"/>
      <c r="AD31" s="52">
        <f>AVERAGE(S31:V31)</f>
        <v>49.467329072684457</v>
      </c>
      <c r="AE31" s="27">
        <f t="shared" si="24"/>
        <v>76.974008826158226</v>
      </c>
      <c r="AF31" s="56">
        <f t="shared" ref="AF31" si="25">AD31/AE31</f>
        <v>0.64264977005944735</v>
      </c>
      <c r="AG31" s="16"/>
      <c r="AH31" s="24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3:55" x14ac:dyDescent="0.3">
      <c r="C32" s="31" t="s">
        <v>32</v>
      </c>
      <c r="D32" s="31"/>
      <c r="E32" s="29">
        <v>261.65781416538391</v>
      </c>
      <c r="F32" s="29">
        <v>247.3141779479987</v>
      </c>
      <c r="G32" s="29">
        <v>276.62951782206511</v>
      </c>
      <c r="H32" s="29">
        <v>305.39999999999998</v>
      </c>
      <c r="I32" s="29">
        <v>367</v>
      </c>
      <c r="J32" s="30"/>
      <c r="K32" s="135"/>
      <c r="L32" s="30"/>
      <c r="M32" s="30"/>
      <c r="N32" s="30"/>
      <c r="O32" s="30"/>
      <c r="P32" s="145"/>
      <c r="Q32" s="30"/>
      <c r="R32" s="135"/>
      <c r="S32" s="30"/>
      <c r="T32" s="30"/>
      <c r="U32" s="30"/>
      <c r="V32" s="145"/>
      <c r="W32" s="30"/>
      <c r="X32" s="29">
        <v>359.66151968339966</v>
      </c>
      <c r="Y32" s="29">
        <v>366.54125110401037</v>
      </c>
      <c r="Z32" s="29">
        <v>391.29736694449042</v>
      </c>
      <c r="AA32" s="29">
        <v>423.68785241774708</v>
      </c>
      <c r="AB32" s="29">
        <v>429.0843430437526</v>
      </c>
      <c r="AC32" s="14"/>
      <c r="AD32" s="52"/>
      <c r="AE32" s="27"/>
      <c r="AF32" s="56"/>
      <c r="AG32" s="18"/>
      <c r="AH32" s="24" t="s">
        <v>27</v>
      </c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3:55" x14ac:dyDescent="0.3">
      <c r="C33" s="31" t="s">
        <v>33</v>
      </c>
      <c r="D33" s="126"/>
      <c r="E33" s="48">
        <v>0.17869077</v>
      </c>
      <c r="F33" s="49">
        <v>-1.5102190000000001E-2</v>
      </c>
      <c r="G33" s="49">
        <v>0.10113389144844494</v>
      </c>
      <c r="H33" s="49">
        <v>1.2</v>
      </c>
      <c r="I33" s="49">
        <v>0</v>
      </c>
      <c r="J33" s="47"/>
      <c r="K33" s="136"/>
      <c r="L33" s="47"/>
      <c r="M33" s="47"/>
      <c r="N33" s="47"/>
      <c r="O33" s="47"/>
      <c r="P33" s="46"/>
      <c r="Q33" s="47"/>
      <c r="R33" s="136"/>
      <c r="S33" s="47"/>
      <c r="T33" s="47"/>
      <c r="U33" s="47"/>
      <c r="V33" s="46"/>
      <c r="W33" s="47"/>
      <c r="X33" s="48">
        <v>0</v>
      </c>
      <c r="Y33" s="49">
        <v>0</v>
      </c>
      <c r="Z33" s="49">
        <v>0</v>
      </c>
      <c r="AA33" s="49">
        <v>0</v>
      </c>
      <c r="AB33" s="49">
        <v>0</v>
      </c>
      <c r="AC33" s="14"/>
      <c r="AD33" s="52"/>
      <c r="AE33" s="27"/>
      <c r="AF33" s="56"/>
      <c r="AG33" s="19"/>
      <c r="AH33" s="24" t="s">
        <v>27</v>
      </c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3:55" ht="20.100000000000001" customHeight="1" x14ac:dyDescent="0.3">
      <c r="C34" s="66" t="s">
        <v>34</v>
      </c>
      <c r="D34" s="66"/>
      <c r="E34" s="28">
        <v>261.47912339538391</v>
      </c>
      <c r="F34" s="28">
        <v>247.32928013799869</v>
      </c>
      <c r="G34" s="28">
        <v>276.52838393061666</v>
      </c>
      <c r="H34" s="28">
        <v>304.2</v>
      </c>
      <c r="I34" s="28">
        <v>367</v>
      </c>
      <c r="J34" s="164"/>
      <c r="K34" s="151"/>
      <c r="L34" s="152"/>
      <c r="M34" s="152"/>
      <c r="N34" s="152"/>
      <c r="O34" s="152"/>
      <c r="P34" s="153"/>
      <c r="Q34" s="152"/>
      <c r="R34" s="151"/>
      <c r="S34" s="152"/>
      <c r="T34" s="152"/>
      <c r="U34" s="152"/>
      <c r="V34" s="153"/>
      <c r="W34" s="152"/>
      <c r="X34" s="28">
        <v>359.66151968339966</v>
      </c>
      <c r="Y34" s="28">
        <v>366.54125110401037</v>
      </c>
      <c r="Z34" s="28">
        <v>391.29736694449042</v>
      </c>
      <c r="AA34" s="28">
        <v>423.68785241774708</v>
      </c>
      <c r="AB34" s="28">
        <v>429.0843430437526</v>
      </c>
      <c r="AC34" s="179"/>
      <c r="AD34" s="180"/>
      <c r="AE34" s="57"/>
      <c r="AF34" s="58"/>
      <c r="AG34" s="18"/>
      <c r="AH34" s="24" t="s">
        <v>27</v>
      </c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3:55" ht="16.5" customHeight="1" x14ac:dyDescent="0.3">
      <c r="C35" s="124" t="s">
        <v>50</v>
      </c>
      <c r="D35" s="190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4"/>
      <c r="AD35" s="57"/>
      <c r="AE35" s="186"/>
      <c r="AF35" s="187"/>
      <c r="AG35" s="18"/>
      <c r="AH35" s="24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3:55" x14ac:dyDescent="0.3">
      <c r="C36" s="34" t="s">
        <v>8</v>
      </c>
      <c r="D36" s="34"/>
      <c r="E36" s="2">
        <v>8.1378046786516478</v>
      </c>
      <c r="F36" s="2">
        <v>12.53706202947548</v>
      </c>
      <c r="G36" s="2">
        <v>12.95565184777276</v>
      </c>
      <c r="H36" s="2">
        <v>13.6</v>
      </c>
      <c r="I36" s="2">
        <v>6.8</v>
      </c>
      <c r="J36" s="137"/>
      <c r="K36" s="2">
        <f t="shared" ref="K36:K37" si="26">E36*(1+F$6)*(1+G$6)*(1+H$6)*(1+I$6)</f>
        <v>9.3300465401316188</v>
      </c>
      <c r="L36" s="2">
        <f>F36*(1+$G$6)*(1+$H$6)*(1+$I$6)</f>
        <v>13.904999732035012</v>
      </c>
      <c r="M36" s="2">
        <f>G36*(1+$H$6)*(1+$I$6)</f>
        <v>13.626931169869126</v>
      </c>
      <c r="N36" s="2">
        <f>H36*(1+$I$6)</f>
        <v>13.864628259579259</v>
      </c>
      <c r="O36" s="2">
        <f>I36</f>
        <v>6.8</v>
      </c>
      <c r="P36" s="2">
        <f>AVERAGE(K36:O36)</f>
        <v>11.505321140323002</v>
      </c>
      <c r="Q36" s="137"/>
      <c r="R36" s="2"/>
      <c r="S36" s="2">
        <f>P36*(1+$R$6)*(1+$S$6)</f>
        <v>11.833840054890658</v>
      </c>
      <c r="T36" s="2">
        <f>$P36*(1+$R$6)*(1+$S$6)*(1+$T$6)</f>
        <v>12.01215833559316</v>
      </c>
      <c r="U36" s="2">
        <f>$P36*(1+$R$6)*(1+$S$6)*(1+$T$6)*(1+$U$6)</f>
        <v>12.186742530310148</v>
      </c>
      <c r="V36" s="2">
        <f>$P36*(1+$R$6)*(1+$S$6)*(1+$T$6)*(1+$U$6)*(1+$V$6)</f>
        <v>12.368239863945472</v>
      </c>
      <c r="W36" s="137"/>
      <c r="X36" s="2">
        <v>4.1890446818941189</v>
      </c>
      <c r="Y36" s="2">
        <v>0.19029825958887728</v>
      </c>
      <c r="Z36" s="2">
        <v>0.38895912331573979</v>
      </c>
      <c r="AA36" s="2">
        <v>0.62640137096326953</v>
      </c>
      <c r="AB36" s="2">
        <v>0.6436292979515521</v>
      </c>
      <c r="AC36" s="181"/>
      <c r="AD36" s="182">
        <f>AVERAGE(S36:V36)</f>
        <v>12.100245196184861</v>
      </c>
      <c r="AE36" s="188">
        <f>AVERAGE(Y36:AB36)</f>
        <v>0.46232201295485964</v>
      </c>
      <c r="AF36" s="189">
        <f t="shared" ref="AF36" si="27">AD36/AE36</f>
        <v>26.172764560458663</v>
      </c>
      <c r="AG36" s="16"/>
      <c r="AH36" s="24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3:55" x14ac:dyDescent="0.3">
      <c r="C37" s="34" t="s">
        <v>9</v>
      </c>
      <c r="D37" s="34"/>
      <c r="E37" s="2">
        <v>0.22636087296988258</v>
      </c>
      <c r="F37" s="2">
        <v>1.8636024699630921E-3</v>
      </c>
      <c r="G37" s="2">
        <v>-2.6395583848216154E-4</v>
      </c>
      <c r="H37" s="2">
        <v>0</v>
      </c>
      <c r="I37" s="2">
        <v>0</v>
      </c>
      <c r="J37" s="16"/>
      <c r="K37" s="2">
        <f t="shared" si="26"/>
        <v>0.25952422834800154</v>
      </c>
      <c r="L37" s="2">
        <f>F37*(1+$G$6)*(1+$H$6)*(1+$I$6)</f>
        <v>2.0669429396243267E-3</v>
      </c>
      <c r="M37" s="2">
        <f>G37*(1+$H$6)*(1+$I$6)</f>
        <v>-2.7763234803965974E-4</v>
      </c>
      <c r="N37" s="2">
        <f>H37*(1+$I$6)</f>
        <v>0</v>
      </c>
      <c r="O37" s="2">
        <f>I37</f>
        <v>0</v>
      </c>
      <c r="P37" s="2">
        <f>AVERAGE(K37:O37)</f>
        <v>5.2262707787917237E-2</v>
      </c>
      <c r="Q37" s="16"/>
      <c r="R37" s="2"/>
      <c r="S37" s="2">
        <f>P37*(1+$R$6)*(1+$S$6)</f>
        <v>5.3754998861364936E-2</v>
      </c>
      <c r="T37" s="2">
        <f>$P37*(1+$R$6)*(1+$S$6)*(1+$T$6)</f>
        <v>5.4565006342593488E-2</v>
      </c>
      <c r="U37" s="2">
        <f>$P37*(1+$R$6)*(1+$S$6)*(1+$T$6)*(1+$U$6)</f>
        <v>5.5358051807522304E-2</v>
      </c>
      <c r="V37" s="2">
        <f>$P37*(1+$R$6)*(1+$S$6)*(1+$T$6)*(1+$U$6)*(1+$V$6)</f>
        <v>5.6182500077707899E-2</v>
      </c>
      <c r="W37" s="16"/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14"/>
      <c r="AD37" s="52">
        <f>AVERAGE(S37:V37)</f>
        <v>5.496513927229716E-2</v>
      </c>
      <c r="AE37" s="27">
        <f>AVERAGE(Y37:AB37)</f>
        <v>0</v>
      </c>
      <c r="AF37" s="56"/>
      <c r="AG37" s="16"/>
      <c r="AH37" s="24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3:55" ht="16.2" x14ac:dyDescent="0.3">
      <c r="C38" s="33" t="s">
        <v>56</v>
      </c>
      <c r="D38" s="33"/>
      <c r="E38" s="8">
        <v>18.1621758</v>
      </c>
      <c r="F38" s="8">
        <v>50.267543020382902</v>
      </c>
      <c r="G38" s="8">
        <v>47.488322337817067</v>
      </c>
      <c r="H38" s="8">
        <v>10.4</v>
      </c>
      <c r="I38" s="8">
        <v>16.100000000000001</v>
      </c>
      <c r="J38" s="113"/>
      <c r="K38" s="134"/>
      <c r="L38" s="113"/>
      <c r="M38" s="113"/>
      <c r="N38" s="113"/>
      <c r="O38" s="113"/>
      <c r="P38" s="140"/>
      <c r="Q38" s="113"/>
      <c r="R38" s="134"/>
      <c r="S38" s="113"/>
      <c r="T38" s="113"/>
      <c r="U38" s="113"/>
      <c r="V38" s="140"/>
      <c r="W38" s="113"/>
      <c r="X38" s="8">
        <v>11.03393772454811</v>
      </c>
      <c r="Y38" s="8">
        <v>7.856880110352316</v>
      </c>
      <c r="Z38" s="8">
        <v>22.2</v>
      </c>
      <c r="AA38" s="8">
        <v>40.717874080786437</v>
      </c>
      <c r="AB38" s="8">
        <v>40.17917697240182</v>
      </c>
      <c r="AC38" s="150"/>
      <c r="AD38" s="60"/>
      <c r="AE38" s="61"/>
      <c r="AF38" s="62"/>
      <c r="AG38" s="16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3:55" ht="30.75" customHeight="1" x14ac:dyDescent="0.3">
      <c r="C39" s="33" t="s">
        <v>46</v>
      </c>
      <c r="D39" s="33"/>
      <c r="E39" s="8">
        <v>5.1067694836870601</v>
      </c>
      <c r="F39" s="8">
        <v>5.1489452741240314</v>
      </c>
      <c r="G39" s="8">
        <v>6.7291794242735481</v>
      </c>
      <c r="H39" s="8">
        <v>3.6</v>
      </c>
      <c r="I39" s="8">
        <v>6.3</v>
      </c>
      <c r="J39" s="113"/>
      <c r="K39" s="134"/>
      <c r="L39" s="113"/>
      <c r="M39" s="113"/>
      <c r="N39" s="113"/>
      <c r="O39" s="113"/>
      <c r="P39" s="140"/>
      <c r="Q39" s="113"/>
      <c r="R39" s="134"/>
      <c r="S39" s="113"/>
      <c r="T39" s="113"/>
      <c r="U39" s="113"/>
      <c r="V39" s="140"/>
      <c r="W39" s="113"/>
      <c r="X39" s="8">
        <v>19.556375135439623</v>
      </c>
      <c r="Y39" s="8">
        <v>23.347793631653509</v>
      </c>
      <c r="Z39" s="8">
        <v>35.891295362236207</v>
      </c>
      <c r="AA39" s="8">
        <v>32.958521823073383</v>
      </c>
      <c r="AB39" s="8">
        <v>39.433119412558781</v>
      </c>
      <c r="AC39" s="150"/>
      <c r="AD39" s="60"/>
      <c r="AE39" s="61"/>
      <c r="AF39" s="62"/>
      <c r="AG39" s="16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3:55" x14ac:dyDescent="0.3">
      <c r="C40" s="34" t="s">
        <v>10</v>
      </c>
      <c r="D40" s="34"/>
      <c r="E40" s="2">
        <v>0.16249748681255455</v>
      </c>
      <c r="F40" s="2">
        <v>-2.3643918726262207E-2</v>
      </c>
      <c r="G40" s="2">
        <v>0</v>
      </c>
      <c r="H40" s="2">
        <v>0</v>
      </c>
      <c r="I40" s="2">
        <v>0</v>
      </c>
      <c r="J40" s="16"/>
      <c r="K40" s="2">
        <f>E40*(1+F$6)*(1+G$6)*(1+H$6)*(1+I$6)</f>
        <v>0.18630443645235803</v>
      </c>
      <c r="L40" s="2">
        <f>F40*(1+$G$6)*(1+$H$6)*(1+$I$6)</f>
        <v>-2.6223742275500925E-2</v>
      </c>
      <c r="M40" s="2">
        <f>G40*(1+$H$6)*(1+$I$6)</f>
        <v>0</v>
      </c>
      <c r="N40" s="2">
        <f>H40*(1+$I$6)</f>
        <v>0</v>
      </c>
      <c r="O40" s="2">
        <f>I40</f>
        <v>0</v>
      </c>
      <c r="P40" s="2">
        <f>AVERAGE(K40:O40)</f>
        <v>3.2016138835371424E-2</v>
      </c>
      <c r="Q40" s="16"/>
      <c r="R40" s="2"/>
      <c r="S40" s="2">
        <f>P40*(1+$R$6)*(1+$S$6)</f>
        <v>3.2930316462450537E-2</v>
      </c>
      <c r="T40" s="2">
        <f>$P40*(1+$R$6)*(1+$S$6)*(1+$T$6)</f>
        <v>3.3426527108135803E-2</v>
      </c>
      <c r="U40" s="2">
        <f>$P40*(1+$R$6)*(1+$S$6)*(1+$T$6)*(1+$U$6)</f>
        <v>3.39123468213232E-2</v>
      </c>
      <c r="V40" s="2">
        <f>$P40*(1+$R$6)*(1+$S$6)*(1+$T$6)*(1+$U$6)*(1+$V$6)</f>
        <v>3.4417403895441089E-2</v>
      </c>
      <c r="W40" s="16"/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14"/>
      <c r="AD40" s="52">
        <f>AVERAGE(S40:V40)</f>
        <v>3.3671648571837659E-2</v>
      </c>
      <c r="AE40" s="27">
        <f>AVERAGE(Y40:AB40)</f>
        <v>0</v>
      </c>
      <c r="AF40" s="56"/>
      <c r="AG40" s="16"/>
      <c r="AH40" s="24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3:55" ht="16.2" x14ac:dyDescent="0.3">
      <c r="C41" s="33" t="s">
        <v>54</v>
      </c>
      <c r="D41" s="33"/>
      <c r="E41" s="8">
        <v>1.6510849399999998</v>
      </c>
      <c r="F41" s="8">
        <v>0.11216916999999987</v>
      </c>
      <c r="G41" s="8">
        <v>-0.10676341000000038</v>
      </c>
      <c r="H41" s="8">
        <v>0</v>
      </c>
      <c r="I41" s="8">
        <v>0.6</v>
      </c>
      <c r="J41" s="113"/>
      <c r="K41" s="134"/>
      <c r="L41" s="113"/>
      <c r="M41" s="113"/>
      <c r="N41" s="113"/>
      <c r="O41" s="113"/>
      <c r="P41" s="140"/>
      <c r="Q41" s="113"/>
      <c r="R41" s="134"/>
      <c r="S41" s="113"/>
      <c r="T41" s="113"/>
      <c r="U41" s="113"/>
      <c r="V41" s="140"/>
      <c r="W41" s="113"/>
      <c r="X41" s="8">
        <v>3.5573314970029211</v>
      </c>
      <c r="Y41" s="8">
        <v>3.6364869611893265</v>
      </c>
      <c r="Z41" s="8">
        <v>7.5484261858626303</v>
      </c>
      <c r="AA41" s="8">
        <v>3.8012881985153446</v>
      </c>
      <c r="AB41" s="8">
        <v>4.0046468811134552</v>
      </c>
      <c r="AC41" s="150"/>
      <c r="AD41" s="60"/>
      <c r="AE41" s="61"/>
      <c r="AF41" s="62"/>
      <c r="AG41" s="16"/>
      <c r="AH41" s="24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3:55" x14ac:dyDescent="0.3">
      <c r="C42" s="31" t="s">
        <v>35</v>
      </c>
      <c r="D42" s="31"/>
      <c r="E42" s="29">
        <v>33.446693262121144</v>
      </c>
      <c r="F42" s="29">
        <v>68.043939177726116</v>
      </c>
      <c r="G42" s="29">
        <v>67.0661262440249</v>
      </c>
      <c r="H42" s="29">
        <v>27.7</v>
      </c>
      <c r="I42" s="29">
        <v>29.8</v>
      </c>
      <c r="J42" s="30"/>
      <c r="K42" s="135"/>
      <c r="L42" s="30"/>
      <c r="M42" s="30"/>
      <c r="N42" s="30"/>
      <c r="O42" s="30"/>
      <c r="P42" s="145"/>
      <c r="Q42" s="30"/>
      <c r="R42" s="135"/>
      <c r="S42" s="30"/>
      <c r="T42" s="30"/>
      <c r="U42" s="30"/>
      <c r="V42" s="145"/>
      <c r="W42" s="30"/>
      <c r="X42" s="29">
        <v>38.336689038884771</v>
      </c>
      <c r="Y42" s="81">
        <v>35.031458962784029</v>
      </c>
      <c r="Z42" s="29">
        <v>66.005042250494029</v>
      </c>
      <c r="AA42" s="29">
        <v>78.104085473338444</v>
      </c>
      <c r="AB42" s="29">
        <v>84.260572564025608</v>
      </c>
      <c r="AC42" s="14"/>
      <c r="AD42" s="52"/>
      <c r="AE42" s="27"/>
      <c r="AF42" s="56"/>
      <c r="AG42" s="18"/>
      <c r="AH42" s="24" t="s">
        <v>27</v>
      </c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3:55" x14ac:dyDescent="0.3">
      <c r="C43" s="31" t="s">
        <v>36</v>
      </c>
      <c r="D43" s="31"/>
      <c r="E43" s="50">
        <v>0.67204436000000001</v>
      </c>
      <c r="F43" s="50">
        <v>-0.4026347500000001</v>
      </c>
      <c r="G43" s="50">
        <v>-0.15855617623989809</v>
      </c>
      <c r="H43" s="50">
        <v>0</v>
      </c>
      <c r="I43" s="50">
        <v>0</v>
      </c>
      <c r="J43" s="47"/>
      <c r="K43" s="136"/>
      <c r="L43" s="47"/>
      <c r="M43" s="47"/>
      <c r="N43" s="47"/>
      <c r="O43" s="47"/>
      <c r="P43" s="46"/>
      <c r="Q43" s="47"/>
      <c r="R43" s="136"/>
      <c r="S43" s="47"/>
      <c r="T43" s="47"/>
      <c r="U43" s="47"/>
      <c r="V43" s="46"/>
      <c r="W43" s="47"/>
      <c r="X43" s="50">
        <v>0</v>
      </c>
      <c r="Y43" s="50">
        <v>0</v>
      </c>
      <c r="Z43" s="50">
        <v>0</v>
      </c>
      <c r="AA43" s="50">
        <v>0</v>
      </c>
      <c r="AB43" s="50">
        <v>0</v>
      </c>
      <c r="AC43" s="14"/>
      <c r="AD43" s="52"/>
      <c r="AE43" s="27"/>
      <c r="AF43" s="56"/>
      <c r="AG43" s="19"/>
      <c r="AH43" s="24" t="s">
        <v>27</v>
      </c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3:55" ht="20.100000000000001" customHeight="1" x14ac:dyDescent="0.3">
      <c r="C44" s="66" t="s">
        <v>37</v>
      </c>
      <c r="D44" s="66"/>
      <c r="E44" s="28">
        <v>32.774648902121143</v>
      </c>
      <c r="F44" s="28">
        <v>68.446573927726121</v>
      </c>
      <c r="G44" s="28">
        <v>67.224682420264799</v>
      </c>
      <c r="H44" s="28">
        <v>27.7</v>
      </c>
      <c r="I44" s="28">
        <v>29.8</v>
      </c>
      <c r="J44" s="151"/>
      <c r="K44" s="151"/>
      <c r="L44" s="152"/>
      <c r="M44" s="152"/>
      <c r="N44" s="152"/>
      <c r="O44" s="152"/>
      <c r="P44" s="153"/>
      <c r="Q44" s="152"/>
      <c r="R44" s="151"/>
      <c r="S44" s="152"/>
      <c r="T44" s="152"/>
      <c r="U44" s="152"/>
      <c r="V44" s="153"/>
      <c r="W44" s="152"/>
      <c r="X44" s="28">
        <v>38.336689038884771</v>
      </c>
      <c r="Y44" s="178">
        <v>35.031458962784029</v>
      </c>
      <c r="Z44" s="28">
        <v>66.005042250494029</v>
      </c>
      <c r="AA44" s="28">
        <v>78.104085473338444</v>
      </c>
      <c r="AB44" s="28">
        <v>84.260572564025608</v>
      </c>
      <c r="AC44" s="185"/>
      <c r="AD44" s="180"/>
      <c r="AE44" s="177"/>
      <c r="AF44" s="58"/>
      <c r="AG44" s="18"/>
      <c r="AH44" s="24" t="s">
        <v>27</v>
      </c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3:55" ht="17.25" customHeight="1" x14ac:dyDescent="0.3">
      <c r="C45" s="124" t="s">
        <v>51</v>
      </c>
      <c r="D45" s="190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4"/>
      <c r="AD45" s="57"/>
      <c r="AE45" s="177"/>
      <c r="AF45" s="74"/>
      <c r="AG45" s="18"/>
      <c r="AH45" s="24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3:55" x14ac:dyDescent="0.3">
      <c r="C46" s="34" t="s">
        <v>11</v>
      </c>
      <c r="D46" s="34"/>
      <c r="E46" s="2">
        <v>10.628340351819512</v>
      </c>
      <c r="F46" s="2">
        <v>15.572946829999996</v>
      </c>
      <c r="G46" s="2">
        <v>21.351047559999998</v>
      </c>
      <c r="H46" s="2">
        <v>22</v>
      </c>
      <c r="I46" s="2">
        <v>15.7</v>
      </c>
      <c r="J46" s="137"/>
      <c r="K46" s="2">
        <f t="shared" ref="K46:K48" si="28">E46*(1+F$6)*(1+G$6)*(1+H$6)*(1+I$6)</f>
        <v>12.185462055506743</v>
      </c>
      <c r="L46" s="2">
        <f>F46*(1+$G$6)*(1+$H$6)*(1+$I$6)</f>
        <v>17.272134491242127</v>
      </c>
      <c r="M46" s="2">
        <f>G46*(1+$H$6)*(1+$I$6)</f>
        <v>22.45732279034188</v>
      </c>
      <c r="N46" s="2">
        <f>H46*(1+$I$6)</f>
        <v>22.428075125789977</v>
      </c>
      <c r="O46" s="2">
        <f>I46</f>
        <v>15.7</v>
      </c>
      <c r="P46" s="2">
        <f>AVERAGE(K46:O46)</f>
        <v>18.008598892576146</v>
      </c>
      <c r="Q46" s="137"/>
      <c r="R46" s="2"/>
      <c r="S46" s="2">
        <f>P46*(1+$R$6)*(1+$S$6)</f>
        <v>18.522810124832745</v>
      </c>
      <c r="T46" s="2">
        <f>$P46*(1+$R$6)*(1+$S$6)*(1+$T$6)</f>
        <v>18.801921185986053</v>
      </c>
      <c r="U46" s="2">
        <f>$P46*(1+$R$6)*(1+$S$6)*(1+$T$6)*(1+$U$6)</f>
        <v>19.07518750313584</v>
      </c>
      <c r="V46" s="2">
        <f>$P46*(1+$R$6)*(1+$S$6)*(1+$T$6)*(1+$U$6)*(1+$V$6)</f>
        <v>19.359274547873373</v>
      </c>
      <c r="W46" s="137"/>
      <c r="X46" s="2">
        <v>29.584722838109645</v>
      </c>
      <c r="Y46" s="2">
        <v>29.808286340694146</v>
      </c>
      <c r="Z46" s="2">
        <v>29.074239750940396</v>
      </c>
      <c r="AA46" s="2">
        <v>29.266414353575971</v>
      </c>
      <c r="AB46" s="2">
        <v>27.732127941359586</v>
      </c>
      <c r="AC46" s="181"/>
      <c r="AD46" s="182">
        <f>AVERAGE(S46:V46)</f>
        <v>18.939798340457003</v>
      </c>
      <c r="AE46" s="27">
        <f>AVERAGE(Y46:AB46)</f>
        <v>28.970267096642523</v>
      </c>
      <c r="AF46" s="56">
        <f t="shared" ref="AF46:AF48" si="29">AD46/AE46</f>
        <v>0.65376678362250962</v>
      </c>
      <c r="AG46" s="16"/>
      <c r="AH46" s="24"/>
    </row>
    <row r="47" spans="3:55" x14ac:dyDescent="0.3">
      <c r="C47" s="34" t="s">
        <v>22</v>
      </c>
      <c r="D47" s="34"/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16"/>
      <c r="K47" s="2">
        <f t="shared" si="28"/>
        <v>0</v>
      </c>
      <c r="L47" s="2">
        <f>F47*(1+$G$6)*(1+$H$6)*(1+$I$6)</f>
        <v>0</v>
      </c>
      <c r="M47" s="2">
        <f>G47*(1+$H$6)*(1+$I$6)</f>
        <v>0</v>
      </c>
      <c r="N47" s="2">
        <f>H47*(1+$I$6)</f>
        <v>0</v>
      </c>
      <c r="O47" s="2">
        <f>I47</f>
        <v>0</v>
      </c>
      <c r="P47" s="2">
        <f>AVERAGE(K47:O47)</f>
        <v>0</v>
      </c>
      <c r="Q47" s="16"/>
      <c r="R47" s="2"/>
      <c r="S47" s="2">
        <f>P47*(1+$R$6)*(1+$S$6)</f>
        <v>0</v>
      </c>
      <c r="T47" s="2">
        <f>$P47*(1+$R$6)*(1+$S$6)*(1+$T$6)</f>
        <v>0</v>
      </c>
      <c r="U47" s="2">
        <f>$P47*(1+$R$6)*(1+$S$6)*(1+$T$6)*(1+$U$6)</f>
        <v>0</v>
      </c>
      <c r="V47" s="2">
        <f>$P47*(1+$R$6)*(1+$S$6)*(1+$T$6)*(1+$U$6)*(1+$V$6)</f>
        <v>0</v>
      </c>
      <c r="W47" s="16"/>
      <c r="X47" s="2">
        <v>5.3820987295913154</v>
      </c>
      <c r="Y47" s="2">
        <v>16.488136432206858</v>
      </c>
      <c r="Z47" s="2">
        <v>22.451150386826559</v>
      </c>
      <c r="AA47" s="2">
        <v>20.635801124985687</v>
      </c>
      <c r="AB47" s="2">
        <v>7.0251932395448389</v>
      </c>
      <c r="AC47" s="14"/>
      <c r="AD47" s="52">
        <f>AVERAGE(S47:V47)</f>
        <v>0</v>
      </c>
      <c r="AE47" s="27">
        <f>AVERAGE(Y47:AB47)</f>
        <v>16.650070295890984</v>
      </c>
      <c r="AF47" s="56">
        <f t="shared" si="29"/>
        <v>0</v>
      </c>
      <c r="AG47" s="16"/>
      <c r="AH47" s="24"/>
    </row>
    <row r="48" spans="3:55" x14ac:dyDescent="0.3">
      <c r="C48" s="31" t="s">
        <v>12</v>
      </c>
      <c r="D48" s="31"/>
      <c r="E48" s="2">
        <v>6.5215566700000016</v>
      </c>
      <c r="F48" s="2">
        <v>2.2875970999999997</v>
      </c>
      <c r="G48" s="2">
        <v>15.457566680000001</v>
      </c>
      <c r="H48" s="2">
        <v>3.9</v>
      </c>
      <c r="I48" s="2">
        <v>8.6</v>
      </c>
      <c r="J48" s="16"/>
      <c r="K48" s="2">
        <f t="shared" si="28"/>
        <v>7.4770075773417854</v>
      </c>
      <c r="L48" s="2">
        <f>F48*(1+$G$6)*(1+$H$6)*(1+$I$6)</f>
        <v>2.5372002617294922</v>
      </c>
      <c r="M48" s="2">
        <f>G48*(1+$H$6)*(1+$I$6)</f>
        <v>16.258479285875065</v>
      </c>
      <c r="N48" s="2">
        <f>H48*(1+$I$6)</f>
        <v>3.9758860450264049</v>
      </c>
      <c r="O48" s="2">
        <f>I48</f>
        <v>8.6</v>
      </c>
      <c r="P48" s="2">
        <f>AVERAGE(K48:O48)</f>
        <v>7.7697146339945506</v>
      </c>
      <c r="Q48" s="16"/>
      <c r="R48" s="2"/>
      <c r="S48" s="2">
        <f>P48*(1+$R$6)*(1+$S$6)</f>
        <v>7.9915683473267691</v>
      </c>
      <c r="T48" s="2">
        <f>$P48*(1+$R$6)*(1+$S$6)*(1+$T$6)</f>
        <v>8.1119893367268165</v>
      </c>
      <c r="U48" s="2">
        <f>$P48*(1+$R$6)*(1+$S$6)*(1+$T$6)*(1+$U$6)</f>
        <v>8.2298886422753323</v>
      </c>
      <c r="V48" s="2">
        <f>$P48*(1+$R$6)*(1+$S$6)*(1+$T$6)*(1+$U$6)*(1+$V$6)</f>
        <v>8.3524564934442189</v>
      </c>
      <c r="W48" s="16"/>
      <c r="X48" s="2">
        <v>9.1710962352236081</v>
      </c>
      <c r="Y48" s="2">
        <v>9.9038739502789213</v>
      </c>
      <c r="Z48" s="2">
        <v>8.8457532524096631</v>
      </c>
      <c r="AA48" s="2">
        <v>7.9415048589516468</v>
      </c>
      <c r="AB48" s="2">
        <v>7.8191368395832557</v>
      </c>
      <c r="AC48" s="14"/>
      <c r="AD48" s="52">
        <f>AVERAGE(S48:V48)</f>
        <v>8.1714757049432833</v>
      </c>
      <c r="AE48" s="27">
        <f>AVERAGE(Y48:AB48)</f>
        <v>8.6275672253058726</v>
      </c>
      <c r="AF48" s="56">
        <f t="shared" si="29"/>
        <v>0.94713555879056976</v>
      </c>
      <c r="AG48" s="16"/>
      <c r="AH48" s="24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2:55" x14ac:dyDescent="0.3">
      <c r="C49" s="31" t="s">
        <v>13</v>
      </c>
      <c r="D49" s="31"/>
      <c r="E49" s="2">
        <v>37.382813040000002</v>
      </c>
      <c r="F49" s="2">
        <v>44.703025820000178</v>
      </c>
      <c r="G49" s="2">
        <v>57.968700450000007</v>
      </c>
      <c r="H49" s="2">
        <v>61.2</v>
      </c>
      <c r="I49" s="2">
        <v>55.9</v>
      </c>
      <c r="J49" s="16"/>
      <c r="K49" s="131"/>
      <c r="L49" s="16"/>
      <c r="M49" s="16"/>
      <c r="N49" s="16"/>
      <c r="O49" s="16"/>
      <c r="P49" s="141"/>
      <c r="Q49" s="16"/>
      <c r="R49" s="131"/>
      <c r="S49" s="16"/>
      <c r="T49" s="16"/>
      <c r="U49" s="16"/>
      <c r="V49" s="141"/>
      <c r="W49" s="16"/>
      <c r="X49" s="2">
        <v>59.712360086108106</v>
      </c>
      <c r="Y49" s="2">
        <v>62.88309051180844</v>
      </c>
      <c r="Z49" s="2">
        <v>64.486452635655709</v>
      </c>
      <c r="AA49" s="2">
        <v>58.21995120418304</v>
      </c>
      <c r="AB49" s="2">
        <v>56.022028623601827</v>
      </c>
      <c r="AC49" s="14"/>
      <c r="AD49" s="52"/>
      <c r="AE49" s="27"/>
      <c r="AF49" s="56"/>
      <c r="AG49" s="16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2:55" ht="60.6" customHeight="1" x14ac:dyDescent="0.3">
      <c r="C50" s="35" t="s">
        <v>47</v>
      </c>
      <c r="D50" s="35"/>
      <c r="E50" s="8">
        <v>3.6</v>
      </c>
      <c r="F50" s="8">
        <v>3</v>
      </c>
      <c r="G50" s="8">
        <v>0.7</v>
      </c>
      <c r="H50" s="8">
        <v>2.2999999999999998</v>
      </c>
      <c r="I50" s="8">
        <v>1.8</v>
      </c>
      <c r="J50" s="113"/>
      <c r="K50" s="134"/>
      <c r="L50" s="113"/>
      <c r="M50" s="113"/>
      <c r="N50" s="113"/>
      <c r="O50" s="113"/>
      <c r="P50" s="140"/>
      <c r="Q50" s="113"/>
      <c r="R50" s="134"/>
      <c r="S50" s="113"/>
      <c r="T50" s="113"/>
      <c r="U50" s="113"/>
      <c r="V50" s="140"/>
      <c r="W50" s="113"/>
      <c r="X50" s="8">
        <v>3.7</v>
      </c>
      <c r="Y50" s="8">
        <v>2.5</v>
      </c>
      <c r="Z50" s="8">
        <v>0.9</v>
      </c>
      <c r="AA50" s="8">
        <v>6.8</v>
      </c>
      <c r="AB50" s="8">
        <v>1</v>
      </c>
      <c r="AC50" s="14"/>
      <c r="AD50" s="60"/>
      <c r="AE50" s="61"/>
      <c r="AF50" s="62"/>
      <c r="AG50" s="16"/>
      <c r="AH50" s="24"/>
      <c r="AN50" s="7"/>
      <c r="AO50" s="7"/>
      <c r="AP50" s="7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2:55" x14ac:dyDescent="0.3">
      <c r="C51" s="36" t="s">
        <v>23</v>
      </c>
      <c r="D51" s="36"/>
      <c r="E51" s="2">
        <f>E49-E50</f>
        <v>33.782813040000001</v>
      </c>
      <c r="F51" s="2">
        <f t="shared" ref="F51:AB51" si="30">F49-F50</f>
        <v>41.703025820000178</v>
      </c>
      <c r="G51" s="2">
        <f t="shared" si="30"/>
        <v>57.268700450000004</v>
      </c>
      <c r="H51" s="2">
        <f t="shared" si="30"/>
        <v>58.900000000000006</v>
      </c>
      <c r="I51" s="2">
        <f t="shared" si="30"/>
        <v>54.1</v>
      </c>
      <c r="J51" s="16"/>
      <c r="K51" s="2">
        <f t="shared" ref="K51" si="31">E51*(1+F$6)*(1+G$6)*(1+H$6)*(1+I$6)</f>
        <v>38.732217147781178</v>
      </c>
      <c r="L51" s="2">
        <f>F51*(1+$G$6)*(1+$H$6)*(1+$I$6)</f>
        <v>46.253305717784059</v>
      </c>
      <c r="M51" s="2">
        <f>G51*(1+$H$6)*(1+$I$6)</f>
        <v>60.23599957683048</v>
      </c>
      <c r="N51" s="2">
        <f>H51*(1+$I$6)</f>
        <v>60.046073859501355</v>
      </c>
      <c r="O51" s="2">
        <f>I51</f>
        <v>54.1</v>
      </c>
      <c r="P51" s="2">
        <f>AVERAGE(K51:O51)</f>
        <v>51.873519260379418</v>
      </c>
      <c r="Q51" s="16"/>
      <c r="R51" s="2"/>
      <c r="S51" s="2">
        <f>P51*(1+$R$6)*(1+$S$6)</f>
        <v>53.35469758077403</v>
      </c>
      <c r="T51" s="2">
        <f>$P51*(1+$R$6)*(1+$S$6)*(1+$T$6)</f>
        <v>54.1586731200643</v>
      </c>
      <c r="U51" s="2">
        <f>$P51*(1+$R$6)*(1+$S$6)*(1+$T$6)*(1+$U$6)</f>
        <v>54.945812955341886</v>
      </c>
      <c r="V51" s="2">
        <f>$P51*(1+$R$6)*(1+$S$6)*(1+$T$6)*(1+$U$6)*(1+$V$6)</f>
        <v>55.76412174631016</v>
      </c>
      <c r="W51" s="16"/>
      <c r="X51" s="2">
        <f t="shared" si="30"/>
        <v>56.012360086108103</v>
      </c>
      <c r="Y51" s="2">
        <f t="shared" si="30"/>
        <v>60.38309051180844</v>
      </c>
      <c r="Z51" s="2">
        <f t="shared" si="30"/>
        <v>63.586452635655711</v>
      </c>
      <c r="AA51" s="2">
        <f t="shared" si="30"/>
        <v>51.419951204183043</v>
      </c>
      <c r="AB51" s="2">
        <f t="shared" si="30"/>
        <v>55.022028623601827</v>
      </c>
      <c r="AC51" s="14"/>
      <c r="AD51" s="52">
        <f>AVERAGE(S51:V51)</f>
        <v>54.555826350622596</v>
      </c>
      <c r="AE51" s="27">
        <f t="shared" ref="AE51:AE52" si="32">AVERAGE(Y51:AB51)</f>
        <v>57.60288074381225</v>
      </c>
      <c r="AF51" s="56">
        <f t="shared" ref="AF51" si="33">AD51/AE51</f>
        <v>0.94710239568153942</v>
      </c>
      <c r="AG51" s="16"/>
      <c r="AH51" s="24"/>
      <c r="AN51" s="107"/>
      <c r="AO51" s="109"/>
      <c r="AP51" s="7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spans="2:55" x14ac:dyDescent="0.3">
      <c r="C52" s="31" t="s">
        <v>21</v>
      </c>
      <c r="D52" s="31"/>
      <c r="E52" s="2">
        <v>1.55225038</v>
      </c>
      <c r="F52" s="2">
        <v>9.8574022799999987</v>
      </c>
      <c r="G52" s="2">
        <v>18.123500440000001</v>
      </c>
      <c r="H52" s="2">
        <v>6.4</v>
      </c>
      <c r="I52" s="2">
        <v>4.2</v>
      </c>
      <c r="J52" s="16"/>
      <c r="K52" s="2">
        <f>E52*(1+F$6)*(1+G$6)*(1+H$6)*(1+I$6)</f>
        <v>1.7796652609923056</v>
      </c>
      <c r="L52" s="2">
        <f>F52*(1+$G$6)*(1+$H$6)*(1+$I$6)</f>
        <v>10.932958275208904</v>
      </c>
      <c r="M52" s="2">
        <f>G52*(1+$H$6)*(1+$I$6)</f>
        <v>19.062544745321301</v>
      </c>
      <c r="N52" s="2">
        <f>H52*(1+$I$6)</f>
        <v>6.5245309456843579</v>
      </c>
      <c r="O52" s="2">
        <f>I52</f>
        <v>4.2</v>
      </c>
      <c r="P52" s="2">
        <f>AVERAGE(K52:O52)</f>
        <v>8.499939845441375</v>
      </c>
      <c r="Q52" s="16"/>
      <c r="R52" s="2"/>
      <c r="S52" s="2">
        <f>P52*(1+$R$6)*(1+$S$6)</f>
        <v>8.7426441539832904</v>
      </c>
      <c r="T52" s="2">
        <f>$P52*(1+$R$6)*(1+$S$6)*(1+$T$6)</f>
        <v>8.8743827331005392</v>
      </c>
      <c r="U52" s="2">
        <f>$P52*(1+$R$6)*(1+$S$6)*(1+$T$6)*(1+$U$6)</f>
        <v>9.0033626316153548</v>
      </c>
      <c r="V52" s="2">
        <f>$P52*(1+$R$6)*(1+$S$6)*(1+$T$6)*(1+$U$6)*(1+$V$6)</f>
        <v>9.1374498421497439</v>
      </c>
      <c r="W52" s="16"/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14"/>
      <c r="AD52" s="52">
        <f>AVERAGE(S52:V52)</f>
        <v>8.9394598402122316</v>
      </c>
      <c r="AE52" s="27">
        <f t="shared" si="32"/>
        <v>0</v>
      </c>
      <c r="AF52" s="56"/>
      <c r="AG52" s="16"/>
      <c r="AH52" s="24"/>
      <c r="AN52" s="107"/>
      <c r="AO52" s="109"/>
      <c r="AP52" s="83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2:55" x14ac:dyDescent="0.3">
      <c r="C53" s="31" t="s">
        <v>38</v>
      </c>
      <c r="D53" s="31"/>
      <c r="E53" s="29">
        <v>56.084960441819511</v>
      </c>
      <c r="F53" s="29">
        <v>72.420972030000172</v>
      </c>
      <c r="G53" s="29">
        <v>112.90081513</v>
      </c>
      <c r="H53" s="29">
        <v>93.5</v>
      </c>
      <c r="I53" s="29">
        <v>84.4</v>
      </c>
      <c r="J53" s="30"/>
      <c r="K53" s="135"/>
      <c r="L53" s="30"/>
      <c r="M53" s="30"/>
      <c r="N53" s="30"/>
      <c r="O53" s="30"/>
      <c r="P53" s="145"/>
      <c r="Q53" s="30"/>
      <c r="R53" s="135"/>
      <c r="S53" s="30"/>
      <c r="T53" s="30"/>
      <c r="U53" s="30"/>
      <c r="V53" s="145"/>
      <c r="W53" s="30"/>
      <c r="X53" s="29">
        <v>103.85027788903267</v>
      </c>
      <c r="Y53" s="29">
        <v>119.08338723498836</v>
      </c>
      <c r="Z53" s="29">
        <v>124.85759602583232</v>
      </c>
      <c r="AA53" s="29">
        <v>116.06367154169635</v>
      </c>
      <c r="AB53" s="29">
        <v>98.598486644089519</v>
      </c>
      <c r="AC53" s="14"/>
      <c r="AD53" s="52"/>
      <c r="AE53" s="27"/>
      <c r="AF53" s="56"/>
      <c r="AG53" s="18"/>
      <c r="AH53" s="24" t="s">
        <v>27</v>
      </c>
      <c r="AN53" s="107"/>
      <c r="AO53" s="109"/>
      <c r="AP53" s="83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2:55" x14ac:dyDescent="0.3">
      <c r="C54" s="31" t="s">
        <v>39</v>
      </c>
      <c r="D54" s="126"/>
      <c r="E54" s="48">
        <v>0</v>
      </c>
      <c r="F54" s="49">
        <v>-1.7792529999999997E-2</v>
      </c>
      <c r="G54" s="49">
        <v>-5.0794799999999999E-3</v>
      </c>
      <c r="H54" s="49">
        <v>0.3</v>
      </c>
      <c r="I54" s="49">
        <v>0</v>
      </c>
      <c r="J54" s="47"/>
      <c r="K54" s="136"/>
      <c r="L54" s="47"/>
      <c r="M54" s="47"/>
      <c r="N54" s="47"/>
      <c r="O54" s="47"/>
      <c r="P54" s="46"/>
      <c r="Q54" s="47"/>
      <c r="R54" s="136"/>
      <c r="S54" s="47"/>
      <c r="T54" s="47"/>
      <c r="U54" s="47"/>
      <c r="V54" s="46"/>
      <c r="W54" s="47"/>
      <c r="X54" s="48">
        <v>0</v>
      </c>
      <c r="Y54" s="49">
        <v>0</v>
      </c>
      <c r="Z54" s="49">
        <v>0</v>
      </c>
      <c r="AA54" s="49">
        <v>0</v>
      </c>
      <c r="AB54" s="49">
        <v>0</v>
      </c>
      <c r="AC54" s="14"/>
      <c r="AD54" s="52"/>
      <c r="AE54" s="27"/>
      <c r="AF54" s="56"/>
      <c r="AG54" s="19"/>
      <c r="AH54" s="24" t="s">
        <v>27</v>
      </c>
      <c r="AN54" s="107"/>
      <c r="AO54" s="109"/>
      <c r="AP54" s="83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2:55" ht="20.100000000000001" customHeight="1" x14ac:dyDescent="0.3">
      <c r="C55" s="66" t="s">
        <v>40</v>
      </c>
      <c r="D55" s="66"/>
      <c r="E55" s="28">
        <v>56.084960441819511</v>
      </c>
      <c r="F55" s="28">
        <v>72.438764560000166</v>
      </c>
      <c r="G55" s="28">
        <v>112.90589461</v>
      </c>
      <c r="H55" s="28">
        <v>93.2</v>
      </c>
      <c r="I55" s="28">
        <v>84.4</v>
      </c>
      <c r="J55" s="151"/>
      <c r="K55" s="151"/>
      <c r="L55" s="152"/>
      <c r="M55" s="152"/>
      <c r="N55" s="152"/>
      <c r="O55" s="152"/>
      <c r="P55" s="153"/>
      <c r="Q55" s="152"/>
      <c r="R55" s="151"/>
      <c r="S55" s="152"/>
      <c r="T55" s="152"/>
      <c r="U55" s="152"/>
      <c r="V55" s="153"/>
      <c r="W55" s="152"/>
      <c r="X55" s="28">
        <v>103.85027788903267</v>
      </c>
      <c r="Y55" s="28">
        <v>119.08338723498836</v>
      </c>
      <c r="Z55" s="28">
        <v>124.85759602583232</v>
      </c>
      <c r="AA55" s="28">
        <v>116.06367154169635</v>
      </c>
      <c r="AB55" s="28">
        <v>98.598486644089519</v>
      </c>
      <c r="AC55" s="179"/>
      <c r="AD55" s="183"/>
      <c r="AE55" s="184"/>
      <c r="AF55" s="185"/>
      <c r="AG55" s="18"/>
      <c r="AH55" s="24" t="s">
        <v>27</v>
      </c>
      <c r="AN55" s="233"/>
      <c r="AO55" s="109"/>
      <c r="AP55" s="83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2:55" x14ac:dyDescent="0.3">
      <c r="C56" s="37" t="s">
        <v>14</v>
      </c>
      <c r="D56" s="37"/>
      <c r="E56" s="2">
        <v>2.9178143299999997</v>
      </c>
      <c r="F56" s="2">
        <v>4.710755390000001</v>
      </c>
      <c r="G56" s="2">
        <v>6.83169454</v>
      </c>
      <c r="H56" s="2">
        <v>7.4</v>
      </c>
      <c r="I56" s="2">
        <v>6.6</v>
      </c>
      <c r="J56" s="16"/>
      <c r="K56" s="73">
        <f t="shared" ref="K56:K57" si="34">E56*(1+F$6)*(1+G$6)*(1+H$6)*(1+I$6)</f>
        <v>3.3452933032147421</v>
      </c>
      <c r="L56" s="73">
        <f>F56*(1+$G$6)*(1+$H$6)*(1+$I$6)</f>
        <v>5.224752998878877</v>
      </c>
      <c r="M56" s="73">
        <f>G56*(1+$H$6)*(1+$I$6)</f>
        <v>7.1856694177958262</v>
      </c>
      <c r="N56" s="73">
        <f>H56*(1+$I$6)</f>
        <v>7.543988905947538</v>
      </c>
      <c r="O56" s="73">
        <f>I56</f>
        <v>6.6</v>
      </c>
      <c r="P56" s="73">
        <f>AVERAGE(K56:O56)</f>
        <v>5.9799409251673961</v>
      </c>
      <c r="Q56" s="16"/>
      <c r="R56" s="73"/>
      <c r="S56" s="73">
        <f>P56*(1+$R$6)*(1+$S$6)</f>
        <v>6.1506900661913342</v>
      </c>
      <c r="T56" s="73">
        <f>$P56*(1+$R$6)*(1+$S$6)*(1+$T$6)</f>
        <v>6.2433717715929484</v>
      </c>
      <c r="U56" s="73">
        <f>$P56*(1+$R$6)*(1+$S$6)*(1+$T$6)*(1+$U$6)</f>
        <v>6.3341126694907537</v>
      </c>
      <c r="V56" s="73">
        <f>$P56*(1+$R$6)*(1+$S$6)*(1+$T$6)*(1+$U$6)*(1+$V$6)</f>
        <v>6.4284467015423061</v>
      </c>
      <c r="W56" s="16"/>
      <c r="X56" s="73">
        <v>6.5</v>
      </c>
      <c r="Y56" s="73">
        <v>7.3</v>
      </c>
      <c r="Z56" s="73">
        <v>8.4</v>
      </c>
      <c r="AA56" s="73">
        <v>9.1999999999999993</v>
      </c>
      <c r="AB56" s="73">
        <v>10.199999999999999</v>
      </c>
      <c r="AC56" s="14"/>
      <c r="AD56" s="52">
        <f>AVERAGE(S56:V56)</f>
        <v>6.2891553022043354</v>
      </c>
      <c r="AE56" s="27">
        <f t="shared" ref="AE56:AE57" si="35">AVERAGE(Y56:AB56)</f>
        <v>8.7749999999999986</v>
      </c>
      <c r="AF56" s="56">
        <f t="shared" ref="AF56" si="36">AD56/AE56</f>
        <v>0.71671285495206116</v>
      </c>
      <c r="AG56" s="16"/>
      <c r="AH56" s="24"/>
      <c r="AN56" s="108"/>
      <c r="AO56" s="109"/>
      <c r="AP56" s="83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2:55" x14ac:dyDescent="0.3">
      <c r="C57" s="37" t="s">
        <v>16</v>
      </c>
      <c r="D57" s="37"/>
      <c r="E57" s="2">
        <v>14.578862421693836</v>
      </c>
      <c r="F57" s="2">
        <v>0.12632023178194779</v>
      </c>
      <c r="G57" s="2">
        <v>5.9600442056880576</v>
      </c>
      <c r="H57" s="2">
        <v>35.9</v>
      </c>
      <c r="I57" s="2">
        <v>1.3</v>
      </c>
      <c r="J57" s="16"/>
      <c r="K57" s="2">
        <f t="shared" si="34"/>
        <v>16.714761568732666</v>
      </c>
      <c r="L57" s="2">
        <f>F57*(1+$G$6)*(1+$H$6)*(1+$I$6)</f>
        <v>0.14010322234579162</v>
      </c>
      <c r="M57" s="2">
        <f>G57*(1+$H$6)*(1+$I$6)</f>
        <v>6.2688557175338655</v>
      </c>
      <c r="N57" s="2">
        <f>H57*(1+$I$6)</f>
        <v>36.598540773448192</v>
      </c>
      <c r="O57" s="2">
        <f>I57</f>
        <v>1.3</v>
      </c>
      <c r="P57" s="2">
        <f>AVERAGE(K57:O57)</f>
        <v>12.204452256412102</v>
      </c>
      <c r="Q57" s="16"/>
      <c r="R57" s="2"/>
      <c r="S57" s="2">
        <f>P57*(1+$R$6)*(1+$S$6)</f>
        <v>12.55293391626925</v>
      </c>
      <c r="T57" s="2">
        <f>$P57*(1+$R$6)*(1+$S$6)*(1+$T$6)</f>
        <v>12.742087866579418</v>
      </c>
      <c r="U57" s="2">
        <f>$P57*(1+$R$6)*(1+$S$6)*(1+$T$6)*(1+$U$6)</f>
        <v>12.927280825833732</v>
      </c>
      <c r="V57" s="2">
        <f>$P57*(1+$R$6)*(1+$S$6)*(1+$T$6)*(1+$U$6)*(1+$V$6)</f>
        <v>13.119807007067836</v>
      </c>
      <c r="W57" s="16"/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14"/>
      <c r="AD57" s="52">
        <f>AVERAGE(S57:V57)</f>
        <v>12.835527403937558</v>
      </c>
      <c r="AE57" s="27">
        <f t="shared" si="35"/>
        <v>0</v>
      </c>
      <c r="AF57" s="56"/>
      <c r="AG57" s="16"/>
      <c r="AH57" s="24"/>
      <c r="AN57" s="108"/>
      <c r="AO57" s="109"/>
      <c r="AP57" s="83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2:55" x14ac:dyDescent="0.3">
      <c r="C58" s="31" t="s">
        <v>19</v>
      </c>
      <c r="D58" s="31"/>
      <c r="E58" s="29">
        <v>17.496676751693837</v>
      </c>
      <c r="F58" s="29">
        <v>4.8370756217819491</v>
      </c>
      <c r="G58" s="29">
        <v>12.791738745688058</v>
      </c>
      <c r="H58" s="29">
        <v>43.2</v>
      </c>
      <c r="I58" s="29">
        <v>7.9</v>
      </c>
      <c r="J58" s="30"/>
      <c r="K58" s="2"/>
      <c r="L58" s="2"/>
      <c r="M58" s="2"/>
      <c r="N58" s="2"/>
      <c r="O58" s="2"/>
      <c r="P58" s="2"/>
      <c r="Q58" s="30"/>
      <c r="R58" s="29"/>
      <c r="S58" s="2"/>
      <c r="T58" s="2"/>
      <c r="U58" s="2"/>
      <c r="V58" s="2"/>
      <c r="W58" s="30"/>
      <c r="X58" s="29">
        <v>6.5</v>
      </c>
      <c r="Y58" s="29">
        <v>7.3</v>
      </c>
      <c r="Z58" s="29">
        <v>8.4</v>
      </c>
      <c r="AA58" s="29">
        <v>9.1999999999999993</v>
      </c>
      <c r="AB58" s="29">
        <v>10.199999999999999</v>
      </c>
      <c r="AC58" s="14"/>
      <c r="AD58" s="52"/>
      <c r="AE58" s="27"/>
      <c r="AF58" s="56"/>
      <c r="AG58" s="18"/>
      <c r="AH58" s="24" t="s">
        <v>27</v>
      </c>
      <c r="AN58" s="108"/>
      <c r="AO58" s="109"/>
      <c r="AP58" s="83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2:55" x14ac:dyDescent="0.3">
      <c r="C59" s="37" t="s">
        <v>20</v>
      </c>
      <c r="D59" s="37"/>
      <c r="E59" s="2">
        <v>0.10384554</v>
      </c>
      <c r="F59" s="2">
        <v>0.21250285205184499</v>
      </c>
      <c r="G59" s="2">
        <v>3.8852600000000002E-3</v>
      </c>
      <c r="H59" s="2">
        <v>0</v>
      </c>
      <c r="I59" s="2">
        <v>0</v>
      </c>
      <c r="J59" s="16"/>
      <c r="K59" s="2"/>
      <c r="L59" s="2"/>
      <c r="M59" s="2"/>
      <c r="N59" s="2"/>
      <c r="O59" s="2"/>
      <c r="P59" s="2"/>
      <c r="Q59" s="16"/>
      <c r="R59" s="2"/>
      <c r="S59" s="2"/>
      <c r="T59" s="2"/>
      <c r="U59" s="2"/>
      <c r="V59" s="2"/>
      <c r="W59" s="16"/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14"/>
      <c r="AD59" s="52"/>
      <c r="AE59" s="27"/>
      <c r="AF59" s="56"/>
      <c r="AG59" s="16"/>
      <c r="AH59" s="24" t="s">
        <v>27</v>
      </c>
      <c r="AN59" s="108"/>
      <c r="AO59" s="109"/>
      <c r="AP59" s="83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2:55" ht="15" thickBot="1" x14ac:dyDescent="0.35">
      <c r="C60" s="31" t="s">
        <v>15</v>
      </c>
      <c r="D60" s="31"/>
      <c r="E60" s="29">
        <v>17.392831211693839</v>
      </c>
      <c r="F60" s="29">
        <v>4.6245727697301042</v>
      </c>
      <c r="G60" s="29">
        <v>12.795624005688058</v>
      </c>
      <c r="H60" s="29">
        <v>43.2</v>
      </c>
      <c r="I60" s="169">
        <v>7.9</v>
      </c>
      <c r="J60" s="170"/>
      <c r="K60" s="156"/>
      <c r="L60" s="157"/>
      <c r="M60" s="157"/>
      <c r="N60" s="157"/>
      <c r="O60" s="157"/>
      <c r="P60" s="158"/>
      <c r="Q60" s="170"/>
      <c r="R60" s="159"/>
      <c r="S60" s="157"/>
      <c r="T60" s="157"/>
      <c r="U60" s="157"/>
      <c r="V60" s="158"/>
      <c r="W60" s="170"/>
      <c r="X60" s="169">
        <v>6.5</v>
      </c>
      <c r="Y60" s="169">
        <v>7.3</v>
      </c>
      <c r="Z60" s="169">
        <v>8.4</v>
      </c>
      <c r="AA60" s="169">
        <v>9.1999999999999993</v>
      </c>
      <c r="AB60" s="169">
        <v>10.199999999999999</v>
      </c>
      <c r="AC60" s="171"/>
      <c r="AD60" s="76"/>
      <c r="AE60" s="77"/>
      <c r="AF60" s="78"/>
      <c r="AG60" s="18"/>
      <c r="AH60" s="24" t="s">
        <v>27</v>
      </c>
      <c r="AN60" s="108"/>
      <c r="AO60" s="109"/>
      <c r="AP60" s="83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2:55" ht="15.6" thickTop="1" thickBot="1" x14ac:dyDescent="0.35">
      <c r="B61" s="3"/>
      <c r="C61" s="38" t="s">
        <v>42</v>
      </c>
      <c r="D61" s="38"/>
      <c r="E61" s="39">
        <v>448.13864384999943</v>
      </c>
      <c r="F61" s="39">
        <v>533.18684369552716</v>
      </c>
      <c r="G61" s="39">
        <v>597.85141704000011</v>
      </c>
      <c r="H61" s="39">
        <v>606.1</v>
      </c>
      <c r="I61" s="39">
        <v>655.9</v>
      </c>
      <c r="J61" s="162"/>
      <c r="K61" s="161"/>
      <c r="L61" s="162"/>
      <c r="M61" s="162"/>
      <c r="N61" s="162"/>
      <c r="O61" s="162"/>
      <c r="P61" s="163"/>
      <c r="Q61" s="162"/>
      <c r="R61" s="161"/>
      <c r="S61" s="162"/>
      <c r="T61" s="162"/>
      <c r="U61" s="162"/>
      <c r="V61" s="163"/>
      <c r="W61" s="162"/>
      <c r="X61" s="39">
        <v>728.5</v>
      </c>
      <c r="Y61" s="39">
        <v>757.1</v>
      </c>
      <c r="Z61" s="39">
        <v>814.5</v>
      </c>
      <c r="AA61" s="39">
        <v>823.7</v>
      </c>
      <c r="AB61" s="39">
        <v>804.8</v>
      </c>
      <c r="AC61" s="172"/>
      <c r="AD61" s="88"/>
      <c r="AE61" s="85"/>
      <c r="AF61" s="89"/>
      <c r="AG61" s="20"/>
      <c r="AH61" s="24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2:55" ht="27.6" customHeight="1" thickBot="1" x14ac:dyDescent="0.35">
      <c r="C62" s="256" t="s">
        <v>52</v>
      </c>
      <c r="D62" s="256"/>
      <c r="E62" s="257">
        <v>-0.75206886440000009</v>
      </c>
      <c r="F62" s="257">
        <v>-0.76610338399999989</v>
      </c>
      <c r="G62" s="257">
        <v>-8.5642939399999993E-2</v>
      </c>
      <c r="H62" s="257">
        <v>-0.21164700659999991</v>
      </c>
      <c r="I62" s="257">
        <v>-7.8893846183999994</v>
      </c>
      <c r="J62" s="258"/>
      <c r="K62" s="257"/>
      <c r="L62" s="257"/>
      <c r="M62" s="257"/>
      <c r="N62" s="257"/>
      <c r="O62" s="257"/>
      <c r="P62" s="257"/>
      <c r="Q62" s="258"/>
      <c r="R62" s="257"/>
      <c r="S62" s="257"/>
      <c r="T62" s="257"/>
      <c r="U62" s="257"/>
      <c r="V62" s="257"/>
      <c r="W62" s="258"/>
      <c r="X62" s="257">
        <v>-8.8511797541640256</v>
      </c>
      <c r="Y62" s="257">
        <v>-9.601721250105518</v>
      </c>
      <c r="Z62" s="257">
        <v>-17.34826189477651</v>
      </c>
      <c r="AA62" s="257">
        <v>-14.675075199249335</v>
      </c>
      <c r="AB62" s="257">
        <v>-18.52953401025982</v>
      </c>
      <c r="AC62" s="259"/>
      <c r="AD62" s="260"/>
      <c r="AE62" s="261"/>
      <c r="AF62" s="262"/>
      <c r="AG62" s="16"/>
      <c r="AH62" s="263" t="s">
        <v>86</v>
      </c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2:55" ht="15.6" thickTop="1" thickBot="1" x14ac:dyDescent="0.35">
      <c r="C63" s="41" t="s">
        <v>0</v>
      </c>
      <c r="D63" s="41"/>
      <c r="E63" s="168">
        <v>447.38657498559945</v>
      </c>
      <c r="F63" s="168">
        <v>532.4207403115272</v>
      </c>
      <c r="G63" s="168">
        <v>597.76577410060008</v>
      </c>
      <c r="H63" s="168">
        <v>605.9</v>
      </c>
      <c r="I63" s="39">
        <v>648</v>
      </c>
      <c r="J63" s="162"/>
      <c r="K63" s="161"/>
      <c r="L63" s="162"/>
      <c r="M63" s="162"/>
      <c r="N63" s="162"/>
      <c r="O63" s="162"/>
      <c r="P63" s="163"/>
      <c r="Q63" s="162"/>
      <c r="R63" s="161"/>
      <c r="S63" s="162"/>
      <c r="T63" s="162"/>
      <c r="U63" s="162"/>
      <c r="V63" s="163"/>
      <c r="W63" s="162"/>
      <c r="X63" s="39">
        <v>719.7</v>
      </c>
      <c r="Y63" s="39">
        <v>747.5</v>
      </c>
      <c r="Z63" s="39">
        <v>797.2</v>
      </c>
      <c r="AA63" s="39">
        <v>809</v>
      </c>
      <c r="AB63" s="39">
        <v>786.3</v>
      </c>
      <c r="AC63" s="172"/>
      <c r="AD63" s="88"/>
      <c r="AE63" s="85"/>
      <c r="AF63" s="89"/>
      <c r="AG63" s="20"/>
      <c r="AH63" s="24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2:55" s="10" customFormat="1" ht="32.25" customHeight="1" x14ac:dyDescent="0.3">
      <c r="C64" s="54" t="s">
        <v>75</v>
      </c>
      <c r="D64" s="54"/>
      <c r="E64" s="53">
        <f>SUM(E11,E12,E14,E15,E24,E38,E39,E41,E50,E62)</f>
        <v>77.210928879294784</v>
      </c>
      <c r="F64" s="53">
        <f t="shared" ref="F64:I64" si="37">SUM(F11,F12,F14,F15,F24,F38,F39,F41,F50,F62)</f>
        <v>108.98112596680863</v>
      </c>
      <c r="G64" s="53">
        <f t="shared" si="37"/>
        <v>112.09356460336474</v>
      </c>
      <c r="H64" s="53">
        <f t="shared" si="37"/>
        <v>73.870634520384755</v>
      </c>
      <c r="I64" s="53">
        <f t="shared" si="37"/>
        <v>113.59743746485357</v>
      </c>
      <c r="J64" s="114"/>
      <c r="K64" s="174"/>
      <c r="L64" s="175"/>
      <c r="M64" s="175"/>
      <c r="N64" s="175"/>
      <c r="O64" s="175"/>
      <c r="P64" s="176"/>
      <c r="Q64" s="114"/>
      <c r="R64" s="174"/>
      <c r="S64" s="175"/>
      <c r="T64" s="175"/>
      <c r="U64" s="175"/>
      <c r="V64" s="176"/>
      <c r="W64" s="114"/>
      <c r="X64" s="173">
        <f>SUM(X11,X12,X14,X15,X24,X38,X39,X41,X50,X62)</f>
        <v>176.53639670401193</v>
      </c>
      <c r="Y64" s="173">
        <f t="shared" ref="Y64:AB64" si="38">SUM(Y11,Y12,Y14,Y15,Y24,Y38,Y39,Y41,Y50,Y62)</f>
        <v>178.90967698322095</v>
      </c>
      <c r="Z64" s="173">
        <f t="shared" si="38"/>
        <v>191.30971098208283</v>
      </c>
      <c r="AA64" s="173">
        <f t="shared" si="38"/>
        <v>178.64919340326608</v>
      </c>
      <c r="AB64" s="173">
        <f t="shared" si="38"/>
        <v>156.9796054366623</v>
      </c>
      <c r="AC64" s="193"/>
      <c r="AD64" s="86"/>
      <c r="AE64" s="86"/>
      <c r="AF64" s="87"/>
      <c r="AG64" s="11"/>
      <c r="AH64" s="25"/>
    </row>
    <row r="65" spans="1:37" x14ac:dyDescent="0.3"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3"/>
      <c r="AH65" s="24"/>
    </row>
    <row r="66" spans="1:37" x14ac:dyDescent="0.3">
      <c r="C66" s="12" t="s">
        <v>74</v>
      </c>
      <c r="D66" s="10"/>
      <c r="E66" s="9">
        <f>E64/E63</f>
        <v>0.17258213186611615</v>
      </c>
      <c r="F66" s="9">
        <f>F64/F63</f>
        <v>0.20468985844361018</v>
      </c>
      <c r="G66" s="9">
        <f>G64/G63</f>
        <v>0.18752088102069914</v>
      </c>
      <c r="H66" s="9">
        <f>H64/H63</f>
        <v>0.12191885545533052</v>
      </c>
      <c r="I66" s="9">
        <f>I64/I63</f>
        <v>0.17530468744576169</v>
      </c>
      <c r="J66" s="9"/>
      <c r="K66" s="9"/>
      <c r="L66" s="9"/>
      <c r="M66" s="9"/>
      <c r="N66" s="9"/>
      <c r="O66" s="9"/>
      <c r="P66" s="9"/>
      <c r="Q66" s="22"/>
      <c r="R66" s="22"/>
      <c r="S66" s="22"/>
      <c r="T66" s="22"/>
      <c r="U66" s="22"/>
      <c r="V66" s="22"/>
      <c r="W66" s="22"/>
      <c r="X66" s="9">
        <f>X64/X63</f>
        <v>0.24529164471864934</v>
      </c>
      <c r="Y66" s="9">
        <f>Y64/Y63</f>
        <v>0.23934404947588087</v>
      </c>
      <c r="Z66" s="9">
        <f>Z64/Z63</f>
        <v>0.23997705843211595</v>
      </c>
      <c r="AA66" s="9">
        <f>AA64/AA63</f>
        <v>0.22082718591256623</v>
      </c>
      <c r="AB66" s="9">
        <f>AB64/AB63</f>
        <v>0.19964340002119077</v>
      </c>
      <c r="AG66" s="22"/>
      <c r="AH66" s="24"/>
    </row>
    <row r="67" spans="1:37" x14ac:dyDescent="0.3">
      <c r="C67" s="67" t="s">
        <v>41</v>
      </c>
      <c r="D67" s="67"/>
      <c r="E67" s="68">
        <f>E63-E64</f>
        <v>370.17564610630467</v>
      </c>
      <c r="F67" s="68">
        <f>F63-F64</f>
        <v>423.43961434471856</v>
      </c>
      <c r="G67" s="68">
        <f>G63-G64</f>
        <v>485.67220949723537</v>
      </c>
      <c r="H67" s="68">
        <f>H63-H64</f>
        <v>532.02936547961519</v>
      </c>
      <c r="I67" s="68">
        <f>I63-I64</f>
        <v>534.40256253514644</v>
      </c>
      <c r="J67" s="115"/>
      <c r="K67" s="68">
        <f>SUM(K10:K62)</f>
        <v>425.52721952970961</v>
      </c>
      <c r="L67" s="68">
        <f>SUM(L10:L62)</f>
        <v>469.9816048818181</v>
      </c>
      <c r="M67" s="68">
        <f>SUM(M10:M62)</f>
        <v>510.57229938488672</v>
      </c>
      <c r="N67" s="68">
        <f>SUM(N10:N62)</f>
        <v>543.72936825571105</v>
      </c>
      <c r="O67" s="68">
        <f t="shared" ref="O67:P67" si="39">SUM(O10:O62)</f>
        <v>534.45181430603373</v>
      </c>
      <c r="P67" s="68">
        <f t="shared" si="39"/>
        <v>496.8524612716318</v>
      </c>
      <c r="Q67" s="160"/>
      <c r="R67" s="142"/>
      <c r="S67" s="68">
        <f>SUM(S10:S62)</f>
        <v>511.03941262105269</v>
      </c>
      <c r="T67" s="68">
        <f>SUM(T10:T62)</f>
        <v>518.740012680468</v>
      </c>
      <c r="U67" s="68">
        <f>SUM(U10:U62)</f>
        <v>526.27935780489474</v>
      </c>
      <c r="V67" s="68">
        <f>SUM(V10:V62)</f>
        <v>534.11724393002896</v>
      </c>
      <c r="W67" s="42"/>
      <c r="X67" s="68">
        <f>X63-X64</f>
        <v>543.16360329598808</v>
      </c>
      <c r="Y67" s="68">
        <f>Y63-Y64</f>
        <v>568.59032301677905</v>
      </c>
      <c r="Z67" s="68">
        <f>Z63-Z64</f>
        <v>605.89028901791721</v>
      </c>
      <c r="AA67" s="68">
        <f>AA63-AA64</f>
        <v>630.35080659673395</v>
      </c>
      <c r="AB67" s="68">
        <f>AB63-AB64</f>
        <v>629.32039456333769</v>
      </c>
      <c r="AC67" s="59"/>
      <c r="AD67" s="69">
        <f>AVERAGE(S67:V67)</f>
        <v>522.54400675911108</v>
      </c>
      <c r="AE67" s="69">
        <f>AVERAGE(Y67:AB67)</f>
        <v>608.53795329869195</v>
      </c>
      <c r="AF67" s="70">
        <f t="shared" ref="AF67" si="40">AD67/AE67</f>
        <v>0.85868761993654652</v>
      </c>
      <c r="AG67" s="22"/>
      <c r="AH67" s="24"/>
    </row>
    <row r="68" spans="1:37" ht="9" customHeight="1" x14ac:dyDescent="0.3"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2"/>
      <c r="R68" s="22"/>
      <c r="S68" s="22"/>
      <c r="T68" s="22"/>
      <c r="U68" s="22"/>
      <c r="V68" s="22"/>
      <c r="W68" s="22"/>
      <c r="X68" s="26"/>
      <c r="Y68" s="26"/>
      <c r="Z68" s="26"/>
      <c r="AA68" s="26"/>
      <c r="AB68" s="26"/>
      <c r="AC68" s="14"/>
      <c r="AD68" s="27"/>
      <c r="AF68" s="14"/>
      <c r="AG68" s="22"/>
      <c r="AH68" s="24"/>
    </row>
    <row r="69" spans="1:37" ht="16.2" x14ac:dyDescent="0.3">
      <c r="C69" s="1" t="s">
        <v>76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G69" s="3"/>
      <c r="AJ69" s="27"/>
    </row>
    <row r="70" spans="1:37" ht="21" customHeight="1" x14ac:dyDescent="0.3">
      <c r="C70" s="1" t="s">
        <v>57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264"/>
      <c r="AG70" s="3"/>
      <c r="AJ70" s="27"/>
    </row>
    <row r="71" spans="1:37" ht="21" customHeight="1" x14ac:dyDescent="0.3"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AG71" s="3"/>
      <c r="AJ71" s="27"/>
    </row>
    <row r="72" spans="1:37" ht="21" customHeight="1" x14ac:dyDescent="0.3"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G72" s="3"/>
      <c r="AJ72" s="27"/>
    </row>
    <row r="73" spans="1:37" ht="21" customHeight="1" x14ac:dyDescent="0.3"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D73" s="3"/>
      <c r="AE73" s="3"/>
      <c r="AF73" s="14"/>
      <c r="AG73" s="3"/>
      <c r="AJ73" s="27"/>
    </row>
    <row r="74" spans="1:37" ht="21" customHeight="1" x14ac:dyDescent="0.3"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237"/>
      <c r="AE74" s="92"/>
      <c r="AF74" s="94"/>
      <c r="AG74" s="3"/>
    </row>
    <row r="75" spans="1:37" ht="25.8" x14ac:dyDescent="0.5">
      <c r="B75" s="208" t="s">
        <v>65</v>
      </c>
      <c r="C75" s="208"/>
      <c r="D75" s="208"/>
      <c r="E75" s="208"/>
      <c r="F75" s="208"/>
      <c r="G75" s="208"/>
      <c r="H75" s="208"/>
      <c r="I75" s="208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G75" s="3"/>
    </row>
    <row r="76" spans="1:37" x14ac:dyDescent="0.3"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G76" s="92"/>
      <c r="AH76" s="90"/>
      <c r="AI76" s="90"/>
      <c r="AJ76" s="90"/>
      <c r="AK76" s="90"/>
    </row>
    <row r="77" spans="1:37" ht="15.6" x14ac:dyDescent="0.3">
      <c r="B77" s="207" t="s">
        <v>63</v>
      </c>
      <c r="C77" s="207"/>
      <c r="D77" s="127"/>
      <c r="E77" s="238"/>
      <c r="F77" s="238"/>
      <c r="G77" s="238"/>
      <c r="H77" s="238"/>
      <c r="I77" s="238"/>
      <c r="J77" s="238"/>
      <c r="K77" s="239"/>
      <c r="L77" s="234"/>
      <c r="M77" s="234"/>
      <c r="N77" s="127"/>
      <c r="O77" s="127"/>
      <c r="P77" s="127"/>
      <c r="X77" s="4"/>
      <c r="Y77" s="4"/>
      <c r="Z77" s="4"/>
      <c r="AA77" s="4"/>
      <c r="AB77" s="4"/>
      <c r="AG77" s="93"/>
      <c r="AH77" s="90"/>
      <c r="AI77" s="90"/>
      <c r="AJ77" s="90"/>
      <c r="AK77" s="90"/>
    </row>
    <row r="78" spans="1:37" ht="15.6" x14ac:dyDescent="0.3">
      <c r="B78" s="116" t="s">
        <v>64</v>
      </c>
      <c r="C78" s="117"/>
      <c r="D78" s="117"/>
      <c r="E78" s="240"/>
      <c r="F78" s="240"/>
      <c r="G78" s="240"/>
      <c r="H78" s="240"/>
      <c r="I78" s="240"/>
      <c r="J78" s="241"/>
      <c r="K78" s="242"/>
      <c r="L78" s="235"/>
      <c r="M78" s="235"/>
      <c r="N78" s="121"/>
      <c r="O78" s="121"/>
      <c r="P78" s="121"/>
      <c r="Q78" s="90"/>
      <c r="R78" s="90"/>
      <c r="S78" s="90"/>
      <c r="T78" s="90"/>
      <c r="U78" s="90"/>
      <c r="V78" s="90"/>
      <c r="W78" s="90"/>
      <c r="X78" s="23"/>
      <c r="Z78" s="23"/>
      <c r="AA78" s="23"/>
      <c r="AB78" s="23"/>
      <c r="AG78" s="90"/>
      <c r="AH78" s="94"/>
      <c r="AI78" s="92"/>
      <c r="AJ78" s="90"/>
      <c r="AK78" s="90"/>
    </row>
    <row r="79" spans="1:37" ht="15.6" x14ac:dyDescent="0.3">
      <c r="B79" s="116"/>
      <c r="C79" s="116"/>
      <c r="D79" s="116"/>
      <c r="E79" s="243"/>
      <c r="F79" s="243"/>
      <c r="G79" s="243"/>
      <c r="H79" s="243"/>
      <c r="I79" s="243"/>
      <c r="J79" s="241"/>
      <c r="K79" s="242"/>
      <c r="L79" s="235"/>
      <c r="M79" s="235"/>
      <c r="N79" s="121"/>
      <c r="O79" s="121"/>
      <c r="P79" s="121"/>
      <c r="Q79" s="90"/>
      <c r="R79" s="90"/>
      <c r="S79" s="90"/>
      <c r="T79" s="90"/>
      <c r="U79" s="90"/>
      <c r="V79" s="90"/>
      <c r="W79" s="90"/>
      <c r="X79" s="23"/>
      <c r="Z79" s="23"/>
      <c r="AA79" s="23"/>
      <c r="AB79" s="23"/>
      <c r="AG79" s="90"/>
      <c r="AH79" s="94"/>
      <c r="AI79" s="92"/>
      <c r="AJ79" s="90"/>
      <c r="AK79" s="90"/>
    </row>
    <row r="80" spans="1:37" ht="28.2" customHeight="1" x14ac:dyDescent="0.3">
      <c r="A80" s="128">
        <v>2020</v>
      </c>
      <c r="B80" s="129">
        <v>2.0530315058679853E-2</v>
      </c>
      <c r="C80" s="118"/>
      <c r="D80" s="118"/>
      <c r="E80" s="244"/>
      <c r="F80" s="245"/>
      <c r="G80" s="245"/>
      <c r="H80" s="245"/>
      <c r="I80" s="245"/>
      <c r="J80" s="241"/>
      <c r="K80" s="246"/>
      <c r="L80" s="119"/>
      <c r="M80" s="119"/>
      <c r="N80" s="119"/>
      <c r="O80" s="119"/>
      <c r="P80" s="119"/>
      <c r="Q80" s="91"/>
      <c r="R80" s="91"/>
      <c r="S80" s="91"/>
      <c r="T80" s="91"/>
      <c r="U80" s="91"/>
      <c r="V80" s="91"/>
      <c r="W80" s="91"/>
      <c r="X80" s="7"/>
      <c r="Y80" s="7"/>
      <c r="Z80" s="7"/>
      <c r="AA80" s="7"/>
      <c r="AB80" s="7"/>
      <c r="AG80" s="91"/>
      <c r="AH80" s="95"/>
      <c r="AI80" s="92"/>
      <c r="AJ80" s="96"/>
      <c r="AK80" s="90"/>
    </row>
    <row r="81" spans="1:37" ht="15" customHeight="1" x14ac:dyDescent="0.3">
      <c r="A81" s="1">
        <v>2021</v>
      </c>
      <c r="B81" s="129">
        <v>3.3716237234496002E-2</v>
      </c>
      <c r="C81" s="118"/>
      <c r="D81" s="118"/>
      <c r="E81" s="247"/>
      <c r="F81" s="245"/>
      <c r="G81" s="248"/>
      <c r="H81" s="248"/>
      <c r="I81" s="246"/>
      <c r="J81" s="241"/>
      <c r="K81" s="246"/>
      <c r="L81" s="119"/>
      <c r="M81" s="119"/>
      <c r="N81" s="119"/>
      <c r="O81" s="119"/>
      <c r="P81" s="119"/>
      <c r="Q81" s="91"/>
      <c r="R81" s="91"/>
      <c r="S81" s="91"/>
      <c r="T81" s="91"/>
      <c r="U81" s="91"/>
      <c r="V81" s="91"/>
      <c r="W81" s="91"/>
      <c r="X81" s="7"/>
      <c r="Y81" s="7"/>
      <c r="Z81" s="7"/>
      <c r="AA81" s="7"/>
      <c r="AB81" s="7"/>
      <c r="AG81" s="91"/>
      <c r="AH81" s="97"/>
      <c r="AI81" s="97"/>
      <c r="AJ81" s="90"/>
      <c r="AK81" s="90"/>
    </row>
    <row r="82" spans="1:37" ht="27" customHeight="1" x14ac:dyDescent="0.3">
      <c r="A82" s="1">
        <v>2022</v>
      </c>
      <c r="B82" s="129">
        <v>5.4475313343570718E-2</v>
      </c>
      <c r="C82" s="118"/>
      <c r="D82" s="118"/>
      <c r="E82" s="247"/>
      <c r="F82" s="247"/>
      <c r="G82" s="245"/>
      <c r="H82" s="245"/>
      <c r="I82" s="246"/>
      <c r="J82" s="241"/>
      <c r="K82" s="246"/>
      <c r="L82" s="119"/>
      <c r="M82" s="119"/>
      <c r="N82" s="119"/>
      <c r="O82" s="119"/>
      <c r="P82" s="119"/>
      <c r="Q82" s="91"/>
      <c r="R82" s="91"/>
      <c r="S82" s="91"/>
      <c r="T82" s="91"/>
      <c r="U82" s="91"/>
      <c r="V82" s="91"/>
      <c r="W82" s="91"/>
      <c r="X82" s="7"/>
      <c r="Y82" s="7"/>
      <c r="Z82" s="7"/>
      <c r="AA82" s="7"/>
      <c r="AB82" s="7"/>
      <c r="AG82" s="91"/>
      <c r="AH82" s="91"/>
      <c r="AI82" s="90"/>
      <c r="AJ82" s="90"/>
      <c r="AK82" s="90"/>
    </row>
    <row r="83" spans="1:37" ht="15.6" x14ac:dyDescent="0.3">
      <c r="A83" s="1">
        <v>2023</v>
      </c>
      <c r="B83" s="129">
        <v>3.173810863005614E-2</v>
      </c>
      <c r="C83" s="118"/>
      <c r="D83" s="118"/>
      <c r="E83" s="247"/>
      <c r="F83" s="247"/>
      <c r="G83" s="249"/>
      <c r="H83" s="247"/>
      <c r="I83" s="246"/>
      <c r="J83" s="241"/>
      <c r="K83" s="246"/>
      <c r="L83" s="119"/>
      <c r="M83" s="119"/>
      <c r="N83" s="119"/>
      <c r="O83" s="119"/>
      <c r="P83" s="119"/>
      <c r="Q83" s="90"/>
      <c r="R83" s="90"/>
      <c r="S83" s="90"/>
      <c r="T83" s="90"/>
      <c r="U83" s="90"/>
      <c r="V83" s="90"/>
      <c r="W83" s="90"/>
    </row>
    <row r="84" spans="1:37" ht="15.6" x14ac:dyDescent="0.3">
      <c r="A84" s="1">
        <v>2024</v>
      </c>
      <c r="B84" s="143">
        <v>1.9457960263180848E-2</v>
      </c>
      <c r="C84" s="118"/>
      <c r="D84" s="118"/>
      <c r="E84" s="247"/>
      <c r="F84" s="247"/>
      <c r="G84" s="249"/>
      <c r="H84" s="247"/>
      <c r="I84" s="246"/>
      <c r="J84" s="241"/>
      <c r="K84" s="246"/>
      <c r="L84" s="119"/>
      <c r="M84" s="119"/>
      <c r="N84" s="119"/>
      <c r="O84" s="119"/>
      <c r="P84" s="119"/>
      <c r="Q84" s="99"/>
      <c r="R84" s="99"/>
      <c r="S84" s="99"/>
      <c r="T84" s="99"/>
      <c r="U84" s="99"/>
      <c r="V84" s="99"/>
      <c r="W84" s="99"/>
      <c r="X84" s="6"/>
      <c r="Y84" s="6"/>
      <c r="Z84" s="6"/>
      <c r="AA84" s="6"/>
      <c r="AB84" s="6"/>
      <c r="AG84" s="6"/>
      <c r="AH84" s="6"/>
      <c r="AI84" s="6"/>
    </row>
    <row r="85" spans="1:37" ht="15.6" x14ac:dyDescent="0.3">
      <c r="A85" s="1">
        <f>2025</f>
        <v>2025</v>
      </c>
      <c r="B85" s="143">
        <v>1.4191692390294922E-2</v>
      </c>
      <c r="C85" s="116"/>
      <c r="D85" s="116"/>
      <c r="E85" s="247"/>
      <c r="F85" s="247"/>
      <c r="G85" s="247"/>
      <c r="H85" s="247"/>
      <c r="I85" s="247"/>
      <c r="J85" s="241"/>
      <c r="K85" s="247"/>
      <c r="L85" s="236"/>
      <c r="M85" s="236"/>
      <c r="N85" s="120"/>
      <c r="O85" s="120"/>
      <c r="P85" s="120"/>
      <c r="Q85" s="99"/>
      <c r="R85" s="99"/>
      <c r="S85" s="99"/>
      <c r="T85" s="99"/>
      <c r="U85" s="99"/>
      <c r="V85" s="99"/>
      <c r="W85" s="99"/>
      <c r="X85" s="6"/>
      <c r="Y85" s="6"/>
      <c r="Z85" s="6"/>
      <c r="AA85" s="6"/>
      <c r="AB85" s="6"/>
      <c r="AG85" s="6"/>
      <c r="AH85" s="6"/>
      <c r="AI85" s="6"/>
    </row>
    <row r="86" spans="1:37" ht="15.6" x14ac:dyDescent="0.3">
      <c r="A86" s="1">
        <v>2026</v>
      </c>
      <c r="B86" s="143">
        <v>1.4160989343138695E-2</v>
      </c>
      <c r="C86" s="116"/>
      <c r="D86" s="116"/>
      <c r="E86" s="247"/>
      <c r="F86" s="247"/>
      <c r="G86" s="247"/>
      <c r="H86" s="247"/>
      <c r="I86" s="247"/>
      <c r="J86" s="241"/>
      <c r="K86" s="253"/>
      <c r="L86" s="254"/>
      <c r="M86" s="254"/>
      <c r="N86" s="255"/>
      <c r="O86" s="255"/>
      <c r="P86" s="255"/>
      <c r="Q86" s="90"/>
      <c r="R86" s="90"/>
      <c r="S86" s="90"/>
      <c r="T86" s="90"/>
      <c r="U86" s="90"/>
      <c r="V86" s="90"/>
      <c r="W86" s="90"/>
    </row>
    <row r="87" spans="1:37" ht="15.6" x14ac:dyDescent="0.3">
      <c r="A87" s="1">
        <v>2027</v>
      </c>
      <c r="B87" s="143">
        <v>1.5068505225301419E-2</v>
      </c>
      <c r="C87" s="116"/>
      <c r="D87" s="116"/>
      <c r="E87" s="249"/>
      <c r="F87" s="249"/>
      <c r="G87" s="250"/>
      <c r="H87" s="250"/>
      <c r="I87" s="246"/>
      <c r="J87" s="241"/>
      <c r="K87" s="253"/>
      <c r="L87" s="254"/>
      <c r="M87" s="254"/>
      <c r="N87" s="255"/>
      <c r="O87" s="255"/>
      <c r="P87" s="255"/>
      <c r="Q87" s="90"/>
      <c r="R87" s="90"/>
      <c r="S87" s="90"/>
      <c r="T87" s="90"/>
      <c r="U87" s="90"/>
      <c r="V87" s="90"/>
      <c r="W87" s="90"/>
    </row>
    <row r="88" spans="1:37" ht="15.6" x14ac:dyDescent="0.3">
      <c r="A88" s="1">
        <v>2028</v>
      </c>
      <c r="B88" s="143">
        <v>1.4533957165689258E-2</v>
      </c>
      <c r="C88" s="116"/>
      <c r="D88" s="116"/>
      <c r="E88" s="249"/>
      <c r="F88" s="249"/>
      <c r="G88" s="249"/>
      <c r="H88" s="249"/>
      <c r="I88" s="246"/>
      <c r="J88" s="241"/>
      <c r="K88" s="253"/>
      <c r="L88" s="254"/>
      <c r="M88" s="254"/>
      <c r="N88" s="255"/>
      <c r="O88" s="255"/>
      <c r="P88" s="255"/>
      <c r="Q88" s="90"/>
      <c r="R88" s="90"/>
      <c r="S88" s="90"/>
      <c r="T88" s="90"/>
      <c r="U88" s="90"/>
      <c r="V88" s="90"/>
      <c r="W88" s="90"/>
    </row>
    <row r="89" spans="1:37" ht="15.6" x14ac:dyDescent="0.3">
      <c r="A89" s="1">
        <v>2029</v>
      </c>
      <c r="B89" s="143">
        <v>1.4893014534763049E-2</v>
      </c>
      <c r="C89" s="116"/>
      <c r="D89" s="116"/>
      <c r="E89" s="249"/>
      <c r="F89" s="249"/>
      <c r="G89" s="249"/>
      <c r="H89" s="249"/>
      <c r="I89" s="246"/>
      <c r="J89" s="241"/>
      <c r="K89" s="253"/>
      <c r="L89" s="254"/>
      <c r="M89" s="254"/>
      <c r="N89" s="255"/>
      <c r="O89" s="255"/>
      <c r="P89" s="255"/>
      <c r="Q89" s="90"/>
      <c r="R89" s="90"/>
      <c r="S89" s="90"/>
      <c r="T89" s="90"/>
      <c r="U89" s="90"/>
      <c r="V89" s="90"/>
      <c r="W89" s="90"/>
    </row>
    <row r="90" spans="1:37" x14ac:dyDescent="0.3">
      <c r="E90" s="251"/>
      <c r="F90" s="251"/>
      <c r="G90" s="251"/>
      <c r="H90" s="251"/>
      <c r="I90" s="252"/>
      <c r="J90" s="252"/>
      <c r="K90" s="252"/>
      <c r="L90" s="98"/>
      <c r="M90" s="98"/>
      <c r="N90" s="98"/>
      <c r="O90" s="98"/>
      <c r="P90" s="98"/>
      <c r="Q90" s="90"/>
      <c r="R90" s="90"/>
      <c r="S90" s="90"/>
      <c r="T90" s="90"/>
      <c r="U90" s="90"/>
      <c r="V90" s="90"/>
      <c r="W90" s="90"/>
    </row>
    <row r="91" spans="1:37" x14ac:dyDescent="0.3">
      <c r="I91" s="98"/>
      <c r="J91" s="98"/>
      <c r="K91" s="98"/>
      <c r="L91" s="98"/>
      <c r="M91" s="98"/>
      <c r="N91" s="98"/>
      <c r="O91" s="98"/>
      <c r="P91" s="98"/>
      <c r="Q91" s="90"/>
      <c r="R91" s="90"/>
      <c r="S91" s="90"/>
      <c r="T91" s="90"/>
      <c r="U91" s="90"/>
      <c r="V91" s="90"/>
      <c r="W91" s="90"/>
    </row>
    <row r="92" spans="1:37" x14ac:dyDescent="0.3"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mergeCells count="32">
    <mergeCell ref="AB12:AB13"/>
    <mergeCell ref="AD12:AD13"/>
    <mergeCell ref="AE12:AE13"/>
    <mergeCell ref="AF12:AF13"/>
    <mergeCell ref="C8:C9"/>
    <mergeCell ref="Y12:Y13"/>
    <mergeCell ref="Z12:Z13"/>
    <mergeCell ref="AA12:AA13"/>
    <mergeCell ref="I12:I13"/>
    <mergeCell ref="C1:AF1"/>
    <mergeCell ref="E7:I7"/>
    <mergeCell ref="X7:AB7"/>
    <mergeCell ref="AD4:AF4"/>
    <mergeCell ref="K7:P7"/>
    <mergeCell ref="R7:V7"/>
    <mergeCell ref="AF5:AF7"/>
    <mergeCell ref="C2:AF2"/>
    <mergeCell ref="B77:C77"/>
    <mergeCell ref="B75:I75"/>
    <mergeCell ref="E77:J77"/>
    <mergeCell ref="K78:K79"/>
    <mergeCell ref="X12:X13"/>
    <mergeCell ref="C12:C13"/>
    <mergeCell ref="E12:E13"/>
    <mergeCell ref="F12:F13"/>
    <mergeCell ref="G12:G13"/>
    <mergeCell ref="H12:H13"/>
    <mergeCell ref="E5:I5"/>
    <mergeCell ref="K5:P5"/>
    <mergeCell ref="R5:V5"/>
    <mergeCell ref="AD5:AD7"/>
    <mergeCell ref="AE5:AE7"/>
  </mergeCells>
  <dataValidations disablePrompts="1" count="1">
    <dataValidation type="list" allowBlank="1" showInputMessage="1" showErrorMessage="1" sqref="AG8:AG9" xr:uid="{0BE1EE58-0B22-4CE9-9BAA-B9B4DD4BB676}">
      <formula1>"CGAAP, MIFRS, USGAAP, ASPE"</formula1>
    </dataValidation>
  </dataValidations>
  <pageMargins left="0.7" right="0.7" top="0.75" bottom="0.75" header="0.3" footer="0.3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E537-0EB3-41A6-968F-F4D5DE3A13D2}">
  <dimension ref="A3:K7"/>
  <sheetViews>
    <sheetView workbookViewId="0">
      <selection activeCell="B7" sqref="B7:F7"/>
    </sheetView>
  </sheetViews>
  <sheetFormatPr defaultRowHeight="14.4" x14ac:dyDescent="0.3"/>
  <cols>
    <col min="1" max="1" width="45.33203125" customWidth="1"/>
  </cols>
  <sheetData>
    <row r="3" spans="1:11" x14ac:dyDescent="0.3">
      <c r="B3" s="64">
        <v>2020</v>
      </c>
      <c r="C3" s="63">
        <v>2021</v>
      </c>
      <c r="D3" s="63">
        <v>2022</v>
      </c>
      <c r="E3" s="63">
        <v>2023</v>
      </c>
      <c r="F3" s="63">
        <v>2024</v>
      </c>
      <c r="G3" s="64">
        <v>2025</v>
      </c>
      <c r="H3" s="65">
        <v>2026</v>
      </c>
      <c r="I3" s="63">
        <v>2027</v>
      </c>
      <c r="J3" s="63">
        <v>2028</v>
      </c>
      <c r="K3" s="63">
        <v>2029</v>
      </c>
    </row>
    <row r="4" spans="1:11" x14ac:dyDescent="0.3">
      <c r="A4" t="s">
        <v>69</v>
      </c>
      <c r="B4" s="2">
        <v>106.37995216897347</v>
      </c>
      <c r="C4" s="2">
        <v>134.25852984377033</v>
      </c>
      <c r="D4" s="2">
        <v>138.82081140301037</v>
      </c>
      <c r="E4" s="2">
        <v>158.65143718466143</v>
      </c>
      <c r="F4" s="2">
        <v>150.05181430603363</v>
      </c>
      <c r="G4">
        <v>167.38170648120223</v>
      </c>
      <c r="H4">
        <v>178.92604128757065</v>
      </c>
      <c r="I4">
        <v>190.030284347893</v>
      </c>
      <c r="J4">
        <v>201.19592534857358</v>
      </c>
      <c r="K4">
        <v>212.25553003887589</v>
      </c>
    </row>
    <row r="5" spans="1:11" x14ac:dyDescent="0.3">
      <c r="A5" t="s">
        <v>70</v>
      </c>
      <c r="B5">
        <v>-69</v>
      </c>
      <c r="C5">
        <v>-43.3</v>
      </c>
      <c r="D5">
        <v>-63.8</v>
      </c>
      <c r="E5">
        <v>-71.8</v>
      </c>
      <c r="F5">
        <v>-71.900000000000006</v>
      </c>
      <c r="G5">
        <v>-82.9</v>
      </c>
      <c r="H5">
        <v>-89</v>
      </c>
      <c r="I5">
        <v>-94.7</v>
      </c>
      <c r="J5">
        <v>-100.5</v>
      </c>
      <c r="K5">
        <v>-106.3</v>
      </c>
    </row>
    <row r="6" spans="1:11" x14ac:dyDescent="0.3">
      <c r="A6" t="s">
        <v>71</v>
      </c>
      <c r="B6">
        <v>-1.7</v>
      </c>
      <c r="C6">
        <v>1.8</v>
      </c>
      <c r="D6">
        <v>0.9</v>
      </c>
      <c r="E6">
        <v>-0.1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  <row r="7" spans="1:11" x14ac:dyDescent="0.3">
      <c r="A7" t="s">
        <v>60</v>
      </c>
      <c r="B7">
        <f>B4+B5+B6</f>
        <v>35.679952168973472</v>
      </c>
      <c r="C7">
        <f t="shared" ref="C7:K7" si="0">C4+C5+C6</f>
        <v>92.758529843770333</v>
      </c>
      <c r="D7">
        <f t="shared" si="0"/>
        <v>75.920811403010376</v>
      </c>
      <c r="E7">
        <f t="shared" si="0"/>
        <v>86.751437184661441</v>
      </c>
      <c r="F7">
        <f t="shared" si="0"/>
        <v>78.151814306033629</v>
      </c>
      <c r="G7">
        <f t="shared" si="0"/>
        <v>84.481706481202224</v>
      </c>
      <c r="H7">
        <f t="shared" si="0"/>
        <v>89.926041287570655</v>
      </c>
      <c r="I7">
        <f t="shared" si="0"/>
        <v>95.330284347892999</v>
      </c>
      <c r="J7">
        <f t="shared" si="0"/>
        <v>100.69592534857358</v>
      </c>
      <c r="K7">
        <f t="shared" si="0"/>
        <v>105.95553003887589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A9AE-3EFA-4068-9D49-F4F96B4B9385}">
  <dimension ref="A1:K6"/>
  <sheetViews>
    <sheetView workbookViewId="0">
      <selection activeCell="H7" sqref="H7"/>
    </sheetView>
  </sheetViews>
  <sheetFormatPr defaultRowHeight="14.4" x14ac:dyDescent="0.3"/>
  <cols>
    <col min="1" max="1" width="19" customWidth="1"/>
  </cols>
  <sheetData>
    <row r="1" spans="1:11" x14ac:dyDescent="0.3">
      <c r="A1" s="232" t="s">
        <v>61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x14ac:dyDescent="0.3">
      <c r="B2">
        <v>2020</v>
      </c>
      <c r="C2">
        <v>2021</v>
      </c>
      <c r="D2">
        <v>2022</v>
      </c>
      <c r="E2">
        <v>2023</v>
      </c>
      <c r="F2">
        <v>2024</v>
      </c>
      <c r="G2">
        <v>2025</v>
      </c>
      <c r="H2">
        <v>2026</v>
      </c>
      <c r="I2">
        <v>2027</v>
      </c>
      <c r="J2">
        <v>2028</v>
      </c>
      <c r="K2">
        <v>2029</v>
      </c>
    </row>
    <row r="3" spans="1:11" x14ac:dyDescent="0.3">
      <c r="A3" t="s">
        <v>58</v>
      </c>
      <c r="B3" s="16">
        <v>82.795184709999987</v>
      </c>
      <c r="C3" s="16">
        <v>67.58399260999947</v>
      </c>
      <c r="D3" s="16">
        <v>66.058969169999997</v>
      </c>
      <c r="E3" s="16">
        <v>84.558723470000018</v>
      </c>
      <c r="F3" s="16">
        <v>88.596556978271195</v>
      </c>
      <c r="G3" s="16">
        <v>103.65848386418207</v>
      </c>
      <c r="H3" s="16">
        <v>78.482000416940551</v>
      </c>
      <c r="I3" s="16">
        <v>58.032751169221505</v>
      </c>
      <c r="J3" s="16">
        <v>58.839333690958725</v>
      </c>
      <c r="K3" s="16">
        <v>61.235762161496623</v>
      </c>
    </row>
    <row r="4" spans="1:11" x14ac:dyDescent="0.3">
      <c r="A4" t="s">
        <v>59</v>
      </c>
      <c r="B4">
        <v>-74.099999999999994</v>
      </c>
      <c r="C4">
        <v>-58.3</v>
      </c>
      <c r="D4">
        <v>-53.2</v>
      </c>
      <c r="E4">
        <v>-68.599999999999994</v>
      </c>
      <c r="F4">
        <v>-75.599999999999994</v>
      </c>
      <c r="G4">
        <v>-81.099999999999994</v>
      </c>
      <c r="H4">
        <v>-61.8</v>
      </c>
      <c r="I4">
        <v>-46.1</v>
      </c>
      <c r="J4">
        <v>-46.7</v>
      </c>
      <c r="K4">
        <v>-48.6</v>
      </c>
    </row>
    <row r="5" spans="1:11" x14ac:dyDescent="0.3">
      <c r="A5" t="s">
        <v>60</v>
      </c>
      <c r="B5" s="30">
        <f t="shared" ref="B5:D5" si="0">B3+B4</f>
        <v>8.6951847099999924</v>
      </c>
      <c r="C5" s="30">
        <f t="shared" si="0"/>
        <v>9.2839926099994727</v>
      </c>
      <c r="D5" s="30">
        <f t="shared" si="0"/>
        <v>12.858969169999995</v>
      </c>
      <c r="E5" s="30">
        <f>E3+E4</f>
        <v>15.958723470000024</v>
      </c>
      <c r="F5" s="30">
        <f t="shared" ref="F5:K5" si="1">F3+F4</f>
        <v>12.996556978271201</v>
      </c>
      <c r="G5" s="30">
        <f t="shared" si="1"/>
        <v>22.55848386418208</v>
      </c>
      <c r="H5" s="30">
        <f t="shared" si="1"/>
        <v>16.682000416940554</v>
      </c>
      <c r="I5" s="30">
        <f t="shared" si="1"/>
        <v>11.932751169221504</v>
      </c>
      <c r="J5" s="30">
        <f t="shared" si="1"/>
        <v>12.139333690958722</v>
      </c>
      <c r="K5" s="30">
        <f t="shared" si="1"/>
        <v>12.635762161496622</v>
      </c>
    </row>
    <row r="6" spans="1:11" x14ac:dyDescent="0.3">
      <c r="G6" s="30"/>
      <c r="H6" s="30"/>
      <c r="I6" s="30"/>
      <c r="J6" s="30"/>
      <c r="K6" s="30"/>
    </row>
  </sheetData>
  <mergeCells count="1">
    <mergeCell ref="A1:K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5a1e47-6319-43cd-8b91-ab15d28f05e3" xsi:nil="true"/>
    <lcf76f155ced4ddcb4097134ff3c332f xmlns="ecd2d5c3-a56c-4f0a-9d5a-efd6b587e9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7DB80155740C44B70F89F1A4D0230F" ma:contentTypeVersion="13" ma:contentTypeDescription="Create a new document." ma:contentTypeScope="" ma:versionID="d6232ff08489d93094cf250ab310fba0">
  <xsd:schema xmlns:xsd="http://www.w3.org/2001/XMLSchema" xmlns:xs="http://www.w3.org/2001/XMLSchema" xmlns:p="http://schemas.microsoft.com/office/2006/metadata/properties" xmlns:ns2="ecd2d5c3-a56c-4f0a-9d5a-efd6b587e90d" xmlns:ns3="e65a1e47-6319-43cd-8b91-ab15d28f05e3" targetNamespace="http://schemas.microsoft.com/office/2006/metadata/properties" ma:root="true" ma:fieldsID="08f2b549ddfbbc7319133351827ca99e" ns2:_="" ns3:_="">
    <xsd:import namespace="ecd2d5c3-a56c-4f0a-9d5a-efd6b587e90d"/>
    <xsd:import namespace="e65a1e47-6319-43cd-8b91-ab15d28f0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2d5c3-a56c-4f0a-9d5a-efd6b587e9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a1e47-6319-43cd-8b91-ab15d28f0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e958035-dc7a-454b-b813-bbfd600d2347}" ma:internalName="TaxCatchAll" ma:showField="CatchAllData" ma:web="e65a1e47-6319-43cd-8b91-ab15d28f0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E7BB6-DDDD-4EFE-8B4E-C7975C7EA7F8}">
  <ds:schemaRefs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2f5608d-6d7a-42e2-98e2-423919b9e8f5"/>
    <ds:schemaRef ds:uri="http://schemas.microsoft.com/office/infopath/2007/PartnerControls"/>
    <ds:schemaRef ds:uri="http://www.w3.org/XML/1998/namespace"/>
    <ds:schemaRef ds:uri="9473240c-b41c-42ef-8b2c-3822cc767b7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B0B14BD-653A-4AC0-9301-44AEC32A78E1}"/>
</file>

<file path=customXml/itemProps3.xml><?xml version="1.0" encoding="utf-8"?>
<ds:datastoreItem xmlns:ds="http://schemas.openxmlformats.org/officeDocument/2006/customXml" ds:itemID="{3D46EE15-BD44-45EC-B6D6-B0D499E2CE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THESL Capex Calculations</vt:lpstr>
      <vt:lpstr>Customer &amp; Gen Connections</vt:lpstr>
      <vt:lpstr>External Initiated Calcs</vt:lpstr>
      <vt:lpstr>'THESL Capex Calculations'!Print_Area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Zubair Islam</dc:creator>
  <cp:lastModifiedBy>Matt Makos</cp:lastModifiedBy>
  <cp:lastPrinted>2024-05-16T21:33:28Z</cp:lastPrinted>
  <dcterms:created xsi:type="dcterms:W3CDTF">2018-05-28T13:23:51Z</dcterms:created>
  <dcterms:modified xsi:type="dcterms:W3CDTF">2024-05-16T22:50:46Z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0x010100041A68CBCE0DCB4CB00F50C740B9FA0A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1689ff65-c46b-482d-991c-de3cc8c3b259_Enabled">
    <vt:lpwstr>true</vt:lpwstr>
  </property>
  <property fmtid="{D5CDD505-2E9C-101B-9397-08002B2CF9AE}" pid="6" name="MSIP_Label_1689ff65-c46b-482d-991c-de3cc8c3b259_SetDate">
    <vt:lpwstr>2022-12-13T20:16:23Z</vt:lpwstr>
  </property>
  <property fmtid="{D5CDD505-2E9C-101B-9397-08002B2CF9AE}" pid="7" name="MSIP_Label_1689ff65-c46b-482d-991c-de3cc8c3b259_Method">
    <vt:lpwstr>Privileged</vt:lpwstr>
  </property>
  <property fmtid="{D5CDD505-2E9C-101B-9397-08002B2CF9AE}" pid="8" name="MSIP_Label_1689ff65-c46b-482d-991c-de3cc8c3b259_Name">
    <vt:lpwstr>Confidential - TH Internal Use Only</vt:lpwstr>
  </property>
  <property fmtid="{D5CDD505-2E9C-101B-9397-08002B2CF9AE}" pid="9" name="MSIP_Label_1689ff65-c46b-482d-991c-de3cc8c3b259_SiteId">
    <vt:lpwstr>cecf09d6-44f1-4c40-95a1-cbafb9319d75</vt:lpwstr>
  </property>
  <property fmtid="{D5CDD505-2E9C-101B-9397-08002B2CF9AE}" pid="10" name="MSIP_Label_1689ff65-c46b-482d-991c-de3cc8c3b259_ActionId">
    <vt:lpwstr>80cbf2b6-e863-4f0a-942a-aff8ad37c7ee</vt:lpwstr>
  </property>
  <property fmtid="{D5CDD505-2E9C-101B-9397-08002B2CF9AE}" pid="11" name="MSIP_Label_1689ff65-c46b-482d-991c-de3cc8c3b259_ContentBits">
    <vt:lpwstr>0</vt:lpwstr>
  </property>
  <property fmtid="{D5CDD505-2E9C-101B-9397-08002B2CF9AE}" pid="12" name="{A44787D4-0540-4523-9961-78E4036D8C6D}">
    <vt:lpwstr>{2124E564-786D-4047-BAE8-5E95257724A8}</vt:lpwstr>
  </property>
</Properties>
</file>