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Settlement Conference/Models for Filing/"/>
    </mc:Choice>
  </mc:AlternateContent>
  <xr:revisionPtr revIDLastSave="15" documentId="13_ncr:1_{728763F6-AAAA-4033-9BE5-5821429A6E35}" xr6:coauthVersionLast="47" xr6:coauthVersionMax="47" xr10:uidLastSave="{40AB1B17-D5CC-4A67-8E3F-AAB8F7F27D5D}"/>
  <bookViews>
    <workbookView xWindow="-110" yWindow="-110" windowWidth="19420" windowHeight="10420" firstSheet="3" activeTab="3" xr2:uid="{7E4C8562-2F94-4329-92DA-9CE1A5C5B4E9}"/>
  </bookViews>
  <sheets>
    <sheet name="2021" sheetId="1" r:id="rId1"/>
    <sheet name="2022" sheetId="2" r:id="rId2"/>
    <sheet name="2023" sheetId="3" r:id="rId3"/>
    <sheet name="Settlement" sheetId="5" r:id="rId4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N4">#REF!</definedName>
    <definedName name="_N6">#REF!</definedName>
    <definedName name="_PT1">#REF!</definedName>
    <definedName name="_PT2">#REF!</definedName>
    <definedName name="_Reg210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Q5" i="5"/>
  <c r="Q6" i="5"/>
  <c r="Q7" i="5"/>
  <c r="Q8" i="5"/>
  <c r="Q9" i="5"/>
  <c r="Q10" i="5"/>
  <c r="Q11" i="5"/>
  <c r="Q12" i="5"/>
  <c r="M12" i="5"/>
  <c r="P12" i="5"/>
  <c r="N6" i="5" l="1"/>
  <c r="N7" i="5"/>
  <c r="N8" i="5"/>
  <c r="N9" i="5"/>
  <c r="N10" i="5"/>
  <c r="N11" i="5"/>
  <c r="N12" i="5"/>
  <c r="N13" i="5"/>
  <c r="N5" i="5"/>
  <c r="G14" i="5"/>
  <c r="H14" i="5"/>
  <c r="K14" i="5"/>
  <c r="L14" i="5"/>
  <c r="M14" i="5"/>
  <c r="P5" i="5"/>
  <c r="P6" i="5"/>
  <c r="P7" i="5"/>
  <c r="P8" i="5"/>
  <c r="P9" i="5"/>
  <c r="P10" i="5"/>
  <c r="P11" i="5"/>
  <c r="O6" i="5"/>
  <c r="O7" i="5"/>
  <c r="O8" i="5"/>
  <c r="O9" i="5"/>
  <c r="O10" i="5"/>
  <c r="O11" i="5"/>
  <c r="O12" i="5"/>
  <c r="O13" i="5"/>
  <c r="O5" i="5"/>
  <c r="N14" i="5" l="1"/>
  <c r="O14" i="5"/>
  <c r="P14" i="5"/>
  <c r="R6" i="5" l="1"/>
  <c r="R7" i="5"/>
  <c r="R8" i="5"/>
  <c r="R9" i="5"/>
  <c r="R10" i="5"/>
  <c r="R11" i="5"/>
  <c r="R5" i="5"/>
  <c r="J6" i="5"/>
  <c r="J7" i="5"/>
  <c r="J8" i="5"/>
  <c r="J9" i="5"/>
  <c r="J10" i="5"/>
  <c r="J11" i="5"/>
  <c r="J13" i="5"/>
  <c r="J5" i="5"/>
  <c r="R13" i="5"/>
  <c r="R12" i="5" l="1"/>
  <c r="I14" i="5"/>
  <c r="J12" i="5"/>
  <c r="J14" i="5" s="1"/>
  <c r="Q14" i="5" l="1"/>
  <c r="E14" i="5" l="1"/>
  <c r="D14" i="5"/>
  <c r="C14" i="5"/>
  <c r="R14" i="5" s="1"/>
  <c r="F13" i="5"/>
  <c r="F12" i="5"/>
  <c r="F11" i="5"/>
  <c r="F10" i="5"/>
  <c r="F9" i="5"/>
  <c r="F8" i="5"/>
  <c r="F7" i="5"/>
  <c r="F6" i="5"/>
  <c r="F5" i="5"/>
  <c r="F6" i="3"/>
  <c r="F7" i="3"/>
  <c r="F8" i="3"/>
  <c r="F9" i="3"/>
  <c r="F10" i="3"/>
  <c r="F11" i="3"/>
  <c r="F12" i="3"/>
  <c r="F13" i="3"/>
  <c r="F5" i="3"/>
  <c r="C14" i="3"/>
  <c r="F31" i="1"/>
  <c r="F32" i="1"/>
  <c r="F33" i="1"/>
  <c r="F34" i="1"/>
  <c r="F35" i="1"/>
  <c r="F36" i="1"/>
  <c r="F37" i="1"/>
  <c r="F30" i="1"/>
  <c r="E14" i="3"/>
  <c r="D14" i="3"/>
  <c r="C82" i="2"/>
  <c r="C81" i="2"/>
  <c r="C80" i="2"/>
  <c r="C79" i="2"/>
  <c r="C78" i="2"/>
  <c r="C77" i="2"/>
  <c r="C76" i="2"/>
  <c r="C75" i="2"/>
  <c r="C74" i="2"/>
  <c r="C73" i="2"/>
  <c r="C72" i="2"/>
  <c r="D60" i="2"/>
  <c r="D59" i="2"/>
  <c r="E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D37" i="2"/>
  <c r="D36" i="2"/>
  <c r="E35" i="2"/>
  <c r="F34" i="2"/>
  <c r="F79" i="2" s="1"/>
  <c r="E34" i="2"/>
  <c r="E79" i="2" s="1"/>
  <c r="D34" i="2"/>
  <c r="D79" i="2" s="1"/>
  <c r="F33" i="2"/>
  <c r="E33" i="2"/>
  <c r="D33" i="2"/>
  <c r="F32" i="2"/>
  <c r="E32" i="2"/>
  <c r="D32" i="2"/>
  <c r="D77" i="2" s="1"/>
  <c r="F31" i="2"/>
  <c r="F76" i="2" s="1"/>
  <c r="E31" i="2"/>
  <c r="E76" i="2" s="1"/>
  <c r="D31" i="2"/>
  <c r="F30" i="2"/>
  <c r="E30" i="2"/>
  <c r="D30" i="2"/>
  <c r="F29" i="2"/>
  <c r="E29" i="2"/>
  <c r="E74" i="2" s="1"/>
  <c r="D29" i="2"/>
  <c r="D74" i="2" s="1"/>
  <c r="F28" i="2"/>
  <c r="F73" i="2" s="1"/>
  <c r="E28" i="2"/>
  <c r="D28" i="2"/>
  <c r="F15" i="2"/>
  <c r="F14" i="2"/>
  <c r="F13" i="2"/>
  <c r="F12" i="2"/>
  <c r="F11" i="2"/>
  <c r="F10" i="2"/>
  <c r="F9" i="2"/>
  <c r="F8" i="2"/>
  <c r="C91" i="1"/>
  <c r="D79" i="1"/>
  <c r="D100" i="1" s="1"/>
  <c r="D78" i="1"/>
  <c r="D99" i="1" s="1"/>
  <c r="F77" i="1"/>
  <c r="H98" i="1" s="1"/>
  <c r="E77" i="1"/>
  <c r="F98" i="1" s="1"/>
  <c r="D77" i="1"/>
  <c r="D98" i="1" s="1"/>
  <c r="F76" i="1"/>
  <c r="H97" i="1" s="1"/>
  <c r="E76" i="1"/>
  <c r="F97" i="1" s="1"/>
  <c r="D76" i="1"/>
  <c r="D97" i="1" s="1"/>
  <c r="F75" i="1"/>
  <c r="H96" i="1" s="1"/>
  <c r="E75" i="1"/>
  <c r="F96" i="1" s="1"/>
  <c r="D75" i="1"/>
  <c r="D96" i="1" s="1"/>
  <c r="F74" i="1"/>
  <c r="H95" i="1" s="1"/>
  <c r="E74" i="1"/>
  <c r="F95" i="1" s="1"/>
  <c r="D74" i="1"/>
  <c r="D95" i="1" s="1"/>
  <c r="F73" i="1"/>
  <c r="H94" i="1" s="1"/>
  <c r="E73" i="1"/>
  <c r="F94" i="1" s="1"/>
  <c r="D73" i="1"/>
  <c r="D94" i="1" s="1"/>
  <c r="F72" i="1"/>
  <c r="H93" i="1" s="1"/>
  <c r="E72" i="1"/>
  <c r="F93" i="1" s="1"/>
  <c r="D72" i="1"/>
  <c r="D93" i="1" s="1"/>
  <c r="F71" i="1"/>
  <c r="H92" i="1" s="1"/>
  <c r="E71" i="1"/>
  <c r="F92" i="1" s="1"/>
  <c r="D71" i="1"/>
  <c r="D92" i="1" s="1"/>
  <c r="F70" i="1"/>
  <c r="H91" i="1" s="1"/>
  <c r="E70" i="1"/>
  <c r="F91" i="1" s="1"/>
  <c r="D70" i="1"/>
  <c r="D91" i="1" s="1"/>
  <c r="D58" i="1"/>
  <c r="C100" i="1" s="1"/>
  <c r="D57" i="1"/>
  <c r="C99" i="1" s="1"/>
  <c r="F56" i="1"/>
  <c r="G98" i="1" s="1"/>
  <c r="E56" i="1"/>
  <c r="E98" i="1" s="1"/>
  <c r="D56" i="1"/>
  <c r="C98" i="1" s="1"/>
  <c r="F55" i="1"/>
  <c r="G97" i="1" s="1"/>
  <c r="E55" i="1"/>
  <c r="E97" i="1" s="1"/>
  <c r="D55" i="1"/>
  <c r="C97" i="1" s="1"/>
  <c r="F54" i="1"/>
  <c r="G96" i="1" s="1"/>
  <c r="E54" i="1"/>
  <c r="E96" i="1" s="1"/>
  <c r="D54" i="1"/>
  <c r="C96" i="1" s="1"/>
  <c r="F53" i="1"/>
  <c r="G95" i="1" s="1"/>
  <c r="E53" i="1"/>
  <c r="E95" i="1" s="1"/>
  <c r="D53" i="1"/>
  <c r="C95" i="1" s="1"/>
  <c r="F52" i="1"/>
  <c r="G94" i="1" s="1"/>
  <c r="E52" i="1"/>
  <c r="E94" i="1" s="1"/>
  <c r="D52" i="1"/>
  <c r="C94" i="1" s="1"/>
  <c r="F51" i="1"/>
  <c r="G93" i="1" s="1"/>
  <c r="E51" i="1"/>
  <c r="E93" i="1" s="1"/>
  <c r="D51" i="1"/>
  <c r="C93" i="1" s="1"/>
  <c r="F50" i="1"/>
  <c r="G92" i="1" s="1"/>
  <c r="E50" i="1"/>
  <c r="E92" i="1" s="1"/>
  <c r="D50" i="1"/>
  <c r="C92" i="1" s="1"/>
  <c r="G91" i="1"/>
  <c r="E91" i="1"/>
  <c r="F14" i="5" l="1"/>
  <c r="E73" i="2"/>
  <c r="D76" i="2"/>
  <c r="F78" i="2"/>
  <c r="F14" i="3"/>
  <c r="F72" i="2"/>
  <c r="E72" i="2"/>
  <c r="D75" i="2"/>
  <c r="F77" i="2"/>
  <c r="D81" i="2"/>
  <c r="F74" i="2"/>
  <c r="E77" i="2"/>
  <c r="E80" i="2"/>
  <c r="E75" i="2"/>
  <c r="D78" i="2"/>
  <c r="D82" i="2"/>
  <c r="D73" i="2"/>
  <c r="F75" i="2"/>
  <c r="E78" i="2"/>
  <c r="D72" i="2"/>
</calcChain>
</file>

<file path=xl/sharedStrings.xml><?xml version="1.0" encoding="utf-8"?>
<sst xmlns="http://schemas.openxmlformats.org/spreadsheetml/2006/main" count="271" uniqueCount="104">
  <si>
    <t>Allocation of 2021 Group 1 RSVA Balances</t>
  </si>
  <si>
    <t>Table 1:  Pre-integration Utility Specific Group 1 RSVA Transactions and Interest May 2021 Life-To-Date (LTD)</t>
  </si>
  <si>
    <t>Deferral Variance Account (DVA)</t>
  </si>
  <si>
    <t>USofA</t>
  </si>
  <si>
    <t>Pre-integration Utility Specific Transactions and Interest May 2021 LTD</t>
  </si>
  <si>
    <r>
      <t>Hydro One Distribution (A)</t>
    </r>
    <r>
      <rPr>
        <vertAlign val="superscript"/>
        <sz val="10"/>
        <color theme="1"/>
        <rFont val="Arial"/>
        <family val="2"/>
      </rPr>
      <t>[1]</t>
    </r>
  </si>
  <si>
    <t>Peterborough RZ (B)</t>
  </si>
  <si>
    <t>Orillia RZ (C)</t>
  </si>
  <si>
    <t>Principal</t>
  </si>
  <si>
    <t>Interest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</si>
  <si>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</si>
  <si>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</si>
  <si>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0"/>
        <color theme="1"/>
        <rFont val="Arial"/>
        <family val="2"/>
      </rPr>
      <t>[2]</t>
    </r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</si>
  <si>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</si>
  <si>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</si>
  <si>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</si>
  <si>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</si>
  <si>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</si>
  <si>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</si>
  <si>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[3]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</si>
  <si>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[3]</t>
    </r>
  </si>
  <si>
    <t>Notes</t>
  </si>
  <si>
    <r>
      <t>[1]</t>
    </r>
    <r>
      <rPr>
        <sz val="10"/>
        <color theme="1"/>
        <rFont val="Arial"/>
        <family val="2"/>
      </rPr>
      <t xml:space="preserve"> Includes OEB-Approved Disposition during 2021 and an adjustment to Hydro One's 1595 (2018) balance, as described in Hydro One's 1595 Workform filed in EB-2021-0110 Exhibit G-01-03-01</t>
    </r>
  </si>
  <si>
    <r>
      <t xml:space="preserve">[2] </t>
    </r>
    <r>
      <rPr>
        <sz val="10"/>
        <color theme="1"/>
        <rFont val="Arial"/>
        <family val="2"/>
      </rPr>
      <t>Excludes RSVA WMS Sub-account CBR Class B principal and interest amounts</t>
    </r>
  </si>
  <si>
    <r>
      <t xml:space="preserve">[3] </t>
    </r>
    <r>
      <rPr>
        <sz val="10"/>
        <color theme="1"/>
        <rFont val="Arial"/>
        <family val="2"/>
      </rPr>
      <t>Adjustments to RSVA 1588 and 1589 are assigned to Hydro One Distribution</t>
    </r>
  </si>
  <si>
    <t>Table 2:  Group 1 RSVA Allocators on Consolidated 2021 Transactions and Interest</t>
  </si>
  <si>
    <r>
      <t>% Share of Total Consumption (Jun-Dec 2021)</t>
    </r>
    <r>
      <rPr>
        <vertAlign val="superscript"/>
        <sz val="10"/>
        <color theme="1"/>
        <rFont val="Arial"/>
        <family val="2"/>
      </rPr>
      <t>[1]</t>
    </r>
  </si>
  <si>
    <t>Hydro One Distribution
(D)</t>
  </si>
  <si>
    <t>Peterborough RZ
(E)</t>
  </si>
  <si>
    <t>Orillia RZ
(F)</t>
  </si>
  <si>
    <t>Total</t>
  </si>
  <si>
    <r>
      <t>LV Variance Account</t>
    </r>
    <r>
      <rPr>
        <vertAlign val="superscript"/>
        <sz val="10"/>
        <color theme="1"/>
        <rFont val="Arial"/>
        <family val="2"/>
      </rPr>
      <t>[2]</t>
    </r>
  </si>
  <si>
    <r>
      <t>Smart Metering Entity Charge Variance Account</t>
    </r>
    <r>
      <rPr>
        <vertAlign val="superscript"/>
        <sz val="10"/>
        <color theme="1"/>
        <rFont val="Arial"/>
        <family val="2"/>
      </rPr>
      <t>[3]</t>
    </r>
  </si>
  <si>
    <t>RSVA - Wholesale Market Service Charge</t>
  </si>
  <si>
    <r>
      <rPr>
        <vertAlign val="superscript"/>
        <sz val="10"/>
        <color theme="1"/>
        <rFont val="Arial"/>
        <family val="2"/>
      </rPr>
      <t>[1]</t>
    </r>
    <r>
      <rPr>
        <sz val="10"/>
        <color theme="1"/>
        <rFont val="Arial"/>
        <family val="2"/>
      </rPr>
      <t xml:space="preserve"> % share varies between USofAs since it's based on group of customers that contribute to the particular variance account. For example, only non-RPP, non-WMP, non-Class A customers contribute to the Global Adjustment variance account (1589) while all customers contribute to Retail Transmission Rates variance accounts (1584 and 1586)</t>
    </r>
  </si>
  <si>
    <r>
      <rPr>
        <vertAlign val="superscript"/>
        <sz val="10"/>
        <color theme="1"/>
        <rFont val="Arial"/>
        <family val="2"/>
      </rPr>
      <t>[2]</t>
    </r>
    <r>
      <rPr>
        <sz val="10"/>
        <color theme="1"/>
        <rFont val="Arial"/>
        <family val="2"/>
      </rPr>
      <t xml:space="preserve"> Allocators applied to post integration LV Variance Account interest balance only</t>
    </r>
  </si>
  <si>
    <r>
      <rPr>
        <vertAlign val="superscript"/>
        <sz val="10"/>
        <color theme="1"/>
        <rFont val="Arial"/>
        <family val="2"/>
      </rPr>
      <t>[3]</t>
    </r>
    <r>
      <rPr>
        <sz val="10"/>
        <color theme="1"/>
        <rFont val="Arial"/>
        <family val="2"/>
      </rPr>
      <t xml:space="preserve"> % shown for account 1551 (SME Charge) is the share of number of residential and general service &lt; 50 kW customers</t>
    </r>
  </si>
  <si>
    <t>Table 3:  Allocation of Consolidated 2021 Group 1 RSVA Transactions Debit/(Credit)</t>
  </si>
  <si>
    <t>Transactions Debit/(Credit) during June-Dec 2021</t>
  </si>
  <si>
    <t>Consolidated
(G)</t>
  </si>
  <si>
    <t>Hydro One Distribution
(H=G*D)</t>
  </si>
  <si>
    <t>Peterborough RZ
(I=G*E)</t>
  </si>
  <si>
    <t>Orillia RZ
(J=G*F)</t>
  </si>
  <si>
    <r>
      <t>LV Variance Account</t>
    </r>
    <r>
      <rPr>
        <vertAlign val="superscript"/>
        <sz val="10"/>
        <color theme="1"/>
        <rFont val="Arial"/>
        <family val="2"/>
      </rPr>
      <t>[1]</t>
    </r>
  </si>
  <si>
    <r>
      <t xml:space="preserve">[1] </t>
    </r>
    <r>
      <rPr>
        <sz val="10"/>
        <color theme="1"/>
        <rFont val="Arial"/>
        <family val="2"/>
      </rPr>
      <t xml:space="preserve"> See EB-2023-0059, Application, Exhibit A-4-1, Section 2.5, filed August 17, 2023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</si>
  <si>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</si>
  <si>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t>Table 4:  Allocation of Consolidated 2021 Group 1 RSVA Interest</t>
  </si>
  <si>
    <t>Interest during June-Dec 2021</t>
  </si>
  <si>
    <t>Consolidated
(K)</t>
  </si>
  <si>
    <t>Hydro One Distribution
(L=K*D)</t>
  </si>
  <si>
    <t>Peterborough RZ
(M=K*E)</t>
  </si>
  <si>
    <t>Orillia RZ
(N=K*F)</t>
  </si>
  <si>
    <r>
      <t>RSVA - Wholesale Market Service Charge</t>
    </r>
    <r>
      <rPr>
        <vertAlign val="superscript"/>
        <sz val="10"/>
        <color theme="1"/>
        <rFont val="Arial"/>
        <family val="2"/>
      </rPr>
      <t>[1]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</si>
  <si>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[2]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</si>
  <si>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</si>
  <si>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</si>
  <si>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r>
      <t xml:space="preserve">[2] </t>
    </r>
    <r>
      <rPr>
        <sz val="10"/>
        <color theme="1"/>
        <rFont val="Arial"/>
        <family val="2"/>
      </rPr>
      <t>Adjustments to RSVA 1588 and 1589 are assigned to Hydro One Distribution</t>
    </r>
  </si>
  <si>
    <t>Table 5: Allocated Group 1 RSVA Closing Principal and Interest Amounts as of December 2021</t>
  </si>
  <si>
    <t>Closing Principal Balance and Interest Amounts as of December 2021</t>
  </si>
  <si>
    <t>Hydro One Distribution</t>
  </si>
  <si>
    <t>Peterborough RZ</t>
  </si>
  <si>
    <t>Orillia RZ</t>
  </si>
  <si>
    <t>Principal
(A+H)</t>
  </si>
  <si>
    <t>Interest
(A+L)</t>
  </si>
  <si>
    <t>Principal
(B+I)</t>
  </si>
  <si>
    <t>Interest
(B+M)</t>
  </si>
  <si>
    <t>Principal
(C+J)</t>
  </si>
  <si>
    <t>Interest
(C+N)</t>
  </si>
  <si>
    <t>Adjustment RSVA - Power (excluding Global Adjustment)</t>
  </si>
  <si>
    <t>Adjustment RSVA - Global Adjustment</t>
  </si>
  <si>
    <t>Allocation of 2022 Group 1 RSVA Balances</t>
  </si>
  <si>
    <t xml:space="preserve">Table 1:  Group 1 RSVA Allocators on Consolidated 2022 Transactions and Interest </t>
  </si>
  <si>
    <r>
      <t>% Share of Total Consumption (Jan-Dec 2022)</t>
    </r>
    <r>
      <rPr>
        <b/>
        <vertAlign val="superscript"/>
        <sz val="10"/>
        <color theme="1"/>
        <rFont val="Arial"/>
        <family val="2"/>
      </rPr>
      <t>[1]</t>
    </r>
  </si>
  <si>
    <t>Table 2:  Allocation of Consolidated 2022 Group 1 RSVA Transactions Debit/(Credit)</t>
  </si>
  <si>
    <t>Transactions Debit/(Credit)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</si>
  <si>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[3]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</si>
  <si>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[4]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</si>
  <si>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[4]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</si>
  <si>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amounts</t>
    </r>
  </si>
  <si>
    <r>
      <t xml:space="preserve">[3]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</si>
  <si>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r>
      <t xml:space="preserve">[4] </t>
    </r>
    <r>
      <rPr>
        <sz val="10"/>
        <color theme="1"/>
        <rFont val="Arial"/>
        <family val="2"/>
      </rPr>
      <t>Adjustments to RSVA 1588 and 1589 are assigned to Hydro One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Distribution</t>
    </r>
  </si>
  <si>
    <t>Table 3:  Allocation of Consolidated 2022 Group 1 RSVA Interest</t>
  </si>
  <si>
    <t>Interest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</si>
  <si>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</si>
  <si>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interest amounts</t>
    </r>
  </si>
  <si>
    <r>
      <t xml:space="preserve">[2]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</si>
  <si>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Table 4: Allocated 2022 Group 1 RSVA Transactions and Interest</t>
  </si>
  <si>
    <t>Total 2022 Transactions and Interest</t>
  </si>
  <si>
    <r>
      <t>[2]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</si>
  <si>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2023 Total Claim</t>
  </si>
  <si>
    <t>Consolidated Total</t>
  </si>
  <si>
    <t>Variance WMS – Sub-account CBR Class</t>
  </si>
  <si>
    <t>Disposition and Recovery/Refund of Regulatory Balances (2019) - HONI</t>
  </si>
  <si>
    <t>TOTAL</t>
  </si>
  <si>
    <t>Implementation of Settlement Proposal in EB-2023-0030 and EB-2023-0059 ($)</t>
  </si>
  <si>
    <t>Settlement Impact</t>
  </si>
  <si>
    <t>Projected Interest from Jan 1, 2023 to June 30, 2024 on Dec 31-22 balance adjusted for disposition during 2023
(Note 3)</t>
  </si>
  <si>
    <t>Settled Total Claim as of July 1, 2024
(Note 4)</t>
  </si>
  <si>
    <t>Note 3: Projected interest amounts accrued until the effective and implementation date of July 1, 2024 as per EB-2023-0030/EB-2023-0059 Settlement Proposal, Part A, Section 6.0 Settlement Proposal Overview.  The projected interest amount for the Peterborough RZ reflects the adjustments in Note 2.</t>
  </si>
  <si>
    <t>Note 4: The settled DVA Continuity Schedules in the EB-2023-0030 and EB-2023-0059 proceedings for Hydro One Consolidated, Hydro One Distribution, and the Orillia and Peterborough RZs respectively are provided as Attachments 1.1, 1.2, 2.1 (Tab 3) and 2.2 (Tab 3).</t>
  </si>
  <si>
    <t>As Filed Principal and Interest
(Note 1)</t>
  </si>
  <si>
    <t>Note 1: As-filed Principal and Interest balances in EB-2023-0030 and EB-2023-0059 proceeding</t>
  </si>
  <si>
    <t>Note 2: Impact of settlement terms in EB-2023-0030/EB-2023-0059 Settlement Proposal, Part A, Section 6.0 Settlement Proposal Overview.  Impacts shown for Peterborough RZ are the total transaction and interest adjustments summarized in Part (b) [i.e. $(88,018) + $(1,591)=$(89,609)]</t>
  </si>
  <si>
    <t>Principal and Interest
Impact of 10% reduction to 2021 Pre-Integration Balance for Peterborough RZ 
(Note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</si>
</sst>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11" applyNumberFormat="0" applyAlignment="0" applyProtection="0"/>
    <xf numFmtId="0" fontId="18" fillId="7" borderId="12" applyNumberFormat="0" applyAlignment="0" applyProtection="0"/>
    <xf numFmtId="0" fontId="19" fillId="7" borderId="11" applyNumberFormat="0" applyAlignment="0" applyProtection="0"/>
    <xf numFmtId="0" fontId="20" fillId="0" borderId="13" applyNumberFormat="0" applyFill="0" applyAlignment="0" applyProtection="0"/>
    <xf numFmtId="0" fontId="21" fillId="8" borderId="14" applyNumberFormat="0" applyAlignment="0" applyProtection="0"/>
    <xf numFmtId="0" fontId="22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168" fontId="2" fillId="0" borderId="0"/>
    <xf numFmtId="169" fontId="2" fillId="0" borderId="0"/>
    <xf numFmtId="170" fontId="2" fillId="0" borderId="0"/>
    <xf numFmtId="171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29" fillId="34" borderId="0" applyNumberFormat="0" applyBorder="0" applyAlignment="0" applyProtection="0"/>
    <xf numFmtId="10" fontId="29" fillId="35" borderId="2" applyNumberFormat="0" applyBorder="0" applyAlignment="0" applyProtection="0"/>
    <xf numFmtId="172" fontId="2" fillId="0" borderId="0"/>
    <xf numFmtId="173" fontId="2" fillId="0" borderId="0"/>
    <xf numFmtId="174" fontId="2" fillId="0" borderId="0"/>
    <xf numFmtId="10" fontId="2" fillId="0" borderId="0" applyFont="0" applyFill="0" applyBorder="0" applyAlignment="0" applyProtection="0"/>
    <xf numFmtId="168" fontId="2" fillId="0" borderId="0"/>
    <xf numFmtId="172" fontId="2" fillId="0" borderId="0"/>
    <xf numFmtId="168" fontId="2" fillId="0" borderId="0"/>
    <xf numFmtId="172" fontId="2" fillId="0" borderId="0"/>
    <xf numFmtId="168" fontId="2" fillId="0" borderId="0"/>
    <xf numFmtId="170" fontId="2" fillId="0" borderId="0"/>
    <xf numFmtId="172" fontId="2" fillId="0" borderId="0"/>
    <xf numFmtId="168" fontId="2" fillId="0" borderId="0"/>
    <xf numFmtId="172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16" fillId="4" borderId="0" applyNumberFormat="0" applyBorder="0" applyAlignment="0" applyProtection="0"/>
    <xf numFmtId="0" fontId="19" fillId="7" borderId="11" applyNumberFormat="0" applyAlignment="0" applyProtection="0"/>
    <xf numFmtId="0" fontId="21" fillId="8" borderId="1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7" fillId="6" borderId="11" applyNumberFormat="0" applyAlignment="0" applyProtection="0"/>
    <xf numFmtId="0" fontId="20" fillId="0" borderId="13" applyNumberFormat="0" applyFill="0" applyAlignment="0" applyProtection="0"/>
    <xf numFmtId="0" fontId="3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8" fillId="7" borderId="12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72" fontId="2" fillId="0" borderId="0"/>
    <xf numFmtId="168" fontId="2" fillId="0" borderId="0"/>
    <xf numFmtId="172" fontId="2" fillId="0" borderId="0"/>
    <xf numFmtId="168" fontId="2" fillId="0" borderId="0"/>
    <xf numFmtId="172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5" fillId="13" borderId="0" applyNumberFormat="0" applyBorder="0" applyAlignment="0" applyProtection="0"/>
    <xf numFmtId="9" fontId="1" fillId="0" borderId="0" applyFont="0" applyFill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/>
    <xf numFmtId="168" fontId="2" fillId="0" borderId="0"/>
    <xf numFmtId="168" fontId="2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72" fontId="2" fillId="0" borderId="0"/>
    <xf numFmtId="172" fontId="2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72" fontId="2" fillId="0" borderId="0"/>
    <xf numFmtId="172" fontId="2" fillId="0" borderId="0"/>
    <xf numFmtId="172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2"/>
    <xf numFmtId="164" fontId="2" fillId="0" borderId="0" xfId="1" applyNumberFormat="1" applyFont="1" applyFill="1"/>
    <xf numFmtId="164" fontId="2" fillId="0" borderId="0" xfId="1" applyNumberFormat="1" applyFont="1"/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vertical="center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>
      <alignment horizontal="center"/>
    </xf>
    <xf numFmtId="6" fontId="2" fillId="0" borderId="0" xfId="2" applyNumberForma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6" fontId="7" fillId="0" borderId="2" xfId="2" applyNumberFormat="1" applyFont="1" applyBorder="1" applyAlignment="1">
      <alignment horizontal="center"/>
    </xf>
    <xf numFmtId="6" fontId="7" fillId="2" borderId="2" xfId="2" applyNumberFormat="1" applyFont="1" applyFill="1" applyBorder="1" applyAlignment="1">
      <alignment horizontal="center"/>
    </xf>
    <xf numFmtId="6" fontId="7" fillId="0" borderId="0" xfId="2" applyNumberFormat="1" applyFont="1" applyAlignment="1">
      <alignment horizontal="center"/>
    </xf>
    <xf numFmtId="0" fontId="8" fillId="0" borderId="0" xfId="3" applyFont="1"/>
    <xf numFmtId="0" fontId="10" fillId="0" borderId="0" xfId="2" applyFont="1" applyAlignment="1">
      <alignment horizontal="center"/>
    </xf>
    <xf numFmtId="6" fontId="10" fillId="0" borderId="0" xfId="2" applyNumberFormat="1" applyFont="1" applyAlignment="1">
      <alignment horizontal="center"/>
    </xf>
    <xf numFmtId="164" fontId="7" fillId="0" borderId="0" xfId="1" applyNumberFormat="1" applyFont="1"/>
    <xf numFmtId="0" fontId="5" fillId="0" borderId="0" xfId="2" applyFont="1" applyAlignment="1">
      <alignment horizontal="left"/>
    </xf>
    <xf numFmtId="164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6" fontId="4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/>
    </xf>
    <xf numFmtId="6" fontId="7" fillId="0" borderId="0" xfId="2" applyNumberFormat="1" applyFont="1"/>
    <xf numFmtId="165" fontId="2" fillId="0" borderId="2" xfId="5" applyNumberFormat="1" applyFont="1" applyBorder="1" applyAlignment="1">
      <alignment horizontal="center" vertical="center"/>
    </xf>
    <xf numFmtId="165" fontId="2" fillId="2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/>
    </xf>
    <xf numFmtId="8" fontId="2" fillId="0" borderId="0" xfId="2" applyNumberFormat="1"/>
    <xf numFmtId="0" fontId="2" fillId="0" borderId="0" xfId="2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11" fillId="0" borderId="0" xfId="2" applyFont="1"/>
    <xf numFmtId="6" fontId="2" fillId="0" borderId="2" xfId="2" applyNumberFormat="1" applyBorder="1" applyAlignment="1">
      <alignment horizontal="center"/>
    </xf>
    <xf numFmtId="6" fontId="2" fillId="2" borderId="2" xfId="2" applyNumberFormat="1" applyFill="1" applyBorder="1" applyAlignment="1">
      <alignment horizontal="center"/>
    </xf>
    <xf numFmtId="165" fontId="2" fillId="0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Fill="1" applyBorder="1" applyAlignment="1">
      <alignment horizontal="center"/>
    </xf>
    <xf numFmtId="0" fontId="26" fillId="0" borderId="0" xfId="2" applyFont="1"/>
    <xf numFmtId="173" fontId="28" fillId="0" borderId="2" xfId="6" applyNumberFormat="1" applyFont="1" applyBorder="1" applyAlignment="1">
      <alignment horizontal="center" vertical="center"/>
    </xf>
    <xf numFmtId="173" fontId="28" fillId="0" borderId="2" xfId="6" applyNumberFormat="1" applyFont="1" applyFill="1" applyBorder="1" applyAlignment="1">
      <alignment horizontal="center" vertical="center"/>
    </xf>
    <xf numFmtId="0" fontId="28" fillId="0" borderId="0" xfId="2" applyFont="1"/>
    <xf numFmtId="173" fontId="28" fillId="0" borderId="2" xfId="6" applyNumberFormat="1" applyFont="1" applyBorder="1"/>
    <xf numFmtId="0" fontId="28" fillId="0" borderId="20" xfId="2" applyFont="1" applyBorder="1" applyAlignment="1">
      <alignment vertical="center"/>
    </xf>
    <xf numFmtId="173" fontId="28" fillId="0" borderId="21" xfId="6" applyNumberFormat="1" applyFont="1" applyBorder="1"/>
    <xf numFmtId="173" fontId="28" fillId="0" borderId="20" xfId="6" applyNumberFormat="1" applyFont="1" applyBorder="1"/>
    <xf numFmtId="173" fontId="28" fillId="0" borderId="20" xfId="6" applyNumberFormat="1" applyFont="1" applyFill="1" applyBorder="1" applyAlignment="1">
      <alignment horizontal="center" vertical="center"/>
    </xf>
    <xf numFmtId="173" fontId="28" fillId="0" borderId="21" xfId="6" applyNumberFormat="1" applyFont="1" applyFill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173" fontId="28" fillId="0" borderId="20" xfId="6" applyNumberFormat="1" applyFont="1" applyBorder="1" applyAlignment="1">
      <alignment horizontal="center" vertical="center"/>
    </xf>
    <xf numFmtId="0" fontId="28" fillId="0" borderId="23" xfId="2" applyFont="1" applyBorder="1" applyAlignment="1">
      <alignment vertical="center" wrapText="1"/>
    </xf>
    <xf numFmtId="0" fontId="28" fillId="0" borderId="24" xfId="2" applyFont="1" applyBorder="1" applyAlignment="1">
      <alignment horizontal="center" vertical="center"/>
    </xf>
    <xf numFmtId="173" fontId="28" fillId="0" borderId="23" xfId="6" applyNumberFormat="1" applyFont="1" applyBorder="1" applyAlignment="1">
      <alignment horizontal="center" vertical="center"/>
    </xf>
    <xf numFmtId="173" fontId="28" fillId="2" borderId="1" xfId="6" applyNumberFormat="1" applyFont="1" applyFill="1" applyBorder="1" applyAlignment="1">
      <alignment horizontal="center" vertical="center"/>
    </xf>
    <xf numFmtId="173" fontId="28" fillId="0" borderId="25" xfId="6" applyNumberFormat="1" applyFont="1" applyFill="1" applyBorder="1" applyAlignment="1">
      <alignment horizontal="center" vertical="center"/>
    </xf>
    <xf numFmtId="173" fontId="28" fillId="0" borderId="23" xfId="6" applyNumberFormat="1" applyFont="1" applyFill="1" applyBorder="1" applyAlignment="1">
      <alignment horizontal="center" vertical="center"/>
    </xf>
    <xf numFmtId="173" fontId="28" fillId="0" borderId="23" xfId="6" applyNumberFormat="1" applyFont="1" applyBorder="1"/>
    <xf numFmtId="173" fontId="28" fillId="0" borderId="25" xfId="6" applyNumberFormat="1" applyFont="1" applyBorder="1"/>
    <xf numFmtId="0" fontId="26" fillId="0" borderId="26" xfId="2" applyFont="1" applyBorder="1" applyAlignment="1">
      <alignment vertical="center"/>
    </xf>
    <xf numFmtId="0" fontId="26" fillId="0" borderId="27" xfId="2" applyFont="1" applyBorder="1" applyAlignment="1">
      <alignment horizontal="center"/>
    </xf>
    <xf numFmtId="173" fontId="26" fillId="0" borderId="26" xfId="6" applyNumberFormat="1" applyFont="1" applyBorder="1" applyAlignment="1">
      <alignment horizontal="center"/>
    </xf>
    <xf numFmtId="173" fontId="26" fillId="0" borderId="28" xfId="6" applyNumberFormat="1" applyFont="1" applyBorder="1" applyAlignment="1">
      <alignment horizontal="center"/>
    </xf>
    <xf numFmtId="173" fontId="26" fillId="0" borderId="29" xfId="6" applyNumberFormat="1" applyFont="1" applyFill="1" applyBorder="1" applyAlignment="1">
      <alignment horizontal="center"/>
    </xf>
    <xf numFmtId="0" fontId="26" fillId="0" borderId="17" xfId="2" applyFont="1" applyBorder="1" applyAlignment="1">
      <alignment vertical="center"/>
    </xf>
    <xf numFmtId="0" fontId="26" fillId="0" borderId="22" xfId="2" applyFont="1" applyBorder="1" applyAlignment="1">
      <alignment vertical="center"/>
    </xf>
    <xf numFmtId="0" fontId="3" fillId="0" borderId="2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21" xfId="2" applyFont="1" applyBorder="1" applyAlignment="1">
      <alignment horizontal="center" vertical="center" wrapText="1"/>
    </xf>
    <xf numFmtId="0" fontId="34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7" fillId="0" borderId="5" xfId="2" applyFont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6" fillId="0" borderId="31" xfId="2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6" fillId="0" borderId="17" xfId="2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308">
    <cellStyle name="$" xfId="41" xr:uid="{A90508FF-2961-4AE5-B46B-56BCB537E852}"/>
    <cellStyle name="$.00" xfId="42" xr:uid="{A4790214-8DAA-4D09-8538-7E3A8A950E86}"/>
    <cellStyle name="$_9. Rev2Cost_GDPIPI" xfId="59" xr:uid="{6FE93C2F-C8E9-4242-BA75-15A5CA573D69}"/>
    <cellStyle name="$_9. Rev2Cost_GDPIPI 2" xfId="116" xr:uid="{E509D7A6-9781-4560-A5C1-EA2808DAF5B8}"/>
    <cellStyle name="$_9. Rev2Cost_GDPIPI_6.2 CBR B" xfId="232" xr:uid="{435CF00F-9D12-410A-99BD-77C8DE809671}"/>
    <cellStyle name="$_9. Rev2Cost_GDPIPI_9. Shared Tax - Rate Rider" xfId="260" xr:uid="{5B5D806E-5C34-43C7-B343-8CB114F651C1}"/>
    <cellStyle name="$_lists" xfId="55" xr:uid="{54B56E67-14A7-4786-83DF-5D8A42E46575}"/>
    <cellStyle name="$_lists 2" xfId="114" xr:uid="{49EBB682-A7DB-4519-9125-0BA3B0E51745}"/>
    <cellStyle name="$_lists_4. Current Monthly Fixed Charge" xfId="57" xr:uid="{71068413-B145-4F4E-B46E-42A44F13C94D}"/>
    <cellStyle name="$_lists_6.2 CBR B" xfId="233" xr:uid="{84D8DB00-3DA1-41CC-9393-D8CA844DCBC5}"/>
    <cellStyle name="$_lists_9. Shared Tax - Rate Rider" xfId="261" xr:uid="{1E21ADF8-EF07-4A00-9E6D-25F56FD229EE}"/>
    <cellStyle name="$_Sheet4" xfId="62" xr:uid="{A4B9CDC1-DB5F-46B1-8618-36FBEDFFFC36}"/>
    <cellStyle name="$_Sheet4 2" xfId="118" xr:uid="{6308EB3F-148B-4912-9ABA-4AA00688FC7E}"/>
    <cellStyle name="$_Sheet4_6.2 CBR B" xfId="234" xr:uid="{70CC27B3-0A90-44F4-B816-AA3544EFE94F}"/>
    <cellStyle name="$_Sheet4_9. Shared Tax - Rate Rider" xfId="262" xr:uid="{D9AFC011-3C04-4D2B-9F6A-E8A29228089C}"/>
    <cellStyle name="$M" xfId="43" xr:uid="{5EF516D7-2101-474C-B9CD-FD6A2DF0AB85}"/>
    <cellStyle name="$M.00" xfId="44" xr:uid="{273DAC2C-E54B-4051-94DB-FFF227A2037C}"/>
    <cellStyle name="$M_9. Rev2Cost_GDPIPI" xfId="60" xr:uid="{40DF5426-5F54-4C1C-9C16-68609FB48FE0}"/>
    <cellStyle name="20% - Accent1" xfId="23" builtinId="30" customBuiltin="1"/>
    <cellStyle name="20% - Accent1 2" xfId="66" xr:uid="{8ADC87AC-717E-4355-9401-32E61F04D917}"/>
    <cellStyle name="20% - Accent1 2 2" xfId="177" xr:uid="{2708B19B-7640-4CB5-BC46-787EF256BC7E}"/>
    <cellStyle name="20% - Accent1 2_6.2 CBR B" xfId="235" xr:uid="{FFCA35A7-23D3-4A97-BEC0-9DC7D4747496}"/>
    <cellStyle name="20% - Accent1 3" xfId="206" xr:uid="{1FEA4479-A06A-4B32-B9FA-0B7D8A8069A8}"/>
    <cellStyle name="20% - Accent2" xfId="26" builtinId="34" customBuiltin="1"/>
    <cellStyle name="20% - Accent2 2" xfId="67" xr:uid="{8775AD77-A125-4BD1-82F3-599724721CB2}"/>
    <cellStyle name="20% - Accent2 2 2" xfId="178" xr:uid="{49543992-9A29-497A-8542-AAC0DE720843}"/>
    <cellStyle name="20% - Accent2 2_6.2 CBR B" xfId="236" xr:uid="{11CDE9CF-FE4C-41CE-8FC9-8209A47A32D2}"/>
    <cellStyle name="20% - Accent2 3" xfId="208" xr:uid="{90F13C9E-6759-4130-A65E-F9A2C63FF006}"/>
    <cellStyle name="20% - Accent3" xfId="29" builtinId="38" customBuiltin="1"/>
    <cellStyle name="20% - Accent3 2" xfId="68" xr:uid="{4B545137-B158-4DAC-B97C-78B42147FDAF}"/>
    <cellStyle name="20% - Accent3 2 2" xfId="179" xr:uid="{66BC213E-A44F-429B-80DE-9733868BD1D8}"/>
    <cellStyle name="20% - Accent3 2_6.2 CBR B" xfId="237" xr:uid="{7EBFCF11-3CAE-45BE-9448-7BA4833BA796}"/>
    <cellStyle name="20% - Accent3 3" xfId="210" xr:uid="{CB75293F-B2D6-41F7-8AE8-DDF362398251}"/>
    <cellStyle name="20% - Accent4" xfId="32" builtinId="42" customBuiltin="1"/>
    <cellStyle name="20% - Accent4 2" xfId="69" xr:uid="{8BE40ED0-ED1F-4E84-BFF1-58BFAC33A070}"/>
    <cellStyle name="20% - Accent4 2 2" xfId="180" xr:uid="{0B322915-127B-4A59-9868-068069E60DB6}"/>
    <cellStyle name="20% - Accent4 2_6.2 CBR B" xfId="238" xr:uid="{61EAF6DA-9F6E-4683-B1AA-DF1F7BA249C0}"/>
    <cellStyle name="20% - Accent4 3" xfId="212" xr:uid="{6625BD6C-52DE-4DC9-8AAA-B79680568ACF}"/>
    <cellStyle name="20% - Accent5" xfId="35" builtinId="46" customBuiltin="1"/>
    <cellStyle name="20% - Accent5 2" xfId="70" xr:uid="{B9A40955-CD3C-4B7C-9AB3-5EA938F9F0BD}"/>
    <cellStyle name="20% - Accent5 2 2" xfId="181" xr:uid="{D869A1DC-E8BA-4A7D-8DC5-B8B153BBC7A7}"/>
    <cellStyle name="20% - Accent5 2_6.2 CBR B" xfId="239" xr:uid="{4257A4C3-879B-4A63-9775-371AE6AA1F6D}"/>
    <cellStyle name="20% - Accent5 3" xfId="214" xr:uid="{64FB3104-8308-4F05-AB58-1EB495FF3A36}"/>
    <cellStyle name="20% - Accent6" xfId="38" builtinId="50" customBuiltin="1"/>
    <cellStyle name="20% - Accent6 2" xfId="71" xr:uid="{47D77B7A-0339-4A62-83B5-70821ECAD718}"/>
    <cellStyle name="20% - Accent6 2 2" xfId="182" xr:uid="{0EE36F0A-9187-4882-B2C7-F5C15330C89C}"/>
    <cellStyle name="20% - Accent6 2_6.2 CBR B" xfId="240" xr:uid="{F83A099E-8C4C-432F-AFF6-EA9A4E7855A0}"/>
    <cellStyle name="20% - Accent6 3" xfId="216" xr:uid="{C5A28350-30F9-4272-89CE-A281B01993D1}"/>
    <cellStyle name="40% - Accent1" xfId="24" builtinId="31" customBuiltin="1"/>
    <cellStyle name="40% - Accent1 2" xfId="72" xr:uid="{F90B21BA-E4E7-4EE5-8989-7A630CF67130}"/>
    <cellStyle name="40% - Accent1 2 2" xfId="183" xr:uid="{CC7498B9-0AA3-469E-B1F5-EEAE0B6DED94}"/>
    <cellStyle name="40% - Accent1 2_6.2 CBR B" xfId="241" xr:uid="{EF6AC43A-BDC3-432B-9054-89ABDCE0886D}"/>
    <cellStyle name="40% - Accent1 3" xfId="207" xr:uid="{BF63911D-C811-4855-A732-9D90CCCB30E2}"/>
    <cellStyle name="40% - Accent2" xfId="27" builtinId="35" customBuiltin="1"/>
    <cellStyle name="40% - Accent2 2" xfId="73" xr:uid="{7A0D73DE-EE45-4208-9D4A-1977EA47D752}"/>
    <cellStyle name="40% - Accent2 2 2" xfId="184" xr:uid="{0FC93A28-287D-4D72-839F-25142E607025}"/>
    <cellStyle name="40% - Accent2 2_6.2 CBR B" xfId="242" xr:uid="{5EC77CB7-225E-433E-A451-2C8131423FF1}"/>
    <cellStyle name="40% - Accent2 3" xfId="209" xr:uid="{93DC7442-319F-4C9E-9AAD-91E461D65B3E}"/>
    <cellStyle name="40% - Accent3" xfId="30" builtinId="39" customBuiltin="1"/>
    <cellStyle name="40% - Accent3 2" xfId="74" xr:uid="{1634EE04-F2E5-4EDB-A082-087BBC90D8C2}"/>
    <cellStyle name="40% - Accent3 2 2" xfId="185" xr:uid="{8725AB90-A19C-42C7-A49D-3BF16C51E488}"/>
    <cellStyle name="40% - Accent3 2_6.2 CBR B" xfId="243" xr:uid="{F1A40497-72FC-4610-8808-F0879D1F2C9A}"/>
    <cellStyle name="40% - Accent3 3" xfId="211" xr:uid="{01AAB08A-DBCF-4E8E-9108-9BC129277A45}"/>
    <cellStyle name="40% - Accent4" xfId="33" builtinId="43" customBuiltin="1"/>
    <cellStyle name="40% - Accent4 2" xfId="75" xr:uid="{0DF71254-0BE9-4D35-8B3C-228396F5580B}"/>
    <cellStyle name="40% - Accent4 2 2" xfId="186" xr:uid="{42993599-9E14-4707-9F09-9F6B9A1E7017}"/>
    <cellStyle name="40% - Accent4 2_6.2 CBR B" xfId="244" xr:uid="{251E4C24-A4B0-4D35-9599-38D2DD4A0D61}"/>
    <cellStyle name="40% - Accent4 3" xfId="213" xr:uid="{7A0F00C8-0D0B-4DFC-875A-18A4E2A99C07}"/>
    <cellStyle name="40% - Accent5" xfId="36" builtinId="47" customBuiltin="1"/>
    <cellStyle name="40% - Accent5 2" xfId="76" xr:uid="{2ED89FAE-CF21-45A8-9690-6D859FA47697}"/>
    <cellStyle name="40% - Accent5 2 2" xfId="187" xr:uid="{2B406DBE-F5EC-4F7B-9AA6-F279CDDCDA5F}"/>
    <cellStyle name="40% - Accent5 2_6.2 CBR B" xfId="245" xr:uid="{A1FC9744-5A74-4023-B208-F7A9C444EA97}"/>
    <cellStyle name="40% - Accent5 3" xfId="215" xr:uid="{F235C5B6-A3E9-464B-BB80-A9E508BC4862}"/>
    <cellStyle name="40% - Accent6" xfId="39" builtinId="51" customBuiltin="1"/>
    <cellStyle name="40% - Accent6 2" xfId="77" xr:uid="{0C37931F-9542-4741-9DA0-731D23950F17}"/>
    <cellStyle name="40% - Accent6 2 2" xfId="188" xr:uid="{6E9F517B-FA98-4A7E-BEF7-714EF9B9104D}"/>
    <cellStyle name="40% - Accent6 2_6.2 CBR B" xfId="246" xr:uid="{B1546F36-4329-4274-89B2-0342C193C9A8}"/>
    <cellStyle name="40% - Accent6 3" xfId="217" xr:uid="{077A164C-E084-471A-B84B-20EDE23F4B59}"/>
    <cellStyle name="60% - Accent1 2" xfId="78" xr:uid="{900F53FA-2B8D-4FF0-9B22-233155C421AB}"/>
    <cellStyle name="60% - Accent1 3" xfId="144" xr:uid="{EE005555-BAAE-401C-933E-99C1D72D20AA}"/>
    <cellStyle name="60% - Accent2 2" xfId="79" xr:uid="{D10654B5-C966-461D-9023-CF3E6FF3ED0B}"/>
    <cellStyle name="60% - Accent2 3" xfId="146" xr:uid="{9CD9D87B-EC3C-40CC-83B6-8776BB2566C5}"/>
    <cellStyle name="60% - Accent3 2" xfId="80" xr:uid="{1C494F78-7D1C-4E86-A45D-A43658E1FD77}"/>
    <cellStyle name="60% - Accent3 3" xfId="147" xr:uid="{ACDED38B-CE03-4CD6-A3B6-56472B2E32DB}"/>
    <cellStyle name="60% - Accent4 2" xfId="81" xr:uid="{2EA43352-23A6-42D3-ABBB-762EE806F365}"/>
    <cellStyle name="60% - Accent4 3" xfId="148" xr:uid="{4B22653F-A41E-49FF-94FD-F9B4E749B318}"/>
    <cellStyle name="60% - Accent5 2" xfId="82" xr:uid="{81703B69-326C-490C-B276-E5C82C938820}"/>
    <cellStyle name="60% - Accent5 3" xfId="149" xr:uid="{2941512E-CBA5-4CB7-9BB5-1F85EF5F5EDB}"/>
    <cellStyle name="60% - Accent6 2" xfId="83" xr:uid="{FC941FFF-FAAB-4465-9640-B19F584B62A9}"/>
    <cellStyle name="60% - Accent6 3" xfId="150" xr:uid="{611F5863-0730-4173-B6F1-51E94105A00A}"/>
    <cellStyle name="Accent1" xfId="22" builtinId="29" customBuiltin="1"/>
    <cellStyle name="Accent1 2" xfId="84" xr:uid="{AF7928A0-1560-4D90-A2F9-A800969152CB}"/>
    <cellStyle name="Accent2" xfId="25" builtinId="33" customBuiltin="1"/>
    <cellStyle name="Accent2 2" xfId="85" xr:uid="{282E696D-11D5-4272-895E-D938EB1031B5}"/>
    <cellStyle name="Accent3" xfId="28" builtinId="37" customBuiltin="1"/>
    <cellStyle name="Accent3 2" xfId="86" xr:uid="{4BFDDC83-F66B-4118-B89D-8DCCE583C078}"/>
    <cellStyle name="Accent4" xfId="31" builtinId="41" customBuiltin="1"/>
    <cellStyle name="Accent4 2" xfId="87" xr:uid="{2144D206-0FB3-4E16-90BF-1D8D42002027}"/>
    <cellStyle name="Accent5" xfId="34" builtinId="45" customBuiltin="1"/>
    <cellStyle name="Accent5 2" xfId="88" xr:uid="{98039C49-4317-4D03-93C2-D5E9DDCB8B91}"/>
    <cellStyle name="Accent6" xfId="37" builtinId="49" customBuiltin="1"/>
    <cellStyle name="Accent6 2" xfId="89" xr:uid="{0EAACAC4-C3DD-41EC-B8D2-022AD8767A1A}"/>
    <cellStyle name="Bad" xfId="12" builtinId="27" customBuiltin="1"/>
    <cellStyle name="Bad 2" xfId="90" xr:uid="{629380C1-12EA-4EE0-8A5B-8B29432B8AC8}"/>
    <cellStyle name="Calculation" xfId="15" builtinId="22" customBuiltin="1"/>
    <cellStyle name="Calculation 2" xfId="91" xr:uid="{56CFF633-3CD6-4317-9726-DA7135ABCA10}"/>
    <cellStyle name="Check Cell" xfId="17" builtinId="23" customBuiltin="1"/>
    <cellStyle name="Check Cell 2" xfId="92" xr:uid="{161C7787-0FF0-4D32-91A6-D2FE80BECA0B}"/>
    <cellStyle name="Comma" xfId="6" builtinId="3"/>
    <cellStyle name="Comma 2" xfId="93" xr:uid="{9F553FDD-188A-4DF7-A7A6-1B9C9D36B346}"/>
    <cellStyle name="Comma 2 2" xfId="153" xr:uid="{A3C0B8B9-100D-4D92-A6CC-EEA8952B6470}"/>
    <cellStyle name="Comma 2 2 2" xfId="159" xr:uid="{40402F13-C778-47F5-93BC-DBA6CF05C58D}"/>
    <cellStyle name="Comma 2 2 2 2" xfId="285" xr:uid="{940601A5-C9B1-48F4-AD02-334961DB9357}"/>
    <cellStyle name="Comma 2 2 3" xfId="164" xr:uid="{510BB101-6098-4317-AD09-4B6474A37E85}"/>
    <cellStyle name="Comma 2 2 3 2" xfId="295" xr:uid="{8E275C5A-C03F-4387-B1D6-80061E489337}"/>
    <cellStyle name="Comma 2 2 4" xfId="221" xr:uid="{092BE410-C8DC-4365-BB20-0DA6B51C8C6A}"/>
    <cellStyle name="Comma 2 2 5" xfId="278" xr:uid="{8B2AE867-A42C-4771-A55C-FE8987457EFD}"/>
    <cellStyle name="Comma 2 2 6" xfId="303" xr:uid="{A079BE96-CAC6-4A79-99F3-47E53A055460}"/>
    <cellStyle name="Comma 2 2_Database" xfId="219" xr:uid="{1FBDC7BF-CDF4-48D4-91BB-875BC4B85F0E}"/>
    <cellStyle name="Comma 3" xfId="94" xr:uid="{F2A66E19-E472-47C3-A916-012A7C3D03EA}"/>
    <cellStyle name="Comma 3 2" xfId="121" xr:uid="{9897BD06-012C-46F7-BD73-5688172356AA}"/>
    <cellStyle name="Comma 3 2 2" xfId="196" xr:uid="{C4651B85-284D-42AE-9FCF-4C25E7FF5581}"/>
    <cellStyle name="Comma 3 3" xfId="189" xr:uid="{19B4C689-0FF4-41EE-A9E4-90BCF3AFEBE7}"/>
    <cellStyle name="Comma 3 4" xfId="294" xr:uid="{36707FE2-DB30-4BA8-BE1C-32738099BFA0}"/>
    <cellStyle name="Comma 4" xfId="113" xr:uid="{DAFCB8F1-6DB1-420D-9E6A-F31C49C69D91}"/>
    <cellStyle name="Comma 4 2" xfId="288" xr:uid="{5E03CC12-7C60-4A98-B8B7-1872DD38016A}"/>
    <cellStyle name="Comma 4 3" xfId="281" xr:uid="{184A26CA-B30C-4433-89DF-8257981610E1}"/>
    <cellStyle name="Comma 4 6" xfId="273" xr:uid="{CE5E0115-5181-4259-BE1A-44A20A83FEF2}"/>
    <cellStyle name="Comma 4 6 2" xfId="289" xr:uid="{E1DAB304-2FF8-47D7-AD86-B613E6C32E3B}"/>
    <cellStyle name="Comma 4 6 3" xfId="297" xr:uid="{336DBCBF-D3D2-4850-9948-DDBF17E087AF}"/>
    <cellStyle name="Comma 4 6 4" xfId="300" xr:uid="{DF0EB9E1-392F-4269-94F9-F215B3F0B7CD}"/>
    <cellStyle name="Comma 4 6 5" xfId="282" xr:uid="{ABEB3B83-880A-4441-A0DF-1D14F0C11735}"/>
    <cellStyle name="Comma 4 6 6" xfId="305" xr:uid="{C2A17BE9-57D9-4139-9100-7DD331C977BE}"/>
    <cellStyle name="Comma 5" xfId="167" xr:uid="{2CFC0E83-CB20-4B15-A420-388DDD3FCF74}"/>
    <cellStyle name="Comma 5 2" xfId="299" xr:uid="{2C6ECE8D-5AAD-4BA3-AB98-C93A6054B2EB}"/>
    <cellStyle name="Comma 6" xfId="277" xr:uid="{3019668F-D1D3-44F5-9E0D-5FCDF1304A99}"/>
    <cellStyle name="Comma 7" xfId="302" xr:uid="{8129E038-1548-4005-A2FC-AABCEC9FFABA}"/>
    <cellStyle name="Comma0" xfId="45" xr:uid="{748F45C4-2E3D-46F9-B206-9F2E4D7496AF}"/>
    <cellStyle name="Currency" xfId="5" builtinId="4"/>
    <cellStyle name="Currency 11" xfId="291" xr:uid="{C95F3F03-FEB1-4E4B-8226-820A2194D2E4}"/>
    <cellStyle name="Currency 2" xfId="64" xr:uid="{6DABA4BE-12A2-4DA8-B820-AEC8296B4E09}"/>
    <cellStyle name="Currency 2 2" xfId="287" xr:uid="{D8A55F13-D928-45C9-95D6-B07CF6742903}"/>
    <cellStyle name="Currency 2 3" xfId="280" xr:uid="{16AE3130-0D27-4D9B-A0C0-8333797A5C58}"/>
    <cellStyle name="Currency 3" xfId="122" xr:uid="{64EF2BF1-45C7-40C4-AD55-7A92B8DFC85D}"/>
    <cellStyle name="Currency 3 2" xfId="290" xr:uid="{3AB97091-E96A-47FC-96EB-97ADC1878009}"/>
    <cellStyle name="Currency 3 3" xfId="283" xr:uid="{70E702D7-78A7-41E9-BD76-F690016EC88C}"/>
    <cellStyle name="Currency 3 4" xfId="275" xr:uid="{3BB0B227-AE01-406D-B4C7-593BABEEEA9D}"/>
    <cellStyle name="Currency 4" xfId="154" xr:uid="{01A7DC53-74D7-4B3E-A963-DE14384344CB}"/>
    <cellStyle name="Currency 4 2" xfId="158" xr:uid="{E545FD01-20D1-4C2C-BDA8-B50F8D44B5D3}"/>
    <cellStyle name="Currency 4 2 2" xfId="286" xr:uid="{CD135A43-D291-42B2-A0E7-5AA865CD0E42}"/>
    <cellStyle name="Currency 4 3" xfId="165" xr:uid="{34E114D6-B3FC-4B68-B7EE-990B218471CD}"/>
    <cellStyle name="Currency 4 3 2" xfId="296" xr:uid="{7521547B-D890-4B5F-858C-1DE00A53A21B}"/>
    <cellStyle name="Currency 4 4" xfId="222" xr:uid="{667709E6-F93B-4BA2-941F-F15F030845AD}"/>
    <cellStyle name="Currency 4 5" xfId="279" xr:uid="{6C9F9218-3E01-4E7F-842E-0060F3D37CF7}"/>
    <cellStyle name="Currency 4 6" xfId="304" xr:uid="{C52BF14E-962A-4435-AD04-3898153F9B0A}"/>
    <cellStyle name="Currency 5" xfId="156" xr:uid="{D2529CD1-5FDF-4B6D-81F5-3783D831EF36}"/>
    <cellStyle name="Currency 5 2" xfId="284" xr:uid="{5C596AFF-5C9D-40CD-922C-FA3335B8B4D0}"/>
    <cellStyle name="Currency 6" xfId="161" xr:uid="{C591E44B-4CBB-419A-A377-21E3D620BF42}"/>
    <cellStyle name="Currency 6 2" xfId="293" xr:uid="{CD5B2B6C-42FE-4D3E-AEA4-76F62F17790B}"/>
    <cellStyle name="Currency 7" xfId="298" xr:uid="{9817FF7B-C366-4F44-95F0-8CA423A78439}"/>
    <cellStyle name="Currency 8" xfId="276" xr:uid="{847D7952-CE5D-4632-B4DE-B5E2810D8E44}"/>
    <cellStyle name="Currency 9" xfId="301" xr:uid="{FC02790E-7127-44E0-ABEE-ADF2A095FE56}"/>
    <cellStyle name="Currency0" xfId="46" xr:uid="{B82D9189-9DD0-4FC4-9AA5-7034E1EA9A03}"/>
    <cellStyle name="Date" xfId="47" xr:uid="{FEC3E695-89BB-469A-8C94-EBC4A683F02E}"/>
    <cellStyle name="Explanatory Text" xfId="20" builtinId="53" customBuiltin="1"/>
    <cellStyle name="Explanatory Text 2" xfId="95" xr:uid="{616B2630-76DA-404A-AE29-9067C25A76E0}"/>
    <cellStyle name="Fixed" xfId="48" xr:uid="{2A5694AB-F7D3-4EEF-A9D6-0E521E0A6961}"/>
    <cellStyle name="Followed Hyperlink" xfId="152" builtinId="9" customBuiltin="1"/>
    <cellStyle name="Good" xfId="11" builtinId="26" customBuiltin="1"/>
    <cellStyle name="Good 2" xfId="96" xr:uid="{D7DE777B-1197-4142-A81E-0EBFD6254135}"/>
    <cellStyle name="Grey" xfId="49" xr:uid="{63D2E86B-0B82-47C8-9D66-C97204C9C6EA}"/>
    <cellStyle name="Heading 1" xfId="7" builtinId="16" customBuiltin="1"/>
    <cellStyle name="Heading 1 2" xfId="97" xr:uid="{14C66860-BF7A-4137-A1F6-920FD3C77199}"/>
    <cellStyle name="Heading 2" xfId="8" builtinId="17" customBuiltin="1"/>
    <cellStyle name="Heading 2 2" xfId="98" xr:uid="{7E21E58A-7813-4A73-9790-7AC34213254D}"/>
    <cellStyle name="Heading 3" xfId="9" builtinId="18" customBuiltin="1"/>
    <cellStyle name="Heading 3 2" xfId="99" xr:uid="{92D1E75E-53C5-4AFB-AA1E-175F5C47F197}"/>
    <cellStyle name="Heading 4" xfId="10" builtinId="19" customBuiltin="1"/>
    <cellStyle name="Heading 4 2" xfId="100" xr:uid="{E41C21F5-54DA-4528-B84D-99F081A7D11B}"/>
    <cellStyle name="Hyperlink 2" xfId="151" xr:uid="{0E7A34C3-48C1-49D8-A427-734F6FE41BFB}"/>
    <cellStyle name="Input" xfId="13" builtinId="20" customBuiltin="1"/>
    <cellStyle name="Input [yellow]" xfId="50" xr:uid="{7809652A-2B01-4205-B730-A7E099D63D89}"/>
    <cellStyle name="Input 2" xfId="101" xr:uid="{0C9C1491-5F8F-423A-9111-1F22F1D27423}"/>
    <cellStyle name="Linked Cell" xfId="16" builtinId="24" customBuiltin="1"/>
    <cellStyle name="Linked Cell 2" xfId="102" xr:uid="{BA840F3B-7DD2-4F66-A2E6-0198F7F7046A}"/>
    <cellStyle name="M" xfId="51" xr:uid="{65BEBE1F-984E-4128-95A7-7964504A4A71}"/>
    <cellStyle name="M.00" xfId="52" xr:uid="{B462812E-E218-4B99-B5C7-E3DCC1DE076E}"/>
    <cellStyle name="M_9. Rev2Cost_GDPIPI" xfId="61" xr:uid="{023DF2EB-B807-49FE-B5F6-DFA0231D6034}"/>
    <cellStyle name="M_9. Rev2Cost_GDPIPI 2" xfId="117" xr:uid="{1A4ED7EA-FD14-47C7-A0F9-523CD07EC0BF}"/>
    <cellStyle name="M_9. Rev2Cost_GDPIPI_6.2 CBR B" xfId="247" xr:uid="{6B3D8B3F-FB33-4F15-87E1-14C132A5BC5B}"/>
    <cellStyle name="M_9. Rev2Cost_GDPIPI_9. Shared Tax - Rate Rider" xfId="263" xr:uid="{2D60770D-00FF-4184-AB6A-C36029942185}"/>
    <cellStyle name="M_lists" xfId="56" xr:uid="{5AB5A540-4593-4D2D-9978-8E330B04825B}"/>
    <cellStyle name="M_lists 2" xfId="115" xr:uid="{49022C0A-9BC0-440F-8EFD-CE0A8F3ED897}"/>
    <cellStyle name="M_lists_4. Current Monthly Fixed Charge" xfId="58" xr:uid="{A864DD49-58D8-49A7-B261-B0F495C75B48}"/>
    <cellStyle name="M_lists_6.2 CBR B" xfId="248" xr:uid="{1A41693E-8D3E-47F2-AD44-CB3D48B05F5B}"/>
    <cellStyle name="M_lists_9. Shared Tax - Rate Rider" xfId="264" xr:uid="{3735D1BB-2527-4B97-A07C-91892B79276E}"/>
    <cellStyle name="M_Sheet4" xfId="63" xr:uid="{1CD2BDBA-E3B2-4EE3-9777-044EEC817FE8}"/>
    <cellStyle name="M_Sheet4 2" xfId="119" xr:uid="{48CBA118-0E96-4782-9FA6-60F5F66976F6}"/>
    <cellStyle name="M_Sheet4_6.2 CBR B" xfId="249" xr:uid="{A843146D-ADC6-41F7-BACE-40F4D468E707}"/>
    <cellStyle name="M_Sheet4_9. Shared Tax - Rate Rider" xfId="265" xr:uid="{B183BE20-EDD0-4F87-9147-A408CDDBD033}"/>
    <cellStyle name="Neutral 2" xfId="103" xr:uid="{6EA907A1-98DC-426C-8A99-756CDF39F422}"/>
    <cellStyle name="Neutral 3" xfId="143" xr:uid="{4E62B69F-23AD-475B-BE7B-27ACC6475B91}"/>
    <cellStyle name="Normal" xfId="0" builtinId="0"/>
    <cellStyle name="Normal - Style1" xfId="53" xr:uid="{F259791C-395C-46E8-8653-1AD6819F31C4}"/>
    <cellStyle name="Normal 10 12" xfId="155" xr:uid="{F06FC6C8-4E83-4CCB-BB2D-B17A7077CD64}"/>
    <cellStyle name="Normal 11" xfId="266" xr:uid="{576456DE-8B38-485F-9502-C7257A723B7B}"/>
    <cellStyle name="Normal 12" xfId="267" xr:uid="{87936EF4-93B3-472B-86AB-1E42F857D2CC}"/>
    <cellStyle name="Normal 13 6" xfId="271" xr:uid="{3D0CD31A-2042-4F1B-8159-8EE3D5D96654}"/>
    <cellStyle name="Normal 15" xfId="272" xr:uid="{97CA18F3-9C5C-413A-8750-74D0E9662989}"/>
    <cellStyle name="Normal 167" xfId="126" xr:uid="{1C5D828D-E397-4831-B5B3-081F2E8B5981}"/>
    <cellStyle name="Normal 167 2" xfId="200" xr:uid="{32017EDF-D37F-4C41-A242-8FACCD37319B}"/>
    <cellStyle name="Normal 167_6.2 CBR B" xfId="250" xr:uid="{D78E5E41-06C2-4779-86B3-BFEE0469C95C}"/>
    <cellStyle name="Normal 168" xfId="127" xr:uid="{ABEC4721-EBAE-45F8-B62B-801FAFCDE701}"/>
    <cellStyle name="Normal 168 2" xfId="201" xr:uid="{F768EFEB-D893-475F-B55B-6491D73F2C4B}"/>
    <cellStyle name="Normal 168_6.2 CBR B" xfId="251" xr:uid="{B8558CB7-1EC8-42E1-9983-AD08E71CA9B0}"/>
    <cellStyle name="Normal 169" xfId="128" xr:uid="{0A4BC2FD-DFB5-4B5F-9A32-3D6F3A2AC3F6}"/>
    <cellStyle name="Normal 169 2" xfId="202" xr:uid="{5B7E2333-7D91-4EE2-B3B9-22C469D8CD36}"/>
    <cellStyle name="Normal 169_6.2 CBR B" xfId="252" xr:uid="{CBDCBA91-CDCD-4FC9-9164-654041DF272C}"/>
    <cellStyle name="Normal 170" xfId="129" xr:uid="{1FA18BCD-8D63-4881-A933-6B0FDB797ED7}"/>
    <cellStyle name="Normal 170 2" xfId="203" xr:uid="{38D2C7B2-194B-4C28-B272-3C53E46AF54B}"/>
    <cellStyle name="Normal 170_6.2 CBR B" xfId="253" xr:uid="{577EBFD2-9EA7-49F2-AE95-A6861CFFBE49}"/>
    <cellStyle name="Normal 171" xfId="130" xr:uid="{769E8F2A-1ABF-4F66-9FF1-888F86917948}"/>
    <cellStyle name="Normal 171 2" xfId="204" xr:uid="{0091D4F8-C862-4A64-B931-BCA8D6E17063}"/>
    <cellStyle name="Normal 171_6.2 CBR B" xfId="254" xr:uid="{EA6BC92E-42FF-421C-A4CC-40DA975EC107}"/>
    <cellStyle name="Normal 19" xfId="131" xr:uid="{2AA30B83-277D-4C5C-9F58-26A956323BE8}"/>
    <cellStyle name="Normal 2" xfId="40" xr:uid="{E5BDED65-1731-404B-96CD-5F8593EAB01A}"/>
    <cellStyle name="Normal 2 2" xfId="3" xr:uid="{65AAE1F6-454B-4941-A2C1-25DA6CF83F96}"/>
    <cellStyle name="Normal 25" xfId="132" xr:uid="{057386DF-F8FE-4FFA-8BD1-A99DF37FCEC5}"/>
    <cellStyle name="Normal 3" xfId="2" xr:uid="{9E4673D7-74E4-462E-8E8D-C6D159725897}"/>
    <cellStyle name="Normal 3 2" xfId="190" xr:uid="{3F130FA5-4686-4BF3-A4C2-A71A0088A090}"/>
    <cellStyle name="Normal 3 3" xfId="306" xr:uid="{ECC8ABD8-E6F6-428C-A707-D02719CE8538}"/>
    <cellStyle name="Normal 3 4" xfId="104" xr:uid="{EFFDEA6F-8F7C-45CE-948C-DA61C57374EE}"/>
    <cellStyle name="Normal 3_6.2 CBR B" xfId="255" xr:uid="{26126E74-47F6-4F24-B6ED-ADCE45D9F272}"/>
    <cellStyle name="Normal 30" xfId="133" xr:uid="{6AE9FA76-A71D-4F41-9EC6-A1776E25D960}"/>
    <cellStyle name="Normal 31" xfId="138" xr:uid="{C55FD4F1-FBD4-4259-AC1B-74A8926A15FC}"/>
    <cellStyle name="Normal 4" xfId="105" xr:uid="{E2699D05-BBFA-4E0A-BA40-A7E2F2D57384}"/>
    <cellStyle name="Normal 4 2" xfId="191" xr:uid="{9F5EED19-60A3-4076-B343-63B94D7B554D}"/>
    <cellStyle name="Normal 4_6.2 CBR B" xfId="256" xr:uid="{1F011456-97F1-4E54-8C01-1201EB26D052}"/>
    <cellStyle name="Normal 41" xfId="134" xr:uid="{75931245-2C12-47F5-BC13-E61EAA4BD2A1}"/>
    <cellStyle name="Normal 42" xfId="139" xr:uid="{DE26F031-BB45-4368-849E-59B02CD6CCA1}"/>
    <cellStyle name="Normal 5" xfId="106" xr:uid="{0E35B4BF-C949-40B6-8933-859937749312}"/>
    <cellStyle name="Normal 5 2" xfId="123" xr:uid="{FD03D002-790C-47C2-98A0-624245359FC1}"/>
    <cellStyle name="Normal 5 2 2" xfId="197" xr:uid="{294C912E-162F-40B5-A7D9-7E7872CFF28A}"/>
    <cellStyle name="Normal 5 2_6.2 CBR B" xfId="258" xr:uid="{74E4239B-77C2-4188-8FC1-1863B7E8B184}"/>
    <cellStyle name="Normal 5 3" xfId="192" xr:uid="{57107465-FFA1-42D0-BC34-7A042DDDBBFB}"/>
    <cellStyle name="Normal 5_6.2 CBR B" xfId="257" xr:uid="{B1E968B1-A2B1-436B-BE6E-1E106EF9D65E}"/>
    <cellStyle name="Normal 50" xfId="135" xr:uid="{B05921F7-168E-417C-AF1B-1B447F0701A7}"/>
    <cellStyle name="Normal 51" xfId="137" xr:uid="{26CCA124-B7DC-4554-AA60-A45111484BE2}"/>
    <cellStyle name="Normal 52" xfId="140" xr:uid="{C932E60A-5B1F-4EB4-9FFB-93376ED2F282}"/>
    <cellStyle name="Normal 6" xfId="120" xr:uid="{ADD5375E-2B7B-4D84-A69C-A4A34119536F}"/>
    <cellStyle name="Normal 6 2" xfId="195" xr:uid="{F9C19C53-8E77-4983-85FB-3849E30A37F3}"/>
    <cellStyle name="Normal 6 3" xfId="292" xr:uid="{818EBD97-DE38-4169-B2EF-D7D8BBC6E8AB}"/>
    <cellStyle name="Normal 6 4" xfId="270" xr:uid="{0848A24C-6164-49E0-935B-D31B80C00B47}"/>
    <cellStyle name="Normal 6_6.2 CBR B" xfId="259" xr:uid="{2AFFBE82-0F16-41C1-B434-DEA2FDBB2A1E}"/>
    <cellStyle name="Normal 60" xfId="136" xr:uid="{11F410A5-A787-4C65-BA91-67170DE1C597}"/>
    <cellStyle name="Normal 61" xfId="141" xr:uid="{9F07329B-24B7-437A-939D-A1E671A29353}"/>
    <cellStyle name="Note" xfId="19" builtinId="10" customBuiltin="1"/>
    <cellStyle name="Note 2" xfId="107" xr:uid="{96582B5A-12D7-4D0F-885E-EA386F10CACA}"/>
    <cellStyle name="Note 2 2" xfId="193" xr:uid="{3635C989-6B46-40C8-8FFD-01B07CCD4300}"/>
    <cellStyle name="Note 3" xfId="205" xr:uid="{F29ECE6F-67B2-48B6-ADB2-E7B8485EB19A}"/>
    <cellStyle name="Output" xfId="14" builtinId="21" customBuiltin="1"/>
    <cellStyle name="Output 2" xfId="108" xr:uid="{7E311F5F-F389-4918-878F-8F0365FC8FAA}"/>
    <cellStyle name="Percent" xfId="1" builtinId="5"/>
    <cellStyle name="Percent [2]" xfId="54" xr:uid="{8D1BCEE8-DEDF-46F7-93B9-4B2B798E2ADB}"/>
    <cellStyle name="Percent 10" xfId="168" xr:uid="{A0AF609A-0491-4BE6-8CE1-753EAD12154D}"/>
    <cellStyle name="Percent 11" xfId="169" xr:uid="{A111A137-2CE0-45B5-B5DA-115DAFA4F217}"/>
    <cellStyle name="Percent 12" xfId="170" xr:uid="{9720AE39-29C5-4050-8E44-62EAD7C23186}"/>
    <cellStyle name="Percent 13" xfId="171" xr:uid="{B5D492BA-8C4F-4B68-818F-285C6C79EC56}"/>
    <cellStyle name="Percent 13 6" xfId="274" xr:uid="{9DE98D58-208B-4155-BAA8-D45097923052}"/>
    <cellStyle name="Percent 14" xfId="172" xr:uid="{9EE06F01-EAAF-473E-9BAE-1BF927A821D1}"/>
    <cellStyle name="Percent 15" xfId="173" xr:uid="{7D7F5989-E30C-4F8E-BE67-E671E309E761}"/>
    <cellStyle name="Percent 16" xfId="174" xr:uid="{73BBBBBE-DE65-4282-ACF6-34A09F07A755}"/>
    <cellStyle name="Percent 17" xfId="176" xr:uid="{27B9D356-FD29-4297-AB6A-4475C8A57D8D}"/>
    <cellStyle name="Percent 18" xfId="175" xr:uid="{2EBFC012-FEEE-4601-99BD-9A7D5D00A3B3}"/>
    <cellStyle name="Percent 19" xfId="218" xr:uid="{D8C152FF-6E7E-45CE-9881-3C9A4407B177}"/>
    <cellStyle name="Percent 2" xfId="65" xr:uid="{2D3B04D0-C993-499A-86E7-5CB82A18E578}"/>
    <cellStyle name="Percent 2 2" xfId="4" xr:uid="{C26411A1-A81B-4DBB-BF2D-24862E02625A}"/>
    <cellStyle name="Percent 20" xfId="220" xr:uid="{FD8C9CA9-32D1-4A17-A0C4-C0C6D8473E7F}"/>
    <cellStyle name="Percent 21" xfId="223" xr:uid="{40D6ABE6-F949-49EE-930E-FB5CC0D1EB29}"/>
    <cellStyle name="Percent 22" xfId="224" xr:uid="{7E639F45-E63F-4F5A-B612-A6D284562F44}"/>
    <cellStyle name="Percent 23" xfId="225" xr:uid="{C8F9BC69-20EA-495A-BCF0-94D7ECFFDE99}"/>
    <cellStyle name="Percent 24" xfId="226" xr:uid="{04D9729B-B99A-4E01-9B17-DEBD53018097}"/>
    <cellStyle name="Percent 25" xfId="227" xr:uid="{F030DA4F-9EB8-4F97-BDA7-06DEBE6F3B51}"/>
    <cellStyle name="Percent 26" xfId="228" xr:uid="{61083B0C-D505-4421-A600-F559C06BD41F}"/>
    <cellStyle name="Percent 27" xfId="229" xr:uid="{9AE647EA-61FE-44CE-9969-E10B0615C334}"/>
    <cellStyle name="Percent 28" xfId="230" xr:uid="{0174A565-783B-46F8-AF85-68DB3CE041F2}"/>
    <cellStyle name="Percent 29" xfId="231" xr:uid="{8787598B-6792-41F2-AF35-500CA2403955}"/>
    <cellStyle name="Percent 3" xfId="109" xr:uid="{E40C45D4-6418-4BFC-A1A3-C69994D75FB0}"/>
    <cellStyle name="Percent 3 2" xfId="124" xr:uid="{A193A464-7FB4-49A7-9BEF-844715274F87}"/>
    <cellStyle name="Percent 3 2 2" xfId="198" xr:uid="{AF0D115A-53FA-4E43-8DEA-BF3E0474A876}"/>
    <cellStyle name="Percent 3 3" xfId="194" xr:uid="{4FD557A6-53D8-48B3-9011-229C088B3961}"/>
    <cellStyle name="Percent 30" xfId="269" xr:uid="{FB62FA3B-F496-469E-8687-505AD741446A}"/>
    <cellStyle name="Percent 31" xfId="307" xr:uid="{079EBE7C-5C24-4D38-8BDB-82FA4EEBD289}"/>
    <cellStyle name="Percent 32" xfId="145" xr:uid="{7B0723D6-3017-44F2-B65D-04C26367366A}"/>
    <cellStyle name="Percent 4" xfId="125" xr:uid="{80B0BCD0-9DA4-428F-82C6-57D363B38FE3}"/>
    <cellStyle name="Percent 4 2" xfId="199" xr:uid="{901B1602-9675-414A-AB7F-4F4A62D4721F}"/>
    <cellStyle name="Percent 5" xfId="157" xr:uid="{9E4EC6F8-2407-4C52-BAAE-E09195FE6519}"/>
    <cellStyle name="Percent 54" xfId="268" xr:uid="{75F0682B-0AA1-42BA-A7A7-EFA8F8A6BF30}"/>
    <cellStyle name="Percent 6" xfId="162" xr:uid="{7C0C8AA3-D3E6-44DE-8576-F21B0E8A75E7}"/>
    <cellStyle name="Percent 7" xfId="163" xr:uid="{65E2A9BB-B8FC-41B8-8D0F-324732989A46}"/>
    <cellStyle name="Percent 8" xfId="160" xr:uid="{9FE6C386-509D-4DD9-BC49-997A2BBDADDE}"/>
    <cellStyle name="Percent 9" xfId="166" xr:uid="{98D27941-E355-4DA0-B00C-10D80111601B}"/>
    <cellStyle name="Title 2" xfId="110" xr:uid="{2C84B6E5-063F-4396-BFDB-FF7260784C4F}"/>
    <cellStyle name="Title 3" xfId="142" xr:uid="{A9EE1F81-C6ED-458C-BBF6-024CF2FB9878}"/>
    <cellStyle name="Total" xfId="21" builtinId="25" customBuiltin="1"/>
    <cellStyle name="Total 2" xfId="111" xr:uid="{23E22DDA-507F-47FF-8BEF-D9DB8CA61C23}"/>
    <cellStyle name="Warning Text" xfId="18" builtinId="11" customBuiltin="1"/>
    <cellStyle name="Warning Text 2" xfId="112" xr:uid="{5F3D4572-4EAD-469B-B3FA-3D6B80DBD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716-519E-430A-977A-8F6B28BE2564}">
  <dimension ref="A1:J105"/>
  <sheetViews>
    <sheetView zoomScaleNormal="100" workbookViewId="0">
      <selection activeCell="B12" sqref="B12"/>
    </sheetView>
  </sheetViews>
  <sheetFormatPr defaultColWidth="8.7265625" defaultRowHeight="12.5" x14ac:dyDescent="0.25"/>
  <cols>
    <col min="1" max="1" width="49.81640625" style="1" customWidth="1"/>
    <col min="2" max="2" width="7.1796875" style="1" customWidth="1"/>
    <col min="3" max="3" width="14" style="1" customWidth="1"/>
    <col min="4" max="4" width="13.54296875" style="1" customWidth="1"/>
    <col min="5" max="5" width="13.26953125" style="1" customWidth="1"/>
    <col min="6" max="6" width="10.54296875" style="1" customWidth="1"/>
    <col min="7" max="7" width="12.26953125" style="1" bestFit="1" customWidth="1"/>
    <col min="8" max="8" width="12.1796875" style="1" bestFit="1" customWidth="1"/>
    <col min="9" max="9" width="13.81640625" style="1" customWidth="1"/>
    <col min="10" max="16384" width="8.7265625" style="1"/>
  </cols>
  <sheetData>
    <row r="1" spans="1:9" x14ac:dyDescent="0.25">
      <c r="A1" s="1" t="s">
        <v>0</v>
      </c>
    </row>
    <row r="4" spans="1:9" x14ac:dyDescent="0.25">
      <c r="A4" s="46" t="s">
        <v>1</v>
      </c>
    </row>
    <row r="6" spans="1:9" ht="32.65" customHeight="1" x14ac:dyDescent="0.25">
      <c r="A6" s="84" t="s">
        <v>2</v>
      </c>
      <c r="B6" s="84" t="s">
        <v>3</v>
      </c>
      <c r="C6" s="98" t="s">
        <v>4</v>
      </c>
      <c r="D6" s="98"/>
      <c r="E6" s="98"/>
      <c r="F6" s="98"/>
      <c r="G6" s="98"/>
      <c r="H6" s="98"/>
      <c r="I6" s="23"/>
    </row>
    <row r="7" spans="1:9" x14ac:dyDescent="0.25">
      <c r="A7" s="85"/>
      <c r="B7" s="85"/>
      <c r="C7" s="98" t="s">
        <v>5</v>
      </c>
      <c r="D7" s="98"/>
      <c r="E7" s="99" t="s">
        <v>6</v>
      </c>
      <c r="F7" s="99"/>
      <c r="G7" s="99" t="s">
        <v>7</v>
      </c>
      <c r="H7" s="99"/>
      <c r="I7" s="23"/>
    </row>
    <row r="8" spans="1:9" x14ac:dyDescent="0.25">
      <c r="A8" s="86"/>
      <c r="B8" s="86"/>
      <c r="C8" s="45" t="s">
        <v>8</v>
      </c>
      <c r="D8" s="45" t="s">
        <v>9</v>
      </c>
      <c r="E8" s="45" t="s">
        <v>8</v>
      </c>
      <c r="F8" s="45" t="s">
        <v>9</v>
      </c>
      <c r="G8" s="45" t="s">
        <v>8</v>
      </c>
      <c r="H8" s="45" t="s">
        <v>9</v>
      </c>
      <c r="I8" s="24"/>
    </row>
    <row r="9" spans="1:9" x14ac:dyDescent="0.25">
      <c r="A9" s="13" t="s">
        <v>10</v>
      </c>
      <c r="B9" s="14">
        <v>1550</v>
      </c>
      <c r="C9" s="25">
        <v>3063905.05</v>
      </c>
      <c r="D9" s="25">
        <v>18460.97</v>
      </c>
      <c r="E9" s="25">
        <v>1911822.39</v>
      </c>
      <c r="F9" s="25">
        <v>50478.23</v>
      </c>
      <c r="G9" s="25">
        <v>3793250.8</v>
      </c>
      <c r="H9" s="25">
        <v>105473.03</v>
      </c>
      <c r="I9" s="23"/>
    </row>
    <row r="10" spans="1:9" x14ac:dyDescent="0.25">
      <c r="A10" s="13" t="s">
        <v>11</v>
      </c>
      <c r="B10" s="14">
        <v>1551</v>
      </c>
      <c r="C10" s="47">
        <v>-246165.99</v>
      </c>
      <c r="D10" s="47">
        <v>-1382.82</v>
      </c>
      <c r="E10" s="47">
        <v>-22607.34</v>
      </c>
      <c r="F10" s="47">
        <v>-1275.71</v>
      </c>
      <c r="G10" s="47">
        <v>-24223.86</v>
      </c>
      <c r="H10" s="47">
        <v>-915.01</v>
      </c>
      <c r="I10" s="23"/>
    </row>
    <row r="11" spans="1:9" ht="14.5" x14ac:dyDescent="0.25">
      <c r="A11" s="13" t="s">
        <v>12</v>
      </c>
      <c r="B11" s="14">
        <v>1580</v>
      </c>
      <c r="C11" s="47">
        <v>-18672747.741386198</v>
      </c>
      <c r="D11" s="47">
        <v>-174634.76514053406</v>
      </c>
      <c r="E11" s="47">
        <v>-2249942.6</v>
      </c>
      <c r="F11" s="47">
        <v>-102945</v>
      </c>
      <c r="G11" s="47">
        <v>-1411149.34</v>
      </c>
      <c r="H11" s="47">
        <v>-61343.73</v>
      </c>
      <c r="I11" s="23"/>
    </row>
    <row r="12" spans="1:9" x14ac:dyDescent="0.25">
      <c r="A12" s="13" t="s">
        <v>13</v>
      </c>
      <c r="B12" s="14" t="s">
        <v>14</v>
      </c>
      <c r="C12" s="47">
        <v>-4210732.618613801</v>
      </c>
      <c r="D12" s="47">
        <v>-25245.654859465954</v>
      </c>
      <c r="E12" s="47">
        <v>-123182.07</v>
      </c>
      <c r="F12" s="47">
        <v>-2901.15</v>
      </c>
      <c r="G12" s="47">
        <v>-51926.53</v>
      </c>
      <c r="H12" s="47">
        <v>-1463</v>
      </c>
    </row>
    <row r="13" spans="1:9" x14ac:dyDescent="0.25">
      <c r="A13" s="13" t="s">
        <v>15</v>
      </c>
      <c r="B13" s="14">
        <v>1584</v>
      </c>
      <c r="C13" s="47">
        <v>-4039890.12</v>
      </c>
      <c r="D13" s="47">
        <v>-131935.75</v>
      </c>
      <c r="E13" s="47">
        <v>696955.32</v>
      </c>
      <c r="F13" s="47">
        <v>-21704.54</v>
      </c>
      <c r="G13" s="47">
        <v>-14224.79</v>
      </c>
      <c r="H13" s="47">
        <v>-2270.85</v>
      </c>
      <c r="I13" s="23"/>
    </row>
    <row r="14" spans="1:9" x14ac:dyDescent="0.25">
      <c r="A14" s="13" t="s">
        <v>16</v>
      </c>
      <c r="B14" s="14">
        <v>1586</v>
      </c>
      <c r="C14" s="47">
        <v>-21745318.359999999</v>
      </c>
      <c r="D14" s="47">
        <v>-94691.56</v>
      </c>
      <c r="E14" s="47">
        <v>706939.33</v>
      </c>
      <c r="F14" s="47">
        <v>-2156.8000000000002</v>
      </c>
      <c r="G14" s="47">
        <v>1698.18</v>
      </c>
      <c r="H14" s="47">
        <v>-2935.49</v>
      </c>
      <c r="I14" s="23"/>
    </row>
    <row r="15" spans="1:9" x14ac:dyDescent="0.25">
      <c r="A15" s="13" t="s">
        <v>17</v>
      </c>
      <c r="B15" s="14">
        <v>1588</v>
      </c>
      <c r="C15" s="47">
        <v>-105067506.2</v>
      </c>
      <c r="D15" s="47">
        <v>-173666.08000000002</v>
      </c>
      <c r="E15" s="47">
        <v>-1624881.57</v>
      </c>
      <c r="F15" s="47">
        <v>-1989.41</v>
      </c>
      <c r="G15" s="47">
        <v>-624372.29</v>
      </c>
      <c r="H15" s="47">
        <v>-21777.57</v>
      </c>
      <c r="I15" s="23"/>
    </row>
    <row r="16" spans="1:9" x14ac:dyDescent="0.25">
      <c r="A16" s="13" t="s">
        <v>18</v>
      </c>
      <c r="B16" s="14">
        <v>1589</v>
      </c>
      <c r="C16" s="47">
        <v>51951069.317699969</v>
      </c>
      <c r="D16" s="47">
        <v>-82340.84</v>
      </c>
      <c r="E16" s="47">
        <v>2705572.63</v>
      </c>
      <c r="F16" s="47">
        <v>35912.83</v>
      </c>
      <c r="G16" s="47">
        <v>13173.84</v>
      </c>
      <c r="H16" s="47">
        <v>10278.5</v>
      </c>
      <c r="I16" s="23"/>
    </row>
    <row r="17" spans="1:10" ht="14.5" x14ac:dyDescent="0.25">
      <c r="A17" s="13" t="s">
        <v>19</v>
      </c>
      <c r="B17" s="14">
        <v>1588</v>
      </c>
      <c r="C17" s="47">
        <v>11158254.550000001</v>
      </c>
      <c r="D17" s="47">
        <v>8712.82</v>
      </c>
      <c r="E17" s="48"/>
      <c r="F17" s="48"/>
      <c r="G17" s="48"/>
      <c r="H17" s="48"/>
      <c r="I17" s="23"/>
    </row>
    <row r="18" spans="1:10" ht="14.5" x14ac:dyDescent="0.25">
      <c r="A18" s="13" t="s">
        <v>20</v>
      </c>
      <c r="B18" s="14">
        <v>1589</v>
      </c>
      <c r="C18" s="47">
        <v>-11158254.550000001</v>
      </c>
      <c r="D18" s="47">
        <v>-8712.82</v>
      </c>
      <c r="E18" s="48"/>
      <c r="F18" s="48"/>
      <c r="G18" s="48"/>
      <c r="H18" s="48"/>
      <c r="I18" s="23"/>
    </row>
    <row r="19" spans="1:10" x14ac:dyDescent="0.25">
      <c r="A19" s="23"/>
      <c r="B19" s="18"/>
      <c r="C19" s="27"/>
      <c r="D19" s="27"/>
      <c r="E19" s="27"/>
      <c r="F19" s="27"/>
      <c r="G19" s="27"/>
      <c r="H19" s="27"/>
      <c r="I19" s="23"/>
    </row>
    <row r="20" spans="1:10" x14ac:dyDescent="0.25">
      <c r="A20" s="17" t="s">
        <v>21</v>
      </c>
      <c r="B20" s="18"/>
      <c r="C20" s="27"/>
      <c r="D20" s="27"/>
      <c r="E20" s="27"/>
      <c r="F20" s="27"/>
      <c r="G20" s="27"/>
      <c r="H20" s="27"/>
      <c r="I20" s="23"/>
    </row>
    <row r="21" spans="1:10" ht="15" x14ac:dyDescent="0.3">
      <c r="A21" s="28" t="s">
        <v>22</v>
      </c>
      <c r="B21" s="29"/>
      <c r="C21" s="30"/>
      <c r="D21" s="30"/>
      <c r="E21" s="30"/>
      <c r="F21" s="30"/>
      <c r="G21" s="30"/>
      <c r="H21" s="30"/>
      <c r="I21" s="23"/>
    </row>
    <row r="22" spans="1:10" ht="15" x14ac:dyDescent="0.3">
      <c r="A22" s="28" t="s">
        <v>23</v>
      </c>
      <c r="B22" s="29"/>
      <c r="C22" s="30"/>
      <c r="D22" s="30"/>
      <c r="E22" s="30"/>
      <c r="F22" s="30"/>
      <c r="G22" s="30"/>
      <c r="H22" s="30"/>
      <c r="I22" s="23"/>
    </row>
    <row r="23" spans="1:10" ht="15" x14ac:dyDescent="0.3">
      <c r="A23" s="28" t="s">
        <v>24</v>
      </c>
      <c r="B23" s="29"/>
      <c r="C23" s="30"/>
      <c r="D23" s="30"/>
      <c r="E23" s="30"/>
      <c r="F23" s="30"/>
      <c r="G23" s="30"/>
      <c r="H23" s="30"/>
      <c r="I23" s="23"/>
    </row>
    <row r="24" spans="1:10" ht="15" x14ac:dyDescent="0.3">
      <c r="A24" s="28"/>
      <c r="B24" s="29"/>
      <c r="C24" s="30"/>
      <c r="D24" s="30"/>
      <c r="E24" s="30"/>
      <c r="F24" s="30"/>
      <c r="G24" s="30"/>
      <c r="H24" s="30"/>
      <c r="I24" s="23"/>
    </row>
    <row r="25" spans="1:10" ht="15" x14ac:dyDescent="0.3">
      <c r="A25" s="28"/>
      <c r="B25" s="29"/>
      <c r="C25" s="30"/>
      <c r="D25" s="30"/>
      <c r="E25" s="30"/>
      <c r="F25" s="30"/>
      <c r="G25" s="30"/>
      <c r="H25" s="30"/>
      <c r="I25" s="23"/>
    </row>
    <row r="26" spans="1:10" ht="13" x14ac:dyDescent="0.3">
      <c r="A26" s="17" t="s">
        <v>25</v>
      </c>
      <c r="B26" s="29"/>
      <c r="C26" s="30"/>
      <c r="D26" s="30"/>
      <c r="E26" s="30"/>
      <c r="F26" s="30"/>
      <c r="G26" s="30"/>
      <c r="H26" s="30"/>
      <c r="J26" s="23"/>
    </row>
    <row r="27" spans="1:10" ht="13" x14ac:dyDescent="0.3">
      <c r="A27" s="23"/>
      <c r="B27" s="29"/>
      <c r="C27" s="30"/>
      <c r="D27" s="30"/>
      <c r="E27" s="30"/>
      <c r="F27" s="30"/>
      <c r="G27" s="30"/>
      <c r="H27" s="30"/>
      <c r="J27" s="23"/>
    </row>
    <row r="28" spans="1:10" s="23" customFormat="1" ht="14.5" x14ac:dyDescent="0.25">
      <c r="A28" s="99" t="s">
        <v>2</v>
      </c>
      <c r="B28" s="99" t="s">
        <v>3</v>
      </c>
      <c r="C28" s="90" t="s">
        <v>26</v>
      </c>
      <c r="D28" s="100"/>
      <c r="E28" s="100"/>
      <c r="F28" s="91"/>
    </row>
    <row r="29" spans="1:10" s="23" customFormat="1" ht="37.5" x14ac:dyDescent="0.25">
      <c r="A29" s="99"/>
      <c r="B29" s="99"/>
      <c r="C29" s="44" t="s">
        <v>27</v>
      </c>
      <c r="D29" s="44" t="s">
        <v>28</v>
      </c>
      <c r="E29" s="44" t="s">
        <v>29</v>
      </c>
      <c r="F29" s="45" t="s">
        <v>30</v>
      </c>
    </row>
    <row r="30" spans="1:10" s="23" customFormat="1" ht="14.5" x14ac:dyDescent="0.25">
      <c r="A30" s="13" t="s">
        <v>31</v>
      </c>
      <c r="B30" s="14">
        <v>1550</v>
      </c>
      <c r="C30" s="15">
        <v>0.97200145422236783</v>
      </c>
      <c r="D30" s="15">
        <v>1.9941048344005747E-2</v>
      </c>
      <c r="E30" s="15">
        <v>8.0574974336264597E-3</v>
      </c>
      <c r="F30" s="16">
        <f>SUM(C30:E30)</f>
        <v>1</v>
      </c>
    </row>
    <row r="31" spans="1:10" s="23" customFormat="1" ht="14.5" x14ac:dyDescent="0.25">
      <c r="A31" s="13" t="s">
        <v>32</v>
      </c>
      <c r="B31" s="14">
        <v>1551</v>
      </c>
      <c r="C31" s="15">
        <v>0.96397005794086432</v>
      </c>
      <c r="D31" s="15">
        <v>2.5926140962155515E-2</v>
      </c>
      <c r="E31" s="15">
        <v>1.0103801096980123E-2</v>
      </c>
      <c r="F31" s="16">
        <f t="shared" ref="F31:F37" si="0">SUM(C31:E31)</f>
        <v>1</v>
      </c>
      <c r="I31" s="31"/>
    </row>
    <row r="32" spans="1:10" s="23" customFormat="1" x14ac:dyDescent="0.25">
      <c r="A32" s="13" t="s">
        <v>33</v>
      </c>
      <c r="B32" s="14">
        <v>1580</v>
      </c>
      <c r="C32" s="15">
        <v>0.96261171548563296</v>
      </c>
      <c r="D32" s="15">
        <v>2.6659061131158734E-2</v>
      </c>
      <c r="E32" s="15">
        <v>1.0729223383208364E-2</v>
      </c>
      <c r="F32" s="16">
        <f t="shared" si="0"/>
        <v>1</v>
      </c>
      <c r="I32" s="31"/>
    </row>
    <row r="33" spans="1:10" s="23" customFormat="1" x14ac:dyDescent="0.25">
      <c r="A33" s="13" t="s">
        <v>13</v>
      </c>
      <c r="B33" s="14" t="s">
        <v>14</v>
      </c>
      <c r="C33" s="15">
        <v>0.96339404743962676</v>
      </c>
      <c r="D33" s="15">
        <v>2.6088710630606683E-2</v>
      </c>
      <c r="E33" s="15">
        <v>1.0517241929766528E-2</v>
      </c>
      <c r="F33" s="16">
        <f t="shared" si="0"/>
        <v>1</v>
      </c>
      <c r="I33" s="31"/>
    </row>
    <row r="34" spans="1:10" s="23" customFormat="1" x14ac:dyDescent="0.25">
      <c r="A34" s="13" t="s">
        <v>15</v>
      </c>
      <c r="B34" s="14">
        <v>1584</v>
      </c>
      <c r="C34" s="15">
        <v>0.97200145422236783</v>
      </c>
      <c r="D34" s="15">
        <v>1.9941048344005747E-2</v>
      </c>
      <c r="E34" s="15">
        <v>8.0574974336264597E-3</v>
      </c>
      <c r="F34" s="16">
        <f t="shared" si="0"/>
        <v>1</v>
      </c>
      <c r="I34" s="31"/>
    </row>
    <row r="35" spans="1:10" s="23" customFormat="1" x14ac:dyDescent="0.25">
      <c r="A35" s="13" t="s">
        <v>16</v>
      </c>
      <c r="B35" s="14">
        <v>1586</v>
      </c>
      <c r="C35" s="15">
        <v>0.97200145422236783</v>
      </c>
      <c r="D35" s="15">
        <v>1.9941048344005747E-2</v>
      </c>
      <c r="E35" s="15">
        <v>8.0574974336264597E-3</v>
      </c>
      <c r="F35" s="16">
        <f t="shared" si="0"/>
        <v>1</v>
      </c>
      <c r="I35" s="31"/>
    </row>
    <row r="36" spans="1:10" s="23" customFormat="1" x14ac:dyDescent="0.25">
      <c r="A36" s="13" t="s">
        <v>17</v>
      </c>
      <c r="B36" s="14">
        <v>1588</v>
      </c>
      <c r="C36" s="15">
        <v>0.96261171548563296</v>
      </c>
      <c r="D36" s="15">
        <v>2.6659061131158734E-2</v>
      </c>
      <c r="E36" s="15">
        <v>1.0729223383208364E-2</v>
      </c>
      <c r="F36" s="16">
        <f t="shared" si="0"/>
        <v>1</v>
      </c>
      <c r="I36" s="31"/>
    </row>
    <row r="37" spans="1:10" s="23" customFormat="1" x14ac:dyDescent="0.25">
      <c r="A37" s="13" t="s">
        <v>18</v>
      </c>
      <c r="B37" s="14">
        <v>1589</v>
      </c>
      <c r="C37" s="15">
        <v>0.94944392059776384</v>
      </c>
      <c r="D37" s="15">
        <v>3.4255100760208594E-2</v>
      </c>
      <c r="E37" s="15">
        <v>1.6300978642027567E-2</v>
      </c>
      <c r="F37" s="16">
        <f t="shared" si="0"/>
        <v>1</v>
      </c>
      <c r="I37" s="31"/>
    </row>
    <row r="38" spans="1:10" s="23" customFormat="1" x14ac:dyDescent="0.25">
      <c r="B38" s="18"/>
      <c r="C38" s="19"/>
      <c r="D38" s="19"/>
      <c r="E38" s="19"/>
      <c r="F38" s="20"/>
      <c r="I38" s="31"/>
    </row>
    <row r="39" spans="1:10" s="23" customFormat="1" x14ac:dyDescent="0.25">
      <c r="A39" s="17" t="s">
        <v>21</v>
      </c>
      <c r="B39" s="18"/>
      <c r="C39" s="19"/>
      <c r="D39" s="19"/>
      <c r="E39" s="19"/>
      <c r="F39" s="20"/>
      <c r="I39" s="31"/>
    </row>
    <row r="40" spans="1:10" s="23" customFormat="1" ht="39.65" customHeight="1" x14ac:dyDescent="0.25">
      <c r="A40" s="96" t="s">
        <v>34</v>
      </c>
      <c r="B40" s="97"/>
      <c r="C40" s="97"/>
      <c r="D40" s="97"/>
      <c r="E40" s="97"/>
      <c r="F40" s="97"/>
    </row>
    <row r="41" spans="1:10" s="23" customFormat="1" ht="13.9" customHeight="1" x14ac:dyDescent="0.25">
      <c r="A41" s="96" t="s">
        <v>35</v>
      </c>
      <c r="B41" s="97"/>
      <c r="C41" s="97"/>
      <c r="D41" s="97"/>
      <c r="E41" s="97"/>
      <c r="F41" s="97"/>
    </row>
    <row r="42" spans="1:10" s="23" customFormat="1" x14ac:dyDescent="0.25">
      <c r="A42" s="96" t="s">
        <v>36</v>
      </c>
      <c r="B42" s="97"/>
      <c r="C42" s="97"/>
      <c r="D42" s="97"/>
      <c r="E42" s="97"/>
      <c r="F42" s="97"/>
      <c r="J42" s="1"/>
    </row>
    <row r="43" spans="1:10" s="23" customFormat="1" x14ac:dyDescent="0.25">
      <c r="A43" s="21"/>
      <c r="B43" s="43"/>
      <c r="C43" s="43"/>
      <c r="D43" s="43"/>
      <c r="E43" s="43"/>
      <c r="F43" s="43"/>
      <c r="J43" s="1"/>
    </row>
    <row r="44" spans="1:10" s="23" customFormat="1" x14ac:dyDescent="0.25">
      <c r="A44" s="21"/>
      <c r="B44" s="43"/>
      <c r="C44" s="43"/>
      <c r="D44" s="43"/>
      <c r="E44" s="43"/>
      <c r="F44" s="43"/>
      <c r="J44" s="1"/>
    </row>
    <row r="45" spans="1:10" s="23" customFormat="1" x14ac:dyDescent="0.25">
      <c r="A45" s="17" t="s">
        <v>37</v>
      </c>
      <c r="B45" s="43"/>
      <c r="C45" s="43"/>
      <c r="D45" s="43"/>
      <c r="E45" s="43"/>
      <c r="F45" s="43"/>
      <c r="J45" s="1"/>
    </row>
    <row r="46" spans="1:10" x14ac:dyDescent="0.25">
      <c r="A46" s="24"/>
      <c r="B46" s="24"/>
      <c r="C46" s="24"/>
      <c r="D46" s="24"/>
      <c r="E46" s="24"/>
      <c r="F46" s="24"/>
      <c r="H46" s="24"/>
      <c r="I46" s="24"/>
    </row>
    <row r="47" spans="1:10" x14ac:dyDescent="0.25">
      <c r="A47" s="84" t="s">
        <v>2</v>
      </c>
      <c r="B47" s="84" t="s">
        <v>3</v>
      </c>
      <c r="C47" s="93" t="s">
        <v>38</v>
      </c>
      <c r="D47" s="94"/>
      <c r="E47" s="94"/>
      <c r="F47" s="95"/>
    </row>
    <row r="48" spans="1:10" ht="57.65" customHeight="1" x14ac:dyDescent="0.25">
      <c r="A48" s="92"/>
      <c r="B48" s="92"/>
      <c r="C48" s="44" t="s">
        <v>39</v>
      </c>
      <c r="D48" s="44" t="s">
        <v>40</v>
      </c>
      <c r="E48" s="44" t="s">
        <v>41</v>
      </c>
      <c r="F48" s="44" t="s">
        <v>42</v>
      </c>
    </row>
    <row r="49" spans="1:9" ht="14.5" x14ac:dyDescent="0.25">
      <c r="A49" s="13" t="s">
        <v>43</v>
      </c>
      <c r="B49" s="14">
        <v>1550</v>
      </c>
      <c r="C49" s="25">
        <v>636484.46000000101</v>
      </c>
      <c r="D49" s="25">
        <v>1117872.580000001</v>
      </c>
      <c r="E49" s="25">
        <v>-381884.76</v>
      </c>
      <c r="F49" s="25">
        <v>-99503.359999999986</v>
      </c>
      <c r="G49" s="23"/>
    </row>
    <row r="50" spans="1:9" x14ac:dyDescent="0.25">
      <c r="A50" s="13" t="s">
        <v>11</v>
      </c>
      <c r="B50" s="14">
        <v>1551</v>
      </c>
      <c r="C50" s="25">
        <v>-807749.62000000011</v>
      </c>
      <c r="D50" s="25">
        <f t="shared" ref="D50:D56" si="1">VLOOKUP($B50,$B$30:$E$37,2,FALSE)*$C50</f>
        <v>-778646.44799311121</v>
      </c>
      <c r="E50" s="25">
        <f t="shared" ref="E50:E56" si="2">VLOOKUP($B50,$B$30:$E$37,3,FALSE)*$C50</f>
        <v>-20941.830510247553</v>
      </c>
      <c r="F50" s="25">
        <f t="shared" ref="F50:F56" si="3">VLOOKUP($B50,$B$30:$E$37,4,FALSE)*$C50</f>
        <v>-8161.3414966412784</v>
      </c>
    </row>
    <row r="51" spans="1:9" ht="14.5" x14ac:dyDescent="0.25">
      <c r="A51" s="13" t="s">
        <v>12</v>
      </c>
      <c r="B51" s="14">
        <v>1580</v>
      </c>
      <c r="C51" s="25">
        <v>7208727.5578738172</v>
      </c>
      <c r="D51" s="25">
        <f t="shared" si="1"/>
        <v>6939205.6009534728</v>
      </c>
      <c r="E51" s="25">
        <f t="shared" si="2"/>
        <v>192177.90864322669</v>
      </c>
      <c r="F51" s="25">
        <f t="shared" si="3"/>
        <v>77344.048277118287</v>
      </c>
    </row>
    <row r="52" spans="1:9" x14ac:dyDescent="0.25">
      <c r="A52" s="13" t="s">
        <v>13</v>
      </c>
      <c r="B52" s="14" t="s">
        <v>14</v>
      </c>
      <c r="C52" s="25">
        <v>-3549712.107873816</v>
      </c>
      <c r="D52" s="25">
        <f t="shared" si="1"/>
        <v>-3419771.5148500046</v>
      </c>
      <c r="E52" s="25">
        <f t="shared" si="2"/>
        <v>-92607.412004280879</v>
      </c>
      <c r="F52" s="25">
        <f t="shared" si="3"/>
        <v>-37333.181019530421</v>
      </c>
    </row>
    <row r="53" spans="1:9" x14ac:dyDescent="0.25">
      <c r="A53" s="13" t="s">
        <v>15</v>
      </c>
      <c r="B53" s="14">
        <v>1584</v>
      </c>
      <c r="C53" s="25">
        <v>23963648.649999999</v>
      </c>
      <c r="D53" s="25">
        <f t="shared" si="1"/>
        <v>23292701.336273879</v>
      </c>
      <c r="E53" s="25">
        <f t="shared" si="2"/>
        <v>477860.27622841805</v>
      </c>
      <c r="F53" s="25">
        <f t="shared" si="3"/>
        <v>193087.03749770115</v>
      </c>
    </row>
    <row r="54" spans="1:9" x14ac:dyDescent="0.25">
      <c r="A54" s="13" t="s">
        <v>16</v>
      </c>
      <c r="B54" s="14">
        <v>1586</v>
      </c>
      <c r="C54" s="25">
        <v>-5498211.2899999991</v>
      </c>
      <c r="D54" s="25">
        <f t="shared" si="1"/>
        <v>-5344269.3695018403</v>
      </c>
      <c r="E54" s="25">
        <f t="shared" si="2"/>
        <v>-109640.09713944819</v>
      </c>
      <c r="F54" s="25">
        <f t="shared" si="3"/>
        <v>-44301.823358711015</v>
      </c>
    </row>
    <row r="55" spans="1:9" x14ac:dyDescent="0.25">
      <c r="A55" s="13" t="s">
        <v>17</v>
      </c>
      <c r="B55" s="14">
        <v>1588</v>
      </c>
      <c r="C55" s="25">
        <v>67286484.180000007</v>
      </c>
      <c r="D55" s="25">
        <f t="shared" si="1"/>
        <v>64770757.96550671</v>
      </c>
      <c r="E55" s="25">
        <f t="shared" si="2"/>
        <v>1793794.4950553654</v>
      </c>
      <c r="F55" s="25">
        <f t="shared" si="3"/>
        <v>721931.71943793574</v>
      </c>
      <c r="I55" s="37"/>
    </row>
    <row r="56" spans="1:9" x14ac:dyDescent="0.25">
      <c r="A56" s="13" t="s">
        <v>18</v>
      </c>
      <c r="B56" s="14">
        <v>1589</v>
      </c>
      <c r="C56" s="25">
        <v>-51841896.450000003</v>
      </c>
      <c r="D56" s="25">
        <f t="shared" si="1"/>
        <v>-49220973.416711301</v>
      </c>
      <c r="E56" s="25">
        <f t="shared" si="2"/>
        <v>-1775849.3864950503</v>
      </c>
      <c r="F56" s="25">
        <f t="shared" si="3"/>
        <v>-845073.64679365477</v>
      </c>
    </row>
    <row r="57" spans="1:9" ht="14.5" x14ac:dyDescent="0.25">
      <c r="A57" s="13" t="s">
        <v>19</v>
      </c>
      <c r="B57" s="14">
        <v>1588</v>
      </c>
      <c r="C57" s="25">
        <v>13590622.830000002</v>
      </c>
      <c r="D57" s="25">
        <f>C57</f>
        <v>13590622.830000002</v>
      </c>
      <c r="E57" s="26"/>
      <c r="F57" s="26"/>
    </row>
    <row r="58" spans="1:9" ht="14.5" x14ac:dyDescent="0.25">
      <c r="A58" s="13" t="s">
        <v>20</v>
      </c>
      <c r="B58" s="14">
        <v>1589</v>
      </c>
      <c r="C58" s="25">
        <v>-13590622.830000002</v>
      </c>
      <c r="D58" s="25">
        <f>C58</f>
        <v>-13590622.830000002</v>
      </c>
      <c r="E58" s="26"/>
      <c r="F58" s="26"/>
    </row>
    <row r="59" spans="1:9" x14ac:dyDescent="0.25">
      <c r="A59" s="23"/>
      <c r="B59" s="18"/>
      <c r="C59" s="27"/>
      <c r="D59" s="27"/>
    </row>
    <row r="60" spans="1:9" x14ac:dyDescent="0.25">
      <c r="A60" s="17" t="s">
        <v>21</v>
      </c>
      <c r="B60" s="18"/>
      <c r="C60" s="27"/>
      <c r="D60" s="27"/>
    </row>
    <row r="61" spans="1:9" ht="14.5" x14ac:dyDescent="0.25">
      <c r="A61" s="36" t="s">
        <v>44</v>
      </c>
      <c r="B61" s="18"/>
      <c r="C61" s="27"/>
      <c r="D61" s="27"/>
    </row>
    <row r="62" spans="1:9" ht="14.5" x14ac:dyDescent="0.25">
      <c r="A62" s="23" t="s">
        <v>45</v>
      </c>
      <c r="B62" s="24"/>
      <c r="C62" s="24"/>
      <c r="D62" s="24"/>
    </row>
    <row r="63" spans="1:9" ht="14.5" x14ac:dyDescent="0.25">
      <c r="A63" s="28" t="s">
        <v>24</v>
      </c>
      <c r="B63" s="24"/>
      <c r="C63" s="24"/>
      <c r="D63" s="24"/>
      <c r="E63" s="24"/>
      <c r="F63" s="24"/>
    </row>
    <row r="64" spans="1:9" x14ac:dyDescent="0.25">
      <c r="A64" s="23"/>
      <c r="B64" s="24"/>
      <c r="C64" s="24"/>
      <c r="D64" s="24"/>
      <c r="E64" s="24"/>
      <c r="F64" s="24"/>
    </row>
    <row r="65" spans="1:9" x14ac:dyDescent="0.25">
      <c r="A65" s="23"/>
      <c r="B65" s="24"/>
      <c r="C65" s="24"/>
      <c r="D65" s="24"/>
      <c r="E65" s="24"/>
      <c r="F65" s="24"/>
    </row>
    <row r="66" spans="1:9" x14ac:dyDescent="0.25">
      <c r="A66" s="17" t="s">
        <v>46</v>
      </c>
      <c r="B66" s="24"/>
      <c r="C66" s="24"/>
      <c r="D66" s="24"/>
      <c r="E66" s="24"/>
      <c r="F66" s="24"/>
    </row>
    <row r="67" spans="1:9" x14ac:dyDescent="0.25">
      <c r="A67" s="23"/>
      <c r="B67" s="24"/>
      <c r="C67" s="24"/>
      <c r="D67" s="24"/>
      <c r="E67" s="24"/>
      <c r="F67" s="24"/>
    </row>
    <row r="68" spans="1:9" x14ac:dyDescent="0.25">
      <c r="A68" s="84" t="s">
        <v>2</v>
      </c>
      <c r="B68" s="84" t="s">
        <v>3</v>
      </c>
      <c r="C68" s="93" t="s">
        <v>47</v>
      </c>
      <c r="D68" s="94"/>
      <c r="E68" s="94"/>
      <c r="F68" s="95"/>
    </row>
    <row r="69" spans="1:9" ht="56.15" customHeight="1" x14ac:dyDescent="0.25">
      <c r="A69" s="92"/>
      <c r="B69" s="92"/>
      <c r="C69" s="44" t="s">
        <v>48</v>
      </c>
      <c r="D69" s="44" t="s">
        <v>49</v>
      </c>
      <c r="E69" s="44" t="s">
        <v>50</v>
      </c>
      <c r="F69" s="44" t="s">
        <v>51</v>
      </c>
    </row>
    <row r="70" spans="1:9" x14ac:dyDescent="0.25">
      <c r="A70" s="13" t="s">
        <v>10</v>
      </c>
      <c r="B70" s="14">
        <v>1550</v>
      </c>
      <c r="C70" s="25">
        <v>27720.720000000001</v>
      </c>
      <c r="D70" s="25">
        <f t="shared" ref="D70:D77" si="4">VLOOKUP($B70,$B$30:$E$37,2,FALSE)*$C70</f>
        <v>26944.580152091079</v>
      </c>
      <c r="E70" s="25">
        <f t="shared" ref="E70:E77" si="5">VLOOKUP($B70,$B$30:$E$37,3,FALSE)*$C70</f>
        <v>552.78021765064705</v>
      </c>
      <c r="F70" s="25">
        <f t="shared" ref="F70:F77" si="6">VLOOKUP($B70,$B$30:$E$37,4,FALSE)*$C70</f>
        <v>223.35963025827769</v>
      </c>
      <c r="G70" s="23"/>
      <c r="H70" s="2"/>
      <c r="I70" s="2"/>
    </row>
    <row r="71" spans="1:9" x14ac:dyDescent="0.25">
      <c r="A71" s="13" t="s">
        <v>11</v>
      </c>
      <c r="B71" s="14">
        <v>1551</v>
      </c>
      <c r="C71" s="25">
        <v>-2027.9899999999998</v>
      </c>
      <c r="D71" s="25">
        <f t="shared" si="4"/>
        <v>-1954.9216378034932</v>
      </c>
      <c r="E71" s="25">
        <f t="shared" si="5"/>
        <v>-52.577954609841761</v>
      </c>
      <c r="F71" s="25">
        <f t="shared" si="6"/>
        <v>-20.490407586664716</v>
      </c>
      <c r="G71" s="2"/>
      <c r="H71" s="2"/>
      <c r="I71" s="2"/>
    </row>
    <row r="72" spans="1:9" ht="14.5" x14ac:dyDescent="0.25">
      <c r="A72" s="13" t="s">
        <v>52</v>
      </c>
      <c r="B72" s="14">
        <v>1580</v>
      </c>
      <c r="C72" s="25">
        <v>-59663.440836645954</v>
      </c>
      <c r="D72" s="25">
        <f t="shared" si="4"/>
        <v>-57432.727135539331</v>
      </c>
      <c r="E72" s="25">
        <f t="shared" si="5"/>
        <v>-1590.5713165594168</v>
      </c>
      <c r="F72" s="25">
        <f t="shared" si="6"/>
        <v>-640.14238454721055</v>
      </c>
      <c r="G72" s="2"/>
      <c r="H72" s="2"/>
      <c r="I72" s="2"/>
    </row>
    <row r="73" spans="1:9" x14ac:dyDescent="0.25">
      <c r="A73" s="13" t="s">
        <v>13</v>
      </c>
      <c r="B73" s="14" t="s">
        <v>14</v>
      </c>
      <c r="C73" s="25">
        <v>-17903.249163354049</v>
      </c>
      <c r="D73" s="25">
        <f t="shared" si="4"/>
        <v>-17247.883673803768</v>
      </c>
      <c r="E73" s="25">
        <f t="shared" si="5"/>
        <v>-467.07268677039497</v>
      </c>
      <c r="F73" s="25">
        <f t="shared" si="6"/>
        <v>-188.29280277988471</v>
      </c>
      <c r="G73" s="3"/>
      <c r="H73" s="3"/>
      <c r="I73" s="3"/>
    </row>
    <row r="74" spans="1:9" x14ac:dyDescent="0.25">
      <c r="A74" s="13" t="s">
        <v>15</v>
      </c>
      <c r="B74" s="14">
        <v>1584</v>
      </c>
      <c r="C74" s="25">
        <v>19421.150000000023</v>
      </c>
      <c r="D74" s="25">
        <f t="shared" si="4"/>
        <v>18877.386042670762</v>
      </c>
      <c r="E74" s="25">
        <f t="shared" si="5"/>
        <v>387.27809104618768</v>
      </c>
      <c r="F74" s="25">
        <f t="shared" si="6"/>
        <v>156.4858662830747</v>
      </c>
      <c r="G74" s="3"/>
      <c r="H74" s="3"/>
      <c r="I74" s="3"/>
    </row>
    <row r="75" spans="1:9" x14ac:dyDescent="0.25">
      <c r="A75" s="13" t="s">
        <v>16</v>
      </c>
      <c r="B75" s="14">
        <v>1586</v>
      </c>
      <c r="C75" s="25">
        <v>-80832.820000000007</v>
      </c>
      <c r="D75" s="25">
        <f t="shared" si="4"/>
        <v>-78569.618588894911</v>
      </c>
      <c r="E75" s="25">
        <f t="shared" si="5"/>
        <v>-1611.8911714023147</v>
      </c>
      <c r="F75" s="25">
        <f t="shared" si="6"/>
        <v>-651.31023970278966</v>
      </c>
      <c r="G75" s="3"/>
      <c r="H75" s="3"/>
      <c r="I75" s="3"/>
    </row>
    <row r="76" spans="1:9" x14ac:dyDescent="0.25">
      <c r="A76" s="13" t="s">
        <v>17</v>
      </c>
      <c r="B76" s="14">
        <v>1588</v>
      </c>
      <c r="C76" s="25">
        <v>-184177.31999999998</v>
      </c>
      <c r="D76" s="25">
        <f t="shared" si="4"/>
        <v>-177291.24595874635</v>
      </c>
      <c r="E76" s="25">
        <f t="shared" si="5"/>
        <v>-4909.9944328529837</v>
      </c>
      <c r="F76" s="25">
        <f t="shared" si="6"/>
        <v>-1976.0796084006492</v>
      </c>
      <c r="G76" s="3"/>
      <c r="H76" s="3"/>
      <c r="I76" s="3"/>
    </row>
    <row r="77" spans="1:9" x14ac:dyDescent="0.25">
      <c r="A77" s="13" t="s">
        <v>18</v>
      </c>
      <c r="B77" s="14">
        <v>1589</v>
      </c>
      <c r="C77" s="25">
        <v>14971.819999999992</v>
      </c>
      <c r="D77" s="25">
        <f t="shared" si="4"/>
        <v>14214.903479284005</v>
      </c>
      <c r="E77" s="25">
        <f t="shared" si="5"/>
        <v>512.86120266370597</v>
      </c>
      <c r="F77" s="25">
        <f t="shared" si="6"/>
        <v>244.05531805228105</v>
      </c>
      <c r="G77" s="3"/>
      <c r="H77" s="3"/>
      <c r="I77" s="3"/>
    </row>
    <row r="78" spans="1:9" ht="14.5" x14ac:dyDescent="0.25">
      <c r="A78" s="13" t="s">
        <v>53</v>
      </c>
      <c r="B78" s="14">
        <v>1588</v>
      </c>
      <c r="C78" s="25">
        <v>59161.82</v>
      </c>
      <c r="D78" s="25">
        <f>C78</f>
        <v>59161.82</v>
      </c>
      <c r="E78" s="26"/>
      <c r="F78" s="26"/>
      <c r="G78" s="3"/>
      <c r="H78" s="3"/>
      <c r="I78" s="3"/>
    </row>
    <row r="79" spans="1:9" ht="14.5" x14ac:dyDescent="0.25">
      <c r="A79" s="13" t="s">
        <v>54</v>
      </c>
      <c r="B79" s="14">
        <v>1589</v>
      </c>
      <c r="C79" s="25">
        <v>-59161.82</v>
      </c>
      <c r="D79" s="25">
        <f>C79</f>
        <v>-59161.82</v>
      </c>
      <c r="E79" s="26"/>
      <c r="F79" s="26"/>
      <c r="G79" s="3"/>
      <c r="H79" s="3"/>
      <c r="I79" s="3"/>
    </row>
    <row r="80" spans="1:9" x14ac:dyDescent="0.25">
      <c r="A80" s="23"/>
      <c r="B80" s="18"/>
      <c r="C80" s="27"/>
      <c r="D80" s="27"/>
      <c r="E80" s="27"/>
      <c r="F80" s="27"/>
      <c r="G80" s="3"/>
      <c r="H80" s="3"/>
      <c r="I80" s="3"/>
    </row>
    <row r="81" spans="1:9" x14ac:dyDescent="0.25">
      <c r="A81" s="17" t="s">
        <v>21</v>
      </c>
      <c r="B81" s="18"/>
      <c r="C81" s="27"/>
      <c r="D81" s="27"/>
      <c r="E81" s="27"/>
      <c r="F81" s="27"/>
      <c r="G81" s="3"/>
      <c r="H81" s="3"/>
      <c r="I81" s="3"/>
    </row>
    <row r="82" spans="1:9" ht="14.5" x14ac:dyDescent="0.25">
      <c r="A82" s="23" t="s">
        <v>55</v>
      </c>
      <c r="B82" s="23"/>
      <c r="C82" s="23"/>
      <c r="D82" s="23"/>
      <c r="E82" s="23"/>
      <c r="F82" s="23"/>
      <c r="H82" s="23"/>
      <c r="I82" s="23"/>
    </row>
    <row r="83" spans="1:9" ht="14.5" x14ac:dyDescent="0.25">
      <c r="A83" s="28" t="s">
        <v>56</v>
      </c>
      <c r="B83" s="23"/>
      <c r="C83" s="23"/>
      <c r="D83" s="23"/>
      <c r="E83" s="23"/>
      <c r="F83" s="23"/>
      <c r="H83" s="23"/>
      <c r="I83" s="23"/>
    </row>
    <row r="84" spans="1:9" x14ac:dyDescent="0.25">
      <c r="A84" s="23"/>
      <c r="B84" s="23"/>
      <c r="C84" s="23"/>
      <c r="D84" s="23"/>
      <c r="E84" s="23"/>
      <c r="F84" s="23"/>
      <c r="H84" s="23"/>
      <c r="I84" s="23"/>
    </row>
    <row r="85" spans="1:9" x14ac:dyDescent="0.25">
      <c r="A85" s="23"/>
      <c r="B85" s="23"/>
      <c r="C85" s="23"/>
      <c r="D85" s="23"/>
      <c r="E85" s="23"/>
      <c r="F85" s="23"/>
      <c r="H85" s="23"/>
      <c r="I85" s="23"/>
    </row>
    <row r="86" spans="1:9" x14ac:dyDescent="0.25">
      <c r="A86" s="17" t="s">
        <v>57</v>
      </c>
      <c r="B86" s="23"/>
      <c r="C86" s="23"/>
      <c r="D86" s="23"/>
      <c r="E86" s="23"/>
      <c r="F86" s="23"/>
      <c r="H86" s="23"/>
      <c r="I86" s="23"/>
    </row>
    <row r="87" spans="1:9" x14ac:dyDescent="0.25">
      <c r="A87" s="23"/>
      <c r="B87" s="23"/>
      <c r="C87" s="23"/>
      <c r="D87" s="23"/>
      <c r="E87" s="23"/>
      <c r="F87" s="23"/>
      <c r="H87" s="23"/>
      <c r="I87" s="23"/>
    </row>
    <row r="88" spans="1:9" ht="13.9" customHeight="1" x14ac:dyDescent="0.25">
      <c r="A88" s="84" t="s">
        <v>2</v>
      </c>
      <c r="B88" s="84" t="s">
        <v>3</v>
      </c>
      <c r="C88" s="87" t="s">
        <v>58</v>
      </c>
      <c r="D88" s="88"/>
      <c r="E88" s="88"/>
      <c r="F88" s="88"/>
      <c r="G88" s="88"/>
      <c r="H88" s="89"/>
    </row>
    <row r="89" spans="1:9" ht="64.150000000000006" customHeight="1" x14ac:dyDescent="0.25">
      <c r="A89" s="85"/>
      <c r="B89" s="85"/>
      <c r="C89" s="87" t="s">
        <v>59</v>
      </c>
      <c r="D89" s="89"/>
      <c r="E89" s="90" t="s">
        <v>60</v>
      </c>
      <c r="F89" s="91"/>
      <c r="G89" s="90" t="s">
        <v>61</v>
      </c>
      <c r="H89" s="91"/>
    </row>
    <row r="90" spans="1:9" ht="25" x14ac:dyDescent="0.25">
      <c r="A90" s="86"/>
      <c r="B90" s="86"/>
      <c r="C90" s="44" t="s">
        <v>62</v>
      </c>
      <c r="D90" s="44" t="s">
        <v>63</v>
      </c>
      <c r="E90" s="44" t="s">
        <v>64</v>
      </c>
      <c r="F90" s="44" t="s">
        <v>65</v>
      </c>
      <c r="G90" s="44" t="s">
        <v>66</v>
      </c>
      <c r="H90" s="44" t="s">
        <v>67</v>
      </c>
    </row>
    <row r="91" spans="1:9" x14ac:dyDescent="0.25">
      <c r="A91" s="13" t="s">
        <v>10</v>
      </c>
      <c r="B91" s="14">
        <v>1550</v>
      </c>
      <c r="C91" s="25">
        <f t="shared" ref="C91:C98" si="7">C9+D49</f>
        <v>4181777.6300000008</v>
      </c>
      <c r="D91" s="25">
        <f t="shared" ref="D91:D100" si="8">D9+D70</f>
        <v>45405.550152091077</v>
      </c>
      <c r="E91" s="25">
        <f t="shared" ref="E91:E98" si="9">E9+E49</f>
        <v>1529937.63</v>
      </c>
      <c r="F91" s="25">
        <f t="shared" ref="F91:F98" si="10">F9+E70</f>
        <v>51031.010217650648</v>
      </c>
      <c r="G91" s="25">
        <f t="shared" ref="G91:G98" si="11">G9+F49</f>
        <v>3693747.44</v>
      </c>
      <c r="H91" s="25">
        <f t="shared" ref="H91:H98" si="12">H9+F70</f>
        <v>105696.38963025827</v>
      </c>
    </row>
    <row r="92" spans="1:9" x14ac:dyDescent="0.25">
      <c r="A92" s="13" t="s">
        <v>11</v>
      </c>
      <c r="B92" s="14">
        <v>1551</v>
      </c>
      <c r="C92" s="25">
        <f t="shared" si="7"/>
        <v>-1024812.4379931112</v>
      </c>
      <c r="D92" s="25">
        <f t="shared" si="8"/>
        <v>-3337.7416378034932</v>
      </c>
      <c r="E92" s="25">
        <f t="shared" si="9"/>
        <v>-43549.170510247553</v>
      </c>
      <c r="F92" s="25">
        <f t="shared" si="10"/>
        <v>-1328.2879546098418</v>
      </c>
      <c r="G92" s="25">
        <f t="shared" si="11"/>
        <v>-32385.201496641279</v>
      </c>
      <c r="H92" s="25">
        <f t="shared" si="12"/>
        <v>-935.50040758666466</v>
      </c>
    </row>
    <row r="93" spans="1:9" ht="14.5" x14ac:dyDescent="0.25">
      <c r="A93" s="13" t="s">
        <v>52</v>
      </c>
      <c r="B93" s="14">
        <v>1580</v>
      </c>
      <c r="C93" s="25">
        <f t="shared" si="7"/>
        <v>-11733542.140432725</v>
      </c>
      <c r="D93" s="25">
        <f t="shared" si="8"/>
        <v>-232067.49227607338</v>
      </c>
      <c r="E93" s="25">
        <f t="shared" si="9"/>
        <v>-2057764.6913567735</v>
      </c>
      <c r="F93" s="25">
        <f t="shared" si="10"/>
        <v>-104535.57131655942</v>
      </c>
      <c r="G93" s="25">
        <f t="shared" si="11"/>
        <v>-1333805.2917228818</v>
      </c>
      <c r="H93" s="25">
        <f t="shared" si="12"/>
        <v>-61983.872384547212</v>
      </c>
    </row>
    <row r="94" spans="1:9" x14ac:dyDescent="0.25">
      <c r="A94" s="13" t="s">
        <v>13</v>
      </c>
      <c r="B94" s="14" t="s">
        <v>14</v>
      </c>
      <c r="C94" s="25">
        <f t="shared" si="7"/>
        <v>-7630504.1334638055</v>
      </c>
      <c r="D94" s="25">
        <f t="shared" si="8"/>
        <v>-42493.538533269719</v>
      </c>
      <c r="E94" s="25">
        <f t="shared" si="9"/>
        <v>-215789.4820042809</v>
      </c>
      <c r="F94" s="25">
        <f t="shared" si="10"/>
        <v>-3368.2226867703948</v>
      </c>
      <c r="G94" s="25">
        <f t="shared" si="11"/>
        <v>-89259.711019530427</v>
      </c>
      <c r="H94" s="25">
        <f t="shared" si="12"/>
        <v>-1651.2928027798848</v>
      </c>
    </row>
    <row r="95" spans="1:9" x14ac:dyDescent="0.25">
      <c r="A95" s="13" t="s">
        <v>15</v>
      </c>
      <c r="B95" s="14">
        <v>1584</v>
      </c>
      <c r="C95" s="25">
        <f t="shared" si="7"/>
        <v>19252811.216273878</v>
      </c>
      <c r="D95" s="25">
        <f t="shared" si="8"/>
        <v>-113058.36395732925</v>
      </c>
      <c r="E95" s="25">
        <f t="shared" si="9"/>
        <v>1174815.5962284179</v>
      </c>
      <c r="F95" s="25">
        <f t="shared" si="10"/>
        <v>-21317.261908953813</v>
      </c>
      <c r="G95" s="25">
        <f t="shared" si="11"/>
        <v>178862.24749770114</v>
      </c>
      <c r="H95" s="25">
        <f t="shared" si="12"/>
        <v>-2114.3641337169252</v>
      </c>
    </row>
    <row r="96" spans="1:9" x14ac:dyDescent="0.25">
      <c r="A96" s="13" t="s">
        <v>16</v>
      </c>
      <c r="B96" s="14">
        <v>1586</v>
      </c>
      <c r="C96" s="25">
        <f t="shared" si="7"/>
        <v>-27089587.72950184</v>
      </c>
      <c r="D96" s="25">
        <f t="shared" si="8"/>
        <v>-173261.17858889489</v>
      </c>
      <c r="E96" s="25">
        <f t="shared" si="9"/>
        <v>597299.2328605518</v>
      </c>
      <c r="F96" s="25">
        <f t="shared" si="10"/>
        <v>-3768.6911714023149</v>
      </c>
      <c r="G96" s="25">
        <f t="shared" si="11"/>
        <v>-42603.643358711015</v>
      </c>
      <c r="H96" s="25">
        <f t="shared" si="12"/>
        <v>-3586.8002397027894</v>
      </c>
    </row>
    <row r="97" spans="1:8" x14ac:dyDescent="0.25">
      <c r="A97" s="13" t="s">
        <v>17</v>
      </c>
      <c r="B97" s="14">
        <v>1588</v>
      </c>
      <c r="C97" s="25">
        <f t="shared" si="7"/>
        <v>-40296748.234493293</v>
      </c>
      <c r="D97" s="25">
        <f t="shared" si="8"/>
        <v>-350957.32595874637</v>
      </c>
      <c r="E97" s="25">
        <f t="shared" si="9"/>
        <v>168912.92505536531</v>
      </c>
      <c r="F97" s="25">
        <f t="shared" si="10"/>
        <v>-6899.4044328529835</v>
      </c>
      <c r="G97" s="25">
        <f t="shared" si="11"/>
        <v>97559.429437935702</v>
      </c>
      <c r="H97" s="25">
        <f t="shared" si="12"/>
        <v>-23753.64960840065</v>
      </c>
    </row>
    <row r="98" spans="1:8" x14ac:dyDescent="0.25">
      <c r="A98" s="13" t="s">
        <v>18</v>
      </c>
      <c r="B98" s="14">
        <v>1589</v>
      </c>
      <c r="C98" s="25">
        <f t="shared" si="7"/>
        <v>2730095.9009886682</v>
      </c>
      <c r="D98" s="25">
        <f t="shared" si="8"/>
        <v>-68125.936520715986</v>
      </c>
      <c r="E98" s="25">
        <f t="shared" si="9"/>
        <v>929723.24350494961</v>
      </c>
      <c r="F98" s="25">
        <f t="shared" si="10"/>
        <v>36425.691202663707</v>
      </c>
      <c r="G98" s="25">
        <f t="shared" si="11"/>
        <v>-831899.8067936548</v>
      </c>
      <c r="H98" s="25">
        <f t="shared" si="12"/>
        <v>10522.55531805228</v>
      </c>
    </row>
    <row r="99" spans="1:8" x14ac:dyDescent="0.25">
      <c r="A99" s="13" t="s">
        <v>68</v>
      </c>
      <c r="B99" s="14">
        <v>1588</v>
      </c>
      <c r="C99" s="25">
        <f>SUM(C17,D57)</f>
        <v>24748877.380000003</v>
      </c>
      <c r="D99" s="25">
        <f t="shared" si="8"/>
        <v>67874.64</v>
      </c>
      <c r="E99" s="26"/>
      <c r="F99" s="26"/>
      <c r="G99" s="26"/>
      <c r="H99" s="26"/>
    </row>
    <row r="100" spans="1:8" x14ac:dyDescent="0.25">
      <c r="A100" s="13" t="s">
        <v>69</v>
      </c>
      <c r="B100" s="14">
        <v>1589</v>
      </c>
      <c r="C100" s="25">
        <f>C18+D58</f>
        <v>-24748877.380000003</v>
      </c>
      <c r="D100" s="25">
        <f t="shared" si="8"/>
        <v>-67874.64</v>
      </c>
      <c r="E100" s="26"/>
      <c r="F100" s="26"/>
      <c r="G100" s="26"/>
      <c r="H100" s="26"/>
    </row>
    <row r="101" spans="1:8" x14ac:dyDescent="0.25">
      <c r="A101" s="23"/>
      <c r="B101" s="18"/>
      <c r="C101" s="27"/>
      <c r="D101" s="27"/>
      <c r="E101" s="27"/>
      <c r="F101" s="27"/>
      <c r="G101" s="27"/>
      <c r="H101" s="27"/>
    </row>
    <row r="102" spans="1:8" x14ac:dyDescent="0.25">
      <c r="A102" s="17" t="s">
        <v>21</v>
      </c>
      <c r="B102" s="18"/>
      <c r="C102" s="27"/>
      <c r="D102" s="27"/>
      <c r="E102" s="27"/>
      <c r="F102" s="27"/>
      <c r="G102" s="27"/>
      <c r="H102" s="27"/>
    </row>
    <row r="103" spans="1:8" ht="15" x14ac:dyDescent="0.3">
      <c r="A103" s="23" t="s">
        <v>55</v>
      </c>
      <c r="B103" s="29"/>
      <c r="C103" s="30"/>
      <c r="D103" s="30"/>
      <c r="E103" s="30"/>
      <c r="F103" s="30"/>
      <c r="G103" s="30"/>
      <c r="H103" s="30"/>
    </row>
    <row r="104" spans="1:8" ht="13" x14ac:dyDescent="0.3">
      <c r="B104" s="29"/>
      <c r="C104" s="30"/>
      <c r="D104" s="30"/>
      <c r="E104" s="30"/>
      <c r="F104" s="30"/>
      <c r="G104" s="30"/>
      <c r="H104" s="30"/>
    </row>
    <row r="105" spans="1:8" x14ac:dyDescent="0.25">
      <c r="D105" s="10"/>
    </row>
  </sheetData>
  <mergeCells count="24">
    <mergeCell ref="A42:F42"/>
    <mergeCell ref="A6:A8"/>
    <mergeCell ref="B6:B8"/>
    <mergeCell ref="C6:H6"/>
    <mergeCell ref="C7:D7"/>
    <mergeCell ref="E7:F7"/>
    <mergeCell ref="G7:H7"/>
    <mergeCell ref="A28:A29"/>
    <mergeCell ref="B28:B29"/>
    <mergeCell ref="C28:F28"/>
    <mergeCell ref="A40:F40"/>
    <mergeCell ref="A41:F41"/>
    <mergeCell ref="A47:A48"/>
    <mergeCell ref="B47:B48"/>
    <mergeCell ref="C47:F47"/>
    <mergeCell ref="A68:A69"/>
    <mergeCell ref="B68:B69"/>
    <mergeCell ref="C68:F68"/>
    <mergeCell ref="A88:A90"/>
    <mergeCell ref="B88:B90"/>
    <mergeCell ref="C88:H88"/>
    <mergeCell ref="C89:D89"/>
    <mergeCell ref="E89:F89"/>
    <mergeCell ref="G89:H89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120-C198-4C69-AB5D-46F9EE8F30C9}">
  <dimension ref="A1:K87"/>
  <sheetViews>
    <sheetView zoomScaleNormal="100" workbookViewId="0"/>
  </sheetViews>
  <sheetFormatPr defaultColWidth="8.7265625" defaultRowHeight="12.5" x14ac:dyDescent="0.25"/>
  <cols>
    <col min="1" max="1" width="54.26953125" style="1" customWidth="1"/>
    <col min="2" max="2" width="7.26953125" style="1" customWidth="1"/>
    <col min="3" max="4" width="18.26953125" style="1" customWidth="1"/>
    <col min="5" max="5" width="17.26953125" style="1" customWidth="1"/>
    <col min="6" max="6" width="13.54296875" style="1" customWidth="1"/>
    <col min="7" max="7" width="12" style="1" bestFit="1" customWidth="1"/>
    <col min="8" max="8" width="13.453125" style="1" bestFit="1" customWidth="1"/>
    <col min="9" max="9" width="14.453125" style="1" bestFit="1" customWidth="1"/>
    <col min="10" max="10" width="10.54296875" style="1" bestFit="1" customWidth="1"/>
    <col min="11" max="16384" width="8.7265625" style="1"/>
  </cols>
  <sheetData>
    <row r="1" spans="1:10" ht="13" x14ac:dyDescent="0.3">
      <c r="A1" s="22" t="s">
        <v>70</v>
      </c>
    </row>
    <row r="2" spans="1:10" ht="13" x14ac:dyDescent="0.3">
      <c r="A2" s="22"/>
    </row>
    <row r="4" spans="1:10" ht="13" x14ac:dyDescent="0.3">
      <c r="A4" s="17" t="s">
        <v>71</v>
      </c>
      <c r="B4" s="29"/>
      <c r="C4" s="30"/>
      <c r="D4" s="30"/>
      <c r="E4" s="30"/>
      <c r="F4" s="30"/>
      <c r="G4" s="30"/>
      <c r="H4" s="30"/>
      <c r="J4" s="23"/>
    </row>
    <row r="5" spans="1:10" ht="13" x14ac:dyDescent="0.3">
      <c r="A5" s="17"/>
      <c r="B5" s="29"/>
      <c r="C5" s="30"/>
      <c r="D5" s="30"/>
      <c r="E5" s="30"/>
      <c r="F5" s="30"/>
      <c r="G5" s="30"/>
      <c r="H5" s="30"/>
      <c r="J5" s="23"/>
    </row>
    <row r="6" spans="1:10" s="23" customFormat="1" ht="15" x14ac:dyDescent="0.25">
      <c r="A6" s="106" t="s">
        <v>2</v>
      </c>
      <c r="B6" s="106" t="s">
        <v>3</v>
      </c>
      <c r="C6" s="107" t="s">
        <v>72</v>
      </c>
      <c r="D6" s="108"/>
      <c r="E6" s="108"/>
      <c r="F6" s="109"/>
    </row>
    <row r="7" spans="1:10" s="23" customFormat="1" ht="39" x14ac:dyDescent="0.25">
      <c r="A7" s="106"/>
      <c r="B7" s="106"/>
      <c r="C7" s="12" t="s">
        <v>27</v>
      </c>
      <c r="D7" s="12" t="s">
        <v>28</v>
      </c>
      <c r="E7" s="12" t="s">
        <v>29</v>
      </c>
      <c r="F7" s="11" t="s">
        <v>30</v>
      </c>
    </row>
    <row r="8" spans="1:10" s="23" customFormat="1" ht="14.5" x14ac:dyDescent="0.25">
      <c r="A8" s="13" t="s">
        <v>31</v>
      </c>
      <c r="B8" s="14">
        <v>1550</v>
      </c>
      <c r="C8" s="15">
        <v>0.97397813808650657</v>
      </c>
      <c r="D8" s="15">
        <v>1.7567382328147758E-2</v>
      </c>
      <c r="E8" s="15">
        <v>8.454479585345653E-3</v>
      </c>
      <c r="F8" s="16">
        <f>SUM(C8:E8)</f>
        <v>1</v>
      </c>
    </row>
    <row r="9" spans="1:10" s="23" customFormat="1" ht="14.5" x14ac:dyDescent="0.25">
      <c r="A9" s="13" t="s">
        <v>32</v>
      </c>
      <c r="B9" s="14">
        <v>1551</v>
      </c>
      <c r="C9" s="33">
        <v>0.963980239726697</v>
      </c>
      <c r="D9" s="33">
        <v>2.5829559961004608E-2</v>
      </c>
      <c r="E9" s="33">
        <v>1.0190200312298354E-2</v>
      </c>
      <c r="F9" s="16">
        <f>SUM(C9:E9)</f>
        <v>0.99999999999999989</v>
      </c>
    </row>
    <row r="10" spans="1:10" s="23" customFormat="1" x14ac:dyDescent="0.25">
      <c r="A10" s="13" t="s">
        <v>33</v>
      </c>
      <c r="B10" s="14">
        <v>1580</v>
      </c>
      <c r="C10" s="33">
        <v>0.96575558812614748</v>
      </c>
      <c r="D10" s="33">
        <v>2.3224668950251111E-2</v>
      </c>
      <c r="E10" s="33">
        <v>1.1019742923601314E-2</v>
      </c>
      <c r="F10" s="16">
        <f t="shared" ref="F10:F15" si="0">SUM(C10:E10)</f>
        <v>0.99999999999999989</v>
      </c>
    </row>
    <row r="11" spans="1:10" s="23" customFormat="1" x14ac:dyDescent="0.25">
      <c r="A11" s="13" t="s">
        <v>13</v>
      </c>
      <c r="B11" s="14" t="s">
        <v>14</v>
      </c>
      <c r="C11" s="33">
        <v>0.96724939604523252</v>
      </c>
      <c r="D11" s="33">
        <v>2.2047069101754736E-2</v>
      </c>
      <c r="E11" s="33">
        <v>1.0703534853012606E-2</v>
      </c>
      <c r="F11" s="16">
        <f t="shared" si="0"/>
        <v>0.99999999999999978</v>
      </c>
    </row>
    <row r="12" spans="1:10" s="23" customFormat="1" x14ac:dyDescent="0.25">
      <c r="A12" s="13" t="s">
        <v>15</v>
      </c>
      <c r="B12" s="14">
        <v>1584</v>
      </c>
      <c r="C12" s="33">
        <v>0.97397813808650657</v>
      </c>
      <c r="D12" s="33">
        <v>1.7567382328147758E-2</v>
      </c>
      <c r="E12" s="33">
        <v>8.454479585345653E-3</v>
      </c>
      <c r="F12" s="16">
        <f t="shared" si="0"/>
        <v>1</v>
      </c>
    </row>
    <row r="13" spans="1:10" s="23" customFormat="1" x14ac:dyDescent="0.25">
      <c r="A13" s="13" t="s">
        <v>16</v>
      </c>
      <c r="B13" s="14">
        <v>1586</v>
      </c>
      <c r="C13" s="33">
        <v>0.97397813808650657</v>
      </c>
      <c r="D13" s="33">
        <v>1.7567382328147758E-2</v>
      </c>
      <c r="E13" s="33">
        <v>8.454479585345653E-3</v>
      </c>
      <c r="F13" s="16">
        <f t="shared" si="0"/>
        <v>1</v>
      </c>
    </row>
    <row r="14" spans="1:10" s="23" customFormat="1" x14ac:dyDescent="0.25">
      <c r="A14" s="13" t="s">
        <v>17</v>
      </c>
      <c r="B14" s="14">
        <v>1588</v>
      </c>
      <c r="C14" s="33">
        <v>0.96575558812614748</v>
      </c>
      <c r="D14" s="33">
        <v>2.3224668950251111E-2</v>
      </c>
      <c r="E14" s="33">
        <v>1.1019742923601314E-2</v>
      </c>
      <c r="F14" s="16">
        <f t="shared" si="0"/>
        <v>0.99999999999999989</v>
      </c>
    </row>
    <row r="15" spans="1:10" s="23" customFormat="1" x14ac:dyDescent="0.25">
      <c r="A15" s="13" t="s">
        <v>18</v>
      </c>
      <c r="B15" s="14">
        <v>1589</v>
      </c>
      <c r="C15" s="33">
        <v>0.94314378934617826</v>
      </c>
      <c r="D15" s="33">
        <v>3.7850422040178924E-2</v>
      </c>
      <c r="E15" s="33">
        <v>1.9005788613642872E-2</v>
      </c>
      <c r="F15" s="16">
        <f t="shared" si="0"/>
        <v>1</v>
      </c>
    </row>
    <row r="16" spans="1:10" s="23" customFormat="1" x14ac:dyDescent="0.25">
      <c r="B16" s="18"/>
      <c r="C16" s="34"/>
      <c r="D16" s="34"/>
      <c r="E16" s="34"/>
      <c r="F16" s="20"/>
    </row>
    <row r="17" spans="1:11" s="23" customFormat="1" x14ac:dyDescent="0.25">
      <c r="A17" s="17" t="s">
        <v>21</v>
      </c>
      <c r="B17" s="18"/>
      <c r="C17" s="34"/>
      <c r="D17" s="34"/>
      <c r="E17" s="34"/>
      <c r="F17" s="20"/>
    </row>
    <row r="18" spans="1:11" ht="44.5" customHeight="1" x14ac:dyDescent="0.3">
      <c r="A18" s="96" t="s">
        <v>34</v>
      </c>
      <c r="B18" s="97"/>
      <c r="C18" s="97"/>
      <c r="D18" s="97"/>
      <c r="E18" s="97"/>
      <c r="F18" s="97"/>
      <c r="G18" s="30"/>
      <c r="H18" s="30"/>
      <c r="I18" s="23"/>
    </row>
    <row r="19" spans="1:11" s="23" customFormat="1" ht="13.9" customHeight="1" x14ac:dyDescent="0.25">
      <c r="A19" s="96" t="s">
        <v>35</v>
      </c>
      <c r="B19" s="97"/>
      <c r="C19" s="97"/>
      <c r="D19" s="97"/>
      <c r="E19" s="97"/>
      <c r="F19" s="97"/>
    </row>
    <row r="20" spans="1:11" s="23" customFormat="1" x14ac:dyDescent="0.25">
      <c r="A20" s="96" t="s">
        <v>36</v>
      </c>
      <c r="B20" s="97"/>
      <c r="C20" s="97"/>
      <c r="D20" s="97"/>
      <c r="E20" s="97"/>
      <c r="F20" s="97"/>
    </row>
    <row r="21" spans="1:11" x14ac:dyDescent="0.25">
      <c r="A21" s="24"/>
      <c r="B21" s="24"/>
      <c r="C21" s="24"/>
      <c r="D21" s="24"/>
      <c r="E21" s="24"/>
      <c r="F21" s="24"/>
      <c r="H21" s="24"/>
      <c r="I21" s="24"/>
    </row>
    <row r="22" spans="1:11" x14ac:dyDescent="0.25">
      <c r="A22" s="24"/>
      <c r="B22" s="24"/>
      <c r="C22" s="24"/>
      <c r="D22" s="24"/>
      <c r="E22" s="24"/>
      <c r="F22" s="24"/>
      <c r="H22" s="24"/>
      <c r="I22" s="24"/>
    </row>
    <row r="23" spans="1:11" s="23" customFormat="1" x14ac:dyDescent="0.25">
      <c r="A23" s="17" t="s">
        <v>73</v>
      </c>
      <c r="B23" s="43"/>
      <c r="C23" s="43"/>
      <c r="D23" s="43"/>
      <c r="E23" s="43"/>
      <c r="F23" s="43"/>
      <c r="J23" s="1"/>
    </row>
    <row r="24" spans="1:11" x14ac:dyDescent="0.25">
      <c r="A24" s="24"/>
      <c r="B24" s="24"/>
      <c r="C24" s="24"/>
      <c r="D24" s="24"/>
      <c r="E24" s="24"/>
      <c r="F24" s="24"/>
      <c r="H24" s="24"/>
      <c r="I24" s="24"/>
    </row>
    <row r="25" spans="1:11" ht="13" x14ac:dyDescent="0.3">
      <c r="A25" s="101" t="s">
        <v>2</v>
      </c>
      <c r="B25" s="101" t="s">
        <v>3</v>
      </c>
      <c r="C25" s="105" t="s">
        <v>74</v>
      </c>
      <c r="D25" s="94"/>
      <c r="E25" s="94"/>
      <c r="F25" s="95"/>
    </row>
    <row r="26" spans="1:11" ht="57.65" customHeight="1" x14ac:dyDescent="0.25">
      <c r="A26" s="92"/>
      <c r="B26" s="92"/>
      <c r="C26" s="12" t="s">
        <v>39</v>
      </c>
      <c r="D26" s="12" t="s">
        <v>40</v>
      </c>
      <c r="E26" s="12" t="s">
        <v>41</v>
      </c>
      <c r="F26" s="12" t="s">
        <v>42</v>
      </c>
    </row>
    <row r="27" spans="1:11" ht="15" x14ac:dyDescent="0.3">
      <c r="A27" s="13" t="s">
        <v>43</v>
      </c>
      <c r="B27" s="14">
        <v>1550</v>
      </c>
      <c r="C27" s="25">
        <v>1864098.2300000004</v>
      </c>
      <c r="D27" s="25">
        <v>1382710.1100000003</v>
      </c>
      <c r="E27" s="25">
        <v>381884.76</v>
      </c>
      <c r="F27" s="25">
        <v>99503.360000000001</v>
      </c>
      <c r="G27" s="23"/>
      <c r="H27" s="42"/>
      <c r="I27" s="22"/>
    </row>
    <row r="28" spans="1:11" ht="13" x14ac:dyDescent="0.3">
      <c r="A28" s="13" t="s">
        <v>11</v>
      </c>
      <c r="B28" s="14">
        <v>1551</v>
      </c>
      <c r="C28" s="25">
        <v>-3778683.0500000003</v>
      </c>
      <c r="D28" s="25">
        <f>$C28*VLOOKUP($B28,$B$8:$E$15,2,FALSE)</f>
        <v>-3642575.7923902068</v>
      </c>
      <c r="E28" s="25">
        <f>$C28*VLOOKUP($B28,$B$8:$E$15,3,FALSE)</f>
        <v>-97601.720413606774</v>
      </c>
      <c r="F28" s="25">
        <f>$C28*VLOOKUP($B28,$B$8:$E$15,4,FALSE)</f>
        <v>-38505.537196186502</v>
      </c>
      <c r="I28" s="22"/>
      <c r="K28" s="22"/>
    </row>
    <row r="29" spans="1:11" ht="15" x14ac:dyDescent="0.3">
      <c r="A29" s="13" t="s">
        <v>12</v>
      </c>
      <c r="B29" s="14">
        <v>1580</v>
      </c>
      <c r="C29" s="25">
        <v>44524268.625280261</v>
      </c>
      <c r="D29" s="25">
        <f t="shared" ref="D29:D34" si="1">$C29*VLOOKUP($B29,$B$8:$E$15,2,FALSE)</f>
        <v>42999561.232094117</v>
      </c>
      <c r="E29" s="25">
        <f t="shared" ref="E29:E34" si="2">$C29*VLOOKUP($B29,$B$8:$E$15,3,FALSE)</f>
        <v>1034061.3990741862</v>
      </c>
      <c r="F29" s="25">
        <f t="shared" ref="F29:F34" si="3">$C29*VLOOKUP($B29,$B$8:$E$15,4,FALSE)</f>
        <v>490645.99411195616</v>
      </c>
      <c r="I29" s="35"/>
      <c r="J29" s="10"/>
    </row>
    <row r="30" spans="1:11" ht="13" x14ac:dyDescent="0.3">
      <c r="A30" s="13" t="s">
        <v>13</v>
      </c>
      <c r="B30" s="14" t="s">
        <v>14</v>
      </c>
      <c r="C30" s="25">
        <v>-5200550.4852802604</v>
      </c>
      <c r="D30" s="25">
        <f t="shared" si="1"/>
        <v>-5030229.3159900727</v>
      </c>
      <c r="E30" s="25">
        <f t="shared" si="2"/>
        <v>-114656.89591613802</v>
      </c>
      <c r="F30" s="25">
        <f t="shared" si="3"/>
        <v>-55664.273374048884</v>
      </c>
      <c r="I30" s="35"/>
      <c r="J30" s="10"/>
    </row>
    <row r="31" spans="1:11" ht="13" x14ac:dyDescent="0.3">
      <c r="A31" s="13" t="s">
        <v>15</v>
      </c>
      <c r="B31" s="14">
        <v>1584</v>
      </c>
      <c r="C31" s="25">
        <v>4905244.2400000021</v>
      </c>
      <c r="D31" s="25">
        <f t="shared" si="1"/>
        <v>4777600.6517347628</v>
      </c>
      <c r="E31" s="25">
        <f t="shared" si="2"/>
        <v>86172.300977024614</v>
      </c>
      <c r="F31" s="25">
        <f t="shared" si="3"/>
        <v>41471.287288214371</v>
      </c>
      <c r="I31" s="35"/>
      <c r="J31" s="10"/>
    </row>
    <row r="32" spans="1:11" ht="13" x14ac:dyDescent="0.3">
      <c r="A32" s="13" t="s">
        <v>16</v>
      </c>
      <c r="B32" s="14">
        <v>1586</v>
      </c>
      <c r="C32" s="25">
        <v>-3175083.5700000003</v>
      </c>
      <c r="D32" s="25">
        <f t="shared" si="1"/>
        <v>-3092461.9837776585</v>
      </c>
      <c r="E32" s="25">
        <f t="shared" si="2"/>
        <v>-55777.906998010301</v>
      </c>
      <c r="F32" s="25">
        <f t="shared" si="3"/>
        <v>-26843.679224331398</v>
      </c>
      <c r="I32" s="22"/>
    </row>
    <row r="33" spans="1:10" ht="13" x14ac:dyDescent="0.3">
      <c r="A33" s="13" t="s">
        <v>17</v>
      </c>
      <c r="B33" s="14">
        <v>1588</v>
      </c>
      <c r="C33" s="25">
        <v>-45318425.550000004</v>
      </c>
      <c r="D33" s="25">
        <f t="shared" si="1"/>
        <v>-43766522.719991282</v>
      </c>
      <c r="E33" s="25">
        <f t="shared" si="2"/>
        <v>-1052505.4307453518</v>
      </c>
      <c r="F33" s="25">
        <f t="shared" si="3"/>
        <v>-499397.39926336554</v>
      </c>
      <c r="I33" s="32"/>
    </row>
    <row r="34" spans="1:10" x14ac:dyDescent="0.25">
      <c r="A34" s="13" t="s">
        <v>18</v>
      </c>
      <c r="B34" s="14">
        <v>1589</v>
      </c>
      <c r="C34" s="25">
        <v>9321927.6360000055</v>
      </c>
      <c r="D34" s="25">
        <f t="shared" si="1"/>
        <v>8791918.1546279062</v>
      </c>
      <c r="E34" s="25">
        <f t="shared" si="2"/>
        <v>352838.89525060763</v>
      </c>
      <c r="F34" s="25">
        <f t="shared" si="3"/>
        <v>177170.58612149171</v>
      </c>
    </row>
    <row r="35" spans="1:10" ht="14.5" x14ac:dyDescent="0.25">
      <c r="A35" s="13" t="s">
        <v>75</v>
      </c>
      <c r="B35" s="14">
        <v>1589</v>
      </c>
      <c r="C35" s="25">
        <v>-782310.51600000006</v>
      </c>
      <c r="D35" s="26"/>
      <c r="E35" s="25">
        <f>C35</f>
        <v>-782310.51600000006</v>
      </c>
      <c r="F35" s="26"/>
    </row>
    <row r="36" spans="1:10" ht="15" x14ac:dyDescent="0.3">
      <c r="A36" s="13" t="s">
        <v>76</v>
      </c>
      <c r="B36" s="14">
        <v>1588</v>
      </c>
      <c r="C36" s="25">
        <v>20162335.274034575</v>
      </c>
      <c r="D36" s="25">
        <f>C36</f>
        <v>20162335.274034575</v>
      </c>
      <c r="E36" s="26"/>
      <c r="F36" s="26"/>
      <c r="I36" s="32"/>
    </row>
    <row r="37" spans="1:10" ht="15" x14ac:dyDescent="0.3">
      <c r="A37" s="13" t="s">
        <v>77</v>
      </c>
      <c r="B37" s="14">
        <v>1589</v>
      </c>
      <c r="C37" s="25">
        <v>-20162335.274034575</v>
      </c>
      <c r="D37" s="25">
        <f>C37</f>
        <v>-20162335.274034575</v>
      </c>
      <c r="E37" s="26"/>
      <c r="F37" s="26"/>
      <c r="I37" s="32"/>
    </row>
    <row r="38" spans="1:10" ht="13" x14ac:dyDescent="0.3">
      <c r="I38" s="32"/>
    </row>
    <row r="39" spans="1:10" ht="13" x14ac:dyDescent="0.3">
      <c r="A39" s="17" t="s">
        <v>21</v>
      </c>
      <c r="I39" s="32"/>
    </row>
    <row r="40" spans="1:10" s="36" customFormat="1" ht="14.5" x14ac:dyDescent="0.25">
      <c r="A40" s="36" t="s">
        <v>44</v>
      </c>
    </row>
    <row r="41" spans="1:10" ht="14.5" x14ac:dyDescent="0.25">
      <c r="A41" s="23" t="s">
        <v>78</v>
      </c>
      <c r="B41" s="24"/>
      <c r="C41" s="24"/>
      <c r="D41" s="24"/>
      <c r="E41" s="24"/>
      <c r="F41" s="24"/>
    </row>
    <row r="42" spans="1:10" ht="14.5" x14ac:dyDescent="0.25">
      <c r="A42" s="36" t="s">
        <v>79</v>
      </c>
      <c r="B42" s="24"/>
      <c r="C42" s="37"/>
      <c r="D42" s="37"/>
      <c r="E42" s="37"/>
      <c r="F42" s="37"/>
      <c r="H42" s="37"/>
      <c r="I42" s="23"/>
    </row>
    <row r="43" spans="1:10" ht="14.5" x14ac:dyDescent="0.25">
      <c r="A43" s="28" t="s">
        <v>80</v>
      </c>
      <c r="B43" s="24"/>
      <c r="C43" s="37"/>
      <c r="D43" s="37"/>
      <c r="E43" s="37"/>
      <c r="F43" s="37"/>
      <c r="H43" s="37"/>
      <c r="I43" s="23"/>
    </row>
    <row r="44" spans="1:10" ht="14.5" x14ac:dyDescent="0.25">
      <c r="A44" s="28"/>
      <c r="B44" s="24"/>
      <c r="C44" s="37"/>
      <c r="D44" s="37"/>
      <c r="E44" s="37"/>
      <c r="F44" s="37"/>
      <c r="H44" s="37"/>
      <c r="I44" s="23"/>
    </row>
    <row r="45" spans="1:10" ht="14.5" x14ac:dyDescent="0.25">
      <c r="A45" s="28"/>
      <c r="B45" s="24"/>
      <c r="C45" s="37"/>
      <c r="D45" s="37"/>
      <c r="E45" s="37"/>
      <c r="F45" s="37"/>
      <c r="H45" s="37"/>
      <c r="I45" s="23"/>
    </row>
    <row r="46" spans="1:10" s="23" customFormat="1" x14ac:dyDescent="0.25">
      <c r="A46" s="17" t="s">
        <v>81</v>
      </c>
      <c r="B46" s="43"/>
      <c r="C46" s="43"/>
      <c r="D46" s="43"/>
      <c r="E46" s="43"/>
      <c r="F46" s="43"/>
      <c r="J46" s="1"/>
    </row>
    <row r="47" spans="1:10" x14ac:dyDescent="0.25">
      <c r="A47" s="23"/>
      <c r="B47" s="24"/>
      <c r="C47" s="24"/>
      <c r="D47" s="24"/>
      <c r="E47" s="24"/>
      <c r="F47" s="24"/>
    </row>
    <row r="48" spans="1:10" ht="13" x14ac:dyDescent="0.3">
      <c r="A48" s="101" t="s">
        <v>2</v>
      </c>
      <c r="B48" s="101" t="s">
        <v>3</v>
      </c>
      <c r="C48" s="105" t="s">
        <v>82</v>
      </c>
      <c r="D48" s="94"/>
      <c r="E48" s="94"/>
      <c r="F48" s="95"/>
    </row>
    <row r="49" spans="1:9" ht="56.15" customHeight="1" x14ac:dyDescent="0.25">
      <c r="A49" s="92"/>
      <c r="B49" s="92"/>
      <c r="C49" s="12" t="s">
        <v>48</v>
      </c>
      <c r="D49" s="12" t="s">
        <v>49</v>
      </c>
      <c r="E49" s="12" t="s">
        <v>50</v>
      </c>
      <c r="F49" s="12" t="s">
        <v>51</v>
      </c>
    </row>
    <row r="50" spans="1:9" ht="13" x14ac:dyDescent="0.3">
      <c r="A50" s="13" t="s">
        <v>10</v>
      </c>
      <c r="B50" s="14">
        <v>1550</v>
      </c>
      <c r="C50" s="25">
        <v>204907.7</v>
      </c>
      <c r="D50" s="25">
        <f>$C50*VLOOKUP($B50,$B$8:$E$15,2,FALSE)</f>
        <v>199575.62012558847</v>
      </c>
      <c r="E50" s="25">
        <f>$C50*VLOOKUP($B50,$B$8:$E$15,3,FALSE)</f>
        <v>3599.6919078814026</v>
      </c>
      <c r="F50" s="25">
        <f>$C50*VLOOKUP($B50,$B$8:$E$15,4,FALSE)</f>
        <v>1732.3879665301315</v>
      </c>
      <c r="G50" s="38"/>
      <c r="I50" s="22"/>
    </row>
    <row r="51" spans="1:9" ht="13" x14ac:dyDescent="0.3">
      <c r="A51" s="13" t="s">
        <v>11</v>
      </c>
      <c r="B51" s="14">
        <v>1551</v>
      </c>
      <c r="C51" s="25">
        <v>-47036.79</v>
      </c>
      <c r="D51" s="25">
        <f t="shared" ref="D51:D57" si="4">$C51*VLOOKUP($B51,$B$8:$E$15,2,FALSE)</f>
        <v>-45342.536100174308</v>
      </c>
      <c r="E51" s="25">
        <f t="shared" ref="E51:E57" si="5">$C51*VLOOKUP($B51,$B$8:$E$15,3,FALSE)</f>
        <v>-1214.9395876781819</v>
      </c>
      <c r="F51" s="25">
        <f t="shared" ref="F51:F57" si="6">$C51*VLOOKUP($B51,$B$8:$E$15,4,FALSE)</f>
        <v>-479.31431214751211</v>
      </c>
      <c r="G51" s="38"/>
      <c r="I51" s="22"/>
    </row>
    <row r="52" spans="1:9" ht="15" x14ac:dyDescent="0.3">
      <c r="A52" s="13" t="s">
        <v>52</v>
      </c>
      <c r="B52" s="14">
        <v>1580</v>
      </c>
      <c r="C52" s="25">
        <v>406312.78773421689</v>
      </c>
      <c r="D52" s="25">
        <f t="shared" si="4"/>
        <v>392398.84528143314</v>
      </c>
      <c r="E52" s="25">
        <f t="shared" si="5"/>
        <v>9436.4799853808381</v>
      </c>
      <c r="F52" s="25">
        <f t="shared" si="6"/>
        <v>4477.4624674028591</v>
      </c>
      <c r="G52" s="38"/>
      <c r="I52" s="22"/>
    </row>
    <row r="53" spans="1:9" ht="13" x14ac:dyDescent="0.3">
      <c r="A53" s="13" t="s">
        <v>13</v>
      </c>
      <c r="B53" s="14" t="s">
        <v>14</v>
      </c>
      <c r="C53" s="25">
        <v>-238075.5177342169</v>
      </c>
      <c r="D53" s="25">
        <f t="shared" si="4"/>
        <v>-230278.40074157735</v>
      </c>
      <c r="E53" s="25">
        <f t="shared" si="5"/>
        <v>-5248.8673909223153</v>
      </c>
      <c r="F53" s="25">
        <f t="shared" si="6"/>
        <v>-2548.2496017172111</v>
      </c>
      <c r="G53" s="38"/>
      <c r="I53" s="22"/>
    </row>
    <row r="54" spans="1:9" ht="13" x14ac:dyDescent="0.3">
      <c r="A54" s="13" t="s">
        <v>15</v>
      </c>
      <c r="B54" s="14">
        <v>1584</v>
      </c>
      <c r="C54" s="25">
        <v>383885.07999999996</v>
      </c>
      <c r="D54" s="25">
        <f t="shared" si="4"/>
        <v>373895.67545758956</v>
      </c>
      <c r="E54" s="25">
        <f t="shared" si="5"/>
        <v>6743.8559704315876</v>
      </c>
      <c r="F54" s="25">
        <f t="shared" si="6"/>
        <v>3245.5485719787825</v>
      </c>
      <c r="G54" s="38"/>
      <c r="I54" s="22"/>
    </row>
    <row r="55" spans="1:9" ht="13" x14ac:dyDescent="0.3">
      <c r="A55" s="13" t="s">
        <v>16</v>
      </c>
      <c r="B55" s="14">
        <v>1586</v>
      </c>
      <c r="C55" s="25">
        <v>-582934.81999999995</v>
      </c>
      <c r="D55" s="25">
        <f t="shared" si="4"/>
        <v>-567765.77060939278</v>
      </c>
      <c r="E55" s="25">
        <f t="shared" si="5"/>
        <v>-10240.638855329993</v>
      </c>
      <c r="F55" s="25">
        <f t="shared" si="6"/>
        <v>-4928.4105352771421</v>
      </c>
      <c r="G55" s="38"/>
      <c r="I55" s="22"/>
    </row>
    <row r="56" spans="1:9" ht="13" x14ac:dyDescent="0.3">
      <c r="A56" s="13" t="s">
        <v>17</v>
      </c>
      <c r="B56" s="14">
        <v>1588</v>
      </c>
      <c r="C56" s="25">
        <v>-1438374.58</v>
      </c>
      <c r="D56" s="25">
        <f t="shared" si="4"/>
        <v>-1389118.2884536004</v>
      </c>
      <c r="E56" s="25">
        <f t="shared" si="5"/>
        <v>-33405.773446956482</v>
      </c>
      <c r="F56" s="25">
        <f t="shared" si="6"/>
        <v>-15850.518099443014</v>
      </c>
      <c r="G56" s="38"/>
      <c r="I56" s="32"/>
    </row>
    <row r="57" spans="1:9" ht="13" x14ac:dyDescent="0.3">
      <c r="A57" s="13" t="s">
        <v>18</v>
      </c>
      <c r="B57" s="14">
        <v>1589</v>
      </c>
      <c r="C57" s="25">
        <v>214210.3090000001</v>
      </c>
      <c r="D57" s="25">
        <f t="shared" si="4"/>
        <v>202031.12254727585</v>
      </c>
      <c r="E57" s="25">
        <f t="shared" si="5"/>
        <v>8107.9506010071418</v>
      </c>
      <c r="F57" s="25">
        <f t="shared" si="6"/>
        <v>4071.2358517171228</v>
      </c>
      <c r="G57" s="38"/>
      <c r="I57" s="32"/>
    </row>
    <row r="58" spans="1:9" ht="14.5" x14ac:dyDescent="0.25">
      <c r="A58" s="13" t="s">
        <v>83</v>
      </c>
      <c r="B58" s="14">
        <v>1589</v>
      </c>
      <c r="C58" s="25">
        <v>-8574.5789999999997</v>
      </c>
      <c r="D58" s="26"/>
      <c r="E58" s="25">
        <f>C58</f>
        <v>-8574.5789999999997</v>
      </c>
      <c r="F58" s="26"/>
      <c r="G58" s="38"/>
    </row>
    <row r="59" spans="1:9" ht="15" x14ac:dyDescent="0.3">
      <c r="A59" s="13" t="s">
        <v>19</v>
      </c>
      <c r="B59" s="14">
        <v>1588</v>
      </c>
      <c r="C59" s="25">
        <v>756256.17</v>
      </c>
      <c r="D59" s="25">
        <f>C59</f>
        <v>756256.17</v>
      </c>
      <c r="E59" s="26"/>
      <c r="F59" s="26"/>
      <c r="G59" s="38"/>
      <c r="I59" s="32"/>
    </row>
    <row r="60" spans="1:9" ht="15" x14ac:dyDescent="0.3">
      <c r="A60" s="13" t="s">
        <v>20</v>
      </c>
      <c r="B60" s="14">
        <v>1589</v>
      </c>
      <c r="C60" s="25">
        <v>-756256.17</v>
      </c>
      <c r="D60" s="25">
        <f>C60</f>
        <v>-756256.17</v>
      </c>
      <c r="E60" s="26"/>
      <c r="F60" s="26"/>
      <c r="G60" s="38"/>
      <c r="I60" s="32"/>
    </row>
    <row r="61" spans="1:9" ht="13" x14ac:dyDescent="0.3">
      <c r="A61" s="23"/>
      <c r="B61" s="18"/>
      <c r="C61" s="27"/>
      <c r="D61" s="27"/>
      <c r="E61" s="27"/>
      <c r="F61" s="27"/>
      <c r="G61" s="38"/>
      <c r="I61" s="32"/>
    </row>
    <row r="62" spans="1:9" ht="13" x14ac:dyDescent="0.3">
      <c r="A62" s="17" t="s">
        <v>21</v>
      </c>
      <c r="B62" s="18"/>
      <c r="C62" s="27"/>
      <c r="D62" s="27"/>
      <c r="E62" s="27"/>
      <c r="F62" s="27"/>
      <c r="G62" s="38"/>
      <c r="I62" s="32"/>
    </row>
    <row r="63" spans="1:9" ht="14.5" x14ac:dyDescent="0.25">
      <c r="A63" s="23" t="s">
        <v>84</v>
      </c>
      <c r="B63" s="24"/>
      <c r="C63" s="24"/>
      <c r="D63" s="24"/>
      <c r="E63" s="24"/>
      <c r="F63" s="24"/>
    </row>
    <row r="64" spans="1:9" ht="14.5" x14ac:dyDescent="0.25">
      <c r="A64" s="36" t="s">
        <v>85</v>
      </c>
      <c r="B64" s="24"/>
      <c r="C64" s="37"/>
      <c r="D64" s="37"/>
      <c r="E64" s="37"/>
      <c r="F64" s="37"/>
      <c r="H64" s="37"/>
      <c r="I64" s="23"/>
    </row>
    <row r="65" spans="1:6" ht="14.5" x14ac:dyDescent="0.25">
      <c r="A65" s="28" t="s">
        <v>24</v>
      </c>
    </row>
    <row r="68" spans="1:6" x14ac:dyDescent="0.25">
      <c r="A68" s="17" t="s">
        <v>86</v>
      </c>
    </row>
    <row r="70" spans="1:6" ht="12.4" customHeight="1" x14ac:dyDescent="0.25">
      <c r="A70" s="101" t="s">
        <v>2</v>
      </c>
      <c r="B70" s="101" t="s">
        <v>3</v>
      </c>
      <c r="C70" s="102" t="s">
        <v>87</v>
      </c>
      <c r="D70" s="103"/>
      <c r="E70" s="103"/>
      <c r="F70" s="104"/>
    </row>
    <row r="71" spans="1:6" ht="39" x14ac:dyDescent="0.25">
      <c r="A71" s="92"/>
      <c r="B71" s="92"/>
      <c r="C71" s="12" t="s">
        <v>48</v>
      </c>
      <c r="D71" s="12" t="s">
        <v>49</v>
      </c>
      <c r="E71" s="12" t="s">
        <v>50</v>
      </c>
      <c r="F71" s="12" t="s">
        <v>51</v>
      </c>
    </row>
    <row r="72" spans="1:6" x14ac:dyDescent="0.25">
      <c r="A72" s="13" t="s">
        <v>10</v>
      </c>
      <c r="B72" s="14">
        <v>1550</v>
      </c>
      <c r="C72" s="25">
        <f t="shared" ref="C72:C82" si="7">SUM(C27,C50)</f>
        <v>2069005.9300000004</v>
      </c>
      <c r="D72" s="25">
        <f t="shared" ref="D72:F72" si="8">SUM(D27,D50)</f>
        <v>1582285.7301255888</v>
      </c>
      <c r="E72" s="25">
        <f t="shared" si="8"/>
        <v>385484.45190788142</v>
      </c>
      <c r="F72" s="25">
        <f t="shared" si="8"/>
        <v>101235.74796653014</v>
      </c>
    </row>
    <row r="73" spans="1:6" x14ac:dyDescent="0.25">
      <c r="A73" s="13" t="s">
        <v>11</v>
      </c>
      <c r="B73" s="14">
        <v>1551</v>
      </c>
      <c r="C73" s="25">
        <f t="shared" si="7"/>
        <v>-3825719.8400000003</v>
      </c>
      <c r="D73" s="25">
        <f t="shared" ref="D73:F79" si="9">SUM(D28,D51)</f>
        <v>-3687918.3284903811</v>
      </c>
      <c r="E73" s="25">
        <f t="shared" si="9"/>
        <v>-98816.660001284952</v>
      </c>
      <c r="F73" s="25">
        <f t="shared" si="9"/>
        <v>-38984.851508334017</v>
      </c>
    </row>
    <row r="74" spans="1:6" ht="14.5" x14ac:dyDescent="0.25">
      <c r="A74" s="13" t="s">
        <v>52</v>
      </c>
      <c r="B74" s="14">
        <v>1580</v>
      </c>
      <c r="C74" s="25">
        <f t="shared" si="7"/>
        <v>44930581.413014479</v>
      </c>
      <c r="D74" s="25">
        <f t="shared" si="9"/>
        <v>43391960.077375546</v>
      </c>
      <c r="E74" s="25">
        <f t="shared" si="9"/>
        <v>1043497.8790595671</v>
      </c>
      <c r="F74" s="25">
        <f t="shared" si="9"/>
        <v>495123.45657935902</v>
      </c>
    </row>
    <row r="75" spans="1:6" x14ac:dyDescent="0.25">
      <c r="A75" s="13" t="s">
        <v>13</v>
      </c>
      <c r="B75" s="14" t="s">
        <v>14</v>
      </c>
      <c r="C75" s="25">
        <f t="shared" si="7"/>
        <v>-5438626.003014477</v>
      </c>
      <c r="D75" s="25">
        <f t="shared" si="9"/>
        <v>-5260507.7167316498</v>
      </c>
      <c r="E75" s="25">
        <f t="shared" si="9"/>
        <v>-119905.76330706033</v>
      </c>
      <c r="F75" s="25">
        <f t="shared" si="9"/>
        <v>-58212.522975766093</v>
      </c>
    </row>
    <row r="76" spans="1:6" x14ac:dyDescent="0.25">
      <c r="A76" s="13" t="s">
        <v>15</v>
      </c>
      <c r="B76" s="14">
        <v>1584</v>
      </c>
      <c r="C76" s="25">
        <f t="shared" si="7"/>
        <v>5289129.3200000022</v>
      </c>
      <c r="D76" s="25">
        <f t="shared" si="9"/>
        <v>5151496.3271923522</v>
      </c>
      <c r="E76" s="25">
        <f t="shared" si="9"/>
        <v>92916.156947456198</v>
      </c>
      <c r="F76" s="25">
        <f t="shared" si="9"/>
        <v>44716.835860193154</v>
      </c>
    </row>
    <row r="77" spans="1:6" x14ac:dyDescent="0.25">
      <c r="A77" s="13" t="s">
        <v>16</v>
      </c>
      <c r="B77" s="14">
        <v>1586</v>
      </c>
      <c r="C77" s="25">
        <f t="shared" si="7"/>
        <v>-3758018.39</v>
      </c>
      <c r="D77" s="25">
        <f t="shared" si="9"/>
        <v>-3660227.7543870513</v>
      </c>
      <c r="E77" s="25">
        <f t="shared" si="9"/>
        <v>-66018.5458533403</v>
      </c>
      <c r="F77" s="25">
        <f t="shared" si="9"/>
        <v>-31772.089759608541</v>
      </c>
    </row>
    <row r="78" spans="1:6" x14ac:dyDescent="0.25">
      <c r="A78" s="13" t="s">
        <v>17</v>
      </c>
      <c r="B78" s="14">
        <v>1588</v>
      </c>
      <c r="C78" s="25">
        <f t="shared" si="7"/>
        <v>-46756800.130000003</v>
      </c>
      <c r="D78" s="25">
        <f t="shared" si="9"/>
        <v>-45155641.008444883</v>
      </c>
      <c r="E78" s="25">
        <f t="shared" si="9"/>
        <v>-1085911.2041923082</v>
      </c>
      <c r="F78" s="25">
        <f t="shared" si="9"/>
        <v>-515247.91736280854</v>
      </c>
    </row>
    <row r="79" spans="1:6" x14ac:dyDescent="0.25">
      <c r="A79" s="13" t="s">
        <v>18</v>
      </c>
      <c r="B79" s="14">
        <v>1589</v>
      </c>
      <c r="C79" s="25">
        <f t="shared" si="7"/>
        <v>9536137.9450000059</v>
      </c>
      <c r="D79" s="25">
        <f t="shared" si="9"/>
        <v>8993949.2771751825</v>
      </c>
      <c r="E79" s="25">
        <f t="shared" si="9"/>
        <v>360946.84585161478</v>
      </c>
      <c r="F79" s="25">
        <f t="shared" si="9"/>
        <v>181241.82197320883</v>
      </c>
    </row>
    <row r="80" spans="1:6" ht="14.5" x14ac:dyDescent="0.25">
      <c r="A80" s="13" t="s">
        <v>83</v>
      </c>
      <c r="B80" s="14">
        <v>1589</v>
      </c>
      <c r="C80" s="25">
        <f t="shared" si="7"/>
        <v>-790885.09500000009</v>
      </c>
      <c r="D80" s="26"/>
      <c r="E80" s="25">
        <f>SUM(E35,E58)</f>
        <v>-790885.09500000009</v>
      </c>
      <c r="F80" s="26"/>
    </row>
    <row r="81" spans="1:6" ht="14.5" x14ac:dyDescent="0.25">
      <c r="A81" s="13" t="s">
        <v>19</v>
      </c>
      <c r="B81" s="14">
        <v>1588</v>
      </c>
      <c r="C81" s="25">
        <f t="shared" si="7"/>
        <v>20918591.444034576</v>
      </c>
      <c r="D81" s="25">
        <f>SUM(D36,D59)</f>
        <v>20918591.444034576</v>
      </c>
      <c r="E81" s="26"/>
      <c r="F81" s="26"/>
    </row>
    <row r="82" spans="1:6" ht="14.5" x14ac:dyDescent="0.25">
      <c r="A82" s="13" t="s">
        <v>20</v>
      </c>
      <c r="B82" s="14">
        <v>1589</v>
      </c>
      <c r="C82" s="25">
        <f t="shared" si="7"/>
        <v>-20918591.444034576</v>
      </c>
      <c r="D82" s="25">
        <f>SUM(D37,D60)</f>
        <v>-20918591.444034576</v>
      </c>
      <c r="E82" s="26"/>
      <c r="F82" s="26"/>
    </row>
    <row r="83" spans="1:6" x14ac:dyDescent="0.25">
      <c r="A83" s="23"/>
      <c r="B83" s="18"/>
      <c r="C83" s="27"/>
      <c r="D83" s="27"/>
      <c r="E83" s="27"/>
      <c r="F83" s="27"/>
    </row>
    <row r="84" spans="1:6" x14ac:dyDescent="0.25">
      <c r="A84" s="17" t="s">
        <v>21</v>
      </c>
      <c r="B84" s="18"/>
      <c r="C84" s="27"/>
      <c r="D84" s="27"/>
      <c r="E84" s="27"/>
      <c r="F84" s="27"/>
    </row>
    <row r="85" spans="1:6" ht="14.5" x14ac:dyDescent="0.25">
      <c r="A85" s="23" t="s">
        <v>55</v>
      </c>
      <c r="B85" s="24"/>
      <c r="C85" s="24"/>
      <c r="D85" s="24"/>
      <c r="E85" s="24"/>
      <c r="F85" s="24"/>
    </row>
    <row r="86" spans="1:6" ht="14.5" x14ac:dyDescent="0.25">
      <c r="A86" s="36" t="s">
        <v>88</v>
      </c>
      <c r="B86" s="24"/>
      <c r="C86" s="37"/>
      <c r="D86" s="37"/>
      <c r="E86" s="37"/>
      <c r="F86" s="37"/>
    </row>
    <row r="87" spans="1:6" ht="14.5" x14ac:dyDescent="0.25">
      <c r="A87" s="28" t="s">
        <v>24</v>
      </c>
    </row>
  </sheetData>
  <mergeCells count="15">
    <mergeCell ref="A20:F20"/>
    <mergeCell ref="A6:A7"/>
    <mergeCell ref="B6:B7"/>
    <mergeCell ref="C6:F6"/>
    <mergeCell ref="A18:F18"/>
    <mergeCell ref="A19:F19"/>
    <mergeCell ref="A70:A71"/>
    <mergeCell ref="B70:B71"/>
    <mergeCell ref="C70:F70"/>
    <mergeCell ref="A25:A26"/>
    <mergeCell ref="B25:B26"/>
    <mergeCell ref="C25:F25"/>
    <mergeCell ref="A48:A49"/>
    <mergeCell ref="B48:B49"/>
    <mergeCell ref="C48:F48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2E14-98F0-491E-828A-187706B3BB96}">
  <sheetPr>
    <pageSetUpPr fitToPage="1"/>
  </sheetPr>
  <dimension ref="A1:F14"/>
  <sheetViews>
    <sheetView zoomScale="80" zoomScaleNormal="80" workbookViewId="0">
      <selection activeCell="C14" sqref="C14"/>
    </sheetView>
  </sheetViews>
  <sheetFormatPr defaultColWidth="8.7265625" defaultRowHeight="12.5" x14ac:dyDescent="0.25"/>
  <cols>
    <col min="1" max="1" width="64.81640625" style="1" customWidth="1"/>
    <col min="2" max="2" width="8.7265625" style="1" customWidth="1"/>
    <col min="3" max="3" width="18.1796875" style="1" customWidth="1"/>
    <col min="4" max="4" width="12.453125" style="1" customWidth="1"/>
    <col min="5" max="5" width="16.54296875" style="1" customWidth="1"/>
    <col min="6" max="6" width="15.7265625" style="1" bestFit="1" customWidth="1"/>
    <col min="7" max="7" width="11.26953125" style="1" bestFit="1" customWidth="1"/>
    <col min="8" max="8" width="12.54296875" style="1" customWidth="1"/>
    <col min="9" max="16384" width="8.7265625" style="1"/>
  </cols>
  <sheetData>
    <row r="1" spans="1:6" ht="13" x14ac:dyDescent="0.3">
      <c r="A1" s="22" t="s">
        <v>89</v>
      </c>
    </row>
    <row r="2" spans="1:6" ht="13" x14ac:dyDescent="0.3">
      <c r="A2" s="22"/>
    </row>
    <row r="4" spans="1:6" ht="26" x14ac:dyDescent="0.25">
      <c r="A4" s="4" t="s">
        <v>2</v>
      </c>
      <c r="B4" s="4" t="s">
        <v>3</v>
      </c>
      <c r="C4" s="5" t="s">
        <v>59</v>
      </c>
      <c r="D4" s="5" t="s">
        <v>61</v>
      </c>
      <c r="E4" s="5" t="s">
        <v>60</v>
      </c>
      <c r="F4" s="5" t="s">
        <v>90</v>
      </c>
    </row>
    <row r="5" spans="1:6" x14ac:dyDescent="0.25">
      <c r="A5" s="6" t="s">
        <v>10</v>
      </c>
      <c r="B5" s="7">
        <v>1550</v>
      </c>
      <c r="C5" s="39">
        <v>3977220.0676786806</v>
      </c>
      <c r="D5" s="39">
        <v>422783.82661878818</v>
      </c>
      <c r="E5" s="39">
        <v>512042.70842053182</v>
      </c>
      <c r="F5" s="49">
        <f>SUM(C5:E5)</f>
        <v>4912046.6027180003</v>
      </c>
    </row>
    <row r="6" spans="1:6" x14ac:dyDescent="0.25">
      <c r="A6" s="6" t="s">
        <v>11</v>
      </c>
      <c r="B6" s="7">
        <v>1551</v>
      </c>
      <c r="C6" s="39">
        <v>-4814099.5457884697</v>
      </c>
      <c r="D6" s="39">
        <v>-50648.561308798206</v>
      </c>
      <c r="E6" s="39">
        <v>-120281.18656186195</v>
      </c>
      <c r="F6" s="49">
        <f t="shared" ref="F6:F13" si="0">SUM(C6:E6)</f>
        <v>-4985029.2936591301</v>
      </c>
    </row>
    <row r="7" spans="1:6" x14ac:dyDescent="0.25">
      <c r="A7" s="6" t="s">
        <v>33</v>
      </c>
      <c r="B7" s="7">
        <v>1580</v>
      </c>
      <c r="C7" s="39">
        <v>55467524.86411006</v>
      </c>
      <c r="D7" s="39">
        <v>656860.17766508996</v>
      </c>
      <c r="E7" s="39">
        <v>1535692.1868919199</v>
      </c>
      <c r="F7" s="49">
        <f t="shared" si="0"/>
        <v>57660077.228667073</v>
      </c>
    </row>
    <row r="8" spans="1:6" x14ac:dyDescent="0.25">
      <c r="A8" s="6" t="s">
        <v>91</v>
      </c>
      <c r="B8" s="7">
        <v>1580</v>
      </c>
      <c r="C8" s="39">
        <v>-10557946.281706864</v>
      </c>
      <c r="D8" s="39">
        <v>-109268.0117452839</v>
      </c>
      <c r="E8" s="39">
        <v>-241250.86682194262</v>
      </c>
      <c r="F8" s="49">
        <f t="shared" si="0"/>
        <v>-10908465.16027409</v>
      </c>
    </row>
    <row r="9" spans="1:6" x14ac:dyDescent="0.25">
      <c r="A9" s="6" t="s">
        <v>15</v>
      </c>
      <c r="B9" s="7">
        <v>1584</v>
      </c>
      <c r="C9" s="39">
        <v>41036390.265923336</v>
      </c>
      <c r="D9" s="39">
        <v>49612.201681924118</v>
      </c>
      <c r="E9" s="39">
        <v>1024372.1907494994</v>
      </c>
      <c r="F9" s="49">
        <f t="shared" si="0"/>
        <v>42110374.658354759</v>
      </c>
    </row>
    <row r="10" spans="1:6" x14ac:dyDescent="0.25">
      <c r="A10" s="6" t="s">
        <v>16</v>
      </c>
      <c r="B10" s="7">
        <v>1586</v>
      </c>
      <c r="C10" s="39">
        <v>-17341420.775766462</v>
      </c>
      <c r="D10" s="39">
        <v>-273838.80751583137</v>
      </c>
      <c r="E10" s="39">
        <v>-47854.719816337172</v>
      </c>
      <c r="F10" s="49">
        <f t="shared" si="0"/>
        <v>-17663114.30309863</v>
      </c>
    </row>
    <row r="11" spans="1:6" x14ac:dyDescent="0.25">
      <c r="A11" s="6" t="s">
        <v>17</v>
      </c>
      <c r="B11" s="7">
        <v>1588</v>
      </c>
      <c r="C11" s="39">
        <v>-39133433.533853516</v>
      </c>
      <c r="D11" s="39">
        <v>124397.40871731045</v>
      </c>
      <c r="E11" s="39">
        <v>-183839.55292617631</v>
      </c>
      <c r="F11" s="49">
        <f t="shared" si="0"/>
        <v>-39192875.678062379</v>
      </c>
    </row>
    <row r="12" spans="1:6" x14ac:dyDescent="0.25">
      <c r="A12" s="6" t="s">
        <v>18</v>
      </c>
      <c r="B12" s="7">
        <v>1589</v>
      </c>
      <c r="C12" s="39">
        <v>-21736850.693077814</v>
      </c>
      <c r="D12" s="39">
        <v>-818639.43216729548</v>
      </c>
      <c r="E12" s="39">
        <v>-1386501.510461092</v>
      </c>
      <c r="F12" s="49">
        <f t="shared" si="0"/>
        <v>-23941991.635706201</v>
      </c>
    </row>
    <row r="13" spans="1:6" ht="13.9" customHeight="1" x14ac:dyDescent="0.25">
      <c r="A13" s="6" t="s">
        <v>92</v>
      </c>
      <c r="B13" s="7">
        <v>1588</v>
      </c>
      <c r="C13" s="39">
        <v>6222410.9982740097</v>
      </c>
      <c r="D13" s="40"/>
      <c r="E13" s="40"/>
      <c r="F13" s="49">
        <f t="shared" si="0"/>
        <v>6222410.9982740097</v>
      </c>
    </row>
    <row r="14" spans="1:6" ht="13" x14ac:dyDescent="0.25">
      <c r="A14" s="8" t="s">
        <v>93</v>
      </c>
      <c r="B14" s="9"/>
      <c r="C14" s="41">
        <f>SUM(C5:C13)</f>
        <v>13119795.36579296</v>
      </c>
      <c r="D14" s="41">
        <f t="shared" ref="D14:F14" si="1">SUM(D5:D13)</f>
        <v>1258.8019459038042</v>
      </c>
      <c r="E14" s="41">
        <f t="shared" si="1"/>
        <v>1092379.2494745408</v>
      </c>
      <c r="F14" s="50">
        <f t="shared" si="1"/>
        <v>14213433.417213406</v>
      </c>
    </row>
  </sheetData>
  <pageMargins left="0.7" right="0.7" top="0.75" bottom="0.75" header="0.3" footer="0.3"/>
  <pageSetup scale="9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397C-E53D-400D-8C61-3107D4102F28}">
  <sheetPr>
    <pageSetUpPr fitToPage="1"/>
  </sheetPr>
  <dimension ref="A1:R19"/>
  <sheetViews>
    <sheetView tabSelected="1" topLeftCell="B1" zoomScale="70" zoomScaleNormal="70" workbookViewId="0">
      <selection activeCell="M11" sqref="M11"/>
    </sheetView>
  </sheetViews>
  <sheetFormatPr defaultColWidth="8.7265625" defaultRowHeight="14" x14ac:dyDescent="0.3"/>
  <cols>
    <col min="1" max="1" width="45.81640625" style="54" customWidth="1"/>
    <col min="2" max="2" width="10.453125" style="54" bestFit="1" customWidth="1"/>
    <col min="3" max="3" width="14.54296875" style="54" bestFit="1" customWidth="1"/>
    <col min="4" max="4" width="11.453125" style="54" bestFit="1" customWidth="1"/>
    <col min="5" max="5" width="15.81640625" style="54" customWidth="1"/>
    <col min="6" max="6" width="14.81640625" style="54" customWidth="1"/>
    <col min="7" max="7" width="12.453125" style="54" bestFit="1" customWidth="1"/>
    <col min="8" max="8" width="9.1796875" style="54" bestFit="1" customWidth="1"/>
    <col min="9" max="9" width="14.7265625" style="54" customWidth="1"/>
    <col min="10" max="10" width="14.1796875" style="54" customWidth="1"/>
    <col min="11" max="11" width="13.1796875" style="54" customWidth="1"/>
    <col min="12" max="12" width="10" style="54" bestFit="1" customWidth="1"/>
    <col min="13" max="13" width="14.81640625" style="54" customWidth="1"/>
    <col min="14" max="14" width="14.26953125" style="54" customWidth="1"/>
    <col min="15" max="15" width="14.54296875" style="54" bestFit="1" customWidth="1"/>
    <col min="16" max="16" width="11.453125" style="54" bestFit="1" customWidth="1"/>
    <col min="17" max="17" width="14.7265625" style="54" bestFit="1" customWidth="1"/>
    <col min="18" max="18" width="14.1796875" style="54" customWidth="1"/>
    <col min="19" max="16384" width="8.7265625" style="54"/>
  </cols>
  <sheetData>
    <row r="1" spans="1:18" ht="16" thickBot="1" x14ac:dyDescent="0.4">
      <c r="A1" s="83" t="s">
        <v>94</v>
      </c>
    </row>
    <row r="2" spans="1:18" ht="15" thickBot="1" x14ac:dyDescent="0.4">
      <c r="A2" s="51"/>
      <c r="G2" s="110" t="s">
        <v>95</v>
      </c>
      <c r="H2" s="111"/>
      <c r="I2" s="111"/>
      <c r="J2" s="111"/>
      <c r="K2" s="111"/>
      <c r="L2" s="111"/>
      <c r="M2" s="111"/>
      <c r="N2" s="112"/>
    </row>
    <row r="3" spans="1:18" ht="56.5" customHeight="1" x14ac:dyDescent="0.3">
      <c r="A3" s="76"/>
      <c r="B3" s="77"/>
      <c r="C3" s="113" t="s">
        <v>100</v>
      </c>
      <c r="D3" s="116"/>
      <c r="E3" s="116"/>
      <c r="F3" s="117"/>
      <c r="G3" s="113" t="s">
        <v>103</v>
      </c>
      <c r="H3" s="116"/>
      <c r="I3" s="116"/>
      <c r="J3" s="117"/>
      <c r="K3" s="118" t="s">
        <v>96</v>
      </c>
      <c r="L3" s="119"/>
      <c r="M3" s="119"/>
      <c r="N3" s="120"/>
      <c r="O3" s="113" t="s">
        <v>97</v>
      </c>
      <c r="P3" s="114"/>
      <c r="Q3" s="114"/>
      <c r="R3" s="115"/>
    </row>
    <row r="4" spans="1:18" ht="28" x14ac:dyDescent="0.3">
      <c r="A4" s="78" t="s">
        <v>2</v>
      </c>
      <c r="B4" s="79" t="s">
        <v>3</v>
      </c>
      <c r="C4" s="80" t="s">
        <v>59</v>
      </c>
      <c r="D4" s="81" t="s">
        <v>61</v>
      </c>
      <c r="E4" s="81" t="s">
        <v>60</v>
      </c>
      <c r="F4" s="82" t="s">
        <v>90</v>
      </c>
      <c r="G4" s="80" t="s">
        <v>59</v>
      </c>
      <c r="H4" s="81" t="s">
        <v>61</v>
      </c>
      <c r="I4" s="81" t="s">
        <v>60</v>
      </c>
      <c r="J4" s="82" t="s">
        <v>90</v>
      </c>
      <c r="K4" s="80" t="s">
        <v>59</v>
      </c>
      <c r="L4" s="81" t="s">
        <v>61</v>
      </c>
      <c r="M4" s="81" t="s">
        <v>60</v>
      </c>
      <c r="N4" s="82" t="s">
        <v>90</v>
      </c>
      <c r="O4" s="80" t="s">
        <v>59</v>
      </c>
      <c r="P4" s="81" t="s">
        <v>61</v>
      </c>
      <c r="Q4" s="81" t="s">
        <v>60</v>
      </c>
      <c r="R4" s="82" t="s">
        <v>90</v>
      </c>
    </row>
    <row r="5" spans="1:18" x14ac:dyDescent="0.3">
      <c r="A5" s="56" t="s">
        <v>10</v>
      </c>
      <c r="B5" s="61">
        <v>1550</v>
      </c>
      <c r="C5" s="62">
        <v>3977220.0676786806</v>
      </c>
      <c r="D5" s="52">
        <v>422783.82661878818</v>
      </c>
      <c r="E5" s="52">
        <v>512042.70842053182</v>
      </c>
      <c r="F5" s="60">
        <f>SUM(C5:E5)</f>
        <v>4912046.6027180003</v>
      </c>
      <c r="G5" s="59">
        <v>0</v>
      </c>
      <c r="H5" s="53">
        <v>0</v>
      </c>
      <c r="I5" s="53">
        <v>0</v>
      </c>
      <c r="J5" s="60">
        <f>SUM(G5:I5)</f>
        <v>0</v>
      </c>
      <c r="K5" s="58">
        <v>97134.617763000046</v>
      </c>
      <c r="L5" s="55">
        <v>10948.282348499995</v>
      </c>
      <c r="M5" s="55">
        <v>13202.929822499997</v>
      </c>
      <c r="N5" s="57">
        <f>SUM(K5:M5)</f>
        <v>121285.82993400004</v>
      </c>
      <c r="O5" s="58">
        <f t="shared" ref="O5:Q12" si="0">SUM(C5,G5,K5)</f>
        <v>4074354.6854416807</v>
      </c>
      <c r="P5" s="55">
        <f t="shared" si="0"/>
        <v>433732.10896728816</v>
      </c>
      <c r="Q5" s="55">
        <f t="shared" si="0"/>
        <v>525245.6382430318</v>
      </c>
      <c r="R5" s="57">
        <f>SUM(O5:Q5)</f>
        <v>5033332.4326520003</v>
      </c>
    </row>
    <row r="6" spans="1:18" x14ac:dyDescent="0.3">
      <c r="A6" s="56" t="s">
        <v>11</v>
      </c>
      <c r="B6" s="61">
        <v>1551</v>
      </c>
      <c r="C6" s="62">
        <v>-4814099.5457884697</v>
      </c>
      <c r="D6" s="52">
        <v>-50648.561308798206</v>
      </c>
      <c r="E6" s="52">
        <v>-120281.18656186195</v>
      </c>
      <c r="F6" s="60">
        <f t="shared" ref="F6:F13" si="1">SUM(C6:E6)</f>
        <v>-4985029.2936591301</v>
      </c>
      <c r="G6" s="59">
        <v>0</v>
      </c>
      <c r="H6" s="53">
        <v>0</v>
      </c>
      <c r="I6" s="53">
        <v>0</v>
      </c>
      <c r="J6" s="60">
        <f t="shared" ref="J6:J13" si="2">SUM(G6:I6)</f>
        <v>0</v>
      </c>
      <c r="K6" s="58">
        <v>-124094.61594466881</v>
      </c>
      <c r="L6" s="55">
        <v>-1305.0297856181228</v>
      </c>
      <c r="M6" s="55">
        <v>-3098.4475978598007</v>
      </c>
      <c r="N6" s="57">
        <f t="shared" ref="N6:N13" si="3">SUM(K6:M6)</f>
        <v>-128498.09332814674</v>
      </c>
      <c r="O6" s="58">
        <f t="shared" si="0"/>
        <v>-4938194.1617331384</v>
      </c>
      <c r="P6" s="55">
        <f t="shared" si="0"/>
        <v>-51953.591094416326</v>
      </c>
      <c r="Q6" s="55">
        <f t="shared" si="0"/>
        <v>-123379.63415972175</v>
      </c>
      <c r="R6" s="57">
        <f t="shared" ref="R6:R14" si="4">SUM(O6:Q6)</f>
        <v>-5113527.3869872764</v>
      </c>
    </row>
    <row r="7" spans="1:18" x14ac:dyDescent="0.3">
      <c r="A7" s="56" t="s">
        <v>33</v>
      </c>
      <c r="B7" s="61">
        <v>1580</v>
      </c>
      <c r="C7" s="62">
        <v>55467524.86411006</v>
      </c>
      <c r="D7" s="52">
        <v>656860.17766508996</v>
      </c>
      <c r="E7" s="52">
        <v>1535692.1868919199</v>
      </c>
      <c r="F7" s="60">
        <f t="shared" si="1"/>
        <v>57660077.228667073</v>
      </c>
      <c r="G7" s="59">
        <v>0</v>
      </c>
      <c r="H7" s="53">
        <v>0</v>
      </c>
      <c r="I7" s="53">
        <v>0</v>
      </c>
      <c r="J7" s="60">
        <f t="shared" si="2"/>
        <v>0</v>
      </c>
      <c r="K7" s="58">
        <v>1435306.6716801005</v>
      </c>
      <c r="L7" s="55">
        <v>16986.756746580089</v>
      </c>
      <c r="M7" s="55">
        <v>39742.732777842975</v>
      </c>
      <c r="N7" s="57">
        <f t="shared" si="3"/>
        <v>1492036.1612045236</v>
      </c>
      <c r="O7" s="58">
        <f t="shared" si="0"/>
        <v>56902831.53579016</v>
      </c>
      <c r="P7" s="55">
        <f t="shared" si="0"/>
        <v>673846.93441167008</v>
      </c>
      <c r="Q7" s="55">
        <f t="shared" si="0"/>
        <v>1575434.919669763</v>
      </c>
      <c r="R7" s="57">
        <f t="shared" si="4"/>
        <v>59152113.38987159</v>
      </c>
    </row>
    <row r="8" spans="1:18" x14ac:dyDescent="0.3">
      <c r="A8" s="56" t="s">
        <v>91</v>
      </c>
      <c r="B8" s="61">
        <v>1580</v>
      </c>
      <c r="C8" s="62">
        <v>-10557946.281706864</v>
      </c>
      <c r="D8" s="52">
        <v>-109268.0117452839</v>
      </c>
      <c r="E8" s="52">
        <v>-241250.86682194262</v>
      </c>
      <c r="F8" s="60">
        <f t="shared" si="1"/>
        <v>-10908465.16027409</v>
      </c>
      <c r="G8" s="59">
        <v>0</v>
      </c>
      <c r="H8" s="53">
        <v>0</v>
      </c>
      <c r="I8" s="53">
        <v>0</v>
      </c>
      <c r="J8" s="60">
        <f t="shared" si="2"/>
        <v>0</v>
      </c>
      <c r="K8" s="58">
        <v>-261709.67489760678</v>
      </c>
      <c r="L8" s="55">
        <v>-2771.9406486037519</v>
      </c>
      <c r="M8" s="55">
        <v>-6128.7647369154993</v>
      </c>
      <c r="N8" s="57">
        <f t="shared" si="3"/>
        <v>-270610.38028312603</v>
      </c>
      <c r="O8" s="58">
        <f t="shared" si="0"/>
        <v>-10819655.956604471</v>
      </c>
      <c r="P8" s="55">
        <f t="shared" si="0"/>
        <v>-112039.95239388765</v>
      </c>
      <c r="Q8" s="55">
        <f t="shared" si="0"/>
        <v>-247379.63155885812</v>
      </c>
      <c r="R8" s="57">
        <f t="shared" si="4"/>
        <v>-11179075.540557217</v>
      </c>
    </row>
    <row r="9" spans="1:18" x14ac:dyDescent="0.3">
      <c r="A9" s="56" t="s">
        <v>15</v>
      </c>
      <c r="B9" s="61">
        <v>1584</v>
      </c>
      <c r="C9" s="62">
        <v>41036390.265923336</v>
      </c>
      <c r="D9" s="52">
        <v>49612.201681924118</v>
      </c>
      <c r="E9" s="52">
        <v>1024372.1907494994</v>
      </c>
      <c r="F9" s="60">
        <f t="shared" si="1"/>
        <v>42110374.658354759</v>
      </c>
      <c r="G9" s="59">
        <v>0</v>
      </c>
      <c r="H9" s="53">
        <v>0</v>
      </c>
      <c r="I9" s="53">
        <v>0</v>
      </c>
      <c r="J9" s="60">
        <f t="shared" si="2"/>
        <v>0</v>
      </c>
      <c r="K9" s="58">
        <v>1061521.0929780724</v>
      </c>
      <c r="L9" s="55">
        <v>1204.0202663733808</v>
      </c>
      <c r="M9" s="55">
        <v>26457.830378789407</v>
      </c>
      <c r="N9" s="57">
        <f t="shared" si="3"/>
        <v>1089182.9436232352</v>
      </c>
      <c r="O9" s="58">
        <f t="shared" si="0"/>
        <v>42097911.358901411</v>
      </c>
      <c r="P9" s="55">
        <f t="shared" si="0"/>
        <v>50816.221948297498</v>
      </c>
      <c r="Q9" s="55">
        <f t="shared" si="0"/>
        <v>1050830.0211282887</v>
      </c>
      <c r="R9" s="57">
        <f t="shared" si="4"/>
        <v>43199557.601977997</v>
      </c>
    </row>
    <row r="10" spans="1:18" x14ac:dyDescent="0.3">
      <c r="A10" s="56" t="s">
        <v>16</v>
      </c>
      <c r="B10" s="61">
        <v>1586</v>
      </c>
      <c r="C10" s="62">
        <v>-17341420.775766462</v>
      </c>
      <c r="D10" s="52">
        <v>-273838.80751583137</v>
      </c>
      <c r="E10" s="52">
        <v>-47854.719816337172</v>
      </c>
      <c r="F10" s="60">
        <f t="shared" si="1"/>
        <v>-17663114.30309863</v>
      </c>
      <c r="G10" s="59">
        <v>0</v>
      </c>
      <c r="H10" s="53">
        <v>0</v>
      </c>
      <c r="I10" s="53">
        <v>0</v>
      </c>
      <c r="J10" s="60">
        <f t="shared" si="2"/>
        <v>0</v>
      </c>
      <c r="K10" s="58">
        <v>-420747.02398699295</v>
      </c>
      <c r="L10" s="55">
        <v>-6978.4033039045144</v>
      </c>
      <c r="M10" s="55">
        <v>-941.30178857323301</v>
      </c>
      <c r="N10" s="57">
        <f t="shared" si="3"/>
        <v>-428666.72907947068</v>
      </c>
      <c r="O10" s="58">
        <f t="shared" si="0"/>
        <v>-17762167.799753454</v>
      </c>
      <c r="P10" s="55">
        <f t="shared" si="0"/>
        <v>-280817.21081973589</v>
      </c>
      <c r="Q10" s="55">
        <f t="shared" si="0"/>
        <v>-48796.021604910406</v>
      </c>
      <c r="R10" s="57">
        <f t="shared" si="4"/>
        <v>-18091781.0321781</v>
      </c>
    </row>
    <row r="11" spans="1:18" x14ac:dyDescent="0.3">
      <c r="A11" s="56" t="s">
        <v>17</v>
      </c>
      <c r="B11" s="61">
        <v>1588</v>
      </c>
      <c r="C11" s="62">
        <v>-39133433.533853516</v>
      </c>
      <c r="D11" s="52">
        <v>124397.40871731045</v>
      </c>
      <c r="E11" s="52">
        <v>-183839.55292617631</v>
      </c>
      <c r="F11" s="60">
        <f t="shared" si="1"/>
        <v>-39192875.678062379</v>
      </c>
      <c r="G11" s="59">
        <v>0</v>
      </c>
      <c r="H11" s="53">
        <v>0</v>
      </c>
      <c r="I11" s="53">
        <v>0</v>
      </c>
      <c r="J11" s="60">
        <f t="shared" si="2"/>
        <v>0</v>
      </c>
      <c r="K11" s="58">
        <v>-993838.14933608181</v>
      </c>
      <c r="L11" s="55">
        <v>3699.0889877919526</v>
      </c>
      <c r="M11" s="55">
        <v>-3726.0030406901319</v>
      </c>
      <c r="N11" s="57">
        <f t="shared" si="3"/>
        <v>-993865.06338897999</v>
      </c>
      <c r="O11" s="58">
        <f t="shared" si="0"/>
        <v>-40127271.683189601</v>
      </c>
      <c r="P11" s="55">
        <f t="shared" si="0"/>
        <v>128096.4977051024</v>
      </c>
      <c r="Q11" s="55">
        <f t="shared" si="0"/>
        <v>-187565.55596686644</v>
      </c>
      <c r="R11" s="57">
        <f t="shared" si="4"/>
        <v>-40186740.741451368</v>
      </c>
    </row>
    <row r="12" spans="1:18" x14ac:dyDescent="0.3">
      <c r="A12" s="56" t="s">
        <v>18</v>
      </c>
      <c r="B12" s="61">
        <v>1589</v>
      </c>
      <c r="C12" s="62">
        <v>-21736850.693077814</v>
      </c>
      <c r="D12" s="52">
        <v>-818639.43216729548</v>
      </c>
      <c r="E12" s="52">
        <v>-1386501.510461092</v>
      </c>
      <c r="F12" s="60">
        <f t="shared" si="1"/>
        <v>-23941991.635706201</v>
      </c>
      <c r="G12" s="59">
        <v>0</v>
      </c>
      <c r="H12" s="53">
        <v>0</v>
      </c>
      <c r="I12" s="53">
        <f>-88018.1-1590.5479</f>
        <v>-89608.647900000011</v>
      </c>
      <c r="J12" s="60">
        <f t="shared" si="2"/>
        <v>-89608.647900000011</v>
      </c>
      <c r="K12" s="58">
        <v>-546758.42468911665</v>
      </c>
      <c r="L12" s="55">
        <v>-21405.536644950877</v>
      </c>
      <c r="M12" s="55">
        <f>-38791.17835016+(-27475.3681505199)-(-22643)</f>
        <v>-43623.546500679891</v>
      </c>
      <c r="N12" s="57">
        <f t="shared" si="3"/>
        <v>-611787.50783474743</v>
      </c>
      <c r="O12" s="58">
        <f t="shared" si="0"/>
        <v>-22283609.117766932</v>
      </c>
      <c r="P12" s="55">
        <f t="shared" si="0"/>
        <v>-840044.96881224634</v>
      </c>
      <c r="Q12" s="55">
        <f t="shared" si="0"/>
        <v>-1519733.7048617718</v>
      </c>
      <c r="R12" s="57">
        <f>SUM(O12:Q12)</f>
        <v>-24643387.791440949</v>
      </c>
    </row>
    <row r="13" spans="1:18" ht="29.15" customHeight="1" thickBot="1" x14ac:dyDescent="0.35">
      <c r="A13" s="63" t="s">
        <v>92</v>
      </c>
      <c r="B13" s="64">
        <v>1588</v>
      </c>
      <c r="C13" s="65">
        <v>6222410.9982740097</v>
      </c>
      <c r="D13" s="66"/>
      <c r="E13" s="66"/>
      <c r="F13" s="67">
        <f t="shared" si="1"/>
        <v>6222410.9982740097</v>
      </c>
      <c r="G13" s="68">
        <v>0</v>
      </c>
      <c r="H13" s="66"/>
      <c r="I13" s="66"/>
      <c r="J13" s="67">
        <f t="shared" si="2"/>
        <v>0</v>
      </c>
      <c r="K13" s="69">
        <v>247768.09913700027</v>
      </c>
      <c r="L13" s="66"/>
      <c r="M13" s="66"/>
      <c r="N13" s="70">
        <f t="shared" si="3"/>
        <v>247768.09913700027</v>
      </c>
      <c r="O13" s="69">
        <f>SUM(C13,G13,K13)</f>
        <v>6470179.0974110104</v>
      </c>
      <c r="P13" s="66"/>
      <c r="Q13" s="66"/>
      <c r="R13" s="70">
        <f t="shared" si="4"/>
        <v>6470179.0974110104</v>
      </c>
    </row>
    <row r="14" spans="1:18" ht="14.5" thickBot="1" x14ac:dyDescent="0.35">
      <c r="A14" s="71" t="s">
        <v>93</v>
      </c>
      <c r="B14" s="72"/>
      <c r="C14" s="73">
        <f>SUM(C5:C13)</f>
        <v>13119795.36579296</v>
      </c>
      <c r="D14" s="74">
        <f t="shared" ref="D14:N14" si="5">SUM(D5:D13)</f>
        <v>1258.8019459038042</v>
      </c>
      <c r="E14" s="74">
        <f t="shared" si="5"/>
        <v>1092379.2494745408</v>
      </c>
      <c r="F14" s="75">
        <f t="shared" si="5"/>
        <v>14213433.417213406</v>
      </c>
      <c r="G14" s="73">
        <f t="shared" si="5"/>
        <v>0</v>
      </c>
      <c r="H14" s="74">
        <f t="shared" si="5"/>
        <v>0</v>
      </c>
      <c r="I14" s="74">
        <f t="shared" si="5"/>
        <v>-89608.647900000011</v>
      </c>
      <c r="J14" s="75">
        <f t="shared" si="5"/>
        <v>-89608.647900000011</v>
      </c>
      <c r="K14" s="73">
        <f t="shared" si="5"/>
        <v>494582.592703706</v>
      </c>
      <c r="L14" s="74">
        <f t="shared" si="5"/>
        <v>377.23796616815162</v>
      </c>
      <c r="M14" s="74">
        <f t="shared" si="5"/>
        <v>21885.429314413821</v>
      </c>
      <c r="N14" s="75">
        <f t="shared" si="5"/>
        <v>516845.25998428813</v>
      </c>
      <c r="O14" s="73">
        <f>SUM(O5:O13)</f>
        <v>13614377.958496664</v>
      </c>
      <c r="P14" s="74">
        <f>SUM(P5:P13)</f>
        <v>1636.0399120718939</v>
      </c>
      <c r="Q14" s="74">
        <f>SUM(Q5:Q13)</f>
        <v>1024656.0308889546</v>
      </c>
      <c r="R14" s="75">
        <f t="shared" si="4"/>
        <v>14640670.029297689</v>
      </c>
    </row>
    <row r="16" spans="1:18" x14ac:dyDescent="0.3">
      <c r="A16" s="54" t="s">
        <v>101</v>
      </c>
    </row>
    <row r="17" spans="1:1" x14ac:dyDescent="0.3">
      <c r="A17" s="54" t="s">
        <v>102</v>
      </c>
    </row>
    <row r="18" spans="1:1" x14ac:dyDescent="0.3">
      <c r="A18" s="54" t="s">
        <v>98</v>
      </c>
    </row>
    <row r="19" spans="1:1" x14ac:dyDescent="0.3">
      <c r="A19" s="54" t="s">
        <v>99</v>
      </c>
    </row>
  </sheetData>
  <mergeCells count="5">
    <mergeCell ref="G2:N2"/>
    <mergeCell ref="O3:R3"/>
    <mergeCell ref="C3:F3"/>
    <mergeCell ref="G3:J3"/>
    <mergeCell ref="K3:N3"/>
  </mergeCells>
  <pageMargins left="0.7" right="0.7" top="0.75" bottom="0.75" header="0.3" footer="0.3"/>
  <pageSetup scale="9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2024-05-24T04:00:00+00:00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Allocation of Group 1 RSVA Balances (corrected)_v20230801.xlsx</TitleofExhibit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FEF8F-7F05-4441-810D-E8DD3513E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AF480-EF56-4DAA-BCC2-4D0E7C8B3834}">
  <ds:schemaRefs>
    <ds:schemaRef ds:uri="7e651a3a-8d05-4ee0-9344-b668032e30e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f5e108a-442b-424d-88d6-fdac133e65d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AEAB1-EA3E-4FB3-B130-5DF747D48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Settlement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KIM Susan</cp:lastModifiedBy>
  <cp:revision/>
  <dcterms:created xsi:type="dcterms:W3CDTF">2023-08-01T20:55:59Z</dcterms:created>
  <dcterms:modified xsi:type="dcterms:W3CDTF">2024-05-01T17:35:28Z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  <property fmtid="{D5CDD505-2E9C-101B-9397-08002B2CF9AE}" pid="4" name="WitnessApproved">
    <vt:lpwstr>false</vt:lpwstr>
  </property>
</Properties>
</file>