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/>
  <mc:AlternateContent xmlns:mc="http://schemas.openxmlformats.org/markup-compatibility/2006">
    <mc:Choice Requires="x15">
      <x15ac:absPath xmlns:x15ac="http://schemas.microsoft.com/office/spreadsheetml/2010/11/ac" url="V:\ACTIVE APPLICATIONS\API_2025_COS\0.1 Models Working Drafts\Total Cost Benchmarking\FINAL\"/>
    </mc:Choice>
  </mc:AlternateContent>
  <xr:revisionPtr revIDLastSave="0" documentId="13_ncr:1_{F2034CD2-C0F0-4FB4-AA0B-D07EC392091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" i="4" l="1"/>
  <c r="I64" i="4" l="1"/>
  <c r="O17" i="4" l="1"/>
  <c r="J120" i="4" l="1"/>
  <c r="K120" i="4"/>
  <c r="L120" i="4"/>
  <c r="M120" i="4"/>
  <c r="J86" i="4"/>
  <c r="K86" i="4"/>
  <c r="L86" i="4"/>
  <c r="H64" i="4"/>
  <c r="J64" i="4"/>
  <c r="K64" i="4"/>
  <c r="L64" i="4"/>
  <c r="I78" i="4" l="1"/>
  <c r="I86" i="4"/>
  <c r="I91" i="4"/>
  <c r="I109" i="4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L22" i="4" s="1"/>
  <c r="M22" i="4" s="1"/>
  <c r="M110" i="1" s="1"/>
  <c r="L21" i="4"/>
  <c r="M21" i="4" s="1"/>
  <c r="L20" i="4"/>
  <c r="M20" i="4" s="1"/>
  <c r="G121" i="4"/>
  <c r="G36" i="4" s="1"/>
  <c r="G122" i="4"/>
  <c r="G45" i="4"/>
  <c r="G46" i="4"/>
  <c r="G47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143" i="1" s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J113" i="4"/>
  <c r="I114" i="4"/>
  <c r="I112" i="4"/>
  <c r="H97" i="1"/>
  <c r="H155" i="1" s="1"/>
  <c r="H209" i="1" s="1"/>
  <c r="H213" i="1" s="1"/>
  <c r="H78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143" i="1" s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115" i="4"/>
  <c r="J109" i="4"/>
  <c r="J114" i="4"/>
  <c r="J91" i="4"/>
  <c r="J112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143" i="1" s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39" i="1"/>
  <c r="H116" i="1"/>
  <c r="H29" i="4" l="1"/>
  <c r="H31" i="4" s="1"/>
  <c r="I29" i="4"/>
  <c r="K91" i="4"/>
  <c r="J118" i="4"/>
  <c r="J78" i="4"/>
  <c r="J119" i="4"/>
  <c r="K109" i="4"/>
  <c r="K114" i="4"/>
  <c r="K112" i="4"/>
  <c r="H118" i="1"/>
  <c r="H119" i="1" s="1"/>
  <c r="M113" i="1"/>
  <c r="M139" i="1" s="1"/>
  <c r="L145" i="1"/>
  <c r="K97" i="1"/>
  <c r="K96" i="1"/>
  <c r="K99" i="1"/>
  <c r="K142" i="1"/>
  <c r="K143" i="1" s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H218" i="1"/>
  <c r="H211" i="1"/>
  <c r="I136" i="1"/>
  <c r="I137" i="1" s="1"/>
  <c r="M113" i="4" l="1"/>
  <c r="M114" i="4" s="1"/>
  <c r="L114" i="4"/>
  <c r="K78" i="4"/>
  <c r="L109" i="4"/>
  <c r="M109" i="4"/>
  <c r="M86" i="4"/>
  <c r="K118" i="4"/>
  <c r="L112" i="4"/>
  <c r="M112" i="4"/>
  <c r="J115" i="4"/>
  <c r="J29" i="4" s="1"/>
  <c r="J31" i="4" s="1"/>
  <c r="J89" i="1" s="1"/>
  <c r="K119" i="4"/>
  <c r="M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143" i="1" s="1"/>
  <c r="M143" i="1" s="1"/>
  <c r="L99" i="1"/>
  <c r="K130" i="1"/>
  <c r="K113" i="1"/>
  <c r="K139" i="1" s="1"/>
  <c r="I156" i="1"/>
  <c r="I220" i="1" s="1"/>
  <c r="J153" i="1"/>
  <c r="J207" i="1" s="1"/>
  <c r="J128" i="1"/>
  <c r="J157" i="1" s="1"/>
  <c r="J221" i="1" s="1"/>
  <c r="J116" i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K115" i="4" l="1"/>
  <c r="K29" i="4" s="1"/>
  <c r="L118" i="4"/>
  <c r="L78" i="4"/>
  <c r="M119" i="4"/>
  <c r="L119" i="4"/>
  <c r="G10" i="5"/>
  <c r="J107" i="1"/>
  <c r="J121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6" i="1"/>
  <c r="I214" i="1"/>
  <c r="I210" i="1"/>
  <c r="J156" i="1"/>
  <c r="J220" i="1" s="1"/>
  <c r="K153" i="1"/>
  <c r="K207" i="1" s="1"/>
  <c r="K128" i="1"/>
  <c r="K157" i="1" s="1"/>
  <c r="K221" i="1" s="1"/>
  <c r="L115" i="4" l="1"/>
  <c r="L29" i="4" s="1"/>
  <c r="L31" i="4" s="1"/>
  <c r="L89" i="1" s="1"/>
  <c r="L107" i="1" s="1"/>
  <c r="M78" i="4"/>
  <c r="M64" i="4"/>
  <c r="M121" i="4"/>
  <c r="M118" i="4"/>
  <c r="K31" i="4"/>
  <c r="K89" i="1" s="1"/>
  <c r="K107" i="1" s="1"/>
  <c r="L137" i="1"/>
  <c r="J119" i="1"/>
  <c r="K156" i="1"/>
  <c r="K220" i="1" s="1"/>
  <c r="K118" i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M115" i="4" l="1"/>
  <c r="M29" i="4" s="1"/>
  <c r="M31" i="4" s="1"/>
  <c r="M89" i="1" s="1"/>
  <c r="L156" i="1"/>
  <c r="L220" i="1" s="1"/>
  <c r="M156" i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41" i="1"/>
  <c r="M235" i="1"/>
  <c r="H98" i="1" l="1"/>
  <c r="H130" i="1" s="1"/>
  <c r="H131" i="1" s="1"/>
  <c r="H154" i="1" l="1"/>
  <c r="H208" i="1" s="1"/>
  <c r="I131" i="1"/>
  <c r="J131" i="1" l="1"/>
  <c r="I154" i="1"/>
  <c r="I208" i="1" s="1"/>
  <c r="H212" i="1"/>
  <c r="H233" i="1" s="1"/>
  <c r="H215" i="1"/>
  <c r="H236" i="1" s="1"/>
  <c r="H219" i="1"/>
  <c r="H240" i="1" s="1"/>
  <c r="H229" i="1"/>
  <c r="H217" i="1"/>
  <c r="H238" i="1" s="1"/>
  <c r="H245" i="1" l="1"/>
  <c r="H246" i="1" s="1"/>
  <c r="H248" i="1" s="1"/>
  <c r="H257" i="1" s="1"/>
  <c r="H258" i="1" s="1"/>
  <c r="H259" i="1" s="1"/>
  <c r="I212" i="1"/>
  <c r="I233" i="1" s="1"/>
  <c r="I215" i="1"/>
  <c r="I236" i="1" s="1"/>
  <c r="I219" i="1"/>
  <c r="I240" i="1" s="1"/>
  <c r="I229" i="1"/>
  <c r="I217" i="1"/>
  <c r="I238" i="1" s="1"/>
  <c r="J154" i="1"/>
  <c r="J208" i="1" s="1"/>
  <c r="K131" i="1"/>
  <c r="G12" i="5" l="1"/>
  <c r="G16" i="5" s="1"/>
  <c r="I245" i="1"/>
  <c r="I246" i="1" s="1"/>
  <c r="I248" i="1" s="1"/>
  <c r="I257" i="1" s="1"/>
  <c r="I258" i="1" s="1"/>
  <c r="I259" i="1" s="1"/>
  <c r="H261" i="1"/>
  <c r="J212" i="1"/>
  <c r="J233" i="1" s="1"/>
  <c r="J217" i="1"/>
  <c r="J238" i="1" s="1"/>
  <c r="J229" i="1"/>
  <c r="J219" i="1"/>
  <c r="J240" i="1" s="1"/>
  <c r="J215" i="1"/>
  <c r="J236" i="1" s="1"/>
  <c r="K154" i="1"/>
  <c r="K208" i="1" s="1"/>
  <c r="L131" i="1"/>
  <c r="J245" i="1" l="1"/>
  <c r="J246" i="1" s="1"/>
  <c r="J248" i="1" s="1"/>
  <c r="J257" i="1" s="1"/>
  <c r="H12" i="5"/>
  <c r="I261" i="1"/>
  <c r="G14" i="5"/>
  <c r="L154" i="1"/>
  <c r="L208" i="1" s="1"/>
  <c r="M131" i="1"/>
  <c r="M154" i="1" s="1"/>
  <c r="M208" i="1" s="1"/>
  <c r="H14" i="5"/>
  <c r="H16" i="5"/>
  <c r="H22" i="5" s="1"/>
  <c r="G22" i="5"/>
  <c r="K212" i="1"/>
  <c r="K233" i="1" s="1"/>
  <c r="K217" i="1"/>
  <c r="K238" i="1" s="1"/>
  <c r="K229" i="1"/>
  <c r="K219" i="1"/>
  <c r="K240" i="1" s="1"/>
  <c r="K215" i="1"/>
  <c r="K236" i="1" s="1"/>
  <c r="K245" i="1" l="1"/>
  <c r="K246" i="1" s="1"/>
  <c r="K248" i="1" s="1"/>
  <c r="K257" i="1" s="1"/>
  <c r="J12" i="5" s="1"/>
  <c r="J10" i="5" s="1"/>
  <c r="J14" i="5" s="1"/>
  <c r="J16" i="5" s="1"/>
  <c r="I12" i="5"/>
  <c r="J258" i="1"/>
  <c r="J259" i="1" s="1"/>
  <c r="J261" i="1"/>
  <c r="H18" i="5"/>
  <c r="H24" i="5" s="1"/>
  <c r="M215" i="1"/>
  <c r="M236" i="1" s="1"/>
  <c r="M212" i="1"/>
  <c r="M233" i="1" s="1"/>
  <c r="M217" i="1"/>
  <c r="M238" i="1" s="1"/>
  <c r="M229" i="1"/>
  <c r="M245" i="1" s="1"/>
  <c r="M246" i="1" s="1"/>
  <c r="M248" i="1" s="1"/>
  <c r="M257" i="1" s="1"/>
  <c r="M219" i="1"/>
  <c r="M240" i="1" s="1"/>
  <c r="L212" i="1"/>
  <c r="L233" i="1" s="1"/>
  <c r="L217" i="1"/>
  <c r="L238" i="1" s="1"/>
  <c r="L229" i="1"/>
  <c r="L219" i="1"/>
  <c r="L240" i="1" s="1"/>
  <c r="L215" i="1"/>
  <c r="L236" i="1" s="1"/>
  <c r="K261" i="1" l="1"/>
  <c r="K258" i="1"/>
  <c r="K259" i="1" s="1"/>
  <c r="I10" i="5"/>
  <c r="I14" i="5" s="1"/>
  <c r="I16" i="5" s="1"/>
  <c r="M258" i="1"/>
  <c r="M259" i="1" s="1"/>
  <c r="M261" i="1"/>
  <c r="L245" i="1"/>
  <c r="L246" i="1" s="1"/>
  <c r="L248" i="1" s="1"/>
  <c r="L257" i="1" s="1"/>
  <c r="J22" i="5"/>
  <c r="I22" i="5" l="1"/>
  <c r="I18" i="5"/>
  <c r="I24" i="5" s="1"/>
  <c r="J18" i="5"/>
  <c r="J24" i="5" s="1"/>
  <c r="L258" i="1"/>
  <c r="L259" i="1" s="1"/>
  <c r="L261" i="1"/>
  <c r="K12" i="5"/>
  <c r="K10" i="5" s="1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<sst xmlns="http://schemas.openxmlformats.org/spreadsheetml/2006/main" count="519" uniqueCount="272">
  <si>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</si>
  <si>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</si>
  <si>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</si>
  <si>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</si>
  <si>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</si>
  <si>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</si>
  <si>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</si>
  <si>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</si>
  <si>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</si>
  <si>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</si>
  <si>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</si>
  <si>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</si>
  <si>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</si>
  <si>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</si>
  <si>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</si>
  <si>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</si>
  <si>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</si>
  <si>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</si>
  <si>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</si>
  <si>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</si>
  <si>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</si>
  <si>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</si>
  <si>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</si>
  <si>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</si>
  <si>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</si>
  <si>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</si>
  <si>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</si>
  <si>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</si>
  <si>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</si>
  <si>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</si>
  <si>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</si>
  <si>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</si>
  <si>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</si>
  <si>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</si>
  <si>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</si>
  <si>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</si>
  <si>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</si>
  <si>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</si>
  <si>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</si>
  <si>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</si>
  <si>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</si>
  <si>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</si>
  <si>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</si>
  <si>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</si>
  <si>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</si>
  <si>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</si>
  <si>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</si>
  <si>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</si>
  <si>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</si>
  <si>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</si>
  <si>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</si>
  <si>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</si>
  <si>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</si>
  <si>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</si>
  <si>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</si>
  <si>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</si>
  <si>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</si>
  <si>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</si>
  <si>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</si>
  <si>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</si>
  <si>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</si>
  <si>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</si>
  <si>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</si>
  <si>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</si>
  <si>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</si>
  <si>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</si>
  <si>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</si>
  <si>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</si>
  <si>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</si>
  <si>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</si>
  <si>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</si>
  <si>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</si>
  <si>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</si>
  <si>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</si>
  <si>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</si>
  <si>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</si>
  <si>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</si>
  <si>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</si>
  <si>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</si>
  <si>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</si>
  <si>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</si>
  <si>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</si>
  <si>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</si>
  <si>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</si>
  <si>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</si>
  <si>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</si>
  <si>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</si>
  <si>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</si>
  <si>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</si>
  <si>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</si>
  <si>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</si>
  <si>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</si>
  <si>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</si>
  <si>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</si>
  <si>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</si>
  <si>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</si>
  <si>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</si>
  <si>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</si>
  <si>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</si>
  <si>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</si>
  <si>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</si>
  <si>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</si>
  <si>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</si>
  <si>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</si>
  <si>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</si>
  <si>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</si>
  <si>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</si>
  <si>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</si>
  <si>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</si>
  <si>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</si>
  <si>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</si>
  <si>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</si>
  <si>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</si>
  <si>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</si>
  <si>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</si>
  <si>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</si>
  <si>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</si>
  <si>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</si>
  <si>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</si>
  <si>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</si>
  <si>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</si>
  <si>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</si>
  <si>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</si>
  <si>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</si>
  <si>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</si>
  <si>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</si>
  <si>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</si>
  <si>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</si>
  <si>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</si>
  <si>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</si>
  <si>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</si>
  <si>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</si>
  <si>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</si>
  <si>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</si>
  <si>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</si>
  <si>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</si>
  <si>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</si>
  <si>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</si>
  <si>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</si>
  <si>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</si>
  <si>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</si>
  <si>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</si>
  <si>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</si>
  <si>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</si>
  <si>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</si>
  <si>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</si>
  <si>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</si>
  <si>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</si>
  <si>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</si>
  <si>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</si>
  <si>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</si>
  <si>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</si>
  <si>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</si>
  <si>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</si>
  <si>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</si>
  <si>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</si>
  <si>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</si>
  <si>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</si>
  <si>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</si>
  <si>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</si>
  <si>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</si>
  <si>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</si>
  <si>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</si>
  <si>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</si>
  <si>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</si>
  <si>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</si>
  <si>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</si>
  <si>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</si>
  <si>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</si>
  <si>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</si>
  <si>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</si>
  <si>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</si>
  <si>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</si>
  <si>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</si>
  <si>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</si>
  <si>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</si>
  <si>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</si>
  <si>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</si>
  <si>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</si>
  <si>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</si>
  <si>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</si>
  <si>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</si>
  <si>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</si>
  <si>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</si>
  <si>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</si>
  <si>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</si>
  <si>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</si>
  <si>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</si>
  <si>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</si>
  <si>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</si>
  <si>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</si>
  <si>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</si>
  <si>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</si>
  <si>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</si>
  <si>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</si>
  <si>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</si>
  <si>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</si>
  <si>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</si>
  <si>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</si>
  <si>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</si>
  <si>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</si>
  <si>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</si>
  <si>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</si>
  <si>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</si>
  <si>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</si>
  <si>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</si>
  <si>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</si>
  <si>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</si>
  <si>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</si>
  <si>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</si>
  <si>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</si>
  <si>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</si>
  <si>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</si>
  <si>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</si>
  <si>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</si>
  <si>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</si>
  <si>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</si>
  <si>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</si>
  <si>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</si>
  <si>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</si>
  <si>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</si>
  <si>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</si>
  <si>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</si>
  <si>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</si>
  <si>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</si>
  <si>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</si>
  <si>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</si>
  <si>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</si>
  <si>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</si>
  <si>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</si>
  <si>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</si>
  <si>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</si>
  <si>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</si>
  <si>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</si>
  <si>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</si>
  <si>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</si>
  <si>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</si>
  <si>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</si>
  <si>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</si>
  <si>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</si>
  <si>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</si>
  <si>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</si>
  <si>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</si>
  <si>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</si>
  <si>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</si>
  <si>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</si>
  <si>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</si>
  <si>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</si>
  <si>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</si>
  <si>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</si>
  <si>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</si>
  <si>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</si>
  <si>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</si>
  <si>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</si>
  <si>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</si>
  <si>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</si>
  <si>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</si>
  <si>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</si>
  <si>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</si>
  <si>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</si>
  <si>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</si>
  <si>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</si>
  <si>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</si>
  <si>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</si>
  <si>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</si>
  <si>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</si>
  <si>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</si>
  <si>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</si>
  <si>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</si>
  <si>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Additional Year for Custom IR</t>
  </si>
  <si>
    <t xml:space="preserve">                         -   </t>
  </si>
  <si>
    <t>                         -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</si>
</sst>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0"/>
    <numFmt numFmtId="177" formatCode="_(* #,##0.00000_);_(* \(#,##0.00000\);_(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1" applyNumberFormat="1" applyFont="1" applyFill="1"/>
    <xf numFmtId="1" fontId="0" fillId="2" borderId="6" xfId="1" applyNumberFormat="1" applyFont="1" applyFill="1" applyBorder="1" applyAlignment="1">
      <alignment horizontal="center"/>
    </xf>
    <xf numFmtId="167" fontId="0" fillId="9" borderId="0" xfId="1" applyNumberFormat="1" applyFont="1" applyFill="1" applyBorder="1" applyAlignment="1">
      <alignment horizontal="center"/>
    </xf>
    <xf numFmtId="2" fontId="0" fillId="0" borderId="0" xfId="2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zoomScale="90" zoomScaleNormal="90" workbookViewId="0">
      <selection activeCell="N16" sqref="N16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34" t="s">
        <v>186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15" ht="19.5" customHeight="1" x14ac:dyDescent="0.25">
      <c r="C3" s="235" t="str">
        <f>IF(F5="Click to Choose an LDC","",F5)</f>
        <v>Algoma Power Inc.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261</v>
      </c>
      <c r="E5" s="9"/>
      <c r="F5" s="89" t="s">
        <v>199</v>
      </c>
      <c r="G5" s="2" t="s">
        <v>174</v>
      </c>
      <c r="H5" s="2" t="s">
        <v>174</v>
      </c>
      <c r="I5" s="2" t="s">
        <v>174</v>
      </c>
      <c r="J5" s="2" t="s">
        <v>174</v>
      </c>
      <c r="K5" s="2" t="s">
        <v>267</v>
      </c>
      <c r="L5" s="2" t="s">
        <v>268</v>
      </c>
      <c r="M5" s="143" t="s">
        <v>269</v>
      </c>
      <c r="O5" s="4"/>
    </row>
    <row r="6" spans="2:15" ht="36" customHeight="1" x14ac:dyDescent="0.35">
      <c r="B6" s="4" t="s">
        <v>177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263</v>
      </c>
      <c r="O6" s="2"/>
    </row>
    <row r="8" spans="2:15" x14ac:dyDescent="0.2">
      <c r="C8" s="8" t="s">
        <v>85</v>
      </c>
      <c r="D8" s="8"/>
      <c r="E8" s="2"/>
      <c r="H8" s="236"/>
      <c r="I8" s="236"/>
      <c r="J8" s="236"/>
      <c r="K8" s="236"/>
      <c r="L8" s="236"/>
      <c r="M8" s="236"/>
    </row>
    <row r="9" spans="2:15" x14ac:dyDescent="0.2">
      <c r="B9" s="2">
        <v>1</v>
      </c>
      <c r="D9" s="9" t="s">
        <v>86</v>
      </c>
      <c r="G9" s="54">
        <f>'Benchmarking Calculations'!G92</f>
        <v>7891000</v>
      </c>
      <c r="H9" s="81">
        <v>22208000</v>
      </c>
      <c r="I9" s="81">
        <v>10240000</v>
      </c>
      <c r="J9" s="81">
        <v>21941854</v>
      </c>
      <c r="K9" s="81">
        <v>19277685.039999999</v>
      </c>
      <c r="L9" s="81">
        <v>10310488.83</v>
      </c>
      <c r="M9" s="81">
        <v>10139118</v>
      </c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/>
      <c r="I10" s="81"/>
      <c r="J10" s="81"/>
      <c r="K10" s="81"/>
      <c r="L10" s="81"/>
      <c r="M10" s="81"/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12124</v>
      </c>
      <c r="H13" s="81">
        <v>12227</v>
      </c>
      <c r="I13" s="81">
        <v>12332</v>
      </c>
      <c r="J13" s="81">
        <v>12428</v>
      </c>
      <c r="K13" s="81">
        <v>12406</v>
      </c>
      <c r="L13" s="81">
        <v>12436</v>
      </c>
      <c r="M13" s="81"/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228547637.74000001</v>
      </c>
      <c r="H14" s="81">
        <v>244314343.79167747</v>
      </c>
      <c r="I14" s="81">
        <v>256287580.02670693</v>
      </c>
      <c r="J14" s="81">
        <v>259742424</v>
      </c>
      <c r="K14" s="81">
        <v>267027453.1032446</v>
      </c>
      <c r="L14" s="81">
        <v>270880231.81506491</v>
      </c>
      <c r="M14" s="81"/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44860</v>
      </c>
      <c r="H15" s="81">
        <v>45245</v>
      </c>
      <c r="I15" s="81">
        <v>50393</v>
      </c>
      <c r="J15" s="81">
        <v>51072.31</v>
      </c>
      <c r="K15" s="81">
        <v>52504.74</v>
      </c>
      <c r="L15" s="81">
        <v>53262.3</v>
      </c>
      <c r="M15" s="81"/>
      <c r="N15" s="9" t="s">
        <v>172</v>
      </c>
      <c r="O15" s="231">
        <v>0</v>
      </c>
    </row>
    <row r="16" spans="2:15" x14ac:dyDescent="0.2">
      <c r="B16" s="2">
        <v>6</v>
      </c>
      <c r="D16" s="9" t="s">
        <v>187</v>
      </c>
      <c r="G16" s="54">
        <f>'Benchmarking Calculations'!G99</f>
        <v>2198</v>
      </c>
      <c r="H16" s="81">
        <v>2195</v>
      </c>
      <c r="I16" s="81">
        <v>2108</v>
      </c>
      <c r="J16" s="81">
        <v>2108</v>
      </c>
      <c r="K16" s="81">
        <v>2108</v>
      </c>
      <c r="L16" s="81">
        <v>2108</v>
      </c>
      <c r="M16" s="81"/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4.4092318291422669E-2</v>
      </c>
      <c r="H17" s="207">
        <v>5.5781020637250697E-2</v>
      </c>
      <c r="I17" s="207">
        <v>6.2279266086656904E-2</v>
      </c>
      <c r="J17" s="207">
        <v>6.6409718431212683E-2</v>
      </c>
      <c r="K17" s="207">
        <v>6.9176774331888513E-2</v>
      </c>
      <c r="L17" s="207">
        <v>6.6625000813745228E-2</v>
      </c>
      <c r="M17" s="207"/>
      <c r="N17" s="9" t="s">
        <v>172</v>
      </c>
      <c r="O17" s="231">
        <f>7000+1015+44+3622</f>
        <v>11681</v>
      </c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6"/>
      <c r="I19" s="236"/>
      <c r="J19" s="236"/>
      <c r="K19" s="236"/>
      <c r="L19" s="236"/>
      <c r="M19" s="236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3.0533707039455342E-2</v>
      </c>
      <c r="I20" s="80">
        <v>3.0454519489995294E-2</v>
      </c>
      <c r="J20" s="80">
        <v>3.5000000000000003E-2</v>
      </c>
      <c r="K20" s="80">
        <v>2.3E-2</v>
      </c>
      <c r="L20" s="80">
        <f t="shared" ref="L20:M20" si="1">K20</f>
        <v>2.3E-2</v>
      </c>
      <c r="M20" s="80">
        <f t="shared" si="1"/>
        <v>2.3E-2</v>
      </c>
      <c r="N20" s="9" t="s">
        <v>265</v>
      </c>
      <c r="O20" s="237" t="s">
        <v>264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4.0013942058278212E-2</v>
      </c>
      <c r="I21" s="80">
        <v>5.8587303414415259E-2</v>
      </c>
      <c r="J21" s="80">
        <v>3.7999999999999999E-2</v>
      </c>
      <c r="K21" s="80">
        <v>5.8999999999999997E-2</v>
      </c>
      <c r="L21" s="80">
        <f t="shared" ref="L21:M22" si="2">K21</f>
        <v>5.8999999999999997E-2</v>
      </c>
      <c r="M21" s="80">
        <f t="shared" si="2"/>
        <v>5.8999999999999997E-2</v>
      </c>
      <c r="N21" s="9" t="s">
        <v>265</v>
      </c>
      <c r="O21" s="237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5.0020000000000002E-2</v>
      </c>
      <c r="I22" s="80">
        <v>5.4651999999999999E-2</v>
      </c>
      <c r="J22" s="80">
        <v>6.6699999999999995E-2</v>
      </c>
      <c r="K22" s="80">
        <v>6.5000000000000002E-2</v>
      </c>
      <c r="L22" s="80">
        <f t="shared" si="2"/>
        <v>6.5000000000000002E-2</v>
      </c>
      <c r="M22" s="80">
        <f t="shared" si="2"/>
        <v>6.5000000000000002E-2</v>
      </c>
      <c r="N22" s="9" t="s">
        <v>266</v>
      </c>
      <c r="O22" s="237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188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193</v>
      </c>
      <c r="G27" s="34">
        <f>G35-G36+G37</f>
        <v>13122890.970000001</v>
      </c>
      <c r="H27" s="34">
        <f t="shared" ref="H27:M27" si="3">H35-H36+H37</f>
        <v>0</v>
      </c>
      <c r="I27" s="34">
        <f t="shared" si="3"/>
        <v>0</v>
      </c>
      <c r="J27" s="34">
        <f>J35-J36+J37</f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9" t="s">
        <v>29</v>
      </c>
    </row>
    <row r="28" spans="2:15" ht="13.5" thickBot="1" x14ac:dyDescent="0.25">
      <c r="B28" s="9" t="s">
        <v>185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197</v>
      </c>
      <c r="G29" s="34">
        <f>G115-G121+G122</f>
        <v>13122890.970000001</v>
      </c>
      <c r="H29" s="34">
        <f>H115-H121+H122</f>
        <v>13481111.189999999</v>
      </c>
      <c r="I29" s="34">
        <f t="shared" ref="I29:M29" si="4">I115-I121+I122</f>
        <v>13718921.159999998</v>
      </c>
      <c r="J29" s="34">
        <f>J115-J121+J122</f>
        <v>13796191.23</v>
      </c>
      <c r="K29" s="34">
        <f t="shared" si="4"/>
        <v>14383705.499999998</v>
      </c>
      <c r="L29" s="34">
        <f t="shared" si="4"/>
        <v>16025015.807118258</v>
      </c>
      <c r="M29" s="34">
        <f t="shared" si="4"/>
        <v>0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5">IF($E$27="Y",G27,IF($E$29="Y",G29,"Error: Please enter Y for one method"))</f>
        <v>13122890.970000001</v>
      </c>
      <c r="H31" s="34">
        <f>IF($E$27="Y",H27,IF($E$29="Y",H29,"Error: Please enter Y for one method"))</f>
        <v>13481111.189999999</v>
      </c>
      <c r="I31" s="34">
        <f t="shared" si="5"/>
        <v>13718921.159999998</v>
      </c>
      <c r="J31" s="34">
        <f>IF($E$27="Y",J27,IF($E$29="Y",J29,"Error: Please enter Y for one method"))</f>
        <v>13796191.23</v>
      </c>
      <c r="K31" s="34">
        <f t="shared" si="5"/>
        <v>14383705.499999998</v>
      </c>
      <c r="L31" s="34">
        <f t="shared" si="5"/>
        <v>16025015.807118258</v>
      </c>
      <c r="M31" s="34">
        <f t="shared" si="5"/>
        <v>0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176</v>
      </c>
      <c r="G34" s="54"/>
      <c r="H34" s="233" t="s">
        <v>180</v>
      </c>
      <c r="I34" s="233"/>
      <c r="J34" s="233"/>
      <c r="K34" s="233"/>
      <c r="L34" s="233"/>
      <c r="M34" s="233"/>
      <c r="N34" s="98"/>
    </row>
    <row r="35" spans="3:27" x14ac:dyDescent="0.2">
      <c r="C35" s="97"/>
      <c r="D35" s="111" t="s">
        <v>190</v>
      </c>
      <c r="E35" t="s">
        <v>198</v>
      </c>
      <c r="G35" s="17">
        <f>G115</f>
        <v>13122890.970000001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191</v>
      </c>
      <c r="E36" t="s">
        <v>189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192</v>
      </c>
      <c r="E37" t="s">
        <v>83</v>
      </c>
      <c r="G37" s="34">
        <f>G122</f>
        <v>0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32"/>
    </row>
    <row r="41" spans="3:27" x14ac:dyDescent="0.2">
      <c r="C41" s="97"/>
      <c r="D41" s="8" t="s">
        <v>175</v>
      </c>
      <c r="N41" s="98"/>
      <c r="O41" s="232"/>
    </row>
    <row r="42" spans="3:27" x14ac:dyDescent="0.2">
      <c r="C42" s="50"/>
      <c r="N42" s="98"/>
      <c r="O42" s="232"/>
    </row>
    <row r="43" spans="3:27" x14ac:dyDescent="0.2">
      <c r="C43" s="102"/>
      <c r="D43" s="8" t="s">
        <v>164</v>
      </c>
      <c r="E43" s="8"/>
      <c r="F43" s="2"/>
      <c r="N43" s="98"/>
      <c r="O43" s="232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122914.96</v>
      </c>
      <c r="H44" s="229">
        <v>127539.51</v>
      </c>
      <c r="I44" s="229">
        <v>130318.61</v>
      </c>
      <c r="J44" s="229">
        <v>98655.8</v>
      </c>
      <c r="K44" s="229">
        <v>117249.72</v>
      </c>
      <c r="L44" s="229">
        <v>126721.44</v>
      </c>
      <c r="M44" s="86"/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131696.73000000001</v>
      </c>
      <c r="H45" s="229">
        <v>138199.91</v>
      </c>
      <c r="I45" s="229">
        <v>128953.35</v>
      </c>
      <c r="J45" s="229">
        <v>153247.91</v>
      </c>
      <c r="K45" s="229">
        <v>132322.07999999999</v>
      </c>
      <c r="L45" s="229">
        <v>196581.12</v>
      </c>
      <c r="M45" s="86"/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63113.18</v>
      </c>
      <c r="H46" s="229">
        <v>73652.78</v>
      </c>
      <c r="I46" s="229">
        <v>114581.23</v>
      </c>
      <c r="J46" s="229">
        <v>95262.33</v>
      </c>
      <c r="K46" s="229">
        <v>81583.839999999997</v>
      </c>
      <c r="L46" s="229">
        <v>81820.08</v>
      </c>
      <c r="M46" s="86"/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0</v>
      </c>
      <c r="H47" s="229">
        <v>0</v>
      </c>
      <c r="I47" s="229">
        <v>0</v>
      </c>
      <c r="J47" s="229">
        <v>0</v>
      </c>
      <c r="K47" s="229">
        <v>0</v>
      </c>
      <c r="L47" s="229">
        <v>0</v>
      </c>
      <c r="M47" s="86"/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/>
      <c r="H48" s="229">
        <v>0</v>
      </c>
      <c r="I48" s="229">
        <v>0</v>
      </c>
      <c r="J48" s="229">
        <v>0</v>
      </c>
      <c r="K48" s="229">
        <v>0</v>
      </c>
      <c r="L48" s="229">
        <v>0</v>
      </c>
      <c r="M48" s="86"/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18796.54</v>
      </c>
      <c r="H49" s="229">
        <v>46448.77</v>
      </c>
      <c r="I49" s="229">
        <v>61618.67</v>
      </c>
      <c r="J49" s="229">
        <v>42293.52</v>
      </c>
      <c r="K49" s="229">
        <v>35330.04</v>
      </c>
      <c r="L49" s="229">
        <v>34319.519999999997</v>
      </c>
      <c r="M49" s="86"/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2060.7600000000002</v>
      </c>
      <c r="H50" s="229">
        <v>15268.18</v>
      </c>
      <c r="I50" s="229">
        <v>22762.84</v>
      </c>
      <c r="J50" s="229">
        <v>15582.74</v>
      </c>
      <c r="K50" s="229">
        <v>34500</v>
      </c>
      <c r="L50" s="229">
        <v>35900</v>
      </c>
      <c r="M50" s="86"/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113821.23</v>
      </c>
      <c r="H51" s="229">
        <v>56547.65</v>
      </c>
      <c r="I51" s="229">
        <v>85409.72</v>
      </c>
      <c r="J51" s="229">
        <v>131572.69</v>
      </c>
      <c r="K51" s="229">
        <v>108150.6</v>
      </c>
      <c r="L51" s="229">
        <v>110237.4</v>
      </c>
      <c r="M51" s="86"/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139493.17000000001</v>
      </c>
      <c r="H52" s="229">
        <v>117599.62</v>
      </c>
      <c r="I52" s="229">
        <v>103603.89</v>
      </c>
      <c r="J52" s="229">
        <v>63495.839999999997</v>
      </c>
      <c r="K52" s="229">
        <v>102847.8</v>
      </c>
      <c r="L52" s="229">
        <v>105676.08</v>
      </c>
      <c r="M52" s="86"/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535.67999999999995</v>
      </c>
      <c r="H53" s="229">
        <v>1275.3</v>
      </c>
      <c r="I53" s="229">
        <v>0</v>
      </c>
      <c r="J53" s="229">
        <v>11381.67</v>
      </c>
      <c r="K53" s="229">
        <v>0</v>
      </c>
      <c r="L53" s="229">
        <v>0</v>
      </c>
      <c r="M53" s="86"/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16599.16</v>
      </c>
      <c r="H54" s="229">
        <v>21047.5</v>
      </c>
      <c r="I54" s="229">
        <v>14105.13</v>
      </c>
      <c r="J54" s="229">
        <v>12662.71</v>
      </c>
      <c r="K54" s="229">
        <v>15632.64</v>
      </c>
      <c r="L54" s="229">
        <v>15762.6</v>
      </c>
      <c r="M54" s="86"/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0</v>
      </c>
      <c r="H55" s="229">
        <v>0</v>
      </c>
      <c r="I55" s="229">
        <v>0</v>
      </c>
      <c r="J55" s="229">
        <v>0</v>
      </c>
      <c r="K55" s="229">
        <v>0</v>
      </c>
      <c r="L55" s="229">
        <v>0</v>
      </c>
      <c r="M55" s="86"/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0</v>
      </c>
      <c r="H56" s="229">
        <v>0</v>
      </c>
      <c r="I56" s="229">
        <v>0</v>
      </c>
      <c r="J56" s="229">
        <v>0</v>
      </c>
      <c r="K56" s="229">
        <v>0</v>
      </c>
      <c r="L56" s="229">
        <v>0</v>
      </c>
      <c r="M56" s="86"/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201899.81</v>
      </c>
      <c r="H57" s="229">
        <v>188025.38</v>
      </c>
      <c r="I57" s="229">
        <v>202938.69</v>
      </c>
      <c r="J57" s="229">
        <v>213329.96</v>
      </c>
      <c r="K57" s="229">
        <v>250782.76</v>
      </c>
      <c r="L57" s="229">
        <v>256944.56</v>
      </c>
      <c r="M57" s="86"/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147224.29</v>
      </c>
      <c r="H58" s="229">
        <v>138568.99</v>
      </c>
      <c r="I58" s="229">
        <v>120124.7</v>
      </c>
      <c r="J58" s="229">
        <v>125997</v>
      </c>
      <c r="K58" s="229">
        <v>117360.12</v>
      </c>
      <c r="L58" s="229">
        <v>119836.68</v>
      </c>
      <c r="M58" s="86"/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40577.61</v>
      </c>
      <c r="H59" s="229">
        <v>71723.960000000006</v>
      </c>
      <c r="I59" s="229">
        <v>57091.66</v>
      </c>
      <c r="J59" s="229">
        <v>76050.89</v>
      </c>
      <c r="K59" s="229">
        <v>58796.88</v>
      </c>
      <c r="L59" s="229">
        <v>60413.760000000002</v>
      </c>
      <c r="M59" s="86"/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359814.86</v>
      </c>
      <c r="H60" s="229">
        <v>405560.93</v>
      </c>
      <c r="I60" s="229">
        <v>419847.86</v>
      </c>
      <c r="J60" s="229">
        <v>600533.56999999995</v>
      </c>
      <c r="K60" s="229">
        <v>472728.73</v>
      </c>
      <c r="L60" s="229">
        <v>474060.24</v>
      </c>
      <c r="M60" s="86"/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229">
        <v>0</v>
      </c>
      <c r="I61" s="229">
        <v>0</v>
      </c>
      <c r="J61" s="229">
        <v>0</v>
      </c>
      <c r="K61" s="229">
        <v>0</v>
      </c>
      <c r="L61" s="229">
        <v>0</v>
      </c>
      <c r="M61" s="86"/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20318.189999999999</v>
      </c>
      <c r="H62" s="229">
        <v>153074.01</v>
      </c>
      <c r="I62" s="229">
        <v>288353.91999999998</v>
      </c>
      <c r="J62" s="229">
        <v>268746.48</v>
      </c>
      <c r="K62" s="229">
        <v>381876.07</v>
      </c>
      <c r="L62" s="229">
        <v>767909.40711825783</v>
      </c>
      <c r="M62" s="86"/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2791</v>
      </c>
      <c r="H63" s="229">
        <v>5463.88</v>
      </c>
      <c r="I63" s="229">
        <v>4332.25</v>
      </c>
      <c r="J63" s="229">
        <v>2243.4</v>
      </c>
      <c r="K63" s="229">
        <v>5264.64</v>
      </c>
      <c r="L63" s="229">
        <v>5373.6</v>
      </c>
      <c r="M63" s="86"/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1381657.17</v>
      </c>
      <c r="H64" s="52">
        <f>SUM(H44:H63)</f>
        <v>1559996.3699999999</v>
      </c>
      <c r="I64" s="52">
        <f>SUM(I44:I63)</f>
        <v>1754042.52</v>
      </c>
      <c r="J64" s="52">
        <f t="shared" ref="J64:M64" si="6">SUM(J44:J63)</f>
        <v>1911056.5099999998</v>
      </c>
      <c r="K64" s="52">
        <f t="shared" si="6"/>
        <v>1914425.92</v>
      </c>
      <c r="L64" s="52">
        <f t="shared" si="6"/>
        <v>2391556.4871182577</v>
      </c>
      <c r="M64" s="52">
        <f t="shared" si="6"/>
        <v>0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96521.06</v>
      </c>
      <c r="H65" s="229">
        <v>94050.43</v>
      </c>
      <c r="I65" s="229">
        <v>100017.52</v>
      </c>
      <c r="J65" s="229">
        <v>125152.59</v>
      </c>
      <c r="K65" s="229">
        <v>121357.08</v>
      </c>
      <c r="L65" s="229">
        <v>131861.4</v>
      </c>
      <c r="M65" s="86"/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229">
        <v>3362.82</v>
      </c>
      <c r="I66" s="229">
        <v>1231.98</v>
      </c>
      <c r="J66" s="229">
        <v>1947.12</v>
      </c>
      <c r="K66" s="229">
        <v>0</v>
      </c>
      <c r="L66" s="229">
        <v>0</v>
      </c>
      <c r="M66" s="86"/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0</v>
      </c>
      <c r="H67" s="229">
        <v>0</v>
      </c>
      <c r="I67" s="229">
        <v>0</v>
      </c>
      <c r="J67" s="229">
        <v>0</v>
      </c>
      <c r="K67" s="229">
        <v>0</v>
      </c>
      <c r="L67" s="229">
        <v>0</v>
      </c>
      <c r="M67" s="86"/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25875.55</v>
      </c>
      <c r="H68" s="229">
        <v>53968.97</v>
      </c>
      <c r="I68" s="229">
        <v>14027.13</v>
      </c>
      <c r="J68" s="229">
        <v>27948.93</v>
      </c>
      <c r="K68" s="229">
        <v>66066.36</v>
      </c>
      <c r="L68" s="229">
        <v>106644.12</v>
      </c>
      <c r="M68" s="86"/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113694.48</v>
      </c>
      <c r="H69" s="229">
        <v>122308.78</v>
      </c>
      <c r="I69" s="229">
        <v>89308.15</v>
      </c>
      <c r="J69" s="229">
        <v>62041.61</v>
      </c>
      <c r="K69" s="229">
        <v>154216.64000000001</v>
      </c>
      <c r="L69" s="229">
        <v>147141.88</v>
      </c>
      <c r="M69" s="86"/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955409.68</v>
      </c>
      <c r="H70" s="229">
        <v>660432.87</v>
      </c>
      <c r="I70" s="229">
        <v>625002.65</v>
      </c>
      <c r="J70" s="229">
        <v>509151.54</v>
      </c>
      <c r="K70" s="229">
        <v>619150.07999999996</v>
      </c>
      <c r="L70" s="229">
        <v>687530.04</v>
      </c>
      <c r="M70" s="86"/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206923.07</v>
      </c>
      <c r="H71" s="229">
        <v>213370.21</v>
      </c>
      <c r="I71" s="229">
        <v>299228.28000000003</v>
      </c>
      <c r="J71" s="229">
        <v>216398.88</v>
      </c>
      <c r="K71" s="229">
        <v>269910</v>
      </c>
      <c r="L71" s="229">
        <v>269856.32</v>
      </c>
      <c r="M71" s="86"/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3595162.02</v>
      </c>
      <c r="H72" s="229">
        <v>3839054.67</v>
      </c>
      <c r="I72" s="229">
        <v>3821810.81</v>
      </c>
      <c r="J72" s="229">
        <v>4024179.4</v>
      </c>
      <c r="K72" s="229">
        <v>4000882.45</v>
      </c>
      <c r="L72" s="229">
        <v>4816433.66</v>
      </c>
      <c r="M72" s="86"/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0</v>
      </c>
      <c r="H73" s="229">
        <v>0</v>
      </c>
      <c r="I73" s="229">
        <v>0</v>
      </c>
      <c r="J73" s="229">
        <v>0</v>
      </c>
      <c r="K73" s="229">
        <v>0</v>
      </c>
      <c r="L73" s="229">
        <v>0</v>
      </c>
      <c r="M73" s="86"/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0</v>
      </c>
      <c r="H74" s="229">
        <v>0</v>
      </c>
      <c r="I74" s="229">
        <v>0</v>
      </c>
      <c r="J74" s="229">
        <v>0</v>
      </c>
      <c r="K74" s="229">
        <v>0</v>
      </c>
      <c r="L74" s="229">
        <v>0</v>
      </c>
      <c r="M74" s="86"/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0</v>
      </c>
      <c r="H75" s="229">
        <v>0</v>
      </c>
      <c r="I75" s="229">
        <v>0</v>
      </c>
      <c r="J75" s="229">
        <v>772.29</v>
      </c>
      <c r="K75" s="229">
        <v>0</v>
      </c>
      <c r="L75" s="229">
        <v>0</v>
      </c>
      <c r="M75" s="86"/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28567.34</v>
      </c>
      <c r="H76" s="229">
        <v>12859.27</v>
      </c>
      <c r="I76" s="229">
        <v>111</v>
      </c>
      <c r="J76" s="229">
        <v>18132.96</v>
      </c>
      <c r="K76" s="229">
        <v>13366.8</v>
      </c>
      <c r="L76" s="229">
        <v>13657.31</v>
      </c>
      <c r="M76" s="86"/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574224.89</v>
      </c>
      <c r="H77" s="229">
        <v>546643.62</v>
      </c>
      <c r="I77" s="229">
        <v>545785.57999999996</v>
      </c>
      <c r="J77" s="229">
        <v>617719.24</v>
      </c>
      <c r="K77" s="229">
        <v>589345.68000000005</v>
      </c>
      <c r="L77" s="229">
        <v>538418.4</v>
      </c>
      <c r="M77" s="86"/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5596378.0899999999</v>
      </c>
      <c r="H78" s="52">
        <f>SUM(H65:H77)</f>
        <v>5546051.6399999997</v>
      </c>
      <c r="I78" s="52">
        <f t="shared" ref="I78:M78" si="7">SUM(I65:I77)</f>
        <v>5496523.0999999996</v>
      </c>
      <c r="J78" s="52">
        <f t="shared" si="7"/>
        <v>5603444.5600000005</v>
      </c>
      <c r="K78" s="52">
        <f t="shared" si="7"/>
        <v>5834295.0899999999</v>
      </c>
      <c r="L78" s="52">
        <f t="shared" si="7"/>
        <v>6711543.1299999999</v>
      </c>
      <c r="M78" s="52">
        <f t="shared" si="7"/>
        <v>0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100657.06</v>
      </c>
      <c r="H79" s="229">
        <v>103278.54</v>
      </c>
      <c r="I79" s="229">
        <v>100645.11</v>
      </c>
      <c r="J79" s="229">
        <v>101840.75</v>
      </c>
      <c r="K79" s="229">
        <v>94493.28</v>
      </c>
      <c r="L79" s="229">
        <v>96034.8</v>
      </c>
      <c r="M79" s="86"/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136231.63</v>
      </c>
      <c r="H80" s="229">
        <v>129022.5</v>
      </c>
      <c r="I80" s="229">
        <v>158373.10999999999</v>
      </c>
      <c r="J80" s="229">
        <v>150418.64000000001</v>
      </c>
      <c r="K80" s="229">
        <v>141548.51999999999</v>
      </c>
      <c r="L80" s="229">
        <v>147707.51999999999</v>
      </c>
      <c r="M80" s="86"/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227714.43</v>
      </c>
      <c r="H81" s="229">
        <v>203613.52</v>
      </c>
      <c r="I81" s="229">
        <v>190086.05</v>
      </c>
      <c r="J81" s="229">
        <v>204025.42</v>
      </c>
      <c r="K81" s="229">
        <v>250564.2</v>
      </c>
      <c r="L81" s="229">
        <v>254799.96</v>
      </c>
      <c r="M81" s="86"/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167706.59</v>
      </c>
      <c r="H82" s="229">
        <v>186143.31</v>
      </c>
      <c r="I82" s="229">
        <v>168864.72</v>
      </c>
      <c r="J82" s="229">
        <v>165186.62</v>
      </c>
      <c r="K82" s="229">
        <v>224832.36</v>
      </c>
      <c r="L82" s="229">
        <v>225158.03</v>
      </c>
      <c r="M82" s="86"/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229">
        <v>0</v>
      </c>
      <c r="I83" s="229">
        <v>0</v>
      </c>
      <c r="J83" s="229">
        <v>0</v>
      </c>
      <c r="K83" s="229">
        <v>0</v>
      </c>
      <c r="L83" s="229">
        <v>0</v>
      </c>
      <c r="M83" s="86"/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86"/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220656.81</v>
      </c>
      <c r="H85" s="229">
        <v>260946.09</v>
      </c>
      <c r="I85" s="229">
        <v>267534.38</v>
      </c>
      <c r="J85" s="229">
        <v>271770.92</v>
      </c>
      <c r="K85" s="229">
        <v>278040.15999999997</v>
      </c>
      <c r="L85" s="229">
        <v>286379.28000000003</v>
      </c>
      <c r="M85" s="86"/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852966.52</v>
      </c>
      <c r="H86" s="52">
        <f>SUM(H79:H85)</f>
        <v>883003.95999999985</v>
      </c>
      <c r="I86" s="52">
        <f t="shared" ref="I86:M86" si="8">SUM(I79:I85)</f>
        <v>885503.37</v>
      </c>
      <c r="J86" s="52">
        <f t="shared" si="8"/>
        <v>893242.35000000009</v>
      </c>
      <c r="K86" s="52">
        <f t="shared" si="8"/>
        <v>989478.52</v>
      </c>
      <c r="L86" s="52">
        <f t="shared" si="8"/>
        <v>1010079.5900000001</v>
      </c>
      <c r="M86" s="52">
        <f t="shared" si="8"/>
        <v>0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229">
        <v>1394.99</v>
      </c>
      <c r="I87" s="229">
        <v>0</v>
      </c>
      <c r="J87" s="229">
        <v>1220.6400000000001</v>
      </c>
      <c r="K87" s="229">
        <v>0</v>
      </c>
      <c r="L87" s="229">
        <v>1245.8399999999999</v>
      </c>
      <c r="M87" s="86"/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6845.54</v>
      </c>
      <c r="H88" s="229">
        <v>7725.78</v>
      </c>
      <c r="I88" s="229">
        <v>8469.65</v>
      </c>
      <c r="J88" s="229">
        <v>10849.94</v>
      </c>
      <c r="K88" s="229">
        <v>11100</v>
      </c>
      <c r="L88" s="229">
        <v>12600</v>
      </c>
      <c r="M88" s="86"/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  <c r="M89" s="86"/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27556.38</v>
      </c>
      <c r="H90" s="229">
        <v>43750.55</v>
      </c>
      <c r="I90" s="229">
        <v>61950.45</v>
      </c>
      <c r="J90" s="229">
        <v>56610.74</v>
      </c>
      <c r="K90" s="229">
        <v>58388.28</v>
      </c>
      <c r="L90" s="229">
        <v>61374.44</v>
      </c>
      <c r="M90" s="86"/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34401.919999999998</v>
      </c>
      <c r="H91" s="52">
        <f>SUM(H87:H90)</f>
        <v>52871.320000000007</v>
      </c>
      <c r="I91" s="52">
        <f t="shared" ref="I91:M91" si="9">SUM(I87:I90)</f>
        <v>70420.099999999991</v>
      </c>
      <c r="J91" s="52">
        <f t="shared" si="9"/>
        <v>68681.319999999992</v>
      </c>
      <c r="K91" s="52">
        <f t="shared" si="9"/>
        <v>69488.28</v>
      </c>
      <c r="L91" s="52">
        <f>SUM(L87:L90)</f>
        <v>75220.28</v>
      </c>
      <c r="M91" s="52">
        <f t="shared" si="9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230" t="s">
        <v>271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86"/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230" t="s">
        <v>270</v>
      </c>
      <c r="H93" s="229">
        <v>0</v>
      </c>
      <c r="I93" s="229">
        <v>0</v>
      </c>
      <c r="J93" s="229">
        <v>0</v>
      </c>
      <c r="K93" s="229">
        <v>0</v>
      </c>
      <c r="L93" s="229">
        <v>0</v>
      </c>
      <c r="M93" s="86"/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230">
        <v>3386069.32</v>
      </c>
      <c r="H94" s="229">
        <v>3588518.33</v>
      </c>
      <c r="I94" s="229">
        <v>3361002.42</v>
      </c>
      <c r="J94" s="229">
        <v>3606006.94</v>
      </c>
      <c r="K94" s="229">
        <v>3657626.5999999996</v>
      </c>
      <c r="L94" s="229">
        <v>3954142.2800000003</v>
      </c>
      <c r="M94" s="86"/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137521.48000000001</v>
      </c>
      <c r="H95" s="229">
        <v>135195.21</v>
      </c>
      <c r="I95" s="229">
        <v>178509.62</v>
      </c>
      <c r="J95" s="229">
        <v>194606.19</v>
      </c>
      <c r="K95" s="229">
        <v>250257.99</v>
      </c>
      <c r="L95" s="229">
        <v>227294.92</v>
      </c>
      <c r="M95" s="86"/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-628155.25</v>
      </c>
      <c r="H96" s="229">
        <v>-615577.25</v>
      </c>
      <c r="I96" s="229">
        <v>-624297</v>
      </c>
      <c r="J96" s="229">
        <v>-633349.5</v>
      </c>
      <c r="K96" s="229">
        <v>-746831.88</v>
      </c>
      <c r="L96" s="229">
        <v>-767847.72</v>
      </c>
      <c r="M96" s="86"/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497880.62</v>
      </c>
      <c r="H97" s="229">
        <v>435667.95</v>
      </c>
      <c r="I97" s="229">
        <v>490569.34</v>
      </c>
      <c r="J97" s="229">
        <v>491704.02</v>
      </c>
      <c r="K97" s="229">
        <v>463152.36</v>
      </c>
      <c r="L97" s="229">
        <v>480479.04</v>
      </c>
      <c r="M97" s="86"/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0</v>
      </c>
      <c r="H98" s="229">
        <v>0</v>
      </c>
      <c r="I98" s="229">
        <v>0</v>
      </c>
      <c r="J98" s="229">
        <v>0</v>
      </c>
      <c r="K98" s="229">
        <v>0</v>
      </c>
      <c r="L98" s="229">
        <v>0</v>
      </c>
      <c r="M98" s="86"/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209074.48</v>
      </c>
      <c r="H99" s="229">
        <v>248095.35999999999</v>
      </c>
      <c r="I99" s="229">
        <v>294621.48</v>
      </c>
      <c r="J99" s="229">
        <v>189832.67</v>
      </c>
      <c r="K99" s="229">
        <v>230313.91999999993</v>
      </c>
      <c r="L99" s="229">
        <v>214494.15999999992</v>
      </c>
      <c r="M99" s="86"/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229">
        <v>0</v>
      </c>
      <c r="I100" s="229">
        <v>0</v>
      </c>
      <c r="J100" s="229">
        <v>0</v>
      </c>
      <c r="K100" s="229">
        <v>0</v>
      </c>
      <c r="L100" s="229">
        <v>0</v>
      </c>
      <c r="M100" s="86"/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229">
        <v>0</v>
      </c>
      <c r="I101" s="229">
        <v>0</v>
      </c>
      <c r="J101" s="229">
        <v>0</v>
      </c>
      <c r="K101" s="229">
        <v>0</v>
      </c>
      <c r="L101" s="229">
        <v>0</v>
      </c>
      <c r="M101" s="86"/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229">
        <v>0</v>
      </c>
      <c r="I102" s="229">
        <v>0</v>
      </c>
      <c r="J102" s="229">
        <v>0</v>
      </c>
      <c r="K102" s="229">
        <v>0</v>
      </c>
      <c r="L102" s="229">
        <v>0</v>
      </c>
      <c r="M102" s="86"/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135509.95000000001</v>
      </c>
      <c r="H103" s="229">
        <v>151996.5</v>
      </c>
      <c r="I103" s="229">
        <v>201605.31</v>
      </c>
      <c r="J103" s="229">
        <v>220120.9</v>
      </c>
      <c r="K103" s="229">
        <v>229563.48</v>
      </c>
      <c r="L103" s="229">
        <v>308441.76</v>
      </c>
      <c r="M103" s="86"/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36916.720000000001</v>
      </c>
      <c r="H104" s="229">
        <v>18162</v>
      </c>
      <c r="I104" s="229">
        <v>81837.47</v>
      </c>
      <c r="J104" s="229">
        <v>35271.74</v>
      </c>
      <c r="K104" s="229">
        <v>54018.52</v>
      </c>
      <c r="L104" s="229">
        <v>48604.480000000003</v>
      </c>
      <c r="M104" s="86"/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266504.92</v>
      </c>
      <c r="H105" s="229">
        <v>268147.76</v>
      </c>
      <c r="I105" s="229">
        <v>290226.34999999998</v>
      </c>
      <c r="J105" s="229">
        <v>84797.4</v>
      </c>
      <c r="K105" s="229">
        <v>86493.36</v>
      </c>
      <c r="L105" s="229">
        <v>88223.28</v>
      </c>
      <c r="M105" s="86"/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229">
        <v>2381</v>
      </c>
      <c r="I106" s="229">
        <v>0</v>
      </c>
      <c r="J106" s="229">
        <v>0</v>
      </c>
      <c r="K106" s="229">
        <v>0</v>
      </c>
      <c r="L106" s="229">
        <v>0</v>
      </c>
      <c r="M106" s="86"/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1144471.73</v>
      </c>
      <c r="H107" s="229">
        <v>1125015.05</v>
      </c>
      <c r="I107" s="229">
        <v>1138907.8899999999</v>
      </c>
      <c r="J107" s="229">
        <v>1031213.9</v>
      </c>
      <c r="K107" s="229">
        <v>1205632.1000000001</v>
      </c>
      <c r="L107" s="229">
        <v>1133367.28</v>
      </c>
      <c r="M107" s="86"/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18233</v>
      </c>
      <c r="H108" s="229">
        <v>16831</v>
      </c>
      <c r="I108" s="229">
        <v>17353</v>
      </c>
      <c r="J108" s="229">
        <v>17595</v>
      </c>
      <c r="K108" s="229">
        <v>30900</v>
      </c>
      <c r="L108" s="229">
        <v>31317.64</v>
      </c>
      <c r="M108" s="86"/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5204026.9700000007</v>
      </c>
      <c r="H109" s="52">
        <f>SUM(H92:H108)</f>
        <v>5374432.9100000001</v>
      </c>
      <c r="I109" s="52">
        <f t="shared" ref="I109:M109" si="10">SUM(I92:I108)</f>
        <v>5430335.8799999999</v>
      </c>
      <c r="J109" s="52">
        <f t="shared" si="10"/>
        <v>5237799.26</v>
      </c>
      <c r="K109" s="52">
        <f t="shared" si="10"/>
        <v>5461126.4499999993</v>
      </c>
      <c r="L109" s="52">
        <f t="shared" si="10"/>
        <v>5718517.120000001</v>
      </c>
      <c r="M109" s="52">
        <f t="shared" si="10"/>
        <v>0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53460.3</v>
      </c>
      <c r="H110" s="229">
        <v>64754.99</v>
      </c>
      <c r="I110" s="229">
        <v>82096.19</v>
      </c>
      <c r="J110" s="229">
        <v>81967.23</v>
      </c>
      <c r="K110" s="229">
        <v>114891.24</v>
      </c>
      <c r="L110" s="229">
        <v>118099.2</v>
      </c>
      <c r="M110" s="86"/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229">
        <v>0</v>
      </c>
      <c r="I111" s="229">
        <v>0</v>
      </c>
      <c r="J111" s="229">
        <v>0</v>
      </c>
      <c r="K111" s="229">
        <v>0</v>
      </c>
      <c r="L111" s="229">
        <v>0</v>
      </c>
      <c r="M111" s="86"/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53460.3</v>
      </c>
      <c r="H112" s="52">
        <f>H110+H111</f>
        <v>64754.99</v>
      </c>
      <c r="I112" s="52">
        <f>I110+I111</f>
        <v>82096.19</v>
      </c>
      <c r="J112" s="52">
        <f t="shared" ref="J112:M112" si="11">J110+J111</f>
        <v>81967.23</v>
      </c>
      <c r="K112" s="52">
        <f t="shared" si="11"/>
        <v>114891.24</v>
      </c>
      <c r="L112" s="52">
        <f t="shared" si="11"/>
        <v>118099.2</v>
      </c>
      <c r="M112" s="52">
        <f t="shared" si="11"/>
        <v>0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229">
        <v>0</v>
      </c>
      <c r="I113" s="229">
        <v>0</v>
      </c>
      <c r="J113" s="86">
        <f t="shared" ref="J113:M113" si="12">I113</f>
        <v>0</v>
      </c>
      <c r="K113" s="229">
        <v>0</v>
      </c>
      <c r="L113" s="229">
        <v>0</v>
      </c>
      <c r="M113" s="86">
        <f t="shared" si="12"/>
        <v>0</v>
      </c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13">I113</f>
        <v>0</v>
      </c>
      <c r="J114" s="52">
        <f t="shared" si="13"/>
        <v>0</v>
      </c>
      <c r="K114" s="52">
        <f t="shared" si="13"/>
        <v>0</v>
      </c>
      <c r="L114" s="52">
        <f t="shared" si="13"/>
        <v>0</v>
      </c>
      <c r="M114" s="52">
        <f t="shared" si="13"/>
        <v>0</v>
      </c>
      <c r="N114" s="98" t="s">
        <v>29</v>
      </c>
    </row>
    <row r="115" spans="3:14" x14ac:dyDescent="0.2">
      <c r="C115" s="102"/>
      <c r="E115" s="112" t="s">
        <v>194</v>
      </c>
      <c r="F115" s="13" t="s">
        <v>80</v>
      </c>
      <c r="G115" s="38">
        <f>'Benchmarking Calculations'!G81</f>
        <v>13122890.970000001</v>
      </c>
      <c r="H115" s="52">
        <f>H64+H78+H86+H91+H109+H112</f>
        <v>13481111.189999999</v>
      </c>
      <c r="I115" s="52">
        <f>I64+I78+I86+I91+I109+I112</f>
        <v>13718921.159999998</v>
      </c>
      <c r="J115" s="52">
        <f t="shared" ref="J115:M115" si="14">J64+J78+J86+J91+J109+J112</f>
        <v>13796191.23</v>
      </c>
      <c r="K115" s="52">
        <f t="shared" si="14"/>
        <v>14383705.499999998</v>
      </c>
      <c r="L115" s="52">
        <f t="shared" si="14"/>
        <v>16025015.807118258</v>
      </c>
      <c r="M115" s="52">
        <f t="shared" si="14"/>
        <v>0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0</v>
      </c>
      <c r="H118" s="38"/>
      <c r="I118" s="38"/>
      <c r="J118" s="38">
        <f t="shared" ref="J118:L118" si="15">J47</f>
        <v>0</v>
      </c>
      <c r="K118" s="38">
        <f t="shared" si="15"/>
        <v>0</v>
      </c>
      <c r="L118" s="38">
        <f t="shared" si="15"/>
        <v>0</v>
      </c>
      <c r="M118" s="38">
        <f t="shared" ref="M118" si="16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/>
      <c r="I119" s="38"/>
      <c r="J119" s="38">
        <f t="shared" ref="J119:L119" si="17">J48</f>
        <v>0</v>
      </c>
      <c r="K119" s="38">
        <f t="shared" si="17"/>
        <v>0</v>
      </c>
      <c r="L119" s="38">
        <f t="shared" si="17"/>
        <v>0</v>
      </c>
      <c r="M119" s="38">
        <f t="shared" ref="M119" si="18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0</v>
      </c>
      <c r="H120" s="38"/>
      <c r="I120" s="38"/>
      <c r="J120" s="38">
        <f>J67</f>
        <v>0</v>
      </c>
      <c r="K120" s="38">
        <f t="shared" ref="K120:L120" si="19">K67</f>
        <v>0</v>
      </c>
      <c r="L120" s="38">
        <f t="shared" si="19"/>
        <v>0</v>
      </c>
      <c r="M120" s="38">
        <f t="shared" ref="M120" si="20">M67</f>
        <v>0</v>
      </c>
      <c r="N120" s="98" t="s">
        <v>29</v>
      </c>
    </row>
    <row r="121" spans="3:14" x14ac:dyDescent="0.2">
      <c r="C121" s="102"/>
      <c r="E121" s="112" t="s">
        <v>195</v>
      </c>
      <c r="F121" s="13" t="s">
        <v>82</v>
      </c>
      <c r="G121" s="69">
        <f>'Benchmarking Calculations'!G87</f>
        <v>0</v>
      </c>
      <c r="H121" s="69"/>
      <c r="I121" s="69"/>
      <c r="J121" s="69"/>
      <c r="K121" s="69"/>
      <c r="L121" s="69"/>
      <c r="M121" s="69">
        <f t="shared" ref="M121" si="21">M47+M48+M67</f>
        <v>0</v>
      </c>
      <c r="N121" s="113" t="s">
        <v>29</v>
      </c>
    </row>
    <row r="122" spans="3:14" x14ac:dyDescent="0.2">
      <c r="C122" s="102"/>
      <c r="E122" s="112" t="s">
        <v>196</v>
      </c>
      <c r="F122" s="13" t="s">
        <v>83</v>
      </c>
      <c r="G122" s="69">
        <f>'Benchmarking Calculations'!G88</f>
        <v>0</v>
      </c>
      <c r="H122" s="114"/>
      <c r="I122" s="114"/>
      <c r="J122" s="114"/>
      <c r="K122" s="114"/>
      <c r="L122" s="114"/>
      <c r="M122" s="114"/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J64:M64 H78:M78 H86:M86 H91:K91 H109:M109 H112:M112 H114:M115 J113 M113 M9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topLeftCell="B1" zoomScale="90" zoomScaleNormal="90" workbookViewId="0">
      <pane ySplit="5" topLeftCell="A229" activePane="bottomLeft" state="frozen"/>
      <selection activeCell="G33" sqref="G33"/>
      <selection pane="bottomLeft" activeCell="E106" sqref="E10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O1" s="82"/>
      <c r="P1" s="209" t="s">
        <v>262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40" t="s">
        <v>1</v>
      </c>
      <c r="C3" s="240"/>
      <c r="D3" s="141"/>
      <c r="E3" s="65" t="str">
        <f>'Model Inputs'!F5</f>
        <v>Algoma Power Inc.</v>
      </c>
      <c r="F3" s="182"/>
      <c r="G3" s="143"/>
      <c r="N3" s="154"/>
      <c r="O3" s="120">
        <v>1</v>
      </c>
      <c r="P3" s="120" t="s">
        <v>260</v>
      </c>
      <c r="Q3" t="s">
        <v>251</v>
      </c>
      <c r="R3" s="142" t="s">
        <v>199</v>
      </c>
      <c r="S3" s="142" t="s">
        <v>200</v>
      </c>
      <c r="T3" s="142" t="s">
        <v>201</v>
      </c>
      <c r="U3" s="142" t="s">
        <v>202</v>
      </c>
      <c r="V3" s="142" t="s">
        <v>203</v>
      </c>
      <c r="W3" s="142" t="s">
        <v>204</v>
      </c>
      <c r="X3" s="142" t="s">
        <v>205</v>
      </c>
      <c r="Y3" s="142" t="s">
        <v>206</v>
      </c>
      <c r="Z3" s="142" t="s">
        <v>207</v>
      </c>
      <c r="AA3" s="142" t="s">
        <v>208</v>
      </c>
      <c r="AB3" s="142" t="s">
        <v>255</v>
      </c>
      <c r="AC3" s="142" t="s">
        <v>256</v>
      </c>
      <c r="AD3" s="142" t="s">
        <v>209</v>
      </c>
      <c r="AE3" s="142" t="s">
        <v>257</v>
      </c>
      <c r="AF3" s="142" t="s">
        <v>253</v>
      </c>
      <c r="AG3" s="142" t="s">
        <v>254</v>
      </c>
      <c r="AH3" s="142" t="s">
        <v>210</v>
      </c>
      <c r="AI3" s="142" t="s">
        <v>211</v>
      </c>
      <c r="AJ3" s="142" t="s">
        <v>212</v>
      </c>
      <c r="AK3" s="142" t="s">
        <v>213</v>
      </c>
      <c r="AL3" s="142" t="s">
        <v>214</v>
      </c>
      <c r="AM3" s="142" t="s">
        <v>258</v>
      </c>
      <c r="AN3" s="142" t="s">
        <v>215</v>
      </c>
      <c r="AO3" s="142" t="s">
        <v>216</v>
      </c>
      <c r="AP3" s="142" t="s">
        <v>217</v>
      </c>
      <c r="AQ3" s="142" t="s">
        <v>218</v>
      </c>
      <c r="AR3" s="142" t="s">
        <v>219</v>
      </c>
      <c r="AS3" s="142" t="s">
        <v>220</v>
      </c>
      <c r="AT3" s="142" t="s">
        <v>252</v>
      </c>
      <c r="AU3" s="142" t="s">
        <v>221</v>
      </c>
      <c r="AV3" s="142" t="s">
        <v>222</v>
      </c>
      <c r="AW3" s="142" t="s">
        <v>223</v>
      </c>
      <c r="AX3" s="142" t="s">
        <v>224</v>
      </c>
      <c r="AY3" s="142" t="s">
        <v>225</v>
      </c>
      <c r="AZ3" s="142" t="s">
        <v>226</v>
      </c>
      <c r="BA3" s="142" t="s">
        <v>227</v>
      </c>
      <c r="BB3" s="142" t="s">
        <v>228</v>
      </c>
      <c r="BC3" s="142" t="s">
        <v>229</v>
      </c>
      <c r="BD3" s="142" t="s">
        <v>230</v>
      </c>
      <c r="BE3" s="142" t="s">
        <v>231</v>
      </c>
      <c r="BF3" s="142" t="s">
        <v>232</v>
      </c>
      <c r="BG3" s="142" t="s">
        <v>233</v>
      </c>
      <c r="BH3" s="142" t="s">
        <v>234</v>
      </c>
      <c r="BI3" s="142" t="s">
        <v>235</v>
      </c>
      <c r="BJ3" s="142" t="s">
        <v>236</v>
      </c>
      <c r="BK3" s="142" t="s">
        <v>237</v>
      </c>
      <c r="BL3" s="142" t="s">
        <v>238</v>
      </c>
      <c r="BM3" s="142" t="s">
        <v>239</v>
      </c>
      <c r="BN3" s="142" t="s">
        <v>240</v>
      </c>
      <c r="BO3" s="142" t="s">
        <v>241</v>
      </c>
      <c r="BP3" s="142" t="s">
        <v>259</v>
      </c>
      <c r="BQ3" s="142" t="s">
        <v>242</v>
      </c>
      <c r="BR3" s="142" t="s">
        <v>243</v>
      </c>
      <c r="BS3" s="142" t="s">
        <v>244</v>
      </c>
      <c r="BT3" s="142" t="s">
        <v>245</v>
      </c>
      <c r="BU3" s="142" t="s">
        <v>246</v>
      </c>
      <c r="BV3" s="142" t="s">
        <v>247</v>
      </c>
      <c r="BW3" s="142" t="s">
        <v>248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41"/>
      <c r="G4" s="242"/>
      <c r="H4" s="243" t="s">
        <v>2</v>
      </c>
      <c r="I4" s="241"/>
      <c r="J4" s="241"/>
      <c r="K4" s="241"/>
      <c r="L4" s="241"/>
      <c r="M4" s="241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249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122914.96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131696.73000000001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63113.18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18796.54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2060.7600000000002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113821.23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139493.17000000001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535.67999999999995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16599.16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201899.81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147224.29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40577.61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359814.86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20318.189999999999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2791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1381657.17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96521.06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25875.55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113694.48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955409.68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206923.07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3595162.02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0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0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28567.34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574224.89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5596378.0899999999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100657.06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136231.63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227714.43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167706.59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220656.81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852966.52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6845.54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27556.38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34401.919999999998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559544.56000000006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484889.19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2341635.5699999998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137521.48000000001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-628155.25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497880.62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0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209074.48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135509.95000000001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36916.720000000001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266504.92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1144471.73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18233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5204026.9700000007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53460.3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53460.3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13122890.970000001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13122890.970000001</v>
      </c>
      <c r="H89" s="121">
        <f>'Model Inputs'!H31</f>
        <v>13481111.189999999</v>
      </c>
      <c r="I89" s="122">
        <f>'Model Inputs'!I31</f>
        <v>13718921.159999998</v>
      </c>
      <c r="J89" s="122">
        <f>'Model Inputs'!J31</f>
        <v>13796191.23</v>
      </c>
      <c r="K89" s="122">
        <f>'Model Inputs'!K31</f>
        <v>14383705.499999998</v>
      </c>
      <c r="L89" s="122">
        <f>'Model Inputs'!L31</f>
        <v>16025015.807118258</v>
      </c>
      <c r="M89" s="123">
        <f>'Model Inputs'!M31</f>
        <v>0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7891000</v>
      </c>
      <c r="H92" s="121">
        <f>'Model Inputs'!H9</f>
        <v>22208000</v>
      </c>
      <c r="I92" s="122">
        <f>'Model Inputs'!I9</f>
        <v>10240000</v>
      </c>
      <c r="J92" s="122">
        <f>'Model Inputs'!J9</f>
        <v>21941854</v>
      </c>
      <c r="K92" s="122">
        <f>'Model Inputs'!K9</f>
        <v>19277685.039999999</v>
      </c>
      <c r="L92" s="122">
        <f>'Model Inputs'!L9</f>
        <v>10310488.83</v>
      </c>
      <c r="M92" s="123">
        <f>'Model Inputs'!M9</f>
        <v>10139118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12124</v>
      </c>
      <c r="H96" s="121">
        <f>'Model Inputs'!H13</f>
        <v>12227</v>
      </c>
      <c r="I96" s="122">
        <f>'Model Inputs'!I13</f>
        <v>12332</v>
      </c>
      <c r="J96" s="122">
        <f>'Model Inputs'!J13</f>
        <v>12428</v>
      </c>
      <c r="K96" s="122">
        <f>'Model Inputs'!K13</f>
        <v>12406</v>
      </c>
      <c r="L96" s="122">
        <f>'Model Inputs'!L13</f>
        <v>12436</v>
      </c>
      <c r="M96" s="123">
        <f>'Model Inputs'!M13</f>
        <v>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228547637.74000001</v>
      </c>
      <c r="H97" s="121">
        <f>'Model Inputs'!H14</f>
        <v>244314343.79167747</v>
      </c>
      <c r="I97" s="122">
        <f>'Model Inputs'!I14</f>
        <v>256287580.02670693</v>
      </c>
      <c r="J97" s="122">
        <f>'Model Inputs'!J14</f>
        <v>259742424</v>
      </c>
      <c r="K97" s="122">
        <f>'Model Inputs'!K14</f>
        <v>267027453.1032446</v>
      </c>
      <c r="L97" s="122">
        <f>'Model Inputs'!L14</f>
        <v>270880231.81506491</v>
      </c>
      <c r="M97" s="123">
        <f>'Model Inputs'!M14</f>
        <v>0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44860</v>
      </c>
      <c r="H98" s="121">
        <f>'Model Inputs'!H15</f>
        <v>45245</v>
      </c>
      <c r="I98" s="122">
        <f>'Model Inputs'!I15</f>
        <v>50393</v>
      </c>
      <c r="J98" s="122">
        <f>'Model Inputs'!J15</f>
        <v>51072.31</v>
      </c>
      <c r="K98" s="122">
        <f>'Model Inputs'!K15</f>
        <v>52504.74</v>
      </c>
      <c r="L98" s="122">
        <f>'Model Inputs'!L15</f>
        <v>53262.3</v>
      </c>
      <c r="M98" s="123">
        <f>'Model Inputs'!M15</f>
        <v>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2198</v>
      </c>
      <c r="H99" s="121">
        <f>'Model Inputs'!H16</f>
        <v>2195</v>
      </c>
      <c r="I99" s="122">
        <f>'Model Inputs'!I16</f>
        <v>2108</v>
      </c>
      <c r="J99" s="122">
        <f>'Model Inputs'!J16</f>
        <v>2108</v>
      </c>
      <c r="K99" s="122">
        <f>'Model Inputs'!K16</f>
        <v>2108</v>
      </c>
      <c r="L99" s="122">
        <f>'Model Inputs'!L16</f>
        <v>2108</v>
      </c>
      <c r="M99" s="123">
        <f>'Model Inputs'!M16</f>
        <v>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8" t="s">
        <v>93</v>
      </c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13122890.970000001</v>
      </c>
      <c r="H107" s="15">
        <f t="shared" ref="H107:K107" si="5">H89</f>
        <v>13481111.189999999</v>
      </c>
      <c r="I107" s="15">
        <f t="shared" si="5"/>
        <v>13718921.159999998</v>
      </c>
      <c r="J107" s="15">
        <f t="shared" si="5"/>
        <v>13796191.23</v>
      </c>
      <c r="K107" s="15">
        <f t="shared" si="5"/>
        <v>14383705.499999998</v>
      </c>
      <c r="L107" s="15">
        <f t="shared" ref="L107" si="6">L89</f>
        <v>16025015.807118258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5.0020000000000002E-2</v>
      </c>
      <c r="I110" s="125">
        <f>'Model Inputs'!I22</f>
        <v>5.4651999999999999E-2</v>
      </c>
      <c r="J110" s="125">
        <f>'Model Inputs'!J22</f>
        <v>6.6699999999999995E-2</v>
      </c>
      <c r="K110" s="125">
        <f>'Model Inputs'!K22</f>
        <v>6.5000000000000002E-2</v>
      </c>
      <c r="L110" s="125">
        <f>'Model Inputs'!L22</f>
        <v>6.5000000000000002E-2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183.59823495633077</v>
      </c>
      <c r="I112" s="128">
        <f>H112*EXP('Model Inputs'!I21)</f>
        <v>194.67610314145958</v>
      </c>
      <c r="J112" s="128">
        <f>I112*EXP('Model Inputs'!J21)</f>
        <v>202.21614862810989</v>
      </c>
      <c r="K112" s="128">
        <f>J112*EXP('Model Inputs'!K21)</f>
        <v>214.50588374253104</v>
      </c>
      <c r="L112" s="128">
        <f>K112*EXP('Model Inputs'!L21)</f>
        <v>227.54253046716391</v>
      </c>
      <c r="M112" s="129">
        <f>L112*EXP('Model Inputs'!M21)</f>
        <v>241.37148253493075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17.250526212294268</v>
      </c>
      <c r="I113" s="15">
        <f t="shared" si="8"/>
        <v>18.969643871026385</v>
      </c>
      <c r="J113" s="15">
        <f t="shared" si="8"/>
        <v>22.266617301565596</v>
      </c>
      <c r="K113" s="15">
        <f t="shared" si="8"/>
        <v>22.989869724609321</v>
      </c>
      <c r="L113" s="15">
        <f t="shared" si="8"/>
        <v>24.387084591707342</v>
      </c>
      <c r="M113" s="15">
        <f t="shared" si="8"/>
        <v>25.869215528718975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7891000</v>
      </c>
      <c r="H114" s="130">
        <f>H92</f>
        <v>22208000</v>
      </c>
      <c r="I114" s="131">
        <f t="shared" ref="I114:L114" si="9">I92</f>
        <v>10240000</v>
      </c>
      <c r="J114" s="131">
        <f t="shared" si="9"/>
        <v>21941854</v>
      </c>
      <c r="K114" s="131">
        <f t="shared" si="9"/>
        <v>19277685.039999999</v>
      </c>
      <c r="L114" s="131">
        <f t="shared" si="9"/>
        <v>10310488.83</v>
      </c>
      <c r="M114" s="132">
        <f t="shared" ref="M114" si="10">M92</f>
        <v>10139118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44734.375189150371</v>
      </c>
      <c r="H116" s="6">
        <f t="shared" ref="H116:K116" si="13">(H114-H115)/H112</f>
        <v>120959.76851456235</v>
      </c>
      <c r="I116" s="6">
        <f t="shared" si="13"/>
        <v>52600.189929624794</v>
      </c>
      <c r="J116" s="6">
        <f t="shared" si="13"/>
        <v>108506.93255142869</v>
      </c>
      <c r="K116" s="6">
        <f t="shared" si="13"/>
        <v>89870.192386605035</v>
      </c>
      <c r="L116" s="6">
        <f t="shared" ref="L116:M116" si="14">(L114-L115)/L112</f>
        <v>45312.359007486208</v>
      </c>
      <c r="M116" s="6">
        <f t="shared" si="14"/>
        <v>42006.279671140059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35910.716939808473</v>
      </c>
      <c r="H117" s="17">
        <f t="shared" ref="H117:M117" si="15">H111*G118</f>
        <v>36315.72285345327</v>
      </c>
      <c r="I117" s="17">
        <f t="shared" si="15"/>
        <v>40200.884549298178</v>
      </c>
      <c r="J117" s="17">
        <f t="shared" si="15"/>
        <v>40770.01266625517</v>
      </c>
      <c r="K117" s="17">
        <f t="shared" si="15"/>
        <v>43879.137288984639</v>
      </c>
      <c r="L117" s="17">
        <f t="shared" si="15"/>
        <v>45990.126717965417</v>
      </c>
      <c r="M117" s="17">
        <f t="shared" si="15"/>
        <v>45959.017180054419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791192.21902948292</v>
      </c>
      <c r="H118" s="17">
        <f t="shared" ref="H118:M118" si="16">G118+H116-H117</f>
        <v>875836.26469059207</v>
      </c>
      <c r="I118" s="17">
        <f t="shared" si="16"/>
        <v>888235.57007091865</v>
      </c>
      <c r="J118" s="17">
        <f t="shared" si="16"/>
        <v>955972.48995609221</v>
      </c>
      <c r="K118" s="17">
        <f t="shared" si="16"/>
        <v>1001963.5450537127</v>
      </c>
      <c r="L118" s="17">
        <f t="shared" si="16"/>
        <v>1001285.7773432335</v>
      </c>
      <c r="M118" s="17">
        <f t="shared" si="16"/>
        <v>997333.03983431903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13699274.690638019</v>
      </c>
      <c r="H119" s="17">
        <f t="shared" ref="H119:K119" si="17">H113*H118</f>
        <v>15108636.441722959</v>
      </c>
      <c r="I119" s="17">
        <f t="shared" si="17"/>
        <v>16849512.43782343</v>
      </c>
      <c r="J119" s="17">
        <f t="shared" si="17"/>
        <v>21286273.584677067</v>
      </c>
      <c r="K119" s="17">
        <f t="shared" si="17"/>
        <v>23035011.369592577</v>
      </c>
      <c r="L119" s="17">
        <f t="shared" ref="L119:M119" si="18">L113*L118</f>
        <v>24418440.952542879</v>
      </c>
      <c r="M119" s="17">
        <f t="shared" si="18"/>
        <v>25800223.361386467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26822165.660638019</v>
      </c>
      <c r="H121" s="17">
        <f t="shared" ref="H121:K121" si="19">H107+H119</f>
        <v>28589747.631722957</v>
      </c>
      <c r="I121" s="17">
        <f t="shared" si="19"/>
        <v>30568433.597823426</v>
      </c>
      <c r="J121" s="17">
        <f>J107+J119</f>
        <v>35082464.814677067</v>
      </c>
      <c r="K121" s="17">
        <f t="shared" si="19"/>
        <v>37418716.869592577</v>
      </c>
      <c r="L121" s="17">
        <f t="shared" ref="L121:M121" si="20">L107+L119</f>
        <v>40443456.759661138</v>
      </c>
      <c r="M121" s="17">
        <f t="shared" si="20"/>
        <v>25800223.361386467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8" t="s">
        <v>108</v>
      </c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12124</v>
      </c>
      <c r="H128" s="6">
        <f t="shared" ref="H128:K130" si="21">H96</f>
        <v>12227</v>
      </c>
      <c r="I128" s="6">
        <f t="shared" si="21"/>
        <v>12332</v>
      </c>
      <c r="J128" s="6">
        <f t="shared" si="21"/>
        <v>12428</v>
      </c>
      <c r="K128" s="6">
        <f t="shared" si="21"/>
        <v>12406</v>
      </c>
      <c r="L128" s="6">
        <f t="shared" ref="L128:M128" si="22">L96</f>
        <v>12436</v>
      </c>
      <c r="M128" s="6">
        <f t="shared" si="22"/>
        <v>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228547637.74000001</v>
      </c>
      <c r="H129" s="24">
        <f t="shared" si="21"/>
        <v>244314343.79167747</v>
      </c>
      <c r="I129" s="24">
        <f t="shared" si="21"/>
        <v>256287580.02670693</v>
      </c>
      <c r="J129" s="24">
        <f t="shared" si="21"/>
        <v>259742424</v>
      </c>
      <c r="K129" s="24">
        <f t="shared" si="21"/>
        <v>267027453.1032446</v>
      </c>
      <c r="L129" s="24">
        <f t="shared" ref="L129:M129" si="23">L97</f>
        <v>270880231.81506491</v>
      </c>
      <c r="M129" s="24">
        <f t="shared" si="23"/>
        <v>0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44860</v>
      </c>
      <c r="H130" s="6">
        <f t="shared" si="21"/>
        <v>45245</v>
      </c>
      <c r="I130" s="6">
        <f t="shared" si="21"/>
        <v>50393</v>
      </c>
      <c r="J130" s="6">
        <f t="shared" si="21"/>
        <v>51072.31</v>
      </c>
      <c r="K130" s="6">
        <f t="shared" si="21"/>
        <v>52504.74</v>
      </c>
      <c r="L130" s="6">
        <f t="shared" ref="L130:M130" si="24">L98</f>
        <v>53262.3</v>
      </c>
      <c r="M130" s="6">
        <f t="shared" si="24"/>
        <v>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48304</v>
      </c>
      <c r="H131" s="6">
        <f t="shared" ref="H131:M131" si="25">MAX(G131,H130)</f>
        <v>48304</v>
      </c>
      <c r="I131" s="6">
        <f t="shared" si="25"/>
        <v>50393</v>
      </c>
      <c r="J131" s="6">
        <f t="shared" si="25"/>
        <v>51072.31</v>
      </c>
      <c r="K131" s="6">
        <f t="shared" si="25"/>
        <v>52504.74</v>
      </c>
      <c r="L131" s="6">
        <f t="shared" si="25"/>
        <v>53262.3</v>
      </c>
      <c r="M131" s="6">
        <f t="shared" si="25"/>
        <v>53262.3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118.57602063213346</v>
      </c>
      <c r="I134" s="137">
        <f>H134*EXP('Model Inputs'!I21)</f>
        <v>125.73060753103434</v>
      </c>
      <c r="J134" s="137">
        <f>I134*EXP('Model Inputs'!J21)</f>
        <v>130.60030897127382</v>
      </c>
      <c r="K134" s="137">
        <f>J134*EXP('Model Inputs'!K21)</f>
        <v>138.53757418974212</v>
      </c>
      <c r="L134" s="137">
        <f>K134*EXP('Model Inputs'!L21)</f>
        <v>146.95722861268132</v>
      </c>
      <c r="M134" s="138">
        <f>L134*EXP('Model Inputs'!M21)</f>
        <v>155.88858956012359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250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1161.2205278084277</v>
      </c>
      <c r="I135" s="128">
        <f>H135*EXP('Model Inputs'!I20)</f>
        <v>1197.1289526036007</v>
      </c>
      <c r="J135" s="128">
        <f>I135*EXP('Model Inputs'!J20)</f>
        <v>1239.7703372909391</v>
      </c>
      <c r="K135" s="128">
        <f>J135*EXP('Model Inputs'!K20)</f>
        <v>1268.6155028729861</v>
      </c>
      <c r="L135" s="128">
        <f>K135*EXP('Model Inputs'!L20)</f>
        <v>1298.1317956407938</v>
      </c>
      <c r="M135" s="129">
        <f>L135*EXP('Model Inputs'!M20)</f>
        <v>1328.334830401571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3.3377777545102204E-2</v>
      </c>
      <c r="I136" s="25">
        <f t="shared" ref="I136:M136" si="27">LN(I134/H134)*0.3+LN(I135/H135)*0.7</f>
        <v>3.8894354667321288E-2</v>
      </c>
      <c r="J136" s="25">
        <f t="shared" si="27"/>
        <v>3.5899999999999994E-2</v>
      </c>
      <c r="K136" s="25">
        <f t="shared" si="27"/>
        <v>3.3800000000000052E-2</v>
      </c>
      <c r="L136" s="25">
        <f t="shared" si="27"/>
        <v>3.3800000000000052E-2</v>
      </c>
      <c r="M136" s="25">
        <f t="shared" si="27"/>
        <v>3.3800000000000052E-2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127.56266113395586</v>
      </c>
      <c r="H137" s="15">
        <f t="shared" ref="H137:M137" si="28">G137*EXP(H136)</f>
        <v>131.8922737310686</v>
      </c>
      <c r="I137" s="15">
        <f t="shared" si="28"/>
        <v>137.12320605511192</v>
      </c>
      <c r="J137" s="15">
        <f t="shared" si="28"/>
        <v>142.13535900001094</v>
      </c>
      <c r="K137" s="15">
        <f t="shared" si="28"/>
        <v>147.02164722311255</v>
      </c>
      <c r="L137" s="15">
        <f t="shared" si="28"/>
        <v>152.07591484815327</v>
      </c>
      <c r="M137" s="15">
        <f t="shared" si="28"/>
        <v>157.30393662238245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17.250526212294268</v>
      </c>
      <c r="I139" s="15">
        <f t="shared" si="29"/>
        <v>18.969643871026385</v>
      </c>
      <c r="J139" s="15">
        <f t="shared" si="29"/>
        <v>22.266617301565596</v>
      </c>
      <c r="K139" s="15">
        <f t="shared" si="29"/>
        <v>22.989869724609321</v>
      </c>
      <c r="L139" s="15">
        <f t="shared" ref="L139:M139" si="30">L113</f>
        <v>24.387084591707342</v>
      </c>
      <c r="M139" s="15">
        <f t="shared" si="30"/>
        <v>25.869215528718975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2198</v>
      </c>
      <c r="H142" s="26">
        <f>'Model Inputs'!H16</f>
        <v>2195</v>
      </c>
      <c r="I142" s="26">
        <f>'Model Inputs'!I16</f>
        <v>2108</v>
      </c>
      <c r="J142" s="26">
        <f>'Model Inputs'!J16</f>
        <v>2108</v>
      </c>
      <c r="K142" s="26">
        <f>'Model Inputs'!K16</f>
        <v>2108</v>
      </c>
      <c r="L142" s="26">
        <f>'Model Inputs'!L16</f>
        <v>2108</v>
      </c>
      <c r="M142" s="26">
        <f>'Model Inputs'!M16</f>
        <v>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1877.3052631578948</v>
      </c>
      <c r="H143" s="22">
        <f>(G143*19+H142)/20</f>
        <v>1893.19</v>
      </c>
      <c r="I143" s="22">
        <f>(H143*20+I142)/21</f>
        <v>1903.4190476190477</v>
      </c>
      <c r="J143" s="22">
        <f>(I143*21+J142)/22</f>
        <v>1912.7181818181818</v>
      </c>
      <c r="K143" s="22">
        <f>(J143*22+K142)/23</f>
        <v>1921.2086956521741</v>
      </c>
      <c r="L143" s="22">
        <f>(K143*23+L142)/24</f>
        <v>1928.9916666666668</v>
      </c>
      <c r="M143" s="22">
        <f>(L143*24+M142)/18</f>
        <v>2571.9888888888891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11612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4.4092318291422669E-2</v>
      </c>
      <c r="H145" s="19">
        <f>'Model Inputs'!H17</f>
        <v>5.5781020637250697E-2</v>
      </c>
      <c r="I145" s="19">
        <f>'Model Inputs'!I17</f>
        <v>6.2279266086656904E-2</v>
      </c>
      <c r="J145" s="19">
        <f>'Model Inputs'!J17</f>
        <v>6.6409718431212683E-2</v>
      </c>
      <c r="K145" s="19">
        <f>'Model Inputs'!K17</f>
        <v>6.9176774331888513E-2</v>
      </c>
      <c r="L145" s="19">
        <f>'Model Inputs'!L17</f>
        <v>6.6625000813745228E-2</v>
      </c>
      <c r="M145" s="19">
        <f>'Model Inputs'!M17</f>
        <v>0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0.13573504642436046</v>
      </c>
      <c r="H152" s="27">
        <f t="shared" ref="H152:K152" si="33">H113/H137</f>
        <v>0.13079254549412417</v>
      </c>
      <c r="I152" s="27">
        <f t="shared" si="33"/>
        <v>0.13834014253869031</v>
      </c>
      <c r="J152" s="27">
        <f t="shared" si="33"/>
        <v>0.15665783277448844</v>
      </c>
      <c r="K152" s="27">
        <f t="shared" si="33"/>
        <v>0.15637064445156887</v>
      </c>
      <c r="L152" s="27">
        <f t="shared" ref="L152:M152" si="34">L113/L137</f>
        <v>0.1603612552063729</v>
      </c>
      <c r="M152" s="27">
        <f t="shared" si="34"/>
        <v>0.1644537071619484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12124</v>
      </c>
      <c r="H153" s="17">
        <f t="shared" ref="H153:K153" si="35">H96</f>
        <v>12227</v>
      </c>
      <c r="I153" s="17">
        <f t="shared" si="35"/>
        <v>12332</v>
      </c>
      <c r="J153" s="17">
        <f t="shared" si="35"/>
        <v>12428</v>
      </c>
      <c r="K153" s="17">
        <f t="shared" si="35"/>
        <v>12406</v>
      </c>
      <c r="L153" s="17">
        <f t="shared" ref="L153:M153" si="36">L96</f>
        <v>12436</v>
      </c>
      <c r="M153" s="17">
        <f t="shared" si="36"/>
        <v>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48304</v>
      </c>
      <c r="H154" s="17">
        <f t="shared" ref="H154:K154" si="37">H131</f>
        <v>48304</v>
      </c>
      <c r="I154" s="17">
        <f t="shared" si="37"/>
        <v>50393</v>
      </c>
      <c r="J154" s="17">
        <f t="shared" si="37"/>
        <v>51072.31</v>
      </c>
      <c r="K154" s="17">
        <f t="shared" si="37"/>
        <v>52504.74</v>
      </c>
      <c r="L154" s="17">
        <f t="shared" ref="L154:M154" si="38">L131</f>
        <v>53262.3</v>
      </c>
      <c r="M154" s="17">
        <f t="shared" si="38"/>
        <v>53262.3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228547637.74000001</v>
      </c>
      <c r="H155" s="24">
        <f t="shared" ref="H155:K155" si="39">H97</f>
        <v>244314343.79167747</v>
      </c>
      <c r="I155" s="24">
        <f t="shared" si="39"/>
        <v>256287580.02670693</v>
      </c>
      <c r="J155" s="24">
        <f t="shared" si="39"/>
        <v>259742424</v>
      </c>
      <c r="K155" s="24">
        <f t="shared" si="39"/>
        <v>267027453.1032446</v>
      </c>
      <c r="L155" s="24">
        <f t="shared" ref="L155:M155" si="40">L97</f>
        <v>270880231.81506491</v>
      </c>
      <c r="M155" s="24">
        <f t="shared" si="40"/>
        <v>0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1877.3052631578948</v>
      </c>
      <c r="H156" s="28">
        <f t="shared" ref="H156:K156" si="41">H143</f>
        <v>1893.19</v>
      </c>
      <c r="I156" s="28">
        <f t="shared" si="41"/>
        <v>1903.4190476190477</v>
      </c>
      <c r="J156" s="28">
        <f t="shared" si="41"/>
        <v>1912.7181818181818</v>
      </c>
      <c r="K156" s="28">
        <f t="shared" si="41"/>
        <v>1921.2086956521741</v>
      </c>
      <c r="L156" s="28">
        <f t="shared" ref="L156:M156" si="42">L143</f>
        <v>1928.9916666666668</v>
      </c>
      <c r="M156" s="28">
        <f t="shared" si="42"/>
        <v>2571.9888888888891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4.4092318291422669E-2</v>
      </c>
      <c r="H157" s="20">
        <f t="shared" ref="H157:L157" si="43">H145</f>
        <v>5.5781020637250697E-2</v>
      </c>
      <c r="I157" s="20">
        <f t="shared" si="43"/>
        <v>6.2279266086656904E-2</v>
      </c>
      <c r="J157" s="20">
        <f t="shared" si="43"/>
        <v>6.6409718431212683E-2</v>
      </c>
      <c r="K157" s="20">
        <f t="shared" si="43"/>
        <v>6.9176774331888513E-2</v>
      </c>
      <c r="L157" s="20">
        <f t="shared" si="43"/>
        <v>6.6625000813745228E-2</v>
      </c>
      <c r="M157" s="20">
        <f t="shared" ref="M157" si="44">M145</f>
        <v>0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12.809732041092667</v>
      </c>
      <c r="H162" s="32">
        <f t="shared" ref="H162:M179" si="47">G162</f>
        <v>12.809732041092667</v>
      </c>
      <c r="I162" s="32">
        <f t="shared" si="47"/>
        <v>12.809732041092667</v>
      </c>
      <c r="J162" s="32">
        <f t="shared" si="47"/>
        <v>12.809732041092667</v>
      </c>
      <c r="K162" s="32">
        <f t="shared" si="47"/>
        <v>12.809732041092667</v>
      </c>
      <c r="L162" s="32">
        <f t="shared" si="47"/>
        <v>12.809732041092667</v>
      </c>
      <c r="M162" s="32">
        <f t="shared" si="47"/>
        <v>12.809732041092667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0.62643242664315246</v>
      </c>
      <c r="H163" s="32">
        <f t="shared" si="47"/>
        <v>0.62643242664315246</v>
      </c>
      <c r="I163" s="32">
        <f t="shared" si="47"/>
        <v>0.62643242664315246</v>
      </c>
      <c r="J163" s="32">
        <f t="shared" si="47"/>
        <v>0.62643242664315246</v>
      </c>
      <c r="K163" s="32">
        <f t="shared" si="47"/>
        <v>0.62643242664315246</v>
      </c>
      <c r="L163" s="32">
        <f t="shared" si="47"/>
        <v>0.62643242664315246</v>
      </c>
      <c r="M163" s="32">
        <f t="shared" si="47"/>
        <v>0.62643242664315246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0.45713993689039062</v>
      </c>
      <c r="H164" s="32">
        <f t="shared" si="47"/>
        <v>0.45713993689039062</v>
      </c>
      <c r="I164" s="32">
        <f t="shared" si="47"/>
        <v>0.45713993689039062</v>
      </c>
      <c r="J164" s="32">
        <f t="shared" si="47"/>
        <v>0.45713993689039062</v>
      </c>
      <c r="K164" s="32">
        <f t="shared" si="47"/>
        <v>0.45713993689039062</v>
      </c>
      <c r="L164" s="32">
        <f t="shared" si="47"/>
        <v>0.45713993689039062</v>
      </c>
      <c r="M164" s="32">
        <f t="shared" si="47"/>
        <v>0.45713993689039062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0.15665784699970534</v>
      </c>
      <c r="H165" s="32">
        <f t="shared" si="47"/>
        <v>0.15665784699970534</v>
      </c>
      <c r="I165" s="32">
        <f t="shared" si="47"/>
        <v>0.15665784699970534</v>
      </c>
      <c r="J165" s="32">
        <f t="shared" si="47"/>
        <v>0.15665784699970534</v>
      </c>
      <c r="K165" s="32">
        <f t="shared" si="47"/>
        <v>0.15665784699970534</v>
      </c>
      <c r="L165" s="32">
        <f t="shared" si="47"/>
        <v>0.15665784699970534</v>
      </c>
      <c r="M165" s="32">
        <f t="shared" si="47"/>
        <v>0.15665784699970534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0.11095634019827018</v>
      </c>
      <c r="H166" s="32">
        <f t="shared" si="47"/>
        <v>0.11095634019827018</v>
      </c>
      <c r="I166" s="32">
        <f t="shared" si="47"/>
        <v>0.11095634019827018</v>
      </c>
      <c r="J166" s="32">
        <f t="shared" si="47"/>
        <v>0.11095634019827018</v>
      </c>
      <c r="K166" s="32">
        <f t="shared" si="47"/>
        <v>0.11095634019827018</v>
      </c>
      <c r="L166" s="32">
        <f t="shared" si="47"/>
        <v>0.11095634019827018</v>
      </c>
      <c r="M166" s="32">
        <f t="shared" si="47"/>
        <v>0.11095634019827018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0.12359159685608501</v>
      </c>
      <c r="H167" s="32">
        <f t="shared" si="47"/>
        <v>0.12359159685608501</v>
      </c>
      <c r="I167" s="32">
        <f t="shared" si="47"/>
        <v>0.12359159685608501</v>
      </c>
      <c r="J167" s="32">
        <f t="shared" si="47"/>
        <v>0.12359159685608501</v>
      </c>
      <c r="K167" s="32">
        <f t="shared" si="47"/>
        <v>0.12359159685608501</v>
      </c>
      <c r="L167" s="32">
        <f t="shared" si="47"/>
        <v>0.12359159685608501</v>
      </c>
      <c r="M167" s="32">
        <f t="shared" si="47"/>
        <v>0.12359159685608501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-0.40029655329034286</v>
      </c>
      <c r="H168" s="32">
        <f t="shared" si="47"/>
        <v>-0.40029655329034286</v>
      </c>
      <c r="I168" s="32">
        <f t="shared" si="47"/>
        <v>-0.40029655329034286</v>
      </c>
      <c r="J168" s="32">
        <f t="shared" si="47"/>
        <v>-0.40029655329034286</v>
      </c>
      <c r="K168" s="32">
        <f t="shared" si="47"/>
        <v>-0.40029655329034286</v>
      </c>
      <c r="L168" s="32">
        <f t="shared" si="47"/>
        <v>-0.40029655329034286</v>
      </c>
      <c r="M168" s="32">
        <f t="shared" si="47"/>
        <v>-0.40029655329034286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0.22272730217267106</v>
      </c>
      <c r="H169" s="32">
        <f t="shared" si="47"/>
        <v>0.22272730217267106</v>
      </c>
      <c r="I169" s="32">
        <f t="shared" si="47"/>
        <v>0.22272730217267106</v>
      </c>
      <c r="J169" s="32">
        <f t="shared" si="47"/>
        <v>0.22272730217267106</v>
      </c>
      <c r="K169" s="32">
        <f t="shared" si="47"/>
        <v>0.22272730217267106</v>
      </c>
      <c r="L169" s="32">
        <f t="shared" si="47"/>
        <v>0.22272730217267106</v>
      </c>
      <c r="M169" s="32">
        <f t="shared" si="47"/>
        <v>0.22272730217267106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0.17177849581388829</v>
      </c>
      <c r="H170" s="32">
        <f t="shared" si="47"/>
        <v>0.17177849581388829</v>
      </c>
      <c r="I170" s="32">
        <f t="shared" si="47"/>
        <v>0.17177849581388829</v>
      </c>
      <c r="J170" s="32">
        <f t="shared" si="47"/>
        <v>0.17177849581388829</v>
      </c>
      <c r="K170" s="32">
        <f t="shared" si="47"/>
        <v>0.17177849581388829</v>
      </c>
      <c r="L170" s="32">
        <f t="shared" si="47"/>
        <v>0.17177849581388829</v>
      </c>
      <c r="M170" s="32">
        <f t="shared" si="47"/>
        <v>0.17177849581388829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4.916034883349274E-2</v>
      </c>
      <c r="H171" s="32">
        <f t="shared" si="47"/>
        <v>4.916034883349274E-2</v>
      </c>
      <c r="I171" s="32">
        <f t="shared" si="47"/>
        <v>4.916034883349274E-2</v>
      </c>
      <c r="J171" s="32">
        <f t="shared" si="47"/>
        <v>4.916034883349274E-2</v>
      </c>
      <c r="K171" s="32">
        <f t="shared" si="47"/>
        <v>4.916034883349274E-2</v>
      </c>
      <c r="L171" s="32">
        <f t="shared" si="47"/>
        <v>4.916034883349274E-2</v>
      </c>
      <c r="M171" s="32">
        <f t="shared" si="47"/>
        <v>4.916034883349274E-2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8.3780809469955475E-3</v>
      </c>
      <c r="H172" s="32">
        <f t="shared" si="47"/>
        <v>8.3780809469955475E-3</v>
      </c>
      <c r="I172" s="32">
        <f t="shared" si="47"/>
        <v>8.3780809469955475E-3</v>
      </c>
      <c r="J172" s="32">
        <f t="shared" si="47"/>
        <v>8.3780809469955475E-3</v>
      </c>
      <c r="K172" s="32">
        <f t="shared" si="47"/>
        <v>8.3780809469955475E-3</v>
      </c>
      <c r="L172" s="32">
        <f t="shared" si="47"/>
        <v>8.3780809469955475E-3</v>
      </c>
      <c r="M172" s="32">
        <f t="shared" si="47"/>
        <v>8.3780809469955475E-3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5.9946940642715829E-3</v>
      </c>
      <c r="H173" s="32">
        <f t="shared" si="47"/>
        <v>5.9946940642715829E-3</v>
      </c>
      <c r="I173" s="32">
        <f t="shared" si="47"/>
        <v>5.9946940642715829E-3</v>
      </c>
      <c r="J173" s="32">
        <f t="shared" si="47"/>
        <v>5.9946940642715829E-3</v>
      </c>
      <c r="K173" s="32">
        <f t="shared" si="47"/>
        <v>5.9946940642715829E-3</v>
      </c>
      <c r="L173" s="32">
        <f t="shared" si="47"/>
        <v>5.9946940642715829E-3</v>
      </c>
      <c r="M173" s="32">
        <f t="shared" si="47"/>
        <v>5.9946940642715829E-3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0.13797223539543702</v>
      </c>
      <c r="H174" s="32">
        <f t="shared" si="47"/>
        <v>0.13797223539543702</v>
      </c>
      <c r="I174" s="32">
        <f t="shared" si="47"/>
        <v>0.13797223539543702</v>
      </c>
      <c r="J174" s="32">
        <f t="shared" si="47"/>
        <v>0.13797223539543702</v>
      </c>
      <c r="K174" s="32">
        <f t="shared" si="47"/>
        <v>0.13797223539543702</v>
      </c>
      <c r="L174" s="32">
        <f t="shared" si="47"/>
        <v>0.13797223539543702</v>
      </c>
      <c r="M174" s="32">
        <f t="shared" si="47"/>
        <v>0.13797223539543702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0.10143528458581824</v>
      </c>
      <c r="H175" s="32">
        <f t="shared" si="47"/>
        <v>0.10143528458581824</v>
      </c>
      <c r="I175" s="32">
        <f t="shared" si="47"/>
        <v>0.10143528458581824</v>
      </c>
      <c r="J175" s="32">
        <f t="shared" si="47"/>
        <v>0.10143528458581824</v>
      </c>
      <c r="K175" s="32">
        <f t="shared" si="47"/>
        <v>0.10143528458581824</v>
      </c>
      <c r="L175" s="32">
        <f t="shared" si="47"/>
        <v>0.10143528458581824</v>
      </c>
      <c r="M175" s="32">
        <f t="shared" si="47"/>
        <v>0.10143528458581824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-0.23963911110966085</v>
      </c>
      <c r="H176" s="32">
        <f t="shared" si="47"/>
        <v>-0.23963911110966085</v>
      </c>
      <c r="I176" s="32">
        <f t="shared" si="47"/>
        <v>-0.23963911110966085</v>
      </c>
      <c r="J176" s="32">
        <f t="shared" si="47"/>
        <v>-0.23963911110966085</v>
      </c>
      <c r="K176" s="32">
        <f t="shared" si="47"/>
        <v>-0.23963911110966085</v>
      </c>
      <c r="L176" s="32">
        <f t="shared" si="47"/>
        <v>-0.23963911110966085</v>
      </c>
      <c r="M176" s="32">
        <f t="shared" si="47"/>
        <v>-0.23963911110966085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0.27092696230975616</v>
      </c>
      <c r="H177" s="32">
        <f t="shared" si="47"/>
        <v>0.27092696230975616</v>
      </c>
      <c r="I177" s="32">
        <f t="shared" si="47"/>
        <v>0.27092696230975616</v>
      </c>
      <c r="J177" s="32">
        <f t="shared" si="47"/>
        <v>0.27092696230975616</v>
      </c>
      <c r="K177" s="32">
        <f t="shared" si="47"/>
        <v>0.27092696230975616</v>
      </c>
      <c r="L177" s="32">
        <f t="shared" si="47"/>
        <v>0.27092696230975616</v>
      </c>
      <c r="M177" s="32">
        <f t="shared" si="47"/>
        <v>0.27092696230975616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1.6552268024858856E-2</v>
      </c>
      <c r="H178" s="32">
        <f t="shared" si="47"/>
        <v>1.6552268024858856E-2</v>
      </c>
      <c r="I178" s="32">
        <f t="shared" si="47"/>
        <v>1.6552268024858856E-2</v>
      </c>
      <c r="J178" s="32">
        <f t="shared" si="47"/>
        <v>1.6552268024858856E-2</v>
      </c>
      <c r="K178" s="32">
        <f t="shared" si="47"/>
        <v>1.6552268024858856E-2</v>
      </c>
      <c r="L178" s="32">
        <f t="shared" si="47"/>
        <v>1.6552268024858856E-2</v>
      </c>
      <c r="M178" s="32">
        <f t="shared" si="47"/>
        <v>1.6552268024858856E-2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1.6747525564226536E-2</v>
      </c>
      <c r="H179" s="32">
        <f t="shared" si="47"/>
        <v>1.6747525564226536E-2</v>
      </c>
      <c r="I179" s="32">
        <f t="shared" si="47"/>
        <v>1.6747525564226536E-2</v>
      </c>
      <c r="J179" s="32">
        <f t="shared" si="47"/>
        <v>1.6747525564226536E-2</v>
      </c>
      <c r="K179" s="32">
        <f t="shared" si="47"/>
        <v>1.6747525564226536E-2</v>
      </c>
      <c r="L179" s="32">
        <f t="shared" si="47"/>
        <v>1.6747525564226536E-2</v>
      </c>
      <c r="M179" s="32">
        <f t="shared" si="47"/>
        <v>1.6747525564226536E-2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-0.19159768512890016</v>
      </c>
      <c r="H206" s="31">
        <f t="shared" ref="H206:K209" si="51">LN(H152/H184)</f>
        <v>-0.22869003685820244</v>
      </c>
      <c r="I206" s="31">
        <f t="shared" si="51"/>
        <v>-0.17258702909965609</v>
      </c>
      <c r="J206" s="31">
        <f t="shared" si="51"/>
        <v>-4.8238464721684415E-2</v>
      </c>
      <c r="K206" s="31">
        <f t="shared" si="51"/>
        <v>-5.0073367450289896E-2</v>
      </c>
      <c r="L206" s="31">
        <f t="shared" ref="L206:M206" si="52">LN(L152/L184)</f>
        <v>-2.4873367450290122E-2</v>
      </c>
      <c r="M206" s="31">
        <f t="shared" si="52"/>
        <v>3.2663254970982224E-4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-1.6546287614735518</v>
      </c>
      <c r="H207" s="31">
        <f t="shared" si="51"/>
        <v>-1.6461690995070555</v>
      </c>
      <c r="I207" s="31">
        <f t="shared" si="51"/>
        <v>-1.6376182106452046</v>
      </c>
      <c r="J207" s="31">
        <f t="shared" si="51"/>
        <v>-1.6298637291383076</v>
      </c>
      <c r="K207" s="31">
        <f t="shared" si="51"/>
        <v>-1.6316354941181828</v>
      </c>
      <c r="L207" s="31">
        <f t="shared" ref="L207:M207" si="53">LN(L153/L185)</f>
        <v>-1.6292202284726012</v>
      </c>
      <c r="M207" s="31" t="e">
        <f t="shared" si="53"/>
        <v>#NUM!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-1.9664039295253157</v>
      </c>
      <c r="H208" s="31">
        <f t="shared" si="51"/>
        <v>-1.9664039295253157</v>
      </c>
      <c r="I208" s="31">
        <f t="shared" si="51"/>
        <v>-1.9240660259473197</v>
      </c>
      <c r="J208" s="31">
        <f t="shared" si="51"/>
        <v>-1.9106758308187215</v>
      </c>
      <c r="K208" s="31">
        <f t="shared" si="51"/>
        <v>-1.883014851253445</v>
      </c>
      <c r="L208" s="31">
        <f t="shared" ref="L208:M208" si="54">LN(L154/L186)</f>
        <v>-1.8686895386579105</v>
      </c>
      <c r="M208" s="31">
        <f t="shared" si="54"/>
        <v>-1.8686895386579105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-1.9647918280419709</v>
      </c>
      <c r="H209" s="31">
        <f t="shared" si="51"/>
        <v>-1.8980808065274033</v>
      </c>
      <c r="I209" s="31">
        <f t="shared" si="51"/>
        <v>-1.8502363234470578</v>
      </c>
      <c r="J209" s="31">
        <f t="shared" si="51"/>
        <v>-1.8368460338620927</v>
      </c>
      <c r="K209" s="31">
        <f t="shared" si="51"/>
        <v>-1.8091850231838469</v>
      </c>
      <c r="L209" s="31">
        <f t="shared" ref="L209:M209" si="55">LN(L155/L187)</f>
        <v>-1.7948597227402745</v>
      </c>
      <c r="M209" s="31" t="e">
        <f t="shared" si="55"/>
        <v>#NUM!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1.8354836473376584E-2</v>
      </c>
      <c r="H210" s="31">
        <f t="shared" ref="H210:K213" si="56">H206*H206/2</f>
        <v>2.6149566479102996E-2</v>
      </c>
      <c r="I210" s="31">
        <f t="shared" si="56"/>
        <v>1.4893141306722769E-2</v>
      </c>
      <c r="J210" s="31">
        <f t="shared" si="56"/>
        <v>1.1634747393525959E-3</v>
      </c>
      <c r="K210" s="31">
        <f t="shared" si="56"/>
        <v>1.2536710639058759E-3</v>
      </c>
      <c r="L210" s="31">
        <f t="shared" ref="L210:M210" si="57">L206*L206/2</f>
        <v>3.0934220415857605E-4</v>
      </c>
      <c r="M210" s="31">
        <f t="shared" si="57"/>
        <v>5.3344411264969753E-8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1.36889816914775</v>
      </c>
      <c r="H211" s="31">
        <f t="shared" si="56"/>
        <v>1.354936352085935</v>
      </c>
      <c r="I211" s="31">
        <f t="shared" si="56"/>
        <v>1.3408967019184008</v>
      </c>
      <c r="J211" s="31">
        <f t="shared" si="56"/>
        <v>1.3282278877803153</v>
      </c>
      <c r="K211" s="31">
        <f t="shared" si="56"/>
        <v>1.3311171928331431</v>
      </c>
      <c r="L211" s="31">
        <f t="shared" ref="L211:M211" si="58">L207*L207/2</f>
        <v>1.3271792764321573</v>
      </c>
      <c r="M211" s="31" t="e">
        <f t="shared" si="58"/>
        <v>#NUM!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1.9333722070263015</v>
      </c>
      <c r="H212" s="31">
        <f t="shared" si="56"/>
        <v>1.9333722070263015</v>
      </c>
      <c r="I212" s="31">
        <f t="shared" si="56"/>
        <v>1.8510150361023558</v>
      </c>
      <c r="J212" s="31">
        <f t="shared" si="56"/>
        <v>1.8253410652374058</v>
      </c>
      <c r="K212" s="31">
        <f t="shared" si="56"/>
        <v>1.7728724650205168</v>
      </c>
      <c r="L212" s="31">
        <f t="shared" ref="L212:M212" si="59">L208*L208/2</f>
        <v>1.7460002959447574</v>
      </c>
      <c r="M212" s="31">
        <f t="shared" si="59"/>
        <v>1.7460002959447574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1.930203463770255</v>
      </c>
      <c r="H213" s="31">
        <f t="shared" si="56"/>
        <v>1.8013553740538588</v>
      </c>
      <c r="I213" s="31">
        <f t="shared" si="56"/>
        <v>1.7116872263014427</v>
      </c>
      <c r="J213" s="31">
        <f t="shared" si="56"/>
        <v>1.68700167605745</v>
      </c>
      <c r="K213" s="31">
        <f t="shared" si="56"/>
        <v>1.6365752240563682</v>
      </c>
      <c r="L213" s="31">
        <f t="shared" ref="L213:M213" si="60">L209*L209/2</f>
        <v>1.6107607121576475</v>
      </c>
      <c r="M213" s="31" t="e">
        <f t="shared" si="60"/>
        <v>#NUM!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0.31702304044603163</v>
      </c>
      <c r="H214" s="31">
        <f t="shared" ref="H214:K214" si="61">H206*H207</f>
        <v>0.37646247204110245</v>
      </c>
      <c r="I214" s="31">
        <f t="shared" si="61"/>
        <v>0.28263166177475069</v>
      </c>
      <c r="J214" s="31">
        <f t="shared" si="61"/>
        <v>7.862212399919126E-2</v>
      </c>
      <c r="K214" s="31">
        <f t="shared" si="61"/>
        <v>8.1701483641915082E-2</v>
      </c>
      <c r="L214" s="31">
        <f t="shared" ref="L214:M214" si="62">L206*L207</f>
        <v>4.0524193400244636E-2</v>
      </c>
      <c r="M214" s="31" t="e">
        <f t="shared" si="62"/>
        <v>#NUM!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0.37675844092542343</v>
      </c>
      <c r="H215" s="31">
        <f t="shared" ref="H215:K215" si="63">H206*H208</f>
        <v>0.44969698712125855</v>
      </c>
      <c r="I215" s="31">
        <f t="shared" si="63"/>
        <v>0.33206883920982971</v>
      </c>
      <c r="J215" s="31">
        <f t="shared" si="63"/>
        <v>9.2168068659523955E-2</v>
      </c>
      <c r="K215" s="31">
        <f t="shared" si="63"/>
        <v>9.4288894561166722E-2</v>
      </c>
      <c r="L215" s="31">
        <f t="shared" ref="L215:M215" si="64">L206*L208</f>
        <v>4.6480601545551337E-2</v>
      </c>
      <c r="M215" s="31">
        <f t="shared" si="64"/>
        <v>-6.103748286279048E-4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0.37644956601302171</v>
      </c>
      <c r="H216" s="31">
        <f t="shared" ref="H216:K216" si="65">H206*H209</f>
        <v>0.43407216960459849</v>
      </c>
      <c r="I216" s="31">
        <f t="shared" si="65"/>
        <v>0.31932679019599808</v>
      </c>
      <c r="J216" s="31">
        <f t="shared" si="65"/>
        <v>8.860663260362249E-2</v>
      </c>
      <c r="K216" s="31">
        <f t="shared" si="65"/>
        <v>9.0591986451446005E-2</v>
      </c>
      <c r="L216" s="31">
        <f t="shared" ref="L216:M216" si="66">L206*L209</f>
        <v>4.4644205405444698E-2</v>
      </c>
      <c r="M216" s="31" t="e">
        <f t="shared" si="66"/>
        <v>#NUM!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3.2536684984671984</v>
      </c>
      <c r="H217" s="31">
        <f t="shared" ref="H217:K217" si="67">H207*H208</f>
        <v>3.2370333859338243</v>
      </c>
      <c r="I217" s="31">
        <f t="shared" si="67"/>
        <v>3.1508855625750796</v>
      </c>
      <c r="J217" s="31">
        <f t="shared" si="67"/>
        <v>3.1141412347926356</v>
      </c>
      <c r="K217" s="31">
        <f t="shared" si="67"/>
        <v>3.0723938672567912</v>
      </c>
      <c r="L217" s="31">
        <f t="shared" ref="L217:M217" si="68">L207*L208</f>
        <v>3.0445067971166009</v>
      </c>
      <c r="M217" s="31" t="e">
        <f t="shared" si="68"/>
        <v>#NUM!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3.2510010689864419</v>
      </c>
      <c r="H218" s="31">
        <f t="shared" ref="H218:K218" si="69">H207*H209</f>
        <v>3.1245619720728413</v>
      </c>
      <c r="I218" s="31">
        <f t="shared" si="69"/>
        <v>3.0299806972741328</v>
      </c>
      <c r="J218" s="31">
        <f t="shared" si="69"/>
        <v>2.9938087266033802</v>
      </c>
      <c r="K218" s="31">
        <f t="shared" si="69"/>
        <v>2.951930499253792</v>
      </c>
      <c r="L218" s="31">
        <f t="shared" ref="L218:M218" si="70">L207*L209</f>
        <v>2.9242217675591795</v>
      </c>
      <c r="M218" s="31" t="e">
        <f t="shared" si="70"/>
        <v>#NUM!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3.86357437136096</v>
      </c>
      <c r="H219" s="31">
        <f t="shared" ref="H219:K219" si="71">H208*H209</f>
        <v>3.7323935565120663</v>
      </c>
      <c r="I219" s="31">
        <f t="shared" si="71"/>
        <v>3.5599768499181601</v>
      </c>
      <c r="J219" s="31">
        <f t="shared" si="71"/>
        <v>3.5096173218355275</v>
      </c>
      <c r="K219" s="31">
        <f t="shared" si="71"/>
        <v>3.4067222673204918</v>
      </c>
      <c r="L219" s="31">
        <f t="shared" ref="L219:M219" si="72">L208*L209</f>
        <v>3.3540355872431888</v>
      </c>
      <c r="M219" s="31" t="e">
        <f t="shared" si="72"/>
        <v>#NUM!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-0.37182265013067678</v>
      </c>
      <c r="H220" s="31">
        <f t="shared" ref="H220:K220" si="73">LN(H156/H198)</f>
        <v>-0.36339679107952516</v>
      </c>
      <c r="I220" s="31">
        <f t="shared" si="73"/>
        <v>-0.35800826029226318</v>
      </c>
      <c r="J220" s="31">
        <f t="shared" si="73"/>
        <v>-0.35313466584528108</v>
      </c>
      <c r="K220" s="31">
        <f t="shared" si="73"/>
        <v>-0.3487055110984652</v>
      </c>
      <c r="L220" s="31">
        <f t="shared" ref="L220:M220" si="74">LN(L156/L198)</f>
        <v>-0.34466261416680133</v>
      </c>
      <c r="M220" s="31">
        <f t="shared" si="74"/>
        <v>-5.6980541715020358E-2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0.34286406136409542</v>
      </c>
      <c r="H221" s="20">
        <f t="shared" ref="H221:K221" si="75">H157/H199</f>
        <v>0.43375599251361352</v>
      </c>
      <c r="I221" s="20">
        <f t="shared" si="75"/>
        <v>0.48428667252454827</v>
      </c>
      <c r="J221" s="20">
        <f t="shared" si="75"/>
        <v>0.51640527551487314</v>
      </c>
      <c r="K221" s="20">
        <f t="shared" si="75"/>
        <v>0.53792203990582055</v>
      </c>
      <c r="L221" s="20">
        <f t="shared" ref="L221:M221" si="76">L157/L199</f>
        <v>0.5180793220353439</v>
      </c>
      <c r="M221" s="20">
        <f t="shared" si="76"/>
        <v>0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12.809732041092667</v>
      </c>
      <c r="H226" s="228">
        <f t="shared" ref="H226:K241" si="80">H162*H205</f>
        <v>12.809732041092667</v>
      </c>
      <c r="I226" s="33">
        <f t="shared" si="80"/>
        <v>12.809732041092667</v>
      </c>
      <c r="J226" s="33">
        <f t="shared" si="80"/>
        <v>12.809732041092667</v>
      </c>
      <c r="K226" s="33">
        <f t="shared" si="80"/>
        <v>12.809732041092667</v>
      </c>
      <c r="L226" s="33">
        <f t="shared" ref="L226:M226" si="81">L162*L205</f>
        <v>12.809732041092667</v>
      </c>
      <c r="M226" s="33">
        <f t="shared" si="81"/>
        <v>12.809732041092667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-0.12002300283450758</v>
      </c>
      <c r="H227" s="228">
        <f t="shared" si="80"/>
        <v>-0.14325885473819575</v>
      </c>
      <c r="I227" s="33">
        <f t="shared" si="80"/>
        <v>-0.10811411144602993</v>
      </c>
      <c r="J227" s="33">
        <f t="shared" si="80"/>
        <v>-3.0218138513144869E-2</v>
      </c>
      <c r="K227" s="33">
        <f t="shared" si="80"/>
        <v>-3.1367581082079342E-2</v>
      </c>
      <c r="L227" s="33">
        <f t="shared" ref="L227:M227" si="82">L163*L206</f>
        <v>-1.5581483930672043E-2</v>
      </c>
      <c r="M227" s="33">
        <f t="shared" si="82"/>
        <v>2.0461322073536407E-4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-0.7563968875970446</v>
      </c>
      <c r="H228" s="228">
        <f t="shared" si="80"/>
        <v>-0.75252963825956654</v>
      </c>
      <c r="I228" s="33">
        <f t="shared" si="80"/>
        <v>-0.74862068546490323</v>
      </c>
      <c r="J228" s="33">
        <f t="shared" si="80"/>
        <v>-0.74507580227822268</v>
      </c>
      <c r="K228" s="33">
        <f t="shared" si="80"/>
        <v>-0.74588574680930742</v>
      </c>
      <c r="L228" s="33">
        <f t="shared" ref="L228:M228" si="83">L164*L207</f>
        <v>-0.74478163242451267</v>
      </c>
      <c r="M228" s="33" t="e">
        <f t="shared" si="83"/>
        <v>#NUM!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-0.30805260593119627</v>
      </c>
      <c r="H229" s="228">
        <f t="shared" si="80"/>
        <v>-0.30805260593119627</v>
      </c>
      <c r="I229" s="33">
        <f t="shared" si="80"/>
        <v>-0.30142004111018628</v>
      </c>
      <c r="J229" s="33">
        <f t="shared" si="80"/>
        <v>-0.29932236197043416</v>
      </c>
      <c r="K229" s="33">
        <f t="shared" si="80"/>
        <v>-0.29498905246583507</v>
      </c>
      <c r="L229" s="33">
        <f t="shared" ref="L229:M229" si="84">L165*L208</f>
        <v>-0.29274487983702091</v>
      </c>
      <c r="M229" s="33">
        <f t="shared" si="84"/>
        <v>-0.29274487983702091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-0.2180061104910061</v>
      </c>
      <c r="H230" s="228">
        <f t="shared" si="80"/>
        <v>-0.21060409969286159</v>
      </c>
      <c r="I230" s="33">
        <f t="shared" si="80"/>
        <v>-0.20529545095158841</v>
      </c>
      <c r="J230" s="33">
        <f t="shared" si="80"/>
        <v>-0.20380971342504567</v>
      </c>
      <c r="K230" s="33">
        <f t="shared" si="80"/>
        <v>-0.20074054891400223</v>
      </c>
      <c r="L230" s="33">
        <f t="shared" ref="L230:M230" si="85">L166*L209</f>
        <v>-0.1991510660045428</v>
      </c>
      <c r="M230" s="33" t="e">
        <f t="shared" si="85"/>
        <v>#NUM!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2.2685035497769239E-3</v>
      </c>
      <c r="H231" s="228">
        <f t="shared" si="80"/>
        <v>3.2318666782466918E-3</v>
      </c>
      <c r="I231" s="33">
        <f t="shared" si="80"/>
        <v>1.8406671163011875E-3</v>
      </c>
      <c r="J231" s="33">
        <f t="shared" si="80"/>
        <v>1.4379570093830461E-4</v>
      </c>
      <c r="K231" s="33">
        <f t="shared" si="80"/>
        <v>1.5494320872039418E-4</v>
      </c>
      <c r="L231" s="33">
        <f t="shared" ref="L231:M231" si="86">L167*L210</f>
        <v>3.8232096986939471E-5</v>
      </c>
      <c r="M231" s="33">
        <f t="shared" si="86"/>
        <v>6.5929209715853413E-9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-0.54796521891530503</v>
      </c>
      <c r="H232" s="228">
        <f t="shared" si="80"/>
        <v>-0.54237635166779019</v>
      </c>
      <c r="I232" s="33">
        <f t="shared" si="80"/>
        <v>-0.53675632809632412</v>
      </c>
      <c r="J232" s="33">
        <f t="shared" si="80"/>
        <v>-0.53168504546257256</v>
      </c>
      <c r="K232" s="33">
        <f t="shared" si="80"/>
        <v>-0.53284162431662385</v>
      </c>
      <c r="L232" s="33">
        <f t="shared" ref="L232:M232" si="87">L168*L211</f>
        <v>-0.53126528995416378</v>
      </c>
      <c r="M232" s="33" t="e">
        <f t="shared" si="87"/>
        <v>#NUM!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0.43061477576659102</v>
      </c>
      <c r="H233" s="228">
        <f t="shared" si="80"/>
        <v>0.43061477576659102</v>
      </c>
      <c r="I233" s="33">
        <f t="shared" si="80"/>
        <v>0.41227158527212704</v>
      </c>
      <c r="J233" s="33">
        <f t="shared" si="80"/>
        <v>0.40655329100531695</v>
      </c>
      <c r="K233" s="33">
        <f t="shared" si="80"/>
        <v>0.39486710123023283</v>
      </c>
      <c r="L233" s="33">
        <f t="shared" ref="L233:M233" si="88">L169*L212</f>
        <v>0.38888193550846106</v>
      </c>
      <c r="M233" s="33">
        <f t="shared" si="88"/>
        <v>0.38888193550846106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0.33156744762121143</v>
      </c>
      <c r="H234" s="228">
        <f t="shared" si="80"/>
        <v>0.30943411658123599</v>
      </c>
      <c r="I234" s="33">
        <f t="shared" si="80"/>
        <v>0.29403105703790844</v>
      </c>
      <c r="J234" s="33">
        <f t="shared" si="80"/>
        <v>0.28979061034865722</v>
      </c>
      <c r="K234" s="33">
        <f t="shared" si="80"/>
        <v>0.28112843027468015</v>
      </c>
      <c r="L234" s="33">
        <f t="shared" ref="L234:M234" si="89">L170*L213</f>
        <v>0.27669405225054816</v>
      </c>
      <c r="M234" s="33" t="e">
        <f t="shared" si="89"/>
        <v>#NUM!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1.5584963256581394E-2</v>
      </c>
      <c r="H235" s="228">
        <f t="shared" si="80"/>
        <v>1.8507026448259602E-2</v>
      </c>
      <c r="I235" s="33">
        <f t="shared" si="80"/>
        <v>1.3894271084236479E-2</v>
      </c>
      <c r="J235" s="33">
        <f t="shared" si="80"/>
        <v>3.8650910418303636E-3</v>
      </c>
      <c r="K235" s="33">
        <f t="shared" si="80"/>
        <v>4.0164734360504462E-3</v>
      </c>
      <c r="L235" s="33">
        <f t="shared" ref="L235:M235" si="90">L171*L214</f>
        <v>1.9921834837519506E-3</v>
      </c>
      <c r="M235" s="33" t="e">
        <f t="shared" si="90"/>
        <v>#NUM!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3.1565127155370374E-3</v>
      </c>
      <c r="H236" s="228">
        <f t="shared" si="80"/>
        <v>3.7675977597219183E-3</v>
      </c>
      <c r="I236" s="33">
        <f t="shared" si="80"/>
        <v>2.7820996148748022E-3</v>
      </c>
      <c r="J236" s="33">
        <f t="shared" si="80"/>
        <v>7.7219153995773508E-4</v>
      </c>
      <c r="K236" s="33">
        <f t="shared" si="80"/>
        <v>7.8995999103618304E-4</v>
      </c>
      <c r="L236" s="33">
        <f t="shared" ref="L236:M236" si="91">L172*L215</f>
        <v>3.8941824221367543E-4</v>
      </c>
      <c r="M236" s="33">
        <f t="shared" si="91"/>
        <v>-5.1137697222531215E-6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2.2566999788758745E-3</v>
      </c>
      <c r="H237" s="228">
        <f t="shared" si="80"/>
        <v>2.6021298585941744E-3</v>
      </c>
      <c r="I237" s="33">
        <f t="shared" si="80"/>
        <v>1.9142664137508467E-3</v>
      </c>
      <c r="J237" s="33">
        <f t="shared" si="80"/>
        <v>5.3116965452402868E-4</v>
      </c>
      <c r="K237" s="33">
        <f t="shared" si="80"/>
        <v>5.43071243451055E-4</v>
      </c>
      <c r="L237" s="33">
        <f t="shared" ref="L237:M237" si="92">L173*L216</f>
        <v>2.6762835314814067E-4</v>
      </c>
      <c r="M237" s="33" t="e">
        <f t="shared" si="92"/>
        <v>#NUM!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0.44891591596923441</v>
      </c>
      <c r="H238" s="228">
        <f t="shared" si="80"/>
        <v>0.4466207323069501</v>
      </c>
      <c r="I238" s="33">
        <f t="shared" si="80"/>
        <v>0.43473472454369289</v>
      </c>
      <c r="J238" s="33">
        <f t="shared" si="80"/>
        <v>0.42966502750144642</v>
      </c>
      <c r="K238" s="33">
        <f t="shared" si="80"/>
        <v>0.42390504988065109</v>
      </c>
      <c r="L238" s="33">
        <f t="shared" ref="L238:M238" si="93">L174*L217</f>
        <v>0.42005740847477968</v>
      </c>
      <c r="M238" s="33" t="e">
        <f t="shared" si="93"/>
        <v>#NUM!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0.32976621862143907</v>
      </c>
      <c r="H239" s="228">
        <f t="shared" si="80"/>
        <v>0.3169408328432341</v>
      </c>
      <c r="I239" s="33">
        <f t="shared" si="80"/>
        <v>0.30734695431753767</v>
      </c>
      <c r="J239" s="33">
        <f t="shared" si="80"/>
        <v>0.30367784017852001</v>
      </c>
      <c r="K239" s="33">
        <f t="shared" si="80"/>
        <v>0.29942991026936494</v>
      </c>
      <c r="L239" s="33">
        <f t="shared" ref="L239:M239" si="94">L175*L218</f>
        <v>0.29661926718440984</v>
      </c>
      <c r="M239" s="33" t="e">
        <f t="shared" si="94"/>
        <v>#NUM!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-0.92586352805900718</v>
      </c>
      <c r="H240" s="228">
        <f t="shared" si="80"/>
        <v>-0.89442747419397728</v>
      </c>
      <c r="I240" s="33">
        <f t="shared" si="80"/>
        <v>-0.85310968788535835</v>
      </c>
      <c r="J240" s="33">
        <f t="shared" si="80"/>
        <v>-0.84104157533973434</v>
      </c>
      <c r="K240" s="33">
        <f t="shared" si="80"/>
        <v>-0.81638389593817107</v>
      </c>
      <c r="L240" s="33">
        <f t="shared" ref="L240:M240" si="95">L176*L219</f>
        <v>-0.80375810675712711</v>
      </c>
      <c r="M240" s="33" t="e">
        <f t="shared" si="95"/>
        <v>#NUM!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-0.10073678111786752</v>
      </c>
      <c r="H241" s="228">
        <f t="shared" si="80"/>
        <v>-9.8453988720288849E-2</v>
      </c>
      <c r="I241" s="33">
        <f t="shared" si="80"/>
        <v>-9.6994090442783357E-2</v>
      </c>
      <c r="J241" s="33">
        <f t="shared" si="80"/>
        <v>-9.5673702303732802E-2</v>
      </c>
      <c r="K241" s="33">
        <f t="shared" si="80"/>
        <v>-9.4473724862578143E-2</v>
      </c>
      <c r="L241" s="33">
        <f t="shared" ref="L241:M241" si="96">L177*L220</f>
        <v>-9.337839507795101E-2</v>
      </c>
      <c r="M241" s="33">
        <f t="shared" si="96"/>
        <v>-1.5437565077614809E-2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5.675177839790161E-3</v>
      </c>
      <c r="H242" s="228">
        <f t="shared" ref="H242:K243" si="97">H178*H221</f>
        <v>7.1796454454740024E-3</v>
      </c>
      <c r="I242" s="33">
        <f t="shared" si="97"/>
        <v>8.0160428044933722E-3</v>
      </c>
      <c r="J242" s="33">
        <f t="shared" si="97"/>
        <v>8.547678529773263E-3</v>
      </c>
      <c r="K242" s="33">
        <f t="shared" si="97"/>
        <v>8.9038297809999629E-3</v>
      </c>
      <c r="L242" s="33">
        <f t="shared" ref="L242:M242" si="98">L178*L221</f>
        <v>8.575387796466178E-3</v>
      </c>
      <c r="M242" s="33">
        <f t="shared" si="98"/>
        <v>0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0.2344653578991715</v>
      </c>
      <c r="H243" s="228">
        <f t="shared" si="97"/>
        <v>0.25121288346339804</v>
      </c>
      <c r="I243" s="33">
        <f t="shared" si="97"/>
        <v>0.26796040902762458</v>
      </c>
      <c r="J243" s="33">
        <f t="shared" si="97"/>
        <v>0.28470793459185112</v>
      </c>
      <c r="K243" s="33">
        <f t="shared" si="97"/>
        <v>0.30145546015607766</v>
      </c>
      <c r="L243" s="33">
        <f t="shared" ref="L243:M243" si="99">L179*L222</f>
        <v>0.3182029857203042</v>
      </c>
      <c r="M243" s="33">
        <f t="shared" si="99"/>
        <v>0.33495051128453074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11.63695947936494</v>
      </c>
      <c r="H245" s="227">
        <f t="shared" ref="H245:K245" si="100">SUM(H226:H243)</f>
        <v>11.650140635040495</v>
      </c>
      <c r="I245" s="27">
        <f t="shared" si="100"/>
        <v>11.704213722928044</v>
      </c>
      <c r="J245" s="27">
        <f t="shared" si="100"/>
        <v>11.791160331892597</v>
      </c>
      <c r="K245" s="27">
        <f t="shared" si="100"/>
        <v>11.808244096175335</v>
      </c>
      <c r="L245" s="27">
        <f t="shared" ref="L245:M245" si="101">SUM(L226:L243)</f>
        <v>11.840789686217748</v>
      </c>
      <c r="M245" s="27" t="e">
        <f t="shared" si="101"/>
        <v>#NUM!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113205.43764886976</v>
      </c>
      <c r="H246" s="6">
        <f t="shared" ref="H246:K246" si="102">EXP(H245)</f>
        <v>114707.49381636195</v>
      </c>
      <c r="I246" s="6">
        <f t="shared" si="102"/>
        <v>121080.84269459493</v>
      </c>
      <c r="J246" s="6">
        <f t="shared" si="102"/>
        <v>132079.63721617559</v>
      </c>
      <c r="K246" s="6">
        <f t="shared" si="102"/>
        <v>134355.43888448161</v>
      </c>
      <c r="L246" s="6">
        <f t="shared" ref="L246:M246" si="103">EXP(L245)</f>
        <v>138800.04985182048</v>
      </c>
      <c r="M246" s="6" t="e">
        <f t="shared" si="103"/>
        <v>#NUM!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127.56266113395586</v>
      </c>
      <c r="H247" s="15">
        <f t="shared" ref="H247:K247" si="104">H137</f>
        <v>131.8922737310686</v>
      </c>
      <c r="I247" s="15">
        <f t="shared" si="104"/>
        <v>137.12320605511192</v>
      </c>
      <c r="J247" s="15">
        <f t="shared" si="104"/>
        <v>142.13535900001094</v>
      </c>
      <c r="K247" s="15">
        <f t="shared" si="104"/>
        <v>147.02164722311255</v>
      </c>
      <c r="L247" s="15">
        <f t="shared" ref="L247:M247" si="105">L137</f>
        <v>152.07591484815327</v>
      </c>
      <c r="M247" s="15">
        <f t="shared" si="105"/>
        <v>157.30393662238245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14440786.881323941</v>
      </c>
      <c r="H248" s="6">
        <f t="shared" ref="H248:K248" si="106">H246*H247</f>
        <v>15129032.173432469</v>
      </c>
      <c r="I248" s="6">
        <f t="shared" si="106"/>
        <v>16602993.342137534</v>
      </c>
      <c r="J248" s="6">
        <f t="shared" si="106"/>
        <v>18773186.652312323</v>
      </c>
      <c r="K248" s="6">
        <f t="shared" si="106"/>
        <v>19753157.938180715</v>
      </c>
      <c r="L248" s="6">
        <f t="shared" ref="L248:M248" si="107">L246*L247</f>
        <v>21108144.562184881</v>
      </c>
      <c r="M248" s="6" t="e">
        <f t="shared" si="107"/>
        <v>#NUM!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8" t="s">
        <v>151</v>
      </c>
      <c r="B253" s="238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26822165.660638019</v>
      </c>
      <c r="H256" s="39">
        <f t="shared" ref="H256:K256" si="109">H121</f>
        <v>28589747.631722957</v>
      </c>
      <c r="I256" s="39">
        <f t="shared" si="109"/>
        <v>30568433.597823426</v>
      </c>
      <c r="J256" s="39">
        <f t="shared" si="109"/>
        <v>35082464.814677067</v>
      </c>
      <c r="K256" s="39">
        <f t="shared" si="109"/>
        <v>37418716.869592577</v>
      </c>
      <c r="L256" s="39">
        <f t="shared" ref="L256:M256" si="110">L121</f>
        <v>40443456.759661138</v>
      </c>
      <c r="M256" s="39">
        <f t="shared" si="110"/>
        <v>25800223.361386467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14440786.881323941</v>
      </c>
      <c r="H257" s="39">
        <f t="shared" ref="H257:K257" si="112">H248</f>
        <v>15129032.173432469</v>
      </c>
      <c r="I257" s="39">
        <f t="shared" si="112"/>
        <v>16602993.342137534</v>
      </c>
      <c r="J257" s="39">
        <f t="shared" si="112"/>
        <v>18773186.652312323</v>
      </c>
      <c r="K257" s="39">
        <f t="shared" si="112"/>
        <v>19753157.938180715</v>
      </c>
      <c r="L257" s="39">
        <f t="shared" ref="L257:M257" si="113">L248</f>
        <v>21108144.562184881</v>
      </c>
      <c r="M257" s="39" t="e">
        <f t="shared" si="113"/>
        <v>#NUM!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12381378.779314078</v>
      </c>
      <c r="H258" s="17">
        <f t="shared" ref="H258:K258" si="115">H256-H257</f>
        <v>13460715.458290488</v>
      </c>
      <c r="I258" s="17">
        <f t="shared" si="115"/>
        <v>13965440.255685892</v>
      </c>
      <c r="J258" s="17">
        <f t="shared" si="115"/>
        <v>16309278.162364744</v>
      </c>
      <c r="K258" s="17">
        <f t="shared" si="115"/>
        <v>17665558.931411862</v>
      </c>
      <c r="L258" s="17">
        <f t="shared" ref="L258:M258" si="116">L256-L257</f>
        <v>19335312.197476257</v>
      </c>
      <c r="M258" s="17" t="e">
        <f t="shared" si="116"/>
        <v>#NUM!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0.85738948168584461</v>
      </c>
      <c r="H259" s="40">
        <f t="shared" ref="H259:K259" si="117">H258/H257</f>
        <v>0.88972746597289609</v>
      </c>
      <c r="I259" s="40">
        <f t="shared" si="117"/>
        <v>0.84113990579291087</v>
      </c>
      <c r="J259" s="40">
        <f t="shared" si="117"/>
        <v>0.8687538490092146</v>
      </c>
      <c r="K259" s="40">
        <f t="shared" si="117"/>
        <v>0.89431568292512109</v>
      </c>
      <c r="L259" s="40">
        <f t="shared" ref="L259:M259" si="118">L258/L257</f>
        <v>0.91601192802684117</v>
      </c>
      <c r="M259" s="40" t="e">
        <f t="shared" si="118"/>
        <v>#NUM!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0.61917199742021156</v>
      </c>
      <c r="H261" s="41">
        <f t="shared" si="119"/>
        <v>0.63643262077609597</v>
      </c>
      <c r="I261" s="41">
        <f t="shared" si="119"/>
        <v>0.6103848938191907</v>
      </c>
      <c r="J261" s="41">
        <f t="shared" si="119"/>
        <v>0.62527181782522112</v>
      </c>
      <c r="K261" s="41">
        <f t="shared" si="119"/>
        <v>0.63885765612596601</v>
      </c>
      <c r="L261" s="41">
        <f t="shared" ref="L261:M261" si="120">LN(L256/L257)</f>
        <v>0.65024590501302815</v>
      </c>
      <c r="M261" s="41" t="e">
        <f t="shared" si="120"/>
        <v>#NUM!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-0.66327407549681405</v>
      </c>
      <c r="R275" s="226">
        <f t="shared" ref="R275:BW275" si="121">R261-$G$261</f>
        <v>0</v>
      </c>
      <c r="S275" s="226">
        <f t="shared" si="121"/>
        <v>-0.59112431237000362</v>
      </c>
      <c r="T275" s="226">
        <f t="shared" si="121"/>
        <v>-0.66461363927483419</v>
      </c>
      <c r="U275" s="226">
        <f t="shared" si="121"/>
        <v>-0.66715190164043603</v>
      </c>
      <c r="V275" s="226">
        <f t="shared" si="121"/>
        <v>-0.74929344824368016</v>
      </c>
      <c r="W275" s="226">
        <f t="shared" si="121"/>
        <v>-0.50929004889295015</v>
      </c>
      <c r="X275" s="226">
        <f t="shared" si="121"/>
        <v>-0.73102359621801571</v>
      </c>
      <c r="Y275" s="226">
        <f t="shared" si="121"/>
        <v>-0.43063980480457176</v>
      </c>
      <c r="Z275" s="226">
        <f t="shared" si="121"/>
        <v>-1.1666593021017775</v>
      </c>
      <c r="AA275" s="226">
        <f t="shared" si="121"/>
        <v>-1.2092930857199176</v>
      </c>
      <c r="AB275" s="226">
        <f t="shared" si="121"/>
        <v>-0.6616931337286136</v>
      </c>
      <c r="AC275" s="226">
        <f t="shared" si="121"/>
        <v>-0.76280215722317235</v>
      </c>
      <c r="AD275" s="226">
        <f t="shared" si="121"/>
        <v>-0.87315501749168001</v>
      </c>
      <c r="AE275" s="226">
        <f t="shared" si="121"/>
        <v>-0.77234021871772307</v>
      </c>
      <c r="AF275" s="226">
        <f t="shared" si="121"/>
        <v>-0.71698022954539808</v>
      </c>
      <c r="AG275" s="226">
        <f t="shared" si="121"/>
        <v>-0.63435971149795767</v>
      </c>
      <c r="AH275" s="226">
        <f t="shared" si="121"/>
        <v>-0.87466936226784797</v>
      </c>
      <c r="AI275" s="226">
        <f t="shared" si="121"/>
        <v>-0.85683248133474188</v>
      </c>
      <c r="AJ275" s="226">
        <f t="shared" si="121"/>
        <v>-0.60278177940850708</v>
      </c>
      <c r="AK275" s="226">
        <f t="shared" si="121"/>
        <v>-0.73271712943990164</v>
      </c>
      <c r="AL275" s="226">
        <f t="shared" si="121"/>
        <v>-0.58892985764649297</v>
      </c>
      <c r="AM275" s="226">
        <f t="shared" si="121"/>
        <v>-0.96456423771082322</v>
      </c>
      <c r="AN275" s="226">
        <f t="shared" si="121"/>
        <v>-0.95718926411926986</v>
      </c>
      <c r="AO275" s="226">
        <f t="shared" si="121"/>
        <v>-0.935555040586874</v>
      </c>
      <c r="AP275" s="226">
        <f t="shared" si="121"/>
        <v>-0.79871058348303525</v>
      </c>
      <c r="AQ275" s="226">
        <f t="shared" si="121"/>
        <v>-1.2828183471622472</v>
      </c>
      <c r="AR275" s="226">
        <f t="shared" si="121"/>
        <v>-0.45795566662742537</v>
      </c>
      <c r="AS275" s="226">
        <f t="shared" si="121"/>
        <v>-0.42099137296148975</v>
      </c>
      <c r="AT275" s="226">
        <f t="shared" si="121"/>
        <v>-0.68737347836650464</v>
      </c>
      <c r="AU275" s="226">
        <f t="shared" si="121"/>
        <v>-0.68727592957122807</v>
      </c>
      <c r="AV275" s="226">
        <f t="shared" si="121"/>
        <v>-0.8398566992135309</v>
      </c>
      <c r="AW275" s="226">
        <f t="shared" si="121"/>
        <v>-0.8909701792584912</v>
      </c>
      <c r="AX275" s="226">
        <f t="shared" si="121"/>
        <v>-0.78774903983178435</v>
      </c>
      <c r="AY275" s="226">
        <f t="shared" si="121"/>
        <v>-0.68224431060547708</v>
      </c>
      <c r="AZ275" s="226">
        <f t="shared" si="121"/>
        <v>-0.85602173037457807</v>
      </c>
      <c r="BA275" s="226">
        <f t="shared" si="121"/>
        <v>-0.77787831333498347</v>
      </c>
      <c r="BB275" s="226">
        <f t="shared" si="121"/>
        <v>-0.64758379950450795</v>
      </c>
      <c r="BC275" s="226">
        <f t="shared" si="121"/>
        <v>-0.74602879183403781</v>
      </c>
      <c r="BD275" s="226">
        <f t="shared" si="121"/>
        <v>-0.60492985256662368</v>
      </c>
      <c r="BE275" s="226">
        <f t="shared" si="121"/>
        <v>-1.0400062136121735</v>
      </c>
      <c r="BF275" s="226">
        <f t="shared" si="121"/>
        <v>-0.65742785617894217</v>
      </c>
      <c r="BG275" s="226">
        <f t="shared" si="121"/>
        <v>-0.90679471217219998</v>
      </c>
      <c r="BH275" s="226">
        <f t="shared" si="121"/>
        <v>-0.63772401806851087</v>
      </c>
      <c r="BI275" s="226">
        <f t="shared" si="121"/>
        <v>-0.78534292982811094</v>
      </c>
      <c r="BJ275" s="226">
        <f t="shared" si="121"/>
        <v>-0.86197439324588565</v>
      </c>
      <c r="BK275" s="226">
        <f t="shared" si="121"/>
        <v>-0.62515621526335796</v>
      </c>
      <c r="BL275" s="226">
        <f t="shared" si="121"/>
        <v>-0.60816789778457825</v>
      </c>
      <c r="BM275" s="226">
        <f t="shared" si="121"/>
        <v>-0.64399644253406185</v>
      </c>
      <c r="BN275" s="226">
        <f t="shared" si="121"/>
        <v>-0.77308312102678656</v>
      </c>
      <c r="BO275" s="226">
        <f t="shared" si="121"/>
        <v>-0.87767090245537249</v>
      </c>
      <c r="BP275" s="226">
        <f t="shared" si="121"/>
        <v>-0.61437018702115243</v>
      </c>
      <c r="BQ275" s="226">
        <f t="shared" si="121"/>
        <v>-0.67433993370239909</v>
      </c>
      <c r="BR275" s="226">
        <f t="shared" si="121"/>
        <v>-9.0539315863875314E-2</v>
      </c>
      <c r="BS275" s="226">
        <f t="shared" si="121"/>
        <v>-1.0855254741298608</v>
      </c>
      <c r="BT275" s="226">
        <f t="shared" si="121"/>
        <v>-0.58448112027151955</v>
      </c>
      <c r="BU275" s="226">
        <f t="shared" si="121"/>
        <v>-0.92248568921966045</v>
      </c>
      <c r="BV275" s="226">
        <f t="shared" si="121"/>
        <v>-0.59030627161164206</v>
      </c>
      <c r="BW275" s="226">
        <f t="shared" si="121"/>
        <v>-0.72977515312325514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topLeftCell="A3" workbookViewId="0">
      <selection activeCell="J36" sqref="J35:J3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9" t="s">
        <v>168</v>
      </c>
      <c r="D2" s="239"/>
      <c r="E2" s="239"/>
      <c r="F2" s="239"/>
      <c r="G2" s="239"/>
      <c r="H2" s="239"/>
      <c r="I2" s="239"/>
      <c r="J2" s="239"/>
      <c r="K2" s="239"/>
    </row>
    <row r="3" spans="3:17" ht="23.25" customHeight="1" x14ac:dyDescent="0.25">
      <c r="C3" s="235" t="str">
        <f>'Model Inputs'!F5</f>
        <v>Algoma Power Inc.</v>
      </c>
      <c r="D3" s="235"/>
      <c r="E3" s="235"/>
      <c r="F3" s="235"/>
      <c r="G3" s="235"/>
      <c r="H3" s="235"/>
      <c r="I3" s="235"/>
      <c r="J3" s="235"/>
      <c r="K3" s="235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182</v>
      </c>
      <c r="I7" s="2" t="s">
        <v>182</v>
      </c>
      <c r="J7" s="2" t="s">
        <v>183</v>
      </c>
      <c r="K7" s="2" t="s">
        <v>184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26822165.660638019</v>
      </c>
      <c r="G10" s="54">
        <f>'Benchmarking Calculations'!H121</f>
        <v>28589747.631722957</v>
      </c>
      <c r="H10" s="54">
        <f>'Benchmarking Calculations'!I121</f>
        <v>30568433.597823426</v>
      </c>
      <c r="I10" s="53">
        <f>IF(ISNUMBER(I12),'Benchmarking Calculations'!J121,"na")</f>
        <v>35082464.814677067</v>
      </c>
      <c r="J10" s="53">
        <f>IF(ISNUMBER(J12),'Benchmarking Calculations'!K121,"na")</f>
        <v>37418716.869592577</v>
      </c>
      <c r="K10" s="53">
        <f>IF(ISNUMBER(K12),'Benchmarking Calculations'!L121,"na")</f>
        <v>40443456.759661138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14440786.881323941</v>
      </c>
      <c r="G12" s="54">
        <f>'Benchmarking Calculations'!H257</f>
        <v>15129032.173432469</v>
      </c>
      <c r="H12" s="54">
        <f>'Benchmarking Calculations'!I257</f>
        <v>16602993.342137534</v>
      </c>
      <c r="I12" s="53">
        <f>IF(ISNUMBER('Benchmarking Calculations'!J257),'Benchmarking Calculations'!J257,"na")</f>
        <v>18773186.652312323</v>
      </c>
      <c r="J12" s="53">
        <f>IF(ISNUMBER('Benchmarking Calculations'!K257),'Benchmarking Calculations'!K257,"na")</f>
        <v>19753157.938180715</v>
      </c>
      <c r="K12" s="53">
        <f>IF(ISNUMBER('Benchmarking Calculations'!L257),'Benchmarking Calculations'!L257,"na")</f>
        <v>21108144.562184881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12381378.779314078</v>
      </c>
      <c r="G14" s="54">
        <f t="shared" si="1"/>
        <v>13460715.458290488</v>
      </c>
      <c r="H14" s="54">
        <f t="shared" si="1"/>
        <v>13965440.255685892</v>
      </c>
      <c r="I14" s="53">
        <f>IF(ISNUMBER(I12),I10-I12,"na")</f>
        <v>16309278.162364744</v>
      </c>
      <c r="J14" s="53">
        <f t="shared" ref="J14:K14" si="2">IF(ISNUMBER(J12),J10-J12,"na")</f>
        <v>17665558.931411862</v>
      </c>
      <c r="K14" s="53">
        <f t="shared" si="2"/>
        <v>19335312.197476257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9">
        <f>LN(F10/F12)</f>
        <v>0.61917199742021156</v>
      </c>
      <c r="G16" s="139">
        <f t="shared" ref="G16:H16" si="3">LN(G10/G12)</f>
        <v>0.63643262077609597</v>
      </c>
      <c r="H16" s="139">
        <f t="shared" si="3"/>
        <v>0.6103848938191907</v>
      </c>
      <c r="I16" s="91">
        <f>IF(ISNUMBER(I14),LN(I10/I12),"na")</f>
        <v>0.62527181782522112</v>
      </c>
      <c r="J16" s="91">
        <f t="shared" ref="J16:K16" si="4">IF(ISNUMBER(J14),LN(J10/J12),"na")</f>
        <v>0.63885765612596601</v>
      </c>
      <c r="K16" s="91">
        <f t="shared" si="4"/>
        <v>0.65024590501302815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178</v>
      </c>
      <c r="F18" s="109"/>
      <c r="G18" s="109"/>
      <c r="H18" s="109">
        <f>AVERAGE(F16:H16)</f>
        <v>0.62199650400516604</v>
      </c>
      <c r="I18" s="43">
        <f>IF(ISNUMBER(I16),AVERAGE(G16:I16),"na")</f>
        <v>0.62402977747350263</v>
      </c>
      <c r="J18" s="43">
        <f t="shared" ref="J18:K18" si="5">IF(ISNUMBER(J16),AVERAGE(H16:J16),"na")</f>
        <v>0.62483812259012594</v>
      </c>
      <c r="K18" s="43">
        <f t="shared" si="5"/>
        <v>0.63812512632140506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179</v>
      </c>
      <c r="F22" s="92">
        <f>IF(F16&lt;-0.25,1,IF(F16&lt;-0.1,2,IF(F16&lt;0.1,3,IF(F16&lt;0.25,4,5))))</f>
        <v>5</v>
      </c>
      <c r="G22" s="92">
        <f t="shared" ref="G22" si="6">IF(G16&lt;-0.25,1,IF(G16&lt;-0.1,2,IF(G16&lt;0.1,3,IF(G16&lt;0.25,4,5))))</f>
        <v>5</v>
      </c>
      <c r="H22" s="92">
        <f>IF($H$16&lt;-0.25,1,IF($H$16&lt;-0.1,2,IF($H$16&lt;0.1,3,IF($H$16&lt;0.25,4,5))))</f>
        <v>5</v>
      </c>
      <c r="I22" s="92">
        <f>IF(ISNUMBER(I16),IF(I16&lt;-0.25,1,IF(I16&lt;-0.1,2,IF(I16&lt;0.1,3,IF(I16&lt;0.25,4,5)))),"na")</f>
        <v>5</v>
      </c>
      <c r="J22" s="92">
        <f t="shared" ref="J22:K22" si="7">IF(ISNUMBER(J16),IF(J16&lt;-0.25,1,IF(J16&lt;-0.1,2,IF(J16&lt;0.1,3,IF(J16&lt;0.25,4,5)))),"na")</f>
        <v>5</v>
      </c>
      <c r="K22" s="92">
        <f t="shared" si="7"/>
        <v>5</v>
      </c>
    </row>
    <row r="24" spans="4:11" ht="15" x14ac:dyDescent="0.25">
      <c r="E24" t="s">
        <v>155</v>
      </c>
      <c r="H24" s="92">
        <f>IF(H$18&lt;-0.25,1,IF(H$18&lt;-0.1,2,IF(H$18&lt;0.1,3,IF(H$18&lt;0.25,4,5))))</f>
        <v>5</v>
      </c>
      <c r="I24" s="92">
        <f t="shared" ref="I24:K24" si="8">IF(I$18&lt;-0.25,1,IF(I$18&lt;-0.1,2,IF(I$18&lt;0.1,3,IF(I$18&lt;0.25,4,5))))</f>
        <v>5</v>
      </c>
      <c r="J24" s="92">
        <f t="shared" si="8"/>
        <v>5</v>
      </c>
      <c r="K24" s="92">
        <f t="shared" si="8"/>
        <v>5</v>
      </c>
    </row>
    <row r="27" spans="4:11" x14ac:dyDescent="0.2">
      <c r="D27" s="8"/>
      <c r="G27" s="54"/>
      <c r="H27" s="54"/>
    </row>
    <row r="29" spans="4:11" x14ac:dyDescent="0.2">
      <c r="F29" s="85"/>
      <c r="G29" s="17"/>
      <c r="H29" s="1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Stefan, Oana</cp:lastModifiedBy>
  <cp:lastPrinted>2018-07-25T01:09:59Z</cp:lastPrinted>
  <dcterms:created xsi:type="dcterms:W3CDTF">2016-07-20T15:58:10Z</dcterms:created>
  <dcterms:modified xsi:type="dcterms:W3CDTF">2024-05-31T03:08:35Z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