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codeName="ThisWorkbook"/>
  <xr:revisionPtr revIDLastSave="0" documentId="13_ncr:1_{E63A4751-050E-4561-B9DF-BBBFB96E6C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ad Forecast Summary" sheetId="11" r:id="rId1"/>
    <sheet name="Power Purchased Model" sheetId="80" r:id="rId2"/>
    <sheet name="Power Purchased Model_WN" sheetId="85" r:id="rId3"/>
    <sheet name="Rate Class Energy Model" sheetId="9" r:id="rId4"/>
    <sheet name="Rate Class Customer Model" sheetId="17" r:id="rId5"/>
    <sheet name="Rate Class Load Model" sheetId="18" r:id="rId6"/>
  </sheets>
  <definedNames>
    <definedName name="__CAP1000" localSheetId="1">#REF!</definedName>
    <definedName name="__CAP1000" localSheetId="2">#REF!</definedName>
    <definedName name="__CAP1000">#REF!</definedName>
    <definedName name="__OP1000" localSheetId="1">#REF!</definedName>
    <definedName name="__OP1000" localSheetId="2">#REF!</definedName>
    <definedName name="__OP1000">#REF!</definedName>
    <definedName name="_110" localSheetId="1">#REF!</definedName>
    <definedName name="_110" localSheetId="2">#REF!</definedName>
    <definedName name="_110">#REF!</definedName>
    <definedName name="_110INPT" localSheetId="1">#REF!</definedName>
    <definedName name="_110INPT" localSheetId="2">#REF!</definedName>
    <definedName name="_110INPT">#REF!</definedName>
    <definedName name="_115" localSheetId="1">#REF!</definedName>
    <definedName name="_115" localSheetId="2">#REF!</definedName>
    <definedName name="_115">#REF!</definedName>
    <definedName name="_115INPT" localSheetId="1">#REF!</definedName>
    <definedName name="_115INPT" localSheetId="2">#REF!</definedName>
    <definedName name="_115INPT">#REF!</definedName>
    <definedName name="_120" localSheetId="1">#REF!</definedName>
    <definedName name="_120" localSheetId="2">#REF!</definedName>
    <definedName name="_120">#REF!</definedName>
    <definedName name="_140" localSheetId="1">#REF!</definedName>
    <definedName name="_140" localSheetId="2">#REF!</definedName>
    <definedName name="_140">#REF!</definedName>
    <definedName name="_140INPT" localSheetId="1">#REF!</definedName>
    <definedName name="_140INPT" localSheetId="2">#REF!</definedName>
    <definedName name="_140INPT">#REF!</definedName>
    <definedName name="_CAP1000" localSheetId="1">#REF!</definedName>
    <definedName name="_CAP1000" localSheetId="2">#REF!</definedName>
    <definedName name="_CAP1000">#REF!</definedName>
    <definedName name="_Fill" hidden="1">#REF!</definedName>
    <definedName name="_OP1000" localSheetId="1">#REF!</definedName>
    <definedName name="_OP1000" localSheetId="2">#REF!</definedName>
    <definedName name="_OP1000">#REF!</definedName>
    <definedName name="_Order1" hidden="1">255</definedName>
    <definedName name="_Order2" hidden="1">0</definedName>
    <definedName name="_Sort" hidden="1">#REF!</definedName>
    <definedName name="ALL" localSheetId="1">#REF!</definedName>
    <definedName name="ALL" localSheetId="2">#REF!</definedName>
    <definedName name="ALL">#REF!</definedName>
    <definedName name="ApprovedYr">#REF!</definedName>
    <definedName name="CAfile">#REF!</definedName>
    <definedName name="CAPCOSTS" localSheetId="1">#REF!</definedName>
    <definedName name="CAPCOSTS" localSheetId="2">#REF!</definedName>
    <definedName name="CAPCOSTS">#REF!</definedName>
    <definedName name="CAPITAL" localSheetId="1">#REF!</definedName>
    <definedName name="CAPITAL" localSheetId="2">#REF!</definedName>
    <definedName name="CAPITAL">#REF!</definedName>
    <definedName name="CapitalExpListing" localSheetId="1">#REF!</definedName>
    <definedName name="CapitalExpListing" localSheetId="2">#REF!</definedName>
    <definedName name="CapitalExpListing">#REF!</definedName>
    <definedName name="CArevReq">#REF!</definedName>
    <definedName name="CASENUMBER">#REF!</definedName>
    <definedName name="CASHFLOW" localSheetId="1">#REF!</definedName>
    <definedName name="CASHFLOW" localSheetId="2">#REF!</definedName>
    <definedName name="CASHFLOW">#REF!</definedName>
    <definedName name="cc" localSheetId="1">#REF!</definedName>
    <definedName name="cc" localSheetId="2">#REF!</definedName>
    <definedName name="cc">#REF!</definedName>
    <definedName name="ClassRange1">#REF!</definedName>
    <definedName name="ClassRange2">#REF!</definedName>
    <definedName name="contactf" localSheetId="1">#REF!</definedName>
    <definedName name="contactf" localSheetId="2">#REF!</definedName>
    <definedName name="contactf">#REF!</definedName>
    <definedName name="_xlnm.Criteria" localSheetId="1">#REF!</definedName>
    <definedName name="_xlnm.Criteria" localSheetId="2">#REF!</definedName>
    <definedName name="_xlnm.Criteria">#REF!</definedName>
    <definedName name="CRLF">#REF!</definedName>
    <definedName name="_xlnm.Database" localSheetId="1">#REF!</definedName>
    <definedName name="_xlnm.Database" localSheetId="2">#REF!</definedName>
    <definedName name="_xlnm.Database">#REF!</definedName>
    <definedName name="DaysInPreviousYear">#REF!</definedName>
    <definedName name="DaysInYear">#REF!</definedName>
    <definedName name="DEBTREPAY" localSheetId="1">#REF!</definedName>
    <definedName name="DEBTREPAY" localSheetId="2">#REF!</definedName>
    <definedName name="DEBTREPAY">#REF!</definedName>
    <definedName name="DeptDiv" localSheetId="1">#REF!</definedName>
    <definedName name="DeptDiv" localSheetId="2">#REF!</definedName>
    <definedName name="DeptDiv">#REF!</definedName>
    <definedName name="EBNUMBER">#REF!</definedName>
    <definedName name="ExpenseAccountListing" localSheetId="1">#REF!</definedName>
    <definedName name="ExpenseAccountListing" localSheetId="2">#REF!</definedName>
    <definedName name="ExpenseAccountListing">#REF!</definedName>
    <definedName name="_xlnm.Extract" localSheetId="1">#REF!</definedName>
    <definedName name="_xlnm.Extract" localSheetId="2">#REF!</definedName>
    <definedName name="_xlnm.Extract">#REF!</definedName>
    <definedName name="FakeBlank">#REF!</definedName>
    <definedName name="FolderPath">#REF!</definedName>
    <definedName name="histdate">#REF!</definedName>
    <definedName name="Incr2000" localSheetId="1">#REF!</definedName>
    <definedName name="Incr2000" localSheetId="2">#REF!</definedName>
    <definedName name="Incr2000">#REF!</definedName>
    <definedName name="INTERIM" localSheetId="1">#REF!</definedName>
    <definedName name="INTERIM" localSheetId="2">#REF!</definedName>
    <definedName name="INTERIM">#REF!</definedName>
    <definedName name="LIMIT" localSheetId="1">#REF!</definedName>
    <definedName name="LIMIT" localSheetId="2">#REF!</definedName>
    <definedName name="LIMIT">#REF!</definedName>
    <definedName name="man_beg_bud" localSheetId="1">#REF!</definedName>
    <definedName name="man_beg_bud" localSheetId="2">#REF!</definedName>
    <definedName name="man_beg_bud">#REF!</definedName>
    <definedName name="man_end_bud" localSheetId="1">#REF!</definedName>
    <definedName name="man_end_bud" localSheetId="2">#REF!</definedName>
    <definedName name="man_end_bud">#REF!</definedName>
    <definedName name="man12ACT" localSheetId="1">#REF!</definedName>
    <definedName name="man12ACT" localSheetId="2">#REF!</definedName>
    <definedName name="man12ACT">#REF!</definedName>
    <definedName name="MANBUD" localSheetId="1">#REF!</definedName>
    <definedName name="MANBUD" localSheetId="2">#REF!</definedName>
    <definedName name="MANBUD">#REF!</definedName>
    <definedName name="manCYACT" localSheetId="1">#REF!</definedName>
    <definedName name="manCYACT" localSheetId="2">#REF!</definedName>
    <definedName name="manCYACT">#REF!</definedName>
    <definedName name="manCYBUD" localSheetId="1">#REF!</definedName>
    <definedName name="manCYBUD" localSheetId="2">#REF!</definedName>
    <definedName name="manCYBUD">#REF!</definedName>
    <definedName name="manCYF" localSheetId="1">#REF!</definedName>
    <definedName name="manCYF" localSheetId="2">#REF!</definedName>
    <definedName name="manCYF">#REF!</definedName>
    <definedName name="MANEND" localSheetId="1">#REF!</definedName>
    <definedName name="MANEND" localSheetId="2">#REF!</definedName>
    <definedName name="MANEND">#REF!</definedName>
    <definedName name="manNYbud" localSheetId="1">#REF!</definedName>
    <definedName name="manNYbud" localSheetId="2">#REF!</definedName>
    <definedName name="manNYbud">#REF!</definedName>
    <definedName name="manpower_costs" localSheetId="1">#REF!</definedName>
    <definedName name="manpower_costs" localSheetId="2">#REF!</definedName>
    <definedName name="manpower_costs">#REF!</definedName>
    <definedName name="manPYACT" localSheetId="1">#REF!</definedName>
    <definedName name="manPYACT" localSheetId="2">#REF!</definedName>
    <definedName name="manPYACT">#REF!</definedName>
    <definedName name="MANSTART" localSheetId="1">#REF!</definedName>
    <definedName name="MANSTART" localSheetId="2">#REF!</definedName>
    <definedName name="MANSTART">#REF!</definedName>
    <definedName name="mat_beg_bud" localSheetId="1">#REF!</definedName>
    <definedName name="mat_beg_bud" localSheetId="2">#REF!</definedName>
    <definedName name="mat_beg_bud">#REF!</definedName>
    <definedName name="mat_end_bud" localSheetId="1">#REF!</definedName>
    <definedName name="mat_end_bud" localSheetId="2">#REF!</definedName>
    <definedName name="mat_end_bud">#REF!</definedName>
    <definedName name="mat12ACT" localSheetId="1">#REF!</definedName>
    <definedName name="mat12ACT" localSheetId="2">#REF!</definedName>
    <definedName name="mat12ACT">#REF!</definedName>
    <definedName name="MATBUD" localSheetId="1">#REF!</definedName>
    <definedName name="MATBUD" localSheetId="2">#REF!</definedName>
    <definedName name="MATBUD">#REF!</definedName>
    <definedName name="matCYACT" localSheetId="1">#REF!</definedName>
    <definedName name="matCYACT" localSheetId="2">#REF!</definedName>
    <definedName name="matCYACT">#REF!</definedName>
    <definedName name="matCYBUD" localSheetId="1">#REF!</definedName>
    <definedName name="matCYBUD" localSheetId="2">#REF!</definedName>
    <definedName name="matCYBUD">#REF!</definedName>
    <definedName name="matCYF" localSheetId="1">#REF!</definedName>
    <definedName name="matCYF" localSheetId="2">#REF!</definedName>
    <definedName name="matCYF">#REF!</definedName>
    <definedName name="MATEND" localSheetId="1">#REF!</definedName>
    <definedName name="MATEND" localSheetId="2">#REF!</definedName>
    <definedName name="MATEND">#REF!</definedName>
    <definedName name="material_costs" localSheetId="1">#REF!</definedName>
    <definedName name="material_costs" localSheetId="2">#REF!</definedName>
    <definedName name="material_costs">#REF!</definedName>
    <definedName name="matNYbud" localSheetId="1">#REF!</definedName>
    <definedName name="matNYbud" localSheetId="2">#REF!</definedName>
    <definedName name="matNYbud">#REF!</definedName>
    <definedName name="matPYACT" localSheetId="1">#REF!</definedName>
    <definedName name="matPYACT" localSheetId="2">#REF!</definedName>
    <definedName name="matPYACT">#REF!</definedName>
    <definedName name="MATSTART" localSheetId="1">#REF!</definedName>
    <definedName name="MATSTART" localSheetId="2">#REF!</definedName>
    <definedName name="MATSTART">#REF!</definedName>
    <definedName name="mea" localSheetId="1">#REF!</definedName>
    <definedName name="mea" localSheetId="2">#REF!</definedName>
    <definedName name="mea">#REF!</definedName>
    <definedName name="MEABAL" localSheetId="1">#REF!</definedName>
    <definedName name="MEABAL" localSheetId="2">#REF!</definedName>
    <definedName name="MEABAL">#REF!</definedName>
    <definedName name="MEACASH" localSheetId="1">#REF!</definedName>
    <definedName name="MEACASH" localSheetId="2">#REF!</definedName>
    <definedName name="MEACASH">#REF!</definedName>
    <definedName name="MEAEQITY" localSheetId="1">#REF!</definedName>
    <definedName name="MEAEQITY" localSheetId="2">#REF!</definedName>
    <definedName name="MEAEQITY">#REF!</definedName>
    <definedName name="MEAOP" localSheetId="1">#REF!</definedName>
    <definedName name="MEAOP" localSheetId="2">#REF!</definedName>
    <definedName name="MEAOP">#REF!</definedName>
    <definedName name="MofF" localSheetId="1">#REF!</definedName>
    <definedName name="MofF" localSheetId="2">#REF!</definedName>
    <definedName name="MofF">#REF!</definedName>
    <definedName name="NewRevReq">#REF!</definedName>
    <definedName name="NOTES" localSheetId="1">#REF!</definedName>
    <definedName name="NOTES" localSheetId="2">#REF!</definedName>
    <definedName name="NOTES">#REF!</definedName>
    <definedName name="OPERATING" localSheetId="1">#REF!</definedName>
    <definedName name="OPERATING" localSheetId="2">#REF!</definedName>
    <definedName name="OPERATING">#REF!</definedName>
    <definedName name="oth_beg_bud" localSheetId="1">#REF!</definedName>
    <definedName name="oth_beg_bud" localSheetId="2">#REF!</definedName>
    <definedName name="oth_beg_bud">#REF!</definedName>
    <definedName name="oth_end_bud" localSheetId="1">#REF!</definedName>
    <definedName name="oth_end_bud" localSheetId="2">#REF!</definedName>
    <definedName name="oth_end_bud">#REF!</definedName>
    <definedName name="oth12ACT" localSheetId="1">#REF!</definedName>
    <definedName name="oth12ACT" localSheetId="2">#REF!</definedName>
    <definedName name="oth12ACT">#REF!</definedName>
    <definedName name="othCYACT" localSheetId="1">#REF!</definedName>
    <definedName name="othCYACT" localSheetId="2">#REF!</definedName>
    <definedName name="othCYACT">#REF!</definedName>
    <definedName name="othCYBUD" localSheetId="1">#REF!</definedName>
    <definedName name="othCYBUD" localSheetId="2">#REF!</definedName>
    <definedName name="othCYBUD">#REF!</definedName>
    <definedName name="othCYF" localSheetId="1">#REF!</definedName>
    <definedName name="othCYF" localSheetId="2">#REF!</definedName>
    <definedName name="othCYF">#REF!</definedName>
    <definedName name="OTHEND" localSheetId="1">#REF!</definedName>
    <definedName name="OTHEND" localSheetId="2">#REF!</definedName>
    <definedName name="OTHEND">#REF!</definedName>
    <definedName name="other_costs" localSheetId="1">#REF!</definedName>
    <definedName name="other_costs" localSheetId="2">#REF!</definedName>
    <definedName name="other_costs">#REF!</definedName>
    <definedName name="OTHERBUD" localSheetId="1">#REF!</definedName>
    <definedName name="OTHERBUD" localSheetId="2">#REF!</definedName>
    <definedName name="OTHERBUD">#REF!</definedName>
    <definedName name="othNYbud" localSheetId="1">#REF!</definedName>
    <definedName name="othNYbud" localSheetId="2">#REF!</definedName>
    <definedName name="othNYbud">#REF!</definedName>
    <definedName name="othPYACT" localSheetId="1">#REF!</definedName>
    <definedName name="othPYACT" localSheetId="2">#REF!</definedName>
    <definedName name="othPYACT">#REF!</definedName>
    <definedName name="OTHSTART" localSheetId="1">#REF!</definedName>
    <definedName name="OTHSTART" localSheetId="2">#REF!</definedName>
    <definedName name="OTHSTART">#REF!</definedName>
    <definedName name="PAGE11" localSheetId="1">#REF!</definedName>
    <definedName name="PAGE11" localSheetId="2">#REF!</definedName>
    <definedName name="PAGE11">#REF!</definedName>
    <definedName name="PAGE2">#REF!</definedName>
    <definedName name="PAGE3" localSheetId="1">#REF!</definedName>
    <definedName name="PAGE3" localSheetId="2">#REF!</definedName>
    <definedName name="PAGE3">#REF!</definedName>
    <definedName name="PAGE4" localSheetId="1">#REF!</definedName>
    <definedName name="PAGE4" localSheetId="2">#REF!</definedName>
    <definedName name="PAGE4">#REF!</definedName>
    <definedName name="PAGE7" localSheetId="1">#REF!</definedName>
    <definedName name="PAGE7" localSheetId="2">#REF!</definedName>
    <definedName name="PAGE7">#REF!</definedName>
    <definedName name="PAGE9" localSheetId="1">#REF!</definedName>
    <definedName name="PAGE9" localSheetId="2">#REF!</definedName>
    <definedName name="PAGE9">#REF!</definedName>
    <definedName name="PageOne" localSheetId="1">#REF!</definedName>
    <definedName name="PageOne" localSheetId="2">#REF!</definedName>
    <definedName name="PageOne">#REF!</definedName>
    <definedName name="PR" localSheetId="1">#REF!</definedName>
    <definedName name="PR" localSheetId="2">#REF!</definedName>
    <definedName name="PR">#REF!</definedName>
    <definedName name="_xlnm.Print_Area" localSheetId="0">'Load Forecast Summary'!$A$3:$L$39</definedName>
    <definedName name="_xlnm.Print_Area" localSheetId="1">'Power Purchased Model'!$A$1:$J$169</definedName>
    <definedName name="_xlnm.Print_Area" localSheetId="2">'Power Purchased Model_WN'!$A$1:$J$169</definedName>
    <definedName name="_xlnm.Print_Area" localSheetId="4">'Rate Class Customer Model'!$A$1:$J$35</definedName>
    <definedName name="_xlnm.Print_Area" localSheetId="3">'Rate Class Energy Model'!#REF!</definedName>
    <definedName name="_xlnm.Print_Area" localSheetId="5">'Rate Class Load Model'!$A$1:$G$29</definedName>
    <definedName name="Print_Area_MI" localSheetId="1">#REF!</definedName>
    <definedName name="Print_Area_MI" localSheetId="2">#REF!</definedName>
    <definedName name="Print_Area_MI">#REF!</definedName>
    <definedName name="print_end" localSheetId="1">#REF!</definedName>
    <definedName name="print_end" localSheetId="2">#REF!</definedName>
    <definedName name="print_end">#REF!</definedName>
    <definedName name="_xlnm.Print_Titles" localSheetId="1">'Power Purchased Model'!$A:$J,'Power Purchased Model'!$1:$2</definedName>
    <definedName name="_xlnm.Print_Titles" localSheetId="2">'Power Purchased Model_WN'!$A:$J,'Power Purchased Model_WN'!$1:$2</definedName>
    <definedName name="PRIOR" localSheetId="1">#REF!</definedName>
    <definedName name="PRIOR" localSheetId="2">#REF!</definedName>
    <definedName name="PRIOR">#REF!</definedName>
    <definedName name="Ratebase">#REF!</definedName>
    <definedName name="RebaseYear">#REF!</definedName>
    <definedName name="RevReqLookupKey">#REF!</definedName>
    <definedName name="RevReqRange">#REF!</definedName>
    <definedName name="RVCASHPR" localSheetId="1">#REF!</definedName>
    <definedName name="RVCASHPR" localSheetId="2">#REF!</definedName>
    <definedName name="RVCASHPR">#REF!</definedName>
    <definedName name="SALBENF" localSheetId="1">#REF!</definedName>
    <definedName name="SALBENF" localSheetId="2">#REF!</definedName>
    <definedName name="SALBENF">#REF!</definedName>
    <definedName name="salreg" localSheetId="1">#REF!</definedName>
    <definedName name="salreg" localSheetId="2">#REF!</definedName>
    <definedName name="salreg">#REF!</definedName>
    <definedName name="SALREGF" localSheetId="1">#REF!</definedName>
    <definedName name="SALREGF" localSheetId="2">#REF!</definedName>
    <definedName name="SALREGF">#REF!</definedName>
    <definedName name="SOURCEAPP" localSheetId="1">#REF!</definedName>
    <definedName name="SOURCEAPP" localSheetId="2">#REF!</definedName>
    <definedName name="SOURCEAPP">#REF!</definedName>
    <definedName name="STATS1" localSheetId="1">#REF!</definedName>
    <definedName name="STATS1" localSheetId="2">#REF!</definedName>
    <definedName name="STATS1">#REF!</definedName>
    <definedName name="STATS2" localSheetId="1">#REF!</definedName>
    <definedName name="STATS2" localSheetId="2">#REF!</definedName>
    <definedName name="STATS2">#REF!</definedName>
    <definedName name="Surtax" localSheetId="1">#REF!</definedName>
    <definedName name="Surtax" localSheetId="2">#REF!</definedName>
    <definedName name="Surtax">#REF!</definedName>
    <definedName name="TEMPA" localSheetId="1">#REF!</definedName>
    <definedName name="TEMPA" localSheetId="2">#REF!</definedName>
    <definedName name="TEMPA">#REF!</definedName>
    <definedName name="TEST">#REF!</definedName>
    <definedName name="Test_Year">#REF!</definedName>
    <definedName name="TestYr">#REF!</definedName>
    <definedName name="TestYrPL">#REF!</definedName>
    <definedName name="total_dept" localSheetId="1">#REF!</definedName>
    <definedName name="total_dept" localSheetId="2">#REF!</definedName>
    <definedName name="total_dept">#REF!</definedName>
    <definedName name="total_manpower" localSheetId="1">#REF!</definedName>
    <definedName name="total_manpower" localSheetId="2">#REF!</definedName>
    <definedName name="total_manpower">#REF!</definedName>
    <definedName name="total_material" localSheetId="1">#REF!</definedName>
    <definedName name="total_material" localSheetId="2">#REF!</definedName>
    <definedName name="total_material">#REF!</definedName>
    <definedName name="total_other" localSheetId="1">#REF!</definedName>
    <definedName name="total_other" localSheetId="2">#REF!</definedName>
    <definedName name="total_other">#REF!</definedName>
    <definedName name="total_transportation" localSheetId="1">#REF!</definedName>
    <definedName name="total_transportation" localSheetId="2">#REF!</definedName>
    <definedName name="total_transportation">#REF!</definedName>
    <definedName name="TOTCAPADDITIONS" localSheetId="1">#REF!</definedName>
    <definedName name="TOTCAPADDITIONS" localSheetId="2">#REF!</definedName>
    <definedName name="TOTCAPADDITIONS">#REF!</definedName>
    <definedName name="TRANBUD" localSheetId="1">#REF!</definedName>
    <definedName name="TRANBUD" localSheetId="2">#REF!</definedName>
    <definedName name="TRANBUD">#REF!</definedName>
    <definedName name="TRANEND" localSheetId="1">#REF!</definedName>
    <definedName name="TRANEND" localSheetId="2">#REF!</definedName>
    <definedName name="TRANEND">#REF!</definedName>
    <definedName name="TRANSCAP" localSheetId="1">#REF!</definedName>
    <definedName name="TRANSCAP" localSheetId="2">#REF!</definedName>
    <definedName name="TRANSCAP">#REF!</definedName>
    <definedName name="TRANSFER" localSheetId="1">#REF!</definedName>
    <definedName name="TRANSFER" localSheetId="2">#REF!</definedName>
    <definedName name="TRANSFER">#REF!</definedName>
    <definedName name="transportation_costs" localSheetId="1">#REF!</definedName>
    <definedName name="transportation_costs" localSheetId="2">#REF!</definedName>
    <definedName name="transportation_costs">#REF!</definedName>
    <definedName name="TRANSTART" localSheetId="1">#REF!</definedName>
    <definedName name="TRANSTART" localSheetId="2">#REF!</definedName>
    <definedName name="TRANSTART">#REF!</definedName>
    <definedName name="trn_beg_bud" localSheetId="1">#REF!</definedName>
    <definedName name="trn_beg_bud" localSheetId="2">#REF!</definedName>
    <definedName name="trn_beg_bud">#REF!</definedName>
    <definedName name="trn_end_bud" localSheetId="1">#REF!</definedName>
    <definedName name="trn_end_bud" localSheetId="2">#REF!</definedName>
    <definedName name="trn_end_bud">#REF!</definedName>
    <definedName name="trn12ACT" localSheetId="1">#REF!</definedName>
    <definedName name="trn12ACT" localSheetId="2">#REF!</definedName>
    <definedName name="trn12ACT">#REF!</definedName>
    <definedName name="trnCYACT" localSheetId="1">#REF!</definedName>
    <definedName name="trnCYACT" localSheetId="2">#REF!</definedName>
    <definedName name="trnCYACT">#REF!</definedName>
    <definedName name="trnCYBUD" localSheetId="1">#REF!</definedName>
    <definedName name="trnCYBUD" localSheetId="2">#REF!</definedName>
    <definedName name="trnCYBUD">#REF!</definedName>
    <definedName name="trnCYF" localSheetId="1">#REF!</definedName>
    <definedName name="trnCYF" localSheetId="2">#REF!</definedName>
    <definedName name="trnCYF">#REF!</definedName>
    <definedName name="trnNYbud" localSheetId="1">#REF!</definedName>
    <definedName name="trnNYbud" localSheetId="2">#REF!</definedName>
    <definedName name="trnNYbud">#REF!</definedName>
    <definedName name="trnPYACT" localSheetId="1">#REF!</definedName>
    <definedName name="trnPYACT" localSheetId="2">#REF!</definedName>
    <definedName name="trnPYACT">#REF!</definedName>
    <definedName name="Utility">#REF!</definedName>
    <definedName name="utitliy1">#REF!</definedName>
    <definedName name="Variable1">#REF!</definedName>
    <definedName name="WAGBENF" localSheetId="1">#REF!</definedName>
    <definedName name="WAGBENF" localSheetId="2">#REF!</definedName>
    <definedName name="WAGBENF">#REF!</definedName>
    <definedName name="wagdob" localSheetId="1">#REF!</definedName>
    <definedName name="wagdob" localSheetId="2">#REF!</definedName>
    <definedName name="wagdob">#REF!</definedName>
    <definedName name="wagdobf" localSheetId="1">#REF!</definedName>
    <definedName name="wagdobf" localSheetId="2">#REF!</definedName>
    <definedName name="wagdobf">#REF!</definedName>
    <definedName name="wagreg" localSheetId="1">#REF!</definedName>
    <definedName name="wagreg" localSheetId="2">#REF!</definedName>
    <definedName name="wagreg">#REF!</definedName>
    <definedName name="wagregf" localSheetId="1">#REF!</definedName>
    <definedName name="wagregf" localSheetId="2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9" l="1"/>
  <c r="C12" i="17" l="1"/>
  <c r="B23" i="11" l="1"/>
  <c r="H35" i="9" l="1"/>
  <c r="H4" i="17" l="1"/>
  <c r="H5" i="17"/>
  <c r="H6" i="17"/>
  <c r="H7" i="17"/>
  <c r="H3" i="17"/>
  <c r="B162" i="85"/>
  <c r="B161" i="85"/>
  <c r="B160" i="85"/>
  <c r="B159" i="85"/>
  <c r="B158" i="85"/>
  <c r="B157" i="85"/>
  <c r="B156" i="85"/>
  <c r="B155" i="85"/>
  <c r="B154" i="85"/>
  <c r="B153" i="85"/>
  <c r="C155" i="85" l="1"/>
  <c r="B166" i="85"/>
  <c r="C157" i="85"/>
  <c r="C159" i="85"/>
  <c r="C154" i="85"/>
  <c r="C158" i="85"/>
  <c r="C160" i="85"/>
  <c r="C162" i="85"/>
  <c r="C156" i="85"/>
  <c r="C161" i="85"/>
  <c r="D161" i="85" s="1"/>
  <c r="N3" i="17" l="1"/>
  <c r="G63" i="80" s="1"/>
  <c r="H63" i="80" s="1"/>
  <c r="I63" i="80" s="1"/>
  <c r="L63" i="80" l="1"/>
  <c r="J63" i="80"/>
  <c r="K63" i="80" s="1"/>
  <c r="G63" i="85"/>
  <c r="N4" i="17"/>
  <c r="G64" i="85" s="1"/>
  <c r="G64" i="80" l="1"/>
  <c r="N5" i="17"/>
  <c r="N6" i="17" l="1"/>
  <c r="G65" i="85"/>
  <c r="N7" i="17" l="1"/>
  <c r="G66" i="85"/>
  <c r="N8" i="17" l="1"/>
  <c r="G67" i="85"/>
  <c r="N9" i="17" l="1"/>
  <c r="G68" i="85"/>
  <c r="N10" i="17" l="1"/>
  <c r="G69" i="85"/>
  <c r="N11" i="17" l="1"/>
  <c r="G70" i="85"/>
  <c r="N12" i="17" l="1"/>
  <c r="G71" i="85"/>
  <c r="N13" i="17" l="1"/>
  <c r="G72" i="85"/>
  <c r="N14" i="17" l="1"/>
  <c r="G73" i="85"/>
  <c r="G74" i="85" l="1"/>
  <c r="O3" i="17"/>
  <c r="G75" i="80" s="1"/>
  <c r="H75" i="80" s="1"/>
  <c r="I75" i="80" s="1"/>
  <c r="J75" i="80" l="1"/>
  <c r="K75" i="80" s="1"/>
  <c r="L75" i="80"/>
  <c r="G75" i="85"/>
  <c r="O4" i="17"/>
  <c r="O5" i="17" l="1"/>
  <c r="G76" i="85"/>
  <c r="G76" i="80"/>
  <c r="G77" i="85" l="1"/>
  <c r="G77" i="80"/>
  <c r="O6" i="17"/>
  <c r="G78" i="85" l="1"/>
  <c r="O7" i="17"/>
  <c r="G78" i="80"/>
  <c r="G79" i="85" l="1"/>
  <c r="O8" i="17"/>
  <c r="G79" i="80"/>
  <c r="G80" i="85" l="1"/>
  <c r="G80" i="80"/>
  <c r="O9" i="17"/>
  <c r="G81" i="85" l="1"/>
  <c r="G81" i="80"/>
  <c r="O10" i="17"/>
  <c r="G82" i="85" l="1"/>
  <c r="O11" i="17"/>
  <c r="G82" i="80"/>
  <c r="G83" i="85" l="1"/>
  <c r="O12" i="17"/>
  <c r="G83" i="80"/>
  <c r="G84" i="85" l="1"/>
  <c r="O13" i="17"/>
  <c r="G84" i="80"/>
  <c r="G85" i="85" l="1"/>
  <c r="O14" i="17"/>
  <c r="G85" i="80"/>
  <c r="G86" i="85" l="1"/>
  <c r="G86" i="80"/>
  <c r="P3" i="17"/>
  <c r="G87" i="85" l="1"/>
  <c r="G87" i="80"/>
  <c r="P4" i="17"/>
  <c r="G88" i="85" l="1"/>
  <c r="P5" i="17"/>
  <c r="G88" i="80"/>
  <c r="G89" i="85" l="1"/>
  <c r="P6" i="17"/>
  <c r="G89" i="80"/>
  <c r="G90" i="85" l="1"/>
  <c r="G90" i="80"/>
  <c r="P7" i="17"/>
  <c r="G91" i="85" l="1"/>
  <c r="G91" i="80"/>
  <c r="P8" i="17"/>
  <c r="G92" i="85" l="1"/>
  <c r="P9" i="17"/>
  <c r="G92" i="80"/>
  <c r="G93" i="85" l="1"/>
  <c r="G93" i="80"/>
  <c r="P10" i="17"/>
  <c r="G94" i="85" l="1"/>
  <c r="G94" i="80"/>
  <c r="P11" i="17"/>
  <c r="G95" i="85" l="1"/>
  <c r="P12" i="17"/>
  <c r="G95" i="80"/>
  <c r="G96" i="85" l="1"/>
  <c r="P13" i="17"/>
  <c r="G96" i="80"/>
  <c r="G97" i="85" l="1"/>
  <c r="G97" i="80"/>
  <c r="P14" i="17"/>
  <c r="G98" i="85" l="1"/>
  <c r="G98" i="80"/>
  <c r="Q3" i="17"/>
  <c r="G99" i="80" s="1"/>
  <c r="H99" i="80" s="1"/>
  <c r="I99" i="80" s="1"/>
  <c r="J99" i="80" l="1"/>
  <c r="K99" i="80" s="1"/>
  <c r="L99" i="80"/>
  <c r="G99" i="85"/>
  <c r="Q4" i="17"/>
  <c r="G100" i="85" l="1"/>
  <c r="Q5" i="17"/>
  <c r="G100" i="80"/>
  <c r="G101" i="85" l="1"/>
  <c r="Q6" i="17"/>
  <c r="G101" i="80"/>
  <c r="G102" i="85" l="1"/>
  <c r="Q7" i="17"/>
  <c r="G102" i="80"/>
  <c r="G103" i="85" l="1"/>
  <c r="Q8" i="17"/>
  <c r="G103" i="80"/>
  <c r="G104" i="85" l="1"/>
  <c r="Q9" i="17"/>
  <c r="G104" i="80"/>
  <c r="G105" i="85" l="1"/>
  <c r="Q10" i="17"/>
  <c r="G105" i="80"/>
  <c r="G106" i="85" l="1"/>
  <c r="Q11" i="17"/>
  <c r="G106" i="80"/>
  <c r="G107" i="85" l="1"/>
  <c r="Q12" i="17"/>
  <c r="G107" i="80"/>
  <c r="G108" i="85" l="1"/>
  <c r="G108" i="80"/>
  <c r="Q13" i="17"/>
  <c r="G109" i="85" l="1"/>
  <c r="Q14" i="17"/>
  <c r="G109" i="80"/>
  <c r="G110" i="85" l="1"/>
  <c r="G110" i="80"/>
  <c r="R3" i="17"/>
  <c r="G111" i="80" s="1"/>
  <c r="H111" i="80" s="1"/>
  <c r="I111" i="80" s="1"/>
  <c r="J111" i="80" l="1"/>
  <c r="K111" i="80" s="1"/>
  <c r="L111" i="80"/>
  <c r="G111" i="85"/>
  <c r="R4" i="17"/>
  <c r="G112" i="85" l="1"/>
  <c r="R5" i="17"/>
  <c r="G112" i="80"/>
  <c r="G113" i="85" l="1"/>
  <c r="G113" i="80"/>
  <c r="R6" i="17"/>
  <c r="G114" i="85" l="1"/>
  <c r="G114" i="80"/>
  <c r="R7" i="17"/>
  <c r="G115" i="85" l="1"/>
  <c r="R8" i="17"/>
  <c r="G115" i="80"/>
  <c r="G116" i="85" l="1"/>
  <c r="G116" i="80"/>
  <c r="R9" i="17"/>
  <c r="G117" i="85" l="1"/>
  <c r="G117" i="80"/>
  <c r="R10" i="17"/>
  <c r="G118" i="85" l="1"/>
  <c r="R11" i="17"/>
  <c r="G118" i="80"/>
  <c r="G119" i="85" l="1"/>
  <c r="R12" i="17"/>
  <c r="G119" i="80"/>
  <c r="H119" i="80" s="1"/>
  <c r="G120" i="85" l="1"/>
  <c r="R13" i="17"/>
  <c r="G120" i="80"/>
  <c r="G121" i="85" l="1"/>
  <c r="R14" i="17"/>
  <c r="S3" i="17" s="1"/>
  <c r="G121" i="80"/>
  <c r="G122" i="85" l="1"/>
  <c r="G122" i="80"/>
  <c r="G123" i="85" l="1"/>
  <c r="G123" i="80"/>
  <c r="S4" i="17"/>
  <c r="G124" i="85" l="1"/>
  <c r="S5" i="17"/>
  <c r="G124" i="80"/>
  <c r="G125" i="85" l="1"/>
  <c r="G125" i="80"/>
  <c r="S6" i="17"/>
  <c r="G126" i="85" l="1"/>
  <c r="G126" i="80"/>
  <c r="S7" i="17"/>
  <c r="G127" i="85" l="1"/>
  <c r="S8" i="17"/>
  <c r="G127" i="80"/>
  <c r="G128" i="85" l="1"/>
  <c r="G128" i="80"/>
  <c r="S9" i="17"/>
  <c r="G129" i="85" l="1"/>
  <c r="G129" i="80"/>
  <c r="S10" i="17"/>
  <c r="G130" i="85" l="1"/>
  <c r="G130" i="80"/>
  <c r="S11" i="17"/>
  <c r="G131" i="85" l="1"/>
  <c r="G131" i="80"/>
  <c r="S12" i="17"/>
  <c r="G132" i="85" l="1"/>
  <c r="S13" i="17"/>
  <c r="G132" i="80"/>
  <c r="G133" i="85" l="1"/>
  <c r="S14" i="17"/>
  <c r="T3" i="17" s="1"/>
  <c r="G133" i="80"/>
  <c r="K42" i="11"/>
  <c r="K32" i="11"/>
  <c r="K28" i="11"/>
  <c r="K23" i="11"/>
  <c r="K19" i="11"/>
  <c r="K15" i="11"/>
  <c r="K38" i="11" l="1"/>
  <c r="G134" i="85"/>
  <c r="G134" i="80"/>
  <c r="G135" i="85" l="1"/>
  <c r="G135" i="80"/>
  <c r="T4" i="17"/>
  <c r="G136" i="85" l="1"/>
  <c r="G136" i="80"/>
  <c r="T5" i="17"/>
  <c r="B19" i="17"/>
  <c r="K10" i="11"/>
  <c r="B162" i="80"/>
  <c r="K4" i="11" s="1"/>
  <c r="G137" i="85" l="1"/>
  <c r="T6" i="17"/>
  <c r="G137" i="80"/>
  <c r="G138" i="85" l="1"/>
  <c r="G138" i="80"/>
  <c r="T7" i="17"/>
  <c r="B12" i="17"/>
  <c r="H21" i="9" l="1"/>
  <c r="G139" i="85"/>
  <c r="T8" i="17"/>
  <c r="G139" i="80"/>
  <c r="F12" i="9"/>
  <c r="G140" i="85" l="1"/>
  <c r="T9" i="17"/>
  <c r="G140" i="80"/>
  <c r="B31" i="18"/>
  <c r="C25" i="18"/>
  <c r="B25" i="18"/>
  <c r="B24" i="18"/>
  <c r="F12" i="17"/>
  <c r="E12" i="17"/>
  <c r="D12" i="17"/>
  <c r="B11" i="17"/>
  <c r="N12" i="9"/>
  <c r="B27" i="17" l="1"/>
  <c r="H12" i="17"/>
  <c r="G141" i="85"/>
  <c r="G141" i="80"/>
  <c r="T10" i="17"/>
  <c r="J21" i="9"/>
  <c r="I21" i="9"/>
  <c r="K21" i="9"/>
  <c r="L21" i="9"/>
  <c r="I12" i="17"/>
  <c r="R17" i="17" s="1"/>
  <c r="C123" i="80"/>
  <c r="D123" i="80"/>
  <c r="D3" i="85" s="1"/>
  <c r="C124" i="80"/>
  <c r="C4" i="85" s="1"/>
  <c r="D124" i="80"/>
  <c r="D4" i="85" s="1"/>
  <c r="D16" i="85" s="1"/>
  <c r="D28" i="85" s="1"/>
  <c r="D40" i="85" s="1"/>
  <c r="D52" i="85" s="1"/>
  <c r="D64" i="85" s="1"/>
  <c r="D76" i="85" s="1"/>
  <c r="D88" i="85" s="1"/>
  <c r="D100" i="85" s="1"/>
  <c r="D112" i="85" s="1"/>
  <c r="D124" i="85" s="1"/>
  <c r="D136" i="85" s="1"/>
  <c r="C125" i="80"/>
  <c r="D125" i="80"/>
  <c r="C126" i="80"/>
  <c r="D126" i="80"/>
  <c r="D6" i="85" s="1"/>
  <c r="D18" i="85" s="1"/>
  <c r="C127" i="80"/>
  <c r="C7" i="85" s="1"/>
  <c r="D127" i="80"/>
  <c r="D7" i="85" s="1"/>
  <c r="D19" i="85" s="1"/>
  <c r="C128" i="80"/>
  <c r="C8" i="85" s="1"/>
  <c r="D128" i="80"/>
  <c r="C129" i="80"/>
  <c r="D129" i="80"/>
  <c r="C130" i="80"/>
  <c r="C10" i="85" s="1"/>
  <c r="D130" i="80"/>
  <c r="D10" i="85" s="1"/>
  <c r="D22" i="85" s="1"/>
  <c r="D34" i="85" s="1"/>
  <c r="D46" i="85" s="1"/>
  <c r="D58" i="85" s="1"/>
  <c r="D70" i="85" s="1"/>
  <c r="D82" i="85" s="1"/>
  <c r="D94" i="85" s="1"/>
  <c r="D106" i="85" s="1"/>
  <c r="D118" i="85" s="1"/>
  <c r="D130" i="85" s="1"/>
  <c r="D142" i="85" s="1"/>
  <c r="C131" i="80"/>
  <c r="C11" i="85" s="1"/>
  <c r="D131" i="80"/>
  <c r="D11" i="85" s="1"/>
  <c r="D23" i="85" s="1"/>
  <c r="D35" i="85" s="1"/>
  <c r="D47" i="85" s="1"/>
  <c r="D59" i="85" s="1"/>
  <c r="D71" i="85" s="1"/>
  <c r="D83" i="85" s="1"/>
  <c r="D95" i="85" s="1"/>
  <c r="D107" i="85" s="1"/>
  <c r="D119" i="85" s="1"/>
  <c r="D131" i="85" s="1"/>
  <c r="D143" i="85" s="1"/>
  <c r="C132" i="80"/>
  <c r="D132" i="80"/>
  <c r="C133" i="80"/>
  <c r="C13" i="85" s="1"/>
  <c r="C25" i="85" s="1"/>
  <c r="D133" i="80"/>
  <c r="C134" i="80"/>
  <c r="D134" i="80"/>
  <c r="D14" i="85" s="1"/>
  <c r="H3" i="80"/>
  <c r="H4" i="80"/>
  <c r="I4" i="80" s="1"/>
  <c r="J4" i="80" s="1"/>
  <c r="K4" i="80" s="1"/>
  <c r="H5" i="80"/>
  <c r="I5" i="80" s="1"/>
  <c r="J5" i="80" s="1"/>
  <c r="K5" i="80" s="1"/>
  <c r="H6" i="80"/>
  <c r="I6" i="80" s="1"/>
  <c r="L6" i="80" s="1"/>
  <c r="H7" i="80"/>
  <c r="I7" i="80" s="1"/>
  <c r="H8" i="80"/>
  <c r="I8" i="80" s="1"/>
  <c r="H9" i="80"/>
  <c r="I9" i="80" s="1"/>
  <c r="H10" i="80"/>
  <c r="I10" i="80" s="1"/>
  <c r="H11" i="80"/>
  <c r="I11" i="80" s="1"/>
  <c r="H12" i="80"/>
  <c r="I12" i="80" s="1"/>
  <c r="H13" i="80"/>
  <c r="I13" i="80" s="1"/>
  <c r="H14" i="80"/>
  <c r="I14" i="80" s="1"/>
  <c r="H15" i="80"/>
  <c r="I15" i="80" s="1"/>
  <c r="J15" i="80" s="1"/>
  <c r="K15" i="80" s="1"/>
  <c r="H16" i="80"/>
  <c r="I16" i="80" s="1"/>
  <c r="J16" i="80" s="1"/>
  <c r="K16" i="80" s="1"/>
  <c r="H17" i="80"/>
  <c r="I17" i="80" s="1"/>
  <c r="L17" i="80" s="1"/>
  <c r="H18" i="80"/>
  <c r="I18" i="80" s="1"/>
  <c r="J18" i="80" s="1"/>
  <c r="K18" i="80" s="1"/>
  <c r="H19" i="80"/>
  <c r="I19" i="80" s="1"/>
  <c r="J19" i="80" s="1"/>
  <c r="K19" i="80" s="1"/>
  <c r="H20" i="80"/>
  <c r="I20" i="80" s="1"/>
  <c r="J20" i="80" s="1"/>
  <c r="K20" i="80" s="1"/>
  <c r="H21" i="80"/>
  <c r="I21" i="80" s="1"/>
  <c r="H22" i="80"/>
  <c r="I22" i="80" s="1"/>
  <c r="J22" i="80" s="1"/>
  <c r="K22" i="80" s="1"/>
  <c r="H23" i="80"/>
  <c r="I23" i="80" s="1"/>
  <c r="H24" i="80"/>
  <c r="H25" i="80"/>
  <c r="I25" i="80" s="1"/>
  <c r="H26" i="80"/>
  <c r="I26" i="80" s="1"/>
  <c r="J26" i="80" s="1"/>
  <c r="K26" i="80" s="1"/>
  <c r="H27" i="80"/>
  <c r="I27" i="80" s="1"/>
  <c r="J27" i="80" s="1"/>
  <c r="K27" i="80" s="1"/>
  <c r="H28" i="80"/>
  <c r="I28" i="80" s="1"/>
  <c r="H29" i="80"/>
  <c r="I29" i="80" s="1"/>
  <c r="H30" i="80"/>
  <c r="I30" i="80" s="1"/>
  <c r="H31" i="80"/>
  <c r="I31" i="80" s="1"/>
  <c r="J31" i="80" s="1"/>
  <c r="K31" i="80" s="1"/>
  <c r="H32" i="80"/>
  <c r="I32" i="80" s="1"/>
  <c r="H33" i="80"/>
  <c r="I33" i="80" s="1"/>
  <c r="J33" i="80" s="1"/>
  <c r="K33" i="80" s="1"/>
  <c r="H34" i="80"/>
  <c r="I34" i="80" s="1"/>
  <c r="J34" i="80" s="1"/>
  <c r="K34" i="80" s="1"/>
  <c r="H35" i="80"/>
  <c r="I35" i="80" s="1"/>
  <c r="J35" i="80" s="1"/>
  <c r="K35" i="80" s="1"/>
  <c r="H36" i="80"/>
  <c r="I36" i="80" s="1"/>
  <c r="J36" i="80" s="1"/>
  <c r="K36" i="80" s="1"/>
  <c r="H37" i="80"/>
  <c r="I37" i="80" s="1"/>
  <c r="J37" i="80" s="1"/>
  <c r="K37" i="80" s="1"/>
  <c r="H38" i="80"/>
  <c r="I38" i="80" s="1"/>
  <c r="J38" i="80" s="1"/>
  <c r="K38" i="80" s="1"/>
  <c r="H39" i="80"/>
  <c r="H40" i="80"/>
  <c r="I40" i="80" s="1"/>
  <c r="H41" i="80"/>
  <c r="I41" i="80" s="1"/>
  <c r="J41" i="80" s="1"/>
  <c r="K41" i="80" s="1"/>
  <c r="H42" i="80"/>
  <c r="I42" i="80" s="1"/>
  <c r="H43" i="80"/>
  <c r="I43" i="80" s="1"/>
  <c r="H44" i="80"/>
  <c r="I44" i="80" s="1"/>
  <c r="H45" i="80"/>
  <c r="I45" i="80" s="1"/>
  <c r="H46" i="80"/>
  <c r="I46" i="80" s="1"/>
  <c r="L46" i="80" s="1"/>
  <c r="H47" i="80"/>
  <c r="I47" i="80" s="1"/>
  <c r="H48" i="80"/>
  <c r="I48" i="80" s="1"/>
  <c r="H49" i="80"/>
  <c r="I49" i="80" s="1"/>
  <c r="H50" i="80"/>
  <c r="I50" i="80" s="1"/>
  <c r="H51" i="80"/>
  <c r="H52" i="80"/>
  <c r="I52" i="80" s="1"/>
  <c r="J52" i="80" s="1"/>
  <c r="K52" i="80" s="1"/>
  <c r="H53" i="80"/>
  <c r="I53" i="80" s="1"/>
  <c r="H54" i="80"/>
  <c r="I54" i="80" s="1"/>
  <c r="H55" i="80"/>
  <c r="I55" i="80" s="1"/>
  <c r="H56" i="80"/>
  <c r="I56" i="80" s="1"/>
  <c r="H57" i="80"/>
  <c r="I57" i="80" s="1"/>
  <c r="H58" i="80"/>
  <c r="I58" i="80" s="1"/>
  <c r="H59" i="80"/>
  <c r="I59" i="80" s="1"/>
  <c r="H60" i="80"/>
  <c r="I60" i="80" s="1"/>
  <c r="J60" i="80" s="1"/>
  <c r="K60" i="80" s="1"/>
  <c r="H61" i="80"/>
  <c r="I61" i="80" s="1"/>
  <c r="H62" i="80"/>
  <c r="I62" i="80" s="1"/>
  <c r="M63" i="80" s="1"/>
  <c r="N63" i="80" s="1"/>
  <c r="C136" i="80"/>
  <c r="D138" i="80"/>
  <c r="D139" i="80"/>
  <c r="C140" i="80"/>
  <c r="B153" i="80"/>
  <c r="B154" i="80"/>
  <c r="B155" i="80"/>
  <c r="B5" i="9" s="1"/>
  <c r="B156" i="80"/>
  <c r="B157" i="80"/>
  <c r="B7" i="9" s="1"/>
  <c r="B158" i="80"/>
  <c r="B8" i="9" s="1"/>
  <c r="B159" i="80"/>
  <c r="B160" i="80"/>
  <c r="B161" i="80"/>
  <c r="D11" i="17"/>
  <c r="J22" i="11" s="1"/>
  <c r="D19" i="17"/>
  <c r="D20" i="17"/>
  <c r="D21" i="17"/>
  <c r="D22" i="17"/>
  <c r="D8" i="17"/>
  <c r="I3" i="17"/>
  <c r="I4" i="17"/>
  <c r="I5" i="17"/>
  <c r="I6" i="17"/>
  <c r="I7" i="17"/>
  <c r="B8" i="17"/>
  <c r="C8" i="17"/>
  <c r="E8" i="17"/>
  <c r="B9" i="17"/>
  <c r="H9" i="17" s="1"/>
  <c r="C9" i="17"/>
  <c r="H18" i="11" s="1"/>
  <c r="D9" i="17"/>
  <c r="H22" i="11" s="1"/>
  <c r="E9" i="17"/>
  <c r="B10" i="17"/>
  <c r="C10" i="17"/>
  <c r="I18" i="11" s="1"/>
  <c r="D10" i="17"/>
  <c r="I22" i="11" s="1"/>
  <c r="E10" i="17"/>
  <c r="C11" i="17"/>
  <c r="C27" i="17" s="1"/>
  <c r="E11" i="17"/>
  <c r="E27" i="17" s="1"/>
  <c r="B20" i="17"/>
  <c r="B21" i="17"/>
  <c r="B22" i="17"/>
  <c r="C19" i="17"/>
  <c r="C20" i="17"/>
  <c r="C21" i="17"/>
  <c r="C22" i="17"/>
  <c r="E19" i="17"/>
  <c r="E20" i="17"/>
  <c r="E21" i="17"/>
  <c r="E22" i="17"/>
  <c r="F11" i="17"/>
  <c r="F19" i="17"/>
  <c r="F20" i="17"/>
  <c r="F21" i="17"/>
  <c r="F22" i="17"/>
  <c r="F8" i="17"/>
  <c r="C14" i="11"/>
  <c r="C18" i="11"/>
  <c r="C22" i="11"/>
  <c r="C27" i="11"/>
  <c r="C31" i="11"/>
  <c r="D14" i="11"/>
  <c r="D18" i="11"/>
  <c r="D22" i="11"/>
  <c r="D27" i="11"/>
  <c r="D31" i="11"/>
  <c r="E14" i="11"/>
  <c r="E18" i="11"/>
  <c r="E22" i="11"/>
  <c r="E27" i="11"/>
  <c r="E31" i="11"/>
  <c r="F14" i="11"/>
  <c r="F18" i="11"/>
  <c r="F22" i="11"/>
  <c r="F27" i="11"/>
  <c r="F31" i="11"/>
  <c r="C15" i="11"/>
  <c r="C19" i="11"/>
  <c r="C23" i="11"/>
  <c r="C28" i="11"/>
  <c r="C32" i="11"/>
  <c r="D15" i="11"/>
  <c r="D19" i="11"/>
  <c r="D23" i="11"/>
  <c r="D28" i="11"/>
  <c r="D32" i="11"/>
  <c r="E15" i="11"/>
  <c r="E19" i="11"/>
  <c r="E23" i="11"/>
  <c r="E28" i="11"/>
  <c r="E32" i="11"/>
  <c r="C24" i="11"/>
  <c r="C33" i="11"/>
  <c r="D24" i="11"/>
  <c r="D33" i="11"/>
  <c r="E24" i="11"/>
  <c r="E33" i="11"/>
  <c r="D2" i="18"/>
  <c r="B43" i="11" s="1"/>
  <c r="D3" i="18"/>
  <c r="C43" i="11" s="1"/>
  <c r="D4" i="18"/>
  <c r="D43" i="11" s="1"/>
  <c r="D5" i="18"/>
  <c r="D6" i="18"/>
  <c r="F43" i="11" s="1"/>
  <c r="D7" i="18"/>
  <c r="D8" i="18"/>
  <c r="H43" i="11" s="1"/>
  <c r="B24" i="11"/>
  <c r="B33" i="11"/>
  <c r="B15" i="11"/>
  <c r="B19" i="11"/>
  <c r="B28" i="11"/>
  <c r="B32" i="11"/>
  <c r="B14" i="11"/>
  <c r="B18" i="11"/>
  <c r="B22" i="11"/>
  <c r="B27" i="11"/>
  <c r="B31" i="11"/>
  <c r="J33" i="11"/>
  <c r="I33" i="11"/>
  <c r="H33" i="11"/>
  <c r="F33" i="11"/>
  <c r="C16" i="18"/>
  <c r="C17" i="18"/>
  <c r="C18" i="18"/>
  <c r="C19" i="18"/>
  <c r="C20" i="18"/>
  <c r="C24" i="18"/>
  <c r="G49" i="11"/>
  <c r="A23" i="9"/>
  <c r="A28" i="9" s="1"/>
  <c r="A33" i="9" s="1"/>
  <c r="A37" i="9" s="1"/>
  <c r="A41" i="9" s="1"/>
  <c r="A22" i="9"/>
  <c r="A27" i="9" s="1"/>
  <c r="A32" i="9" s="1"/>
  <c r="A36" i="9" s="1"/>
  <c r="A40" i="9" s="1"/>
  <c r="C22" i="18"/>
  <c r="A13" i="18"/>
  <c r="C23" i="18"/>
  <c r="G33" i="11"/>
  <c r="C1" i="18"/>
  <c r="D10" i="18"/>
  <c r="J43" i="11" s="1"/>
  <c r="D9" i="18"/>
  <c r="I43" i="11" s="1"/>
  <c r="F10" i="17"/>
  <c r="F9" i="17"/>
  <c r="A39" i="17"/>
  <c r="C21" i="18"/>
  <c r="A12" i="18"/>
  <c r="A11" i="18"/>
  <c r="A25" i="18" s="1"/>
  <c r="A10" i="18"/>
  <c r="A24" i="18" s="1"/>
  <c r="A9" i="18"/>
  <c r="A23" i="18" s="1"/>
  <c r="A8" i="18"/>
  <c r="A22" i="18" s="1"/>
  <c r="A7" i="18"/>
  <c r="A21" i="18" s="1"/>
  <c r="A6" i="18"/>
  <c r="A20" i="18" s="1"/>
  <c r="A5" i="18"/>
  <c r="A19" i="18" s="1"/>
  <c r="A4" i="18"/>
  <c r="A18" i="18" s="1"/>
  <c r="A3" i="18"/>
  <c r="A17" i="18" s="1"/>
  <c r="A2" i="18"/>
  <c r="A16" i="18" s="1"/>
  <c r="A26" i="17"/>
  <c r="A25" i="17"/>
  <c r="A24" i="17"/>
  <c r="A23" i="17"/>
  <c r="A22" i="17"/>
  <c r="A21" i="17"/>
  <c r="A20" i="17"/>
  <c r="A19" i="17"/>
  <c r="F2" i="17"/>
  <c r="F38" i="17" s="1"/>
  <c r="E2" i="17"/>
  <c r="E38" i="17" s="1"/>
  <c r="D2" i="17"/>
  <c r="D38" i="17" s="1"/>
  <c r="C2" i="17"/>
  <c r="C38" i="17" s="1"/>
  <c r="B2" i="17"/>
  <c r="B38" i="17" s="1"/>
  <c r="G10" i="9"/>
  <c r="N10" i="9" s="1"/>
  <c r="G9" i="9"/>
  <c r="N9" i="9" s="1"/>
  <c r="G8" i="9"/>
  <c r="G42" i="11" s="1"/>
  <c r="G7" i="9"/>
  <c r="F42" i="11" s="1"/>
  <c r="G6" i="9"/>
  <c r="E10" i="11" s="1"/>
  <c r="G5" i="9"/>
  <c r="D10" i="11" s="1"/>
  <c r="G4" i="9"/>
  <c r="C42" i="11" s="1"/>
  <c r="G3" i="9"/>
  <c r="B42" i="11" s="1"/>
  <c r="G48" i="11"/>
  <c r="L47" i="11"/>
  <c r="L51" i="11" s="1"/>
  <c r="K47" i="11"/>
  <c r="K51" i="11" s="1"/>
  <c r="H47" i="11"/>
  <c r="H51" i="11" s="1"/>
  <c r="G47" i="11"/>
  <c r="L46" i="11"/>
  <c r="L50" i="11" s="1"/>
  <c r="K46" i="11"/>
  <c r="K50" i="11" s="1"/>
  <c r="H46" i="11"/>
  <c r="H50" i="11" s="1"/>
  <c r="L45" i="11"/>
  <c r="L49" i="11" s="1"/>
  <c r="K45" i="11"/>
  <c r="K49" i="11"/>
  <c r="H45" i="11"/>
  <c r="H49" i="11" s="1"/>
  <c r="J32" i="11"/>
  <c r="I32" i="11"/>
  <c r="H32" i="11"/>
  <c r="G32" i="11"/>
  <c r="F32" i="11"/>
  <c r="A30" i="11"/>
  <c r="J28" i="11"/>
  <c r="I28" i="11"/>
  <c r="H28" i="11"/>
  <c r="G28" i="11"/>
  <c r="F28" i="11"/>
  <c r="A26" i="11"/>
  <c r="J23" i="11"/>
  <c r="I23" i="11"/>
  <c r="H23" i="11"/>
  <c r="G23" i="11"/>
  <c r="F23" i="11"/>
  <c r="A21" i="11"/>
  <c r="J19" i="11"/>
  <c r="I19" i="11"/>
  <c r="H19" i="11"/>
  <c r="G19" i="11"/>
  <c r="F19" i="11"/>
  <c r="A17" i="11"/>
  <c r="J15" i="11"/>
  <c r="I15" i="11"/>
  <c r="H15" i="11"/>
  <c r="G15" i="11"/>
  <c r="F15" i="11"/>
  <c r="J14" i="11"/>
  <c r="A13" i="11"/>
  <c r="H42" i="11"/>
  <c r="H10" i="11"/>
  <c r="G11" i="9"/>
  <c r="N11" i="9" s="1"/>
  <c r="B23" i="18"/>
  <c r="G24" i="11"/>
  <c r="B20" i="18"/>
  <c r="F24" i="11"/>
  <c r="J24" i="11"/>
  <c r="B18" i="18"/>
  <c r="H24" i="11"/>
  <c r="B22" i="18"/>
  <c r="B17" i="18"/>
  <c r="I24" i="11"/>
  <c r="G4" i="17"/>
  <c r="C41" i="11" s="1"/>
  <c r="G7" i="17"/>
  <c r="F41" i="11" s="1"/>
  <c r="G5" i="17"/>
  <c r="D41" i="11" s="1"/>
  <c r="G6" i="17"/>
  <c r="E41" i="11" s="1"/>
  <c r="G3" i="17"/>
  <c r="B41" i="11" s="1"/>
  <c r="B19" i="18"/>
  <c r="B21" i="18"/>
  <c r="G43" i="11"/>
  <c r="B16" i="18"/>
  <c r="E43" i="11"/>
  <c r="K18" i="11"/>
  <c r="K27" i="11"/>
  <c r="K31" i="11"/>
  <c r="K14" i="11"/>
  <c r="G12" i="17"/>
  <c r="K41" i="11" s="1"/>
  <c r="K22" i="11"/>
  <c r="E35" i="17" l="1"/>
  <c r="B166" i="80"/>
  <c r="H8" i="17"/>
  <c r="C139" i="80"/>
  <c r="H11" i="17"/>
  <c r="I10" i="17"/>
  <c r="H10" i="17"/>
  <c r="B35" i="17"/>
  <c r="K22" i="9"/>
  <c r="I3" i="80"/>
  <c r="J3" i="80" s="1"/>
  <c r="K3" i="80" s="1"/>
  <c r="H153" i="80"/>
  <c r="C3" i="85"/>
  <c r="C15" i="85" s="1"/>
  <c r="D135" i="80"/>
  <c r="C135" i="80"/>
  <c r="D137" i="80"/>
  <c r="D5" i="85"/>
  <c r="D17" i="85" s="1"/>
  <c r="C144" i="80"/>
  <c r="C12" i="85"/>
  <c r="C137" i="80"/>
  <c r="C5" i="85"/>
  <c r="H4" i="85"/>
  <c r="I4" i="85" s="1"/>
  <c r="C16" i="85"/>
  <c r="D141" i="80"/>
  <c r="D9" i="85"/>
  <c r="D21" i="85" s="1"/>
  <c r="D33" i="85" s="1"/>
  <c r="D45" i="85" s="1"/>
  <c r="D57" i="85" s="1"/>
  <c r="D69" i="85" s="1"/>
  <c r="D81" i="85" s="1"/>
  <c r="D93" i="85" s="1"/>
  <c r="D105" i="85" s="1"/>
  <c r="D117" i="85" s="1"/>
  <c r="D129" i="85" s="1"/>
  <c r="D141" i="85" s="1"/>
  <c r="D142" i="80"/>
  <c r="C141" i="80"/>
  <c r="C9" i="85"/>
  <c r="C138" i="80"/>
  <c r="C6" i="85"/>
  <c r="C146" i="80"/>
  <c r="C14" i="85"/>
  <c r="C26" i="85" s="1"/>
  <c r="D140" i="80"/>
  <c r="D8" i="85"/>
  <c r="D20" i="85" s="1"/>
  <c r="D32" i="85" s="1"/>
  <c r="D44" i="85" s="1"/>
  <c r="D56" i="85" s="1"/>
  <c r="D68" i="85" s="1"/>
  <c r="D80" i="85" s="1"/>
  <c r="D92" i="85" s="1"/>
  <c r="D104" i="85" s="1"/>
  <c r="B10" i="11"/>
  <c r="D145" i="80"/>
  <c r="D13" i="85"/>
  <c r="C37" i="85"/>
  <c r="D144" i="80"/>
  <c r="D12" i="85"/>
  <c r="D24" i="85" s="1"/>
  <c r="D36" i="85" s="1"/>
  <c r="D48" i="85" s="1"/>
  <c r="D60" i="85" s="1"/>
  <c r="D72" i="85" s="1"/>
  <c r="D84" i="85" s="1"/>
  <c r="D96" i="85" s="1"/>
  <c r="D108" i="85" s="1"/>
  <c r="D120" i="85" s="1"/>
  <c r="D132" i="85" s="1"/>
  <c r="D144" i="85" s="1"/>
  <c r="C23" i="85"/>
  <c r="H11" i="85"/>
  <c r="I11" i="85" s="1"/>
  <c r="H8" i="85"/>
  <c r="I8" i="85" s="1"/>
  <c r="C20" i="85"/>
  <c r="H10" i="85"/>
  <c r="I10" i="85" s="1"/>
  <c r="C22" i="85"/>
  <c r="D31" i="85"/>
  <c r="D43" i="85" s="1"/>
  <c r="G142" i="85"/>
  <c r="T11" i="17"/>
  <c r="G142" i="80"/>
  <c r="C39" i="11"/>
  <c r="H3" i="85"/>
  <c r="D15" i="85"/>
  <c r="D27" i="85" s="1"/>
  <c r="D39" i="85" s="1"/>
  <c r="D51" i="85" s="1"/>
  <c r="D63" i="85" s="1"/>
  <c r="D75" i="85" s="1"/>
  <c r="D87" i="85" s="1"/>
  <c r="D99" i="85" s="1"/>
  <c r="D111" i="85" s="1"/>
  <c r="D123" i="85" s="1"/>
  <c r="D135" i="85" s="1"/>
  <c r="C19" i="85"/>
  <c r="C31" i="85" s="1"/>
  <c r="H7" i="85"/>
  <c r="I7" i="85" s="1"/>
  <c r="D26" i="85"/>
  <c r="D38" i="85" s="1"/>
  <c r="D50" i="85" s="1"/>
  <c r="D62" i="85" s="1"/>
  <c r="D74" i="85" s="1"/>
  <c r="D86" i="85" s="1"/>
  <c r="D98" i="85" s="1"/>
  <c r="D110" i="85" s="1"/>
  <c r="D122" i="85" s="1"/>
  <c r="D134" i="85" s="1"/>
  <c r="D146" i="85" s="1"/>
  <c r="D136" i="80"/>
  <c r="D30" i="85"/>
  <c r="H27" i="11"/>
  <c r="E23" i="17"/>
  <c r="E33" i="17" s="1"/>
  <c r="J31" i="11"/>
  <c r="I27" i="11"/>
  <c r="H31" i="11"/>
  <c r="D39" i="11"/>
  <c r="D56" i="11" s="1"/>
  <c r="D38" i="11"/>
  <c r="J42" i="11"/>
  <c r="I35" i="9"/>
  <c r="J10" i="11"/>
  <c r="E38" i="11"/>
  <c r="I10" i="11"/>
  <c r="J38" i="11"/>
  <c r="I39" i="11"/>
  <c r="I56" i="11" s="1"/>
  <c r="F38" i="11"/>
  <c r="F55" i="11" s="1"/>
  <c r="F39" i="11"/>
  <c r="F56" i="11" s="1"/>
  <c r="C29" i="18"/>
  <c r="C38" i="11"/>
  <c r="C55" i="11" s="1"/>
  <c r="H38" i="11"/>
  <c r="H55" i="11" s="1"/>
  <c r="B29" i="18"/>
  <c r="B27" i="18" s="1"/>
  <c r="N7" i="9"/>
  <c r="B38" i="11"/>
  <c r="B55" i="11" s="1"/>
  <c r="I42" i="11"/>
  <c r="I38" i="11"/>
  <c r="B39" i="11"/>
  <c r="B56" i="11" s="1"/>
  <c r="N8" i="9"/>
  <c r="J39" i="11"/>
  <c r="J56" i="11" s="1"/>
  <c r="F24" i="17"/>
  <c r="I31" i="11"/>
  <c r="F25" i="17"/>
  <c r="P17" i="17"/>
  <c r="G4" i="11"/>
  <c r="B11" i="9"/>
  <c r="J4" i="11"/>
  <c r="C162" i="80"/>
  <c r="B10" i="9"/>
  <c r="I4" i="11"/>
  <c r="B24" i="17"/>
  <c r="C156" i="80"/>
  <c r="E4" i="11"/>
  <c r="D4" i="11"/>
  <c r="B4" i="9"/>
  <c r="C4" i="11"/>
  <c r="B9" i="9"/>
  <c r="F9" i="9" s="1"/>
  <c r="H4" i="11"/>
  <c r="F4" i="11"/>
  <c r="B3" i="9"/>
  <c r="B4" i="11"/>
  <c r="E39" i="11"/>
  <c r="E56" i="11" s="1"/>
  <c r="I14" i="11"/>
  <c r="I22" i="9"/>
  <c r="G14" i="11"/>
  <c r="C155" i="80"/>
  <c r="D23" i="17"/>
  <c r="D35" i="17" s="1"/>
  <c r="D31" i="17" s="1"/>
  <c r="C154" i="80"/>
  <c r="J18" i="11"/>
  <c r="C23" i="17"/>
  <c r="C35" i="17" s="1"/>
  <c r="G18" i="11"/>
  <c r="F23" i="17"/>
  <c r="F35" i="17" s="1"/>
  <c r="G8" i="17"/>
  <c r="G41" i="11" s="1"/>
  <c r="C158" i="80"/>
  <c r="G9" i="17"/>
  <c r="H41" i="11" s="1"/>
  <c r="J27" i="11"/>
  <c r="H14" i="11"/>
  <c r="G27" i="11"/>
  <c r="C24" i="17"/>
  <c r="G10" i="17"/>
  <c r="I41" i="11" s="1"/>
  <c r="I9" i="17"/>
  <c r="O17" i="17" s="1"/>
  <c r="E24" i="17"/>
  <c r="B25" i="17"/>
  <c r="C25" i="17"/>
  <c r="E25" i="17"/>
  <c r="F27" i="17"/>
  <c r="G11" i="17"/>
  <c r="J41" i="11" s="1"/>
  <c r="B26" i="17"/>
  <c r="B23" i="17"/>
  <c r="B33" i="17" s="1"/>
  <c r="I8" i="17"/>
  <c r="D27" i="17"/>
  <c r="D25" i="17"/>
  <c r="C26" i="17"/>
  <c r="D24" i="17"/>
  <c r="E26" i="17"/>
  <c r="C37" i="11"/>
  <c r="C54" i="11" s="1"/>
  <c r="C161" i="80"/>
  <c r="D37" i="11"/>
  <c r="D54" i="11" s="1"/>
  <c r="G22" i="11"/>
  <c r="G31" i="11"/>
  <c r="D26" i="17"/>
  <c r="B1" i="18"/>
  <c r="I11" i="17"/>
  <c r="Q17" i="17" s="1"/>
  <c r="F26" i="17"/>
  <c r="C157" i="80"/>
  <c r="B6" i="9"/>
  <c r="H22" i="9"/>
  <c r="H23" i="9" s="1"/>
  <c r="G39" i="11"/>
  <c r="G56" i="11" s="1"/>
  <c r="G50" i="11"/>
  <c r="G10" i="11"/>
  <c r="D42" i="11"/>
  <c r="F37" i="11"/>
  <c r="F54" i="11" s="1"/>
  <c r="F10" i="11"/>
  <c r="B37" i="11"/>
  <c r="E37" i="11"/>
  <c r="E42" i="11"/>
  <c r="E55" i="11" s="1"/>
  <c r="C10" i="11"/>
  <c r="G52" i="11"/>
  <c r="G38" i="11"/>
  <c r="G55" i="11" s="1"/>
  <c r="G51" i="11"/>
  <c r="F5" i="9"/>
  <c r="C159" i="80"/>
  <c r="C160" i="80"/>
  <c r="F7" i="9"/>
  <c r="C142" i="80"/>
  <c r="H155" i="80"/>
  <c r="H157" i="80"/>
  <c r="H154" i="80"/>
  <c r="H156" i="80"/>
  <c r="J59" i="80"/>
  <c r="K59" i="80" s="1"/>
  <c r="L59" i="80"/>
  <c r="L34" i="80"/>
  <c r="I39" i="80"/>
  <c r="M39" i="80" s="1"/>
  <c r="N39" i="80" s="1"/>
  <c r="L50" i="80"/>
  <c r="J50" i="80"/>
  <c r="K50" i="80" s="1"/>
  <c r="J32" i="80"/>
  <c r="K32" i="80" s="1"/>
  <c r="L32" i="80"/>
  <c r="M32" i="80"/>
  <c r="N32" i="80" s="1"/>
  <c r="J21" i="80"/>
  <c r="K21" i="80" s="1"/>
  <c r="L21" i="80"/>
  <c r="M21" i="80"/>
  <c r="N21" i="80" s="1"/>
  <c r="M23" i="80"/>
  <c r="N23" i="80" s="1"/>
  <c r="J23" i="80"/>
  <c r="K23" i="80" s="1"/>
  <c r="L23" i="80"/>
  <c r="L25" i="80"/>
  <c r="M38" i="80"/>
  <c r="N38" i="80" s="1"/>
  <c r="L33" i="80"/>
  <c r="L38" i="80"/>
  <c r="L31" i="80"/>
  <c r="M33" i="80"/>
  <c r="N33" i="80" s="1"/>
  <c r="M34" i="80"/>
  <c r="N34" i="80" s="1"/>
  <c r="I24" i="80"/>
  <c r="J24" i="80" s="1"/>
  <c r="K24" i="80" s="1"/>
  <c r="L15" i="80"/>
  <c r="M36" i="80"/>
  <c r="N36" i="80" s="1"/>
  <c r="I51" i="80"/>
  <c r="M52" i="80" s="1"/>
  <c r="N52" i="80" s="1"/>
  <c r="L52" i="80"/>
  <c r="L36" i="80"/>
  <c r="J48" i="80"/>
  <c r="K48" i="80" s="1"/>
  <c r="L48" i="80"/>
  <c r="M48" i="80"/>
  <c r="N48" i="80" s="1"/>
  <c r="L28" i="80"/>
  <c r="J28" i="80"/>
  <c r="K28" i="80" s="1"/>
  <c r="M28" i="80"/>
  <c r="N28" i="80" s="1"/>
  <c r="M13" i="80"/>
  <c r="N13" i="80" s="1"/>
  <c r="J13" i="80"/>
  <c r="K13" i="80" s="1"/>
  <c r="L13" i="80"/>
  <c r="J30" i="80"/>
  <c r="K30" i="80" s="1"/>
  <c r="L30" i="80"/>
  <c r="M31" i="80"/>
  <c r="N31" i="80" s="1"/>
  <c r="M30" i="80"/>
  <c r="N30" i="80" s="1"/>
  <c r="L29" i="80"/>
  <c r="M29" i="80"/>
  <c r="N29" i="80" s="1"/>
  <c r="J29" i="80"/>
  <c r="K29" i="80" s="1"/>
  <c r="M15" i="80"/>
  <c r="N15" i="80" s="1"/>
  <c r="L14" i="80"/>
  <c r="J14" i="80"/>
  <c r="K14" i="80" s="1"/>
  <c r="M14" i="80"/>
  <c r="N14" i="80" s="1"/>
  <c r="J47" i="80"/>
  <c r="K47" i="80" s="1"/>
  <c r="M47" i="80"/>
  <c r="N47" i="80" s="1"/>
  <c r="L47" i="80"/>
  <c r="L12" i="80"/>
  <c r="M12" i="80"/>
  <c r="N12" i="80" s="1"/>
  <c r="J12" i="80"/>
  <c r="K12" i="80" s="1"/>
  <c r="J46" i="80"/>
  <c r="K46" i="80" s="1"/>
  <c r="M46" i="80"/>
  <c r="N46" i="80" s="1"/>
  <c r="J11" i="80"/>
  <c r="K11" i="80" s="1"/>
  <c r="L11" i="80"/>
  <c r="M11" i="80"/>
  <c r="N11" i="80" s="1"/>
  <c r="M45" i="80"/>
  <c r="N45" i="80" s="1"/>
  <c r="J45" i="80"/>
  <c r="K45" i="80" s="1"/>
  <c r="L45" i="80"/>
  <c r="M10" i="80"/>
  <c r="N10" i="80" s="1"/>
  <c r="J10" i="80"/>
  <c r="K10" i="80" s="1"/>
  <c r="L10" i="80"/>
  <c r="J62" i="80"/>
  <c r="K62" i="80" s="1"/>
  <c r="L62" i="80"/>
  <c r="M62" i="80"/>
  <c r="N62" i="80" s="1"/>
  <c r="L40" i="80"/>
  <c r="J40" i="80"/>
  <c r="K40" i="80" s="1"/>
  <c r="J61" i="80"/>
  <c r="K61" i="80" s="1"/>
  <c r="M61" i="80"/>
  <c r="N61" i="80" s="1"/>
  <c r="L61" i="80"/>
  <c r="M59" i="80"/>
  <c r="N59" i="80" s="1"/>
  <c r="J58" i="80"/>
  <c r="K58" i="80" s="1"/>
  <c r="L58" i="80"/>
  <c r="M58" i="80"/>
  <c r="N58" i="80" s="1"/>
  <c r="J9" i="80"/>
  <c r="K9" i="80" s="1"/>
  <c r="M9" i="80"/>
  <c r="N9" i="80" s="1"/>
  <c r="L9" i="80"/>
  <c r="J57" i="80"/>
  <c r="K57" i="80" s="1"/>
  <c r="M57" i="80"/>
  <c r="N57" i="80" s="1"/>
  <c r="L57" i="80"/>
  <c r="J44" i="80"/>
  <c r="K44" i="80" s="1"/>
  <c r="M44" i="80"/>
  <c r="N44" i="80" s="1"/>
  <c r="L44" i="80"/>
  <c r="J43" i="80"/>
  <c r="K43" i="80" s="1"/>
  <c r="M43" i="80"/>
  <c r="N43" i="80" s="1"/>
  <c r="L43" i="80"/>
  <c r="M42" i="80"/>
  <c r="N42" i="80" s="1"/>
  <c r="L42" i="80"/>
  <c r="J42" i="80"/>
  <c r="K42" i="80" s="1"/>
  <c r="J56" i="80"/>
  <c r="K56" i="80" s="1"/>
  <c r="L56" i="80"/>
  <c r="M56" i="80"/>
  <c r="N56" i="80" s="1"/>
  <c r="J7" i="80"/>
  <c r="K7" i="80" s="1"/>
  <c r="L7" i="80"/>
  <c r="M7" i="80"/>
  <c r="N7" i="80" s="1"/>
  <c r="M55" i="80"/>
  <c r="N55" i="80" s="1"/>
  <c r="L55" i="80"/>
  <c r="J55" i="80"/>
  <c r="K55" i="80" s="1"/>
  <c r="M49" i="80"/>
  <c r="N49" i="80" s="1"/>
  <c r="J54" i="80"/>
  <c r="K54" i="80" s="1"/>
  <c r="L54" i="80"/>
  <c r="M54" i="80"/>
  <c r="N54" i="80" s="1"/>
  <c r="L8" i="80"/>
  <c r="J8" i="80"/>
  <c r="K8" i="80" s="1"/>
  <c r="M8" i="80"/>
  <c r="N8" i="80" s="1"/>
  <c r="M41" i="80"/>
  <c r="N41" i="80" s="1"/>
  <c r="J53" i="80"/>
  <c r="K53" i="80" s="1"/>
  <c r="L53" i="80"/>
  <c r="M53" i="80"/>
  <c r="N53" i="80" s="1"/>
  <c r="L3" i="80"/>
  <c r="J25" i="80"/>
  <c r="K25" i="80" s="1"/>
  <c r="J49" i="80"/>
  <c r="K49" i="80" s="1"/>
  <c r="M50" i="80"/>
  <c r="N50" i="80" s="1"/>
  <c r="M17" i="80"/>
  <c r="N17" i="80" s="1"/>
  <c r="L49" i="80"/>
  <c r="J6" i="80"/>
  <c r="K6" i="80" s="1"/>
  <c r="L18" i="80"/>
  <c r="L60" i="80"/>
  <c r="J17" i="80"/>
  <c r="K17" i="80" s="1"/>
  <c r="M6" i="80"/>
  <c r="N6" i="80" s="1"/>
  <c r="M60" i="80"/>
  <c r="N60" i="80" s="1"/>
  <c r="M4" i="80"/>
  <c r="N4" i="80" s="1"/>
  <c r="M27" i="80"/>
  <c r="N27" i="80" s="1"/>
  <c r="M18" i="80"/>
  <c r="N18" i="80" s="1"/>
  <c r="L4" i="80"/>
  <c r="M16" i="80"/>
  <c r="N16" i="80" s="1"/>
  <c r="L27" i="80"/>
  <c r="L20" i="80"/>
  <c r="L22" i="80"/>
  <c r="L5" i="80"/>
  <c r="M5" i="80"/>
  <c r="N5" i="80" s="1"/>
  <c r="L16" i="80"/>
  <c r="M19" i="80"/>
  <c r="N19" i="80" s="1"/>
  <c r="M35" i="80"/>
  <c r="N35" i="80" s="1"/>
  <c r="M37" i="80"/>
  <c r="N37" i="80" s="1"/>
  <c r="M26" i="80"/>
  <c r="N26" i="80" s="1"/>
  <c r="L19" i="80"/>
  <c r="M20" i="80"/>
  <c r="N20" i="80" s="1"/>
  <c r="M22" i="80"/>
  <c r="N22" i="80" s="1"/>
  <c r="L35" i="80"/>
  <c r="L37" i="80"/>
  <c r="L26" i="80"/>
  <c r="L41" i="80"/>
  <c r="F8" i="9"/>
  <c r="C56" i="11"/>
  <c r="H39" i="11"/>
  <c r="H56" i="11" s="1"/>
  <c r="K37" i="11"/>
  <c r="D146" i="80"/>
  <c r="C143" i="80"/>
  <c r="D143" i="80"/>
  <c r="C145" i="80"/>
  <c r="D55" i="11" l="1"/>
  <c r="H19" i="85"/>
  <c r="I19" i="85" s="1"/>
  <c r="E31" i="17"/>
  <c r="J55" i="11"/>
  <c r="I23" i="9"/>
  <c r="C33" i="17"/>
  <c r="C27" i="85"/>
  <c r="H27" i="85" s="1"/>
  <c r="H15" i="85"/>
  <c r="D55" i="85"/>
  <c r="D67" i="85" s="1"/>
  <c r="H26" i="85"/>
  <c r="I26" i="85" s="1"/>
  <c r="C38" i="85"/>
  <c r="L10" i="85"/>
  <c r="J10" i="85"/>
  <c r="K10" i="85" s="1"/>
  <c r="H14" i="85"/>
  <c r="I14" i="85" s="1"/>
  <c r="C49" i="85"/>
  <c r="H16" i="85"/>
  <c r="I16" i="85" s="1"/>
  <c r="C28" i="85"/>
  <c r="C21" i="85"/>
  <c r="H9" i="85"/>
  <c r="I9" i="85" s="1"/>
  <c r="H31" i="85"/>
  <c r="I31" i="85" s="1"/>
  <c r="C43" i="85"/>
  <c r="C55" i="85" s="1"/>
  <c r="H13" i="85"/>
  <c r="I13" i="85" s="1"/>
  <c r="D25" i="85"/>
  <c r="C17" i="85"/>
  <c r="C29" i="85" s="1"/>
  <c r="H5" i="85"/>
  <c r="I5" i="85" s="1"/>
  <c r="J11" i="85"/>
  <c r="K11" i="85" s="1"/>
  <c r="L11" i="85"/>
  <c r="M11" i="85"/>
  <c r="N11" i="85" s="1"/>
  <c r="L7" i="85"/>
  <c r="J7" i="85"/>
  <c r="K7" i="85" s="1"/>
  <c r="I3" i="85"/>
  <c r="M4" i="85" s="1"/>
  <c r="N4" i="85" s="1"/>
  <c r="H12" i="85"/>
  <c r="I12" i="85" s="1"/>
  <c r="C24" i="85"/>
  <c r="J19" i="85"/>
  <c r="K19" i="85" s="1"/>
  <c r="L19" i="85"/>
  <c r="H22" i="85"/>
  <c r="I22" i="85" s="1"/>
  <c r="C34" i="85"/>
  <c r="D116" i="85"/>
  <c r="D128" i="85" s="1"/>
  <c r="D140" i="85" s="1"/>
  <c r="C18" i="85"/>
  <c r="H6" i="85"/>
  <c r="I6" i="85" s="1"/>
  <c r="M7" i="85" s="1"/>
  <c r="N7" i="85" s="1"/>
  <c r="J8" i="85"/>
  <c r="K8" i="85" s="1"/>
  <c r="L8" i="85"/>
  <c r="M8" i="85"/>
  <c r="N8" i="85" s="1"/>
  <c r="D42" i="85"/>
  <c r="C35" i="85"/>
  <c r="H23" i="85"/>
  <c r="I23" i="85" s="1"/>
  <c r="I15" i="85"/>
  <c r="L4" i="85"/>
  <c r="J4" i="85"/>
  <c r="K4" i="85" s="1"/>
  <c r="H17" i="85"/>
  <c r="I17" i="85" s="1"/>
  <c r="D29" i="85"/>
  <c r="D41" i="85" s="1"/>
  <c r="D53" i="85" s="1"/>
  <c r="D65" i="85" s="1"/>
  <c r="D77" i="85" s="1"/>
  <c r="D89" i="85" s="1"/>
  <c r="D101" i="85" s="1"/>
  <c r="D113" i="85" s="1"/>
  <c r="D125" i="85" s="1"/>
  <c r="D137" i="85" s="1"/>
  <c r="H20" i="85"/>
  <c r="I20" i="85" s="1"/>
  <c r="C32" i="85"/>
  <c r="G143" i="85"/>
  <c r="T12" i="17"/>
  <c r="G143" i="80"/>
  <c r="N17" i="17"/>
  <c r="B31" i="17"/>
  <c r="G65" i="80"/>
  <c r="F31" i="17"/>
  <c r="F33" i="17"/>
  <c r="C31" i="17"/>
  <c r="C13" i="17" s="1"/>
  <c r="I55" i="11"/>
  <c r="C27" i="18"/>
  <c r="J39" i="80"/>
  <c r="K39" i="80" s="1"/>
  <c r="L39" i="80"/>
  <c r="F11" i="9"/>
  <c r="I37" i="11"/>
  <c r="F4" i="9"/>
  <c r="F3" i="9"/>
  <c r="I153" i="80"/>
  <c r="J153" i="80" s="1"/>
  <c r="K153" i="80" s="1"/>
  <c r="B5" i="11"/>
  <c r="B6" i="11" s="1"/>
  <c r="F10" i="9"/>
  <c r="C6" i="9"/>
  <c r="I156" i="80"/>
  <c r="J156" i="80" s="1"/>
  <c r="K156" i="80" s="1"/>
  <c r="E5" i="11"/>
  <c r="C4" i="9"/>
  <c r="D4" i="9" s="1"/>
  <c r="E4" i="9" s="1"/>
  <c r="C5" i="11"/>
  <c r="C6" i="11" s="1"/>
  <c r="I154" i="80"/>
  <c r="J154" i="80" s="1"/>
  <c r="K154" i="80" s="1"/>
  <c r="C7" i="9"/>
  <c r="D7" i="9" s="1"/>
  <c r="E7" i="9" s="1"/>
  <c r="I157" i="80"/>
  <c r="J157" i="80" s="1"/>
  <c r="K157" i="80" s="1"/>
  <c r="F5" i="11"/>
  <c r="D161" i="80"/>
  <c r="D5" i="11"/>
  <c r="D6" i="11" s="1"/>
  <c r="I155" i="80"/>
  <c r="J155" i="80" s="1"/>
  <c r="K155" i="80" s="1"/>
  <c r="D33" i="17"/>
  <c r="H37" i="11"/>
  <c r="H54" i="11" s="1"/>
  <c r="E54" i="11"/>
  <c r="F6" i="9"/>
  <c r="J37" i="11"/>
  <c r="J54" i="11" s="1"/>
  <c r="K23" i="9"/>
  <c r="G37" i="11"/>
  <c r="B54" i="11"/>
  <c r="C5" i="9"/>
  <c r="D5" i="9" s="1"/>
  <c r="E5" i="9" s="1"/>
  <c r="M40" i="80"/>
  <c r="N40" i="80" s="1"/>
  <c r="C3" i="9"/>
  <c r="M24" i="80"/>
  <c r="N24" i="80" s="1"/>
  <c r="M25" i="80"/>
  <c r="N25" i="80" s="1"/>
  <c r="L24" i="80"/>
  <c r="M51" i="80"/>
  <c r="N51" i="80" s="1"/>
  <c r="L51" i="80"/>
  <c r="J51" i="80"/>
  <c r="K51" i="80" s="1"/>
  <c r="K54" i="11"/>
  <c r="C39" i="85" l="1"/>
  <c r="E13" i="17"/>
  <c r="I27" i="9"/>
  <c r="D54" i="85"/>
  <c r="L22" i="85"/>
  <c r="J22" i="85"/>
  <c r="K22" i="85" s="1"/>
  <c r="J31" i="85"/>
  <c r="K31" i="85" s="1"/>
  <c r="L31" i="85"/>
  <c r="C36" i="85"/>
  <c r="H24" i="85"/>
  <c r="I24" i="85" s="1"/>
  <c r="J23" i="85"/>
  <c r="K23" i="85" s="1"/>
  <c r="M23" i="85"/>
  <c r="N23" i="85" s="1"/>
  <c r="L23" i="85"/>
  <c r="L16" i="85"/>
  <c r="J16" i="85"/>
  <c r="K16" i="85" s="1"/>
  <c r="M16" i="85"/>
  <c r="N16" i="85" s="1"/>
  <c r="H35" i="85"/>
  <c r="I35" i="85" s="1"/>
  <c r="C47" i="85"/>
  <c r="G144" i="85"/>
  <c r="G144" i="80"/>
  <c r="T13" i="17"/>
  <c r="J6" i="85"/>
  <c r="K6" i="85" s="1"/>
  <c r="L6" i="85"/>
  <c r="M6" i="85"/>
  <c r="N6" i="85" s="1"/>
  <c r="C67" i="85"/>
  <c r="C79" i="85" s="1"/>
  <c r="H55" i="85"/>
  <c r="I55" i="85" s="1"/>
  <c r="J3" i="85"/>
  <c r="K3" i="85" s="1"/>
  <c r="L3" i="85"/>
  <c r="I27" i="85"/>
  <c r="C30" i="85"/>
  <c r="H18" i="85"/>
  <c r="I18" i="85" s="1"/>
  <c r="H38" i="85"/>
  <c r="I38" i="85" s="1"/>
  <c r="C50" i="85"/>
  <c r="J9" i="85"/>
  <c r="K9" i="85" s="1"/>
  <c r="L9" i="85"/>
  <c r="M9" i="85"/>
  <c r="N9" i="85" s="1"/>
  <c r="H21" i="85"/>
  <c r="I21" i="85" s="1"/>
  <c r="C33" i="85"/>
  <c r="M15" i="85"/>
  <c r="N15" i="85" s="1"/>
  <c r="L15" i="85"/>
  <c r="J15" i="85"/>
  <c r="K15" i="85" s="1"/>
  <c r="M14" i="85"/>
  <c r="N14" i="85" s="1"/>
  <c r="L14" i="85"/>
  <c r="J14" i="85"/>
  <c r="K14" i="85" s="1"/>
  <c r="H39" i="85"/>
  <c r="C51" i="85"/>
  <c r="H32" i="85"/>
  <c r="I32" i="85" s="1"/>
  <c r="C44" i="85"/>
  <c r="J5" i="85"/>
  <c r="K5" i="85" s="1"/>
  <c r="M5" i="85"/>
  <c r="N5" i="85" s="1"/>
  <c r="L5" i="85"/>
  <c r="L26" i="85"/>
  <c r="J26" i="85"/>
  <c r="K26" i="85" s="1"/>
  <c r="J17" i="85"/>
  <c r="K17" i="85" s="1"/>
  <c r="M17" i="85"/>
  <c r="N17" i="85" s="1"/>
  <c r="L17" i="85"/>
  <c r="J12" i="85"/>
  <c r="K12" i="85" s="1"/>
  <c r="L12" i="85"/>
  <c r="M12" i="85"/>
  <c r="N12" i="85" s="1"/>
  <c r="H153" i="85"/>
  <c r="L153" i="80" s="1"/>
  <c r="M153" i="80" s="1"/>
  <c r="C61" i="85"/>
  <c r="C73" i="85" s="1"/>
  <c r="L20" i="85"/>
  <c r="M20" i="85"/>
  <c r="N20" i="85" s="1"/>
  <c r="J20" i="85"/>
  <c r="K20" i="85" s="1"/>
  <c r="C41" i="85"/>
  <c r="H29" i="85"/>
  <c r="I29" i="85" s="1"/>
  <c r="H67" i="85"/>
  <c r="I67" i="85" s="1"/>
  <c r="D79" i="85"/>
  <c r="D91" i="85" s="1"/>
  <c r="D103" i="85" s="1"/>
  <c r="D115" i="85" s="1"/>
  <c r="D127" i="85" s="1"/>
  <c r="D139" i="85" s="1"/>
  <c r="J13" i="85"/>
  <c r="K13" i="85" s="1"/>
  <c r="M13" i="85"/>
  <c r="N13" i="85" s="1"/>
  <c r="L13" i="85"/>
  <c r="C40" i="85"/>
  <c r="H28" i="85"/>
  <c r="I28" i="85" s="1"/>
  <c r="M10" i="85"/>
  <c r="N10" i="85" s="1"/>
  <c r="H34" i="85"/>
  <c r="I34" i="85" s="1"/>
  <c r="C46" i="85"/>
  <c r="D37" i="85"/>
  <c r="H25" i="85"/>
  <c r="I25" i="85" s="1"/>
  <c r="M26" i="85" s="1"/>
  <c r="N26" i="85" s="1"/>
  <c r="H43" i="85"/>
  <c r="I43" i="85" s="1"/>
  <c r="G66" i="80"/>
  <c r="C14" i="17"/>
  <c r="H64" i="80"/>
  <c r="I64" i="80" s="1"/>
  <c r="M64" i="80" s="1"/>
  <c r="N64" i="80" s="1"/>
  <c r="H65" i="80"/>
  <c r="I65" i="80" s="1"/>
  <c r="J65" i="80" s="1"/>
  <c r="K65" i="80" s="1"/>
  <c r="L18" i="11"/>
  <c r="B13" i="17"/>
  <c r="D13" i="17"/>
  <c r="D14" i="17" s="1"/>
  <c r="I54" i="11"/>
  <c r="D6" i="9"/>
  <c r="E6" i="9" s="1"/>
  <c r="F13" i="17"/>
  <c r="E6" i="11"/>
  <c r="F6" i="11"/>
  <c r="J22" i="9"/>
  <c r="E14" i="17"/>
  <c r="L27" i="11"/>
  <c r="I28" i="9"/>
  <c r="I37" i="9" s="1"/>
  <c r="K27" i="9"/>
  <c r="K36" i="9" s="1"/>
  <c r="L22" i="9"/>
  <c r="G54" i="11"/>
  <c r="D3" i="9"/>
  <c r="E3" i="9" s="1"/>
  <c r="J23" i="9" l="1"/>
  <c r="L31" i="11"/>
  <c r="H13" i="17"/>
  <c r="M27" i="11"/>
  <c r="M22" i="11"/>
  <c r="L22" i="11"/>
  <c r="M18" i="11"/>
  <c r="I36" i="9"/>
  <c r="M21" i="85"/>
  <c r="N21" i="85" s="1"/>
  <c r="L21" i="85"/>
  <c r="J21" i="85"/>
  <c r="K21" i="85" s="1"/>
  <c r="J28" i="85"/>
  <c r="K28" i="85" s="1"/>
  <c r="L28" i="85"/>
  <c r="M28" i="85"/>
  <c r="N28" i="85" s="1"/>
  <c r="J18" i="85"/>
  <c r="K18" i="85" s="1"/>
  <c r="M18" i="85"/>
  <c r="N18" i="85" s="1"/>
  <c r="L18" i="85"/>
  <c r="M19" i="85"/>
  <c r="N19" i="85" s="1"/>
  <c r="L67" i="85"/>
  <c r="J67" i="85"/>
  <c r="K67" i="85" s="1"/>
  <c r="C59" i="85"/>
  <c r="H47" i="85"/>
  <c r="I47" i="85" s="1"/>
  <c r="H44" i="85"/>
  <c r="I44" i="85" s="1"/>
  <c r="C56" i="85"/>
  <c r="L24" i="85"/>
  <c r="J24" i="85"/>
  <c r="K24" i="85" s="1"/>
  <c r="M24" i="85"/>
  <c r="N24" i="85" s="1"/>
  <c r="H51" i="85"/>
  <c r="C63" i="85"/>
  <c r="I39" i="85"/>
  <c r="M22" i="85"/>
  <c r="N22" i="85" s="1"/>
  <c r="J34" i="85"/>
  <c r="K34" i="85" s="1"/>
  <c r="L34" i="85"/>
  <c r="M35" i="85"/>
  <c r="N35" i="85" s="1"/>
  <c r="L35" i="85"/>
  <c r="J35" i="85"/>
  <c r="K35" i="85" s="1"/>
  <c r="J38" i="85"/>
  <c r="K38" i="85" s="1"/>
  <c r="L38" i="85"/>
  <c r="I13" i="17"/>
  <c r="S17" i="17" s="1"/>
  <c r="M29" i="85"/>
  <c r="N29" i="85" s="1"/>
  <c r="L29" i="85"/>
  <c r="J29" i="85"/>
  <c r="K29" i="85" s="1"/>
  <c r="L32" i="85"/>
  <c r="J32" i="85"/>
  <c r="K32" i="85" s="1"/>
  <c r="M32" i="85"/>
  <c r="N32" i="85" s="1"/>
  <c r="C48" i="85"/>
  <c r="H36" i="85"/>
  <c r="I36" i="85" s="1"/>
  <c r="H27" i="9"/>
  <c r="H36" i="9" s="1"/>
  <c r="L43" i="85"/>
  <c r="J43" i="85"/>
  <c r="K43" i="85" s="1"/>
  <c r="H154" i="85"/>
  <c r="L154" i="80" s="1"/>
  <c r="C52" i="85"/>
  <c r="H40" i="85"/>
  <c r="I40" i="85" s="1"/>
  <c r="C42" i="85"/>
  <c r="H30" i="85"/>
  <c r="I30" i="85" s="1"/>
  <c r="L55" i="85"/>
  <c r="J55" i="85"/>
  <c r="K55" i="85" s="1"/>
  <c r="J25" i="85"/>
  <c r="K25" i="85" s="1"/>
  <c r="M25" i="85"/>
  <c r="N25" i="85" s="1"/>
  <c r="L25" i="85"/>
  <c r="H50" i="85"/>
  <c r="I50" i="85" s="1"/>
  <c r="C62" i="85"/>
  <c r="M27" i="85"/>
  <c r="N27" i="85" s="1"/>
  <c r="L27" i="85"/>
  <c r="J27" i="85"/>
  <c r="K27" i="85" s="1"/>
  <c r="D49" i="85"/>
  <c r="H37" i="85"/>
  <c r="I37" i="85" s="1"/>
  <c r="M38" i="85" s="1"/>
  <c r="N38" i="85" s="1"/>
  <c r="G145" i="85"/>
  <c r="T14" i="17"/>
  <c r="G145" i="80"/>
  <c r="D66" i="85"/>
  <c r="D78" i="85" s="1"/>
  <c r="D90" i="85" s="1"/>
  <c r="D102" i="85" s="1"/>
  <c r="D114" i="85" s="1"/>
  <c r="D126" i="85" s="1"/>
  <c r="D138" i="85" s="1"/>
  <c r="C45" i="85"/>
  <c r="H33" i="85"/>
  <c r="I33" i="85" s="1"/>
  <c r="M33" i="85" s="1"/>
  <c r="N33" i="85" s="1"/>
  <c r="C53" i="85"/>
  <c r="H41" i="85"/>
  <c r="I41" i="85" s="1"/>
  <c r="G13" i="17"/>
  <c r="L41" i="11" s="1"/>
  <c r="H79" i="85"/>
  <c r="I79" i="85" s="1"/>
  <c r="C91" i="85"/>
  <c r="C85" i="85"/>
  <c r="H46" i="85"/>
  <c r="I46" i="85" s="1"/>
  <c r="C58" i="85"/>
  <c r="H66" i="80"/>
  <c r="I66" i="80" s="1"/>
  <c r="G67" i="80"/>
  <c r="L14" i="11"/>
  <c r="B14" i="17"/>
  <c r="L65" i="80"/>
  <c r="M65" i="80"/>
  <c r="N65" i="80" s="1"/>
  <c r="J64" i="80"/>
  <c r="K64" i="80" s="1"/>
  <c r="L64" i="80"/>
  <c r="F14" i="17"/>
  <c r="J27" i="9"/>
  <c r="J36" i="9" s="1"/>
  <c r="K28" i="9"/>
  <c r="K37" i="9" s="1"/>
  <c r="L23" i="9"/>
  <c r="L27" i="9"/>
  <c r="L36" i="9" s="1"/>
  <c r="J28" i="9" l="1"/>
  <c r="J37" i="9" s="1"/>
  <c r="M154" i="80"/>
  <c r="M31" i="11"/>
  <c r="M14" i="11"/>
  <c r="H14" i="17"/>
  <c r="H56" i="85"/>
  <c r="I56" i="85" s="1"/>
  <c r="C68" i="85"/>
  <c r="C54" i="85"/>
  <c r="H42" i="85"/>
  <c r="I42" i="85" s="1"/>
  <c r="I14" i="17"/>
  <c r="T17" i="17" s="1"/>
  <c r="L40" i="85"/>
  <c r="M40" i="85"/>
  <c r="N40" i="85" s="1"/>
  <c r="J40" i="85"/>
  <c r="K40" i="85" s="1"/>
  <c r="C71" i="85"/>
  <c r="H59" i="85"/>
  <c r="I59" i="85" s="1"/>
  <c r="L37" i="85"/>
  <c r="J37" i="85"/>
  <c r="K37" i="85" s="1"/>
  <c r="M37" i="85"/>
  <c r="N37" i="85" s="1"/>
  <c r="C64" i="85"/>
  <c r="H52" i="85"/>
  <c r="I52" i="85" s="1"/>
  <c r="D61" i="85"/>
  <c r="H49" i="85"/>
  <c r="I49" i="85" s="1"/>
  <c r="L47" i="85"/>
  <c r="M47" i="85"/>
  <c r="N47" i="85" s="1"/>
  <c r="J47" i="85"/>
  <c r="K47" i="85" s="1"/>
  <c r="H45" i="85"/>
  <c r="I45" i="85" s="1"/>
  <c r="M46" i="85" s="1"/>
  <c r="N46" i="85" s="1"/>
  <c r="C57" i="85"/>
  <c r="M34" i="85"/>
  <c r="N34" i="85" s="1"/>
  <c r="C74" i="85"/>
  <c r="H62" i="85"/>
  <c r="I62" i="85" s="1"/>
  <c r="J36" i="85"/>
  <c r="K36" i="85" s="1"/>
  <c r="L36" i="85"/>
  <c r="M36" i="85"/>
  <c r="N36" i="85" s="1"/>
  <c r="C70" i="85"/>
  <c r="H58" i="85"/>
  <c r="I58" i="85" s="1"/>
  <c r="J46" i="85"/>
  <c r="K46" i="85" s="1"/>
  <c r="L46" i="85"/>
  <c r="L37" i="11"/>
  <c r="J79" i="85"/>
  <c r="K79" i="85" s="1"/>
  <c r="L79" i="85"/>
  <c r="L41" i="85"/>
  <c r="M41" i="85"/>
  <c r="N41" i="85" s="1"/>
  <c r="J41" i="85"/>
  <c r="K41" i="85" s="1"/>
  <c r="C60" i="85"/>
  <c r="H48" i="85"/>
  <c r="I48" i="85" s="1"/>
  <c r="L39" i="85"/>
  <c r="J39" i="85"/>
  <c r="K39" i="85" s="1"/>
  <c r="M39" i="85"/>
  <c r="N39" i="85" s="1"/>
  <c r="L33" i="85"/>
  <c r="J33" i="85"/>
  <c r="K33" i="85" s="1"/>
  <c r="J30" i="85"/>
  <c r="K30" i="85" s="1"/>
  <c r="L30" i="85"/>
  <c r="M30" i="85"/>
  <c r="N30" i="85" s="1"/>
  <c r="M31" i="85"/>
  <c r="N31" i="85" s="1"/>
  <c r="G146" i="80"/>
  <c r="G146" i="85"/>
  <c r="H28" i="9"/>
  <c r="H37" i="9" s="1"/>
  <c r="H155" i="85"/>
  <c r="L155" i="80" s="1"/>
  <c r="C103" i="85"/>
  <c r="H91" i="85"/>
  <c r="I91" i="85" s="1"/>
  <c r="J50" i="85"/>
  <c r="K50" i="85" s="1"/>
  <c r="L50" i="85"/>
  <c r="C65" i="85"/>
  <c r="H53" i="85"/>
  <c r="I53" i="85" s="1"/>
  <c r="C75" i="85"/>
  <c r="H63" i="85"/>
  <c r="J44" i="85"/>
  <c r="K44" i="85" s="1"/>
  <c r="L44" i="85"/>
  <c r="M44" i="85"/>
  <c r="N44" i="85" s="1"/>
  <c r="C97" i="85"/>
  <c r="C109" i="85" s="1"/>
  <c r="C121" i="85" s="1"/>
  <c r="C133" i="85" s="1"/>
  <c r="I51" i="85"/>
  <c r="H67" i="80"/>
  <c r="I67" i="80" s="1"/>
  <c r="L67" i="80" s="1"/>
  <c r="G68" i="80"/>
  <c r="L28" i="9"/>
  <c r="L37" i="9" s="1"/>
  <c r="G14" i="17"/>
  <c r="M41" i="11" s="1"/>
  <c r="G27" i="9"/>
  <c r="M36" i="9"/>
  <c r="N153" i="80"/>
  <c r="J66" i="80"/>
  <c r="K66" i="80" s="1"/>
  <c r="L66" i="80"/>
  <c r="M66" i="80"/>
  <c r="N66" i="80" s="1"/>
  <c r="M37" i="11" l="1"/>
  <c r="M155" i="80"/>
  <c r="J67" i="80"/>
  <c r="K67" i="80" s="1"/>
  <c r="M37" i="9"/>
  <c r="L49" i="85"/>
  <c r="J49" i="85"/>
  <c r="K49" i="85" s="1"/>
  <c r="M50" i="85"/>
  <c r="N50" i="85" s="1"/>
  <c r="M67" i="80"/>
  <c r="N67" i="80" s="1"/>
  <c r="J51" i="85"/>
  <c r="K51" i="85" s="1"/>
  <c r="L51" i="85"/>
  <c r="M51" i="85"/>
  <c r="N51" i="85" s="1"/>
  <c r="L91" i="85"/>
  <c r="J91" i="85"/>
  <c r="K91" i="85" s="1"/>
  <c r="C115" i="85"/>
  <c r="H103" i="85"/>
  <c r="I103" i="85" s="1"/>
  <c r="C145" i="85"/>
  <c r="H61" i="85"/>
  <c r="I61" i="85" s="1"/>
  <c r="D73" i="85"/>
  <c r="C76" i="85"/>
  <c r="H64" i="85"/>
  <c r="I64" i="85" s="1"/>
  <c r="M59" i="85"/>
  <c r="N59" i="85" s="1"/>
  <c r="L59" i="85"/>
  <c r="J59" i="85"/>
  <c r="K59" i="85" s="1"/>
  <c r="C87" i="85"/>
  <c r="H75" i="85"/>
  <c r="M53" i="85"/>
  <c r="N53" i="85" s="1"/>
  <c r="L53" i="85"/>
  <c r="J53" i="85"/>
  <c r="K53" i="85" s="1"/>
  <c r="M49" i="85"/>
  <c r="N49" i="85" s="1"/>
  <c r="L48" i="85"/>
  <c r="M48" i="85"/>
  <c r="N48" i="85" s="1"/>
  <c r="J48" i="85"/>
  <c r="K48" i="85" s="1"/>
  <c r="C86" i="85"/>
  <c r="H74" i="85"/>
  <c r="I74" i="85" s="1"/>
  <c r="L42" i="85"/>
  <c r="J42" i="85"/>
  <c r="K42" i="85" s="1"/>
  <c r="M42" i="85"/>
  <c r="N42" i="85" s="1"/>
  <c r="M43" i="85"/>
  <c r="N43" i="85" s="1"/>
  <c r="C83" i="85"/>
  <c r="H71" i="85"/>
  <c r="I71" i="85" s="1"/>
  <c r="L54" i="11"/>
  <c r="C77" i="85"/>
  <c r="H65" i="85"/>
  <c r="I65" i="85" s="1"/>
  <c r="C72" i="85"/>
  <c r="H60" i="85"/>
  <c r="I60" i="85" s="1"/>
  <c r="C66" i="85"/>
  <c r="H54" i="85"/>
  <c r="I54" i="85" s="1"/>
  <c r="H70" i="85"/>
  <c r="I70" i="85" s="1"/>
  <c r="C82" i="85"/>
  <c r="H57" i="85"/>
  <c r="I57" i="85" s="1"/>
  <c r="M58" i="85" s="1"/>
  <c r="N58" i="85" s="1"/>
  <c r="C69" i="85"/>
  <c r="H68" i="85"/>
  <c r="I68" i="85" s="1"/>
  <c r="C80" i="85"/>
  <c r="L52" i="85"/>
  <c r="J52" i="85"/>
  <c r="K52" i="85" s="1"/>
  <c r="M52" i="85"/>
  <c r="N52" i="85" s="1"/>
  <c r="J58" i="85"/>
  <c r="K58" i="85" s="1"/>
  <c r="L58" i="85"/>
  <c r="H156" i="85"/>
  <c r="L156" i="80" s="1"/>
  <c r="I63" i="85"/>
  <c r="J62" i="85"/>
  <c r="K62" i="85" s="1"/>
  <c r="L62" i="85"/>
  <c r="G28" i="9"/>
  <c r="J45" i="85"/>
  <c r="K45" i="85" s="1"/>
  <c r="M45" i="85"/>
  <c r="N45" i="85" s="1"/>
  <c r="L45" i="85"/>
  <c r="J56" i="85"/>
  <c r="K56" i="85" s="1"/>
  <c r="M56" i="85"/>
  <c r="N56" i="85" s="1"/>
  <c r="L56" i="85"/>
  <c r="H68" i="80"/>
  <c r="I68" i="80" s="1"/>
  <c r="G69" i="80"/>
  <c r="N154" i="80"/>
  <c r="M54" i="11" l="1"/>
  <c r="H157" i="85"/>
  <c r="L157" i="80" s="1"/>
  <c r="M156" i="80"/>
  <c r="L103" i="85"/>
  <c r="J103" i="85"/>
  <c r="K103" i="85" s="1"/>
  <c r="C95" i="85"/>
  <c r="H83" i="85"/>
  <c r="I83" i="85" s="1"/>
  <c r="H80" i="85"/>
  <c r="I80" i="85" s="1"/>
  <c r="C92" i="85"/>
  <c r="H86" i="85"/>
  <c r="I86" i="85" s="1"/>
  <c r="C98" i="85"/>
  <c r="H115" i="85"/>
  <c r="I115" i="85" s="1"/>
  <c r="C127" i="85"/>
  <c r="H82" i="85"/>
  <c r="I82" i="85" s="1"/>
  <c r="C94" i="85"/>
  <c r="D85" i="85"/>
  <c r="H73" i="85"/>
  <c r="I73" i="85" s="1"/>
  <c r="L61" i="85"/>
  <c r="J61" i="85"/>
  <c r="K61" i="85" s="1"/>
  <c r="M61" i="85"/>
  <c r="N61" i="85" s="1"/>
  <c r="J68" i="85"/>
  <c r="K68" i="85" s="1"/>
  <c r="L68" i="85"/>
  <c r="M68" i="85"/>
  <c r="N68" i="85" s="1"/>
  <c r="C81" i="85"/>
  <c r="H69" i="85"/>
  <c r="I69" i="85" s="1"/>
  <c r="M70" i="85" s="1"/>
  <c r="N70" i="85" s="1"/>
  <c r="J57" i="85"/>
  <c r="K57" i="85" s="1"/>
  <c r="M57" i="85"/>
  <c r="N57" i="85" s="1"/>
  <c r="L57" i="85"/>
  <c r="C78" i="85"/>
  <c r="H66" i="85"/>
  <c r="I66" i="85" s="1"/>
  <c r="C89" i="85"/>
  <c r="H77" i="85"/>
  <c r="I77" i="85" s="1"/>
  <c r="J64" i="85"/>
  <c r="K64" i="85" s="1"/>
  <c r="M64" i="85"/>
  <c r="N64" i="85" s="1"/>
  <c r="L64" i="85"/>
  <c r="C88" i="85"/>
  <c r="H76" i="85"/>
  <c r="I76" i="85" s="1"/>
  <c r="M74" i="85"/>
  <c r="N74" i="85" s="1"/>
  <c r="J74" i="85"/>
  <c r="K74" i="85" s="1"/>
  <c r="L74" i="85"/>
  <c r="J60" i="85"/>
  <c r="K60" i="85" s="1"/>
  <c r="L60" i="85"/>
  <c r="M60" i="85"/>
  <c r="N60" i="85" s="1"/>
  <c r="I75" i="85"/>
  <c r="M62" i="85"/>
  <c r="N62" i="85" s="1"/>
  <c r="C84" i="85"/>
  <c r="H72" i="85"/>
  <c r="I72" i="85" s="1"/>
  <c r="J65" i="85"/>
  <c r="K65" i="85" s="1"/>
  <c r="L65" i="85"/>
  <c r="M65" i="85"/>
  <c r="N65" i="85" s="1"/>
  <c r="L63" i="85"/>
  <c r="J63" i="85"/>
  <c r="K63" i="85" s="1"/>
  <c r="M63" i="85"/>
  <c r="N63" i="85" s="1"/>
  <c r="J70" i="85"/>
  <c r="K70" i="85" s="1"/>
  <c r="L70" i="85"/>
  <c r="L54" i="85"/>
  <c r="J54" i="85"/>
  <c r="K54" i="85" s="1"/>
  <c r="M54" i="85"/>
  <c r="N54" i="85" s="1"/>
  <c r="M55" i="85"/>
  <c r="N55" i="85" s="1"/>
  <c r="C99" i="85"/>
  <c r="H87" i="85"/>
  <c r="L71" i="85"/>
  <c r="J71" i="85"/>
  <c r="K71" i="85" s="1"/>
  <c r="M71" i="85"/>
  <c r="N71" i="85" s="1"/>
  <c r="H69" i="80"/>
  <c r="G70" i="80"/>
  <c r="N155" i="80"/>
  <c r="I69" i="80"/>
  <c r="L69" i="80" s="1"/>
  <c r="M68" i="80"/>
  <c r="N68" i="80" s="1"/>
  <c r="J68" i="80"/>
  <c r="K68" i="80" s="1"/>
  <c r="L68" i="80"/>
  <c r="M157" i="80" l="1"/>
  <c r="C100" i="85"/>
  <c r="H88" i="85"/>
  <c r="I88" i="85" s="1"/>
  <c r="L77" i="85"/>
  <c r="J77" i="85"/>
  <c r="K77" i="85" s="1"/>
  <c r="M77" i="85"/>
  <c r="N77" i="85" s="1"/>
  <c r="C101" i="85"/>
  <c r="H89" i="85"/>
  <c r="I89" i="85" s="1"/>
  <c r="L72" i="85"/>
  <c r="M72" i="85"/>
  <c r="N72" i="85" s="1"/>
  <c r="J72" i="85"/>
  <c r="K72" i="85" s="1"/>
  <c r="H94" i="85"/>
  <c r="I94" i="85" s="1"/>
  <c r="C106" i="85"/>
  <c r="J115" i="85"/>
  <c r="K115" i="85" s="1"/>
  <c r="L115" i="85"/>
  <c r="C90" i="85"/>
  <c r="H78" i="85"/>
  <c r="I78" i="85" s="1"/>
  <c r="J69" i="85"/>
  <c r="K69" i="85" s="1"/>
  <c r="L69" i="85"/>
  <c r="M69" i="85"/>
  <c r="N69" i="85" s="1"/>
  <c r="C107" i="85"/>
  <c r="H95" i="85"/>
  <c r="I95" i="85" s="1"/>
  <c r="D97" i="85"/>
  <c r="H85" i="85"/>
  <c r="I85" i="85" s="1"/>
  <c r="M86" i="85" s="1"/>
  <c r="N86" i="85" s="1"/>
  <c r="L82" i="85"/>
  <c r="J82" i="85"/>
  <c r="K82" i="85" s="1"/>
  <c r="M66" i="85"/>
  <c r="N66" i="85" s="1"/>
  <c r="J66" i="85"/>
  <c r="K66" i="85" s="1"/>
  <c r="L66" i="85"/>
  <c r="M67" i="85"/>
  <c r="N67" i="85" s="1"/>
  <c r="J86" i="85"/>
  <c r="K86" i="85" s="1"/>
  <c r="L86" i="85"/>
  <c r="M80" i="85"/>
  <c r="N80" i="85" s="1"/>
  <c r="J80" i="85"/>
  <c r="K80" i="85" s="1"/>
  <c r="L80" i="85"/>
  <c r="M83" i="85"/>
  <c r="N83" i="85" s="1"/>
  <c r="L83" i="85"/>
  <c r="J83" i="85"/>
  <c r="K83" i="85" s="1"/>
  <c r="C139" i="85"/>
  <c r="H139" i="85" s="1"/>
  <c r="H127" i="85"/>
  <c r="C111" i="85"/>
  <c r="C123" i="85" s="1"/>
  <c r="H99" i="85"/>
  <c r="C93" i="85"/>
  <c r="H81" i="85"/>
  <c r="I81" i="85" s="1"/>
  <c r="J76" i="85"/>
  <c r="K76" i="85" s="1"/>
  <c r="M76" i="85"/>
  <c r="N76" i="85" s="1"/>
  <c r="L76" i="85"/>
  <c r="L73" i="85"/>
  <c r="J73" i="85"/>
  <c r="K73" i="85" s="1"/>
  <c r="M73" i="85"/>
  <c r="N73" i="85" s="1"/>
  <c r="H158" i="85"/>
  <c r="C110" i="85"/>
  <c r="H98" i="85"/>
  <c r="I98" i="85" s="1"/>
  <c r="C96" i="85"/>
  <c r="H84" i="85"/>
  <c r="I84" i="85" s="1"/>
  <c r="H92" i="85"/>
  <c r="I92" i="85" s="1"/>
  <c r="C104" i="85"/>
  <c r="I87" i="85"/>
  <c r="J75" i="85"/>
  <c r="K75" i="85" s="1"/>
  <c r="L75" i="85"/>
  <c r="M75" i="85"/>
  <c r="N75" i="85" s="1"/>
  <c r="H70" i="80"/>
  <c r="I70" i="80" s="1"/>
  <c r="G71" i="80"/>
  <c r="J69" i="80"/>
  <c r="K69" i="80" s="1"/>
  <c r="M69" i="80"/>
  <c r="N69" i="80" s="1"/>
  <c r="N156" i="80"/>
  <c r="J84" i="85" l="1"/>
  <c r="K84" i="85" s="1"/>
  <c r="M84" i="85"/>
  <c r="N84" i="85" s="1"/>
  <c r="L84" i="85"/>
  <c r="L81" i="85"/>
  <c r="J81" i="85"/>
  <c r="K81" i="85" s="1"/>
  <c r="M81" i="85"/>
  <c r="N81" i="85" s="1"/>
  <c r="C113" i="85"/>
  <c r="H101" i="85"/>
  <c r="I101" i="85" s="1"/>
  <c r="J85" i="85"/>
  <c r="K85" i="85" s="1"/>
  <c r="L85" i="85"/>
  <c r="M85" i="85"/>
  <c r="N85" i="85" s="1"/>
  <c r="J98" i="85"/>
  <c r="K98" i="85" s="1"/>
  <c r="L98" i="85"/>
  <c r="C122" i="85"/>
  <c r="H110" i="85"/>
  <c r="I110" i="85" s="1"/>
  <c r="L89" i="85"/>
  <c r="J89" i="85"/>
  <c r="K89" i="85" s="1"/>
  <c r="M89" i="85"/>
  <c r="N89" i="85" s="1"/>
  <c r="C105" i="85"/>
  <c r="H93" i="85"/>
  <c r="I93" i="85" s="1"/>
  <c r="M94" i="85" s="1"/>
  <c r="N94" i="85" s="1"/>
  <c r="I99" i="85"/>
  <c r="C116" i="85"/>
  <c r="H104" i="85"/>
  <c r="I104" i="85" s="1"/>
  <c r="C108" i="85"/>
  <c r="H96" i="85"/>
  <c r="I96" i="85" s="1"/>
  <c r="J94" i="85"/>
  <c r="K94" i="85" s="1"/>
  <c r="L94" i="85"/>
  <c r="M82" i="85"/>
  <c r="N82" i="85" s="1"/>
  <c r="M95" i="85"/>
  <c r="N95" i="85" s="1"/>
  <c r="L95" i="85"/>
  <c r="J95" i="85"/>
  <c r="K95" i="85" s="1"/>
  <c r="J88" i="85"/>
  <c r="K88" i="85" s="1"/>
  <c r="L88" i="85"/>
  <c r="M88" i="85"/>
  <c r="N88" i="85" s="1"/>
  <c r="J92" i="85"/>
  <c r="K92" i="85" s="1"/>
  <c r="M92" i="85"/>
  <c r="N92" i="85" s="1"/>
  <c r="L92" i="85"/>
  <c r="H159" i="85"/>
  <c r="L159" i="80" s="1"/>
  <c r="J78" i="85"/>
  <c r="K78" i="85" s="1"/>
  <c r="L78" i="85"/>
  <c r="M78" i="85"/>
  <c r="N78" i="85" s="1"/>
  <c r="M79" i="85"/>
  <c r="N79" i="85" s="1"/>
  <c r="C102" i="85"/>
  <c r="H90" i="85"/>
  <c r="I90" i="85" s="1"/>
  <c r="L158" i="80"/>
  <c r="H106" i="85"/>
  <c r="I106" i="85" s="1"/>
  <c r="C118" i="85"/>
  <c r="H111" i="85"/>
  <c r="H97" i="85"/>
  <c r="I97" i="85" s="1"/>
  <c r="M98" i="85" s="1"/>
  <c r="N98" i="85" s="1"/>
  <c r="D109" i="85"/>
  <c r="L87" i="85"/>
  <c r="J87" i="85"/>
  <c r="K87" i="85" s="1"/>
  <c r="M87" i="85"/>
  <c r="N87" i="85" s="1"/>
  <c r="C119" i="85"/>
  <c r="H107" i="85"/>
  <c r="I107" i="85" s="1"/>
  <c r="C112" i="85"/>
  <c r="H100" i="85"/>
  <c r="I100" i="85" s="1"/>
  <c r="H71" i="80"/>
  <c r="I71" i="80" s="1"/>
  <c r="M71" i="80" s="1"/>
  <c r="N71" i="80" s="1"/>
  <c r="G72" i="80"/>
  <c r="N157" i="80"/>
  <c r="M70" i="80"/>
  <c r="N70" i="80" s="1"/>
  <c r="L70" i="80"/>
  <c r="J70" i="80"/>
  <c r="K70" i="80" s="1"/>
  <c r="H160" i="85" l="1"/>
  <c r="L160" i="80" s="1"/>
  <c r="J71" i="80"/>
  <c r="K71" i="80" s="1"/>
  <c r="L71" i="80"/>
  <c r="C117" i="85"/>
  <c r="H105" i="85"/>
  <c r="I105" i="85" s="1"/>
  <c r="M106" i="85" s="1"/>
  <c r="N106" i="85" s="1"/>
  <c r="H109" i="85"/>
  <c r="I109" i="85" s="1"/>
  <c r="M110" i="85" s="1"/>
  <c r="N110" i="85" s="1"/>
  <c r="D121" i="85"/>
  <c r="J110" i="85"/>
  <c r="K110" i="85" s="1"/>
  <c r="L110" i="85"/>
  <c r="J106" i="85"/>
  <c r="K106" i="85" s="1"/>
  <c r="L106" i="85"/>
  <c r="L104" i="85"/>
  <c r="J104" i="85"/>
  <c r="K104" i="85" s="1"/>
  <c r="M104" i="85"/>
  <c r="N104" i="85" s="1"/>
  <c r="C128" i="85"/>
  <c r="H116" i="85"/>
  <c r="I116" i="85" s="1"/>
  <c r="H122" i="85"/>
  <c r="I122" i="85" s="1"/>
  <c r="C134" i="85"/>
  <c r="J101" i="85"/>
  <c r="K101" i="85" s="1"/>
  <c r="L101" i="85"/>
  <c r="M101" i="85"/>
  <c r="N101" i="85" s="1"/>
  <c r="L90" i="85"/>
  <c r="J90" i="85"/>
  <c r="K90" i="85" s="1"/>
  <c r="M90" i="85"/>
  <c r="N90" i="85" s="1"/>
  <c r="M91" i="85"/>
  <c r="N91" i="85" s="1"/>
  <c r="L96" i="85"/>
  <c r="M96" i="85"/>
  <c r="N96" i="85" s="1"/>
  <c r="J96" i="85"/>
  <c r="K96" i="85" s="1"/>
  <c r="C124" i="85"/>
  <c r="H112" i="85"/>
  <c r="I112" i="85" s="1"/>
  <c r="J97" i="85"/>
  <c r="K97" i="85" s="1"/>
  <c r="L97" i="85"/>
  <c r="M97" i="85"/>
  <c r="N97" i="85" s="1"/>
  <c r="I111" i="85"/>
  <c r="C130" i="85"/>
  <c r="H118" i="85"/>
  <c r="I118" i="85" s="1"/>
  <c r="C125" i="85"/>
  <c r="H113" i="85"/>
  <c r="I113" i="85" s="1"/>
  <c r="L107" i="85"/>
  <c r="J107" i="85"/>
  <c r="K107" i="85" s="1"/>
  <c r="M107" i="85"/>
  <c r="N107" i="85" s="1"/>
  <c r="L99" i="85"/>
  <c r="J99" i="85"/>
  <c r="K99" i="85" s="1"/>
  <c r="M99" i="85"/>
  <c r="N99" i="85" s="1"/>
  <c r="C135" i="85"/>
  <c r="H135" i="85" s="1"/>
  <c r="H123" i="85"/>
  <c r="C114" i="85"/>
  <c r="H102" i="85"/>
  <c r="I102" i="85" s="1"/>
  <c r="M102" i="85" s="1"/>
  <c r="N102" i="85" s="1"/>
  <c r="C120" i="85"/>
  <c r="H108" i="85"/>
  <c r="I108" i="85" s="1"/>
  <c r="L100" i="85"/>
  <c r="M100" i="85"/>
  <c r="N100" i="85" s="1"/>
  <c r="J100" i="85"/>
  <c r="K100" i="85" s="1"/>
  <c r="C131" i="85"/>
  <c r="H119" i="85"/>
  <c r="I119" i="85" s="1"/>
  <c r="L93" i="85"/>
  <c r="M93" i="85"/>
  <c r="N93" i="85" s="1"/>
  <c r="J93" i="85"/>
  <c r="K93" i="85" s="1"/>
  <c r="H72" i="80"/>
  <c r="I72" i="80" s="1"/>
  <c r="M72" i="80" s="1"/>
  <c r="N72" i="80" s="1"/>
  <c r="G73" i="80"/>
  <c r="G74" i="80"/>
  <c r="H161" i="85" l="1"/>
  <c r="L161" i="80" s="1"/>
  <c r="J72" i="80"/>
  <c r="K72" i="80" s="1"/>
  <c r="L72" i="80"/>
  <c r="L118" i="85"/>
  <c r="J118" i="85"/>
  <c r="K118" i="85" s="1"/>
  <c r="C142" i="85"/>
  <c r="H142" i="85" s="1"/>
  <c r="H130" i="85"/>
  <c r="C143" i="85"/>
  <c r="H143" i="85" s="1"/>
  <c r="H131" i="85"/>
  <c r="M108" i="85"/>
  <c r="N108" i="85" s="1"/>
  <c r="L108" i="85"/>
  <c r="J108" i="85"/>
  <c r="K108" i="85" s="1"/>
  <c r="C136" i="85"/>
  <c r="H136" i="85" s="1"/>
  <c r="H124" i="85"/>
  <c r="H121" i="85"/>
  <c r="I121" i="85" s="1"/>
  <c r="D133" i="85"/>
  <c r="L113" i="85"/>
  <c r="J113" i="85"/>
  <c r="K113" i="85" s="1"/>
  <c r="M113" i="85"/>
  <c r="N113" i="85" s="1"/>
  <c r="M119" i="85"/>
  <c r="N119" i="85" s="1"/>
  <c r="L119" i="85"/>
  <c r="J119" i="85"/>
  <c r="K119" i="85" s="1"/>
  <c r="C140" i="85"/>
  <c r="H140" i="85" s="1"/>
  <c r="H128" i="85"/>
  <c r="L109" i="85"/>
  <c r="J109" i="85"/>
  <c r="K109" i="85" s="1"/>
  <c r="M109" i="85"/>
  <c r="N109" i="85" s="1"/>
  <c r="J111" i="85"/>
  <c r="K111" i="85" s="1"/>
  <c r="L111" i="85"/>
  <c r="M111" i="85"/>
  <c r="N111" i="85" s="1"/>
  <c r="J116" i="85"/>
  <c r="K116" i="85" s="1"/>
  <c r="M116" i="85"/>
  <c r="N116" i="85" s="1"/>
  <c r="L116" i="85"/>
  <c r="J102" i="85"/>
  <c r="K102" i="85" s="1"/>
  <c r="L102" i="85"/>
  <c r="M103" i="85"/>
  <c r="N103" i="85" s="1"/>
  <c r="J105" i="85"/>
  <c r="K105" i="85" s="1"/>
  <c r="L105" i="85"/>
  <c r="M105" i="85"/>
  <c r="N105" i="85" s="1"/>
  <c r="C137" i="85"/>
  <c r="H137" i="85" s="1"/>
  <c r="H125" i="85"/>
  <c r="C146" i="85"/>
  <c r="H146" i="85" s="1"/>
  <c r="H134" i="85"/>
  <c r="J122" i="85"/>
  <c r="K122" i="85" s="1"/>
  <c r="L122" i="85"/>
  <c r="C132" i="85"/>
  <c r="H120" i="85"/>
  <c r="I120" i="85" s="1"/>
  <c r="L112" i="85"/>
  <c r="J112" i="85"/>
  <c r="K112" i="85" s="1"/>
  <c r="M112" i="85"/>
  <c r="N112" i="85" s="1"/>
  <c r="C126" i="85"/>
  <c r="H114" i="85"/>
  <c r="I114" i="85" s="1"/>
  <c r="C129" i="85"/>
  <c r="H117" i="85"/>
  <c r="I117" i="85" s="1"/>
  <c r="M117" i="85" s="1"/>
  <c r="N117" i="85" s="1"/>
  <c r="H73" i="80"/>
  <c r="I73" i="80" s="1"/>
  <c r="M73" i="80" s="1"/>
  <c r="N73" i="80" s="1"/>
  <c r="N16" i="17"/>
  <c r="N18" i="17" s="1"/>
  <c r="H74" i="80"/>
  <c r="C138" i="85" l="1"/>
  <c r="H138" i="85" s="1"/>
  <c r="H126" i="85"/>
  <c r="L121" i="85"/>
  <c r="J121" i="85"/>
  <c r="K121" i="85" s="1"/>
  <c r="M121" i="85"/>
  <c r="N121" i="85" s="1"/>
  <c r="C144" i="85"/>
  <c r="H144" i="85" s="1"/>
  <c r="H132" i="85"/>
  <c r="L73" i="80"/>
  <c r="M114" i="85"/>
  <c r="N114" i="85" s="1"/>
  <c r="J114" i="85"/>
  <c r="K114" i="85" s="1"/>
  <c r="L114" i="85"/>
  <c r="M115" i="85"/>
  <c r="N115" i="85" s="1"/>
  <c r="M122" i="85"/>
  <c r="N122" i="85" s="1"/>
  <c r="H162" i="85"/>
  <c r="L162" i="80" s="1"/>
  <c r="L117" i="85"/>
  <c r="J117" i="85"/>
  <c r="K117" i="85" s="1"/>
  <c r="C141" i="85"/>
  <c r="H141" i="85" s="1"/>
  <c r="H129" i="85"/>
  <c r="D145" i="85"/>
  <c r="H145" i="85" s="1"/>
  <c r="H133" i="85"/>
  <c r="J73" i="80"/>
  <c r="K73" i="80" s="1"/>
  <c r="J120" i="85"/>
  <c r="K120" i="85" s="1"/>
  <c r="L120" i="85"/>
  <c r="M120" i="85"/>
  <c r="N120" i="85" s="1"/>
  <c r="M118" i="85"/>
  <c r="N118" i="85" s="1"/>
  <c r="I74" i="80"/>
  <c r="M75" i="80" s="1"/>
  <c r="H158" i="80"/>
  <c r="M158" i="80" l="1"/>
  <c r="H163" i="85"/>
  <c r="L163" i="80" s="1"/>
  <c r="N123" i="85"/>
  <c r="L123" i="85"/>
  <c r="K123" i="85"/>
  <c r="H150" i="85"/>
  <c r="H164" i="85"/>
  <c r="L164" i="80" s="1"/>
  <c r="H166" i="85"/>
  <c r="I166" i="85" s="1"/>
  <c r="G163" i="85"/>
  <c r="N158" i="80"/>
  <c r="I158" i="80"/>
  <c r="J158" i="80" s="1"/>
  <c r="K158" i="80" s="1"/>
  <c r="G5" i="11"/>
  <c r="C8" i="9"/>
  <c r="L74" i="80"/>
  <c r="M74" i="80"/>
  <c r="N74" i="80" s="1"/>
  <c r="J74" i="80"/>
  <c r="K74" i="80" s="1"/>
  <c r="H76" i="80"/>
  <c r="I76" i="80" s="1"/>
  <c r="H168" i="85" l="1"/>
  <c r="G164" i="85"/>
  <c r="I168" i="85"/>
  <c r="F164" i="85"/>
  <c r="H77" i="80"/>
  <c r="I77" i="80" s="1"/>
  <c r="G6" i="11"/>
  <c r="D8" i="9"/>
  <c r="E8" i="9" s="1"/>
  <c r="M76" i="80"/>
  <c r="N76" i="80" s="1"/>
  <c r="L76" i="80"/>
  <c r="J76" i="80"/>
  <c r="K76" i="80" s="1"/>
  <c r="N75" i="80"/>
  <c r="H78" i="80" l="1"/>
  <c r="J77" i="80"/>
  <c r="K77" i="80" s="1"/>
  <c r="L77" i="80"/>
  <c r="M77" i="80"/>
  <c r="N77" i="80" s="1"/>
  <c r="H79" i="80" l="1"/>
  <c r="I79" i="80" s="1"/>
  <c r="I78" i="80"/>
  <c r="H80" i="80" l="1"/>
  <c r="J78" i="80"/>
  <c r="K78" i="80" s="1"/>
  <c r="M78" i="80"/>
  <c r="N78" i="80" s="1"/>
  <c r="L78" i="80"/>
  <c r="L79" i="80"/>
  <c r="J79" i="80"/>
  <c r="K79" i="80" s="1"/>
  <c r="M79" i="80"/>
  <c r="N79" i="80" s="1"/>
  <c r="I80" i="80" l="1"/>
  <c r="H81" i="80"/>
  <c r="I81" i="80" s="1"/>
  <c r="J81" i="80" l="1"/>
  <c r="K81" i="80" s="1"/>
  <c r="L81" i="80"/>
  <c r="M81" i="80"/>
  <c r="N81" i="80" s="1"/>
  <c r="H82" i="80"/>
  <c r="I82" i="80" s="1"/>
  <c r="M80" i="80"/>
  <c r="N80" i="80" s="1"/>
  <c r="J80" i="80"/>
  <c r="K80" i="80" s="1"/>
  <c r="L80" i="80"/>
  <c r="J82" i="80" l="1"/>
  <c r="K82" i="80" s="1"/>
  <c r="M82" i="80"/>
  <c r="N82" i="80" s="1"/>
  <c r="L82" i="80"/>
  <c r="H83" i="80"/>
  <c r="I83" i="80" s="1"/>
  <c r="J83" i="80" l="1"/>
  <c r="K83" i="80" s="1"/>
  <c r="L83" i="80"/>
  <c r="M83" i="80"/>
  <c r="N83" i="80" s="1"/>
  <c r="H84" i="80"/>
  <c r="I84" i="80" s="1"/>
  <c r="J84" i="80" l="1"/>
  <c r="K84" i="80" s="1"/>
  <c r="L84" i="80"/>
  <c r="M84" i="80"/>
  <c r="N84" i="80" s="1"/>
  <c r="H85" i="80"/>
  <c r="I85" i="80" s="1"/>
  <c r="O16" i="17" l="1"/>
  <c r="O18" i="17" s="1"/>
  <c r="H86" i="80"/>
  <c r="J85" i="80"/>
  <c r="K85" i="80" s="1"/>
  <c r="L85" i="80"/>
  <c r="M85" i="80"/>
  <c r="N85" i="80" s="1"/>
  <c r="I86" i="80" l="1"/>
  <c r="H159" i="80"/>
  <c r="H87" i="80"/>
  <c r="M159" i="80" l="1"/>
  <c r="N159" i="80" s="1"/>
  <c r="H5" i="11"/>
  <c r="I159" i="80"/>
  <c r="J159" i="80" s="1"/>
  <c r="K159" i="80" s="1"/>
  <c r="H88" i="80"/>
  <c r="I88" i="80" s="1"/>
  <c r="I87" i="80"/>
  <c r="C9" i="9"/>
  <c r="L86" i="80"/>
  <c r="M86" i="80"/>
  <c r="N86" i="80" s="1"/>
  <c r="J86" i="80"/>
  <c r="K86" i="80" s="1"/>
  <c r="H6" i="11" l="1"/>
  <c r="D9" i="9"/>
  <c r="E9" i="9" s="1"/>
  <c r="J87" i="80"/>
  <c r="K87" i="80" s="1"/>
  <c r="L87" i="80"/>
  <c r="M87" i="80"/>
  <c r="N87" i="80" s="1"/>
  <c r="H89" i="80"/>
  <c r="L88" i="80"/>
  <c r="M88" i="80"/>
  <c r="N88" i="80" s="1"/>
  <c r="J88" i="80"/>
  <c r="K88" i="80" s="1"/>
  <c r="H90" i="80" l="1"/>
  <c r="I90" i="80" s="1"/>
  <c r="I89" i="80"/>
  <c r="H91" i="80" l="1"/>
  <c r="J89" i="80"/>
  <c r="K89" i="80" s="1"/>
  <c r="L89" i="80"/>
  <c r="M89" i="80"/>
  <c r="N89" i="80" s="1"/>
  <c r="L90" i="80"/>
  <c r="M90" i="80"/>
  <c r="N90" i="80" s="1"/>
  <c r="J90" i="80"/>
  <c r="K90" i="80" s="1"/>
  <c r="H92" i="80" l="1"/>
  <c r="I92" i="80" s="1"/>
  <c r="I91" i="80"/>
  <c r="H93" i="80" l="1"/>
  <c r="I93" i="80" s="1"/>
  <c r="L91" i="80"/>
  <c r="J91" i="80"/>
  <c r="K91" i="80" s="1"/>
  <c r="M91" i="80"/>
  <c r="N91" i="80" s="1"/>
  <c r="J92" i="80"/>
  <c r="K92" i="80" s="1"/>
  <c r="M92" i="80"/>
  <c r="N92" i="80" s="1"/>
  <c r="L92" i="80"/>
  <c r="J93" i="80" l="1"/>
  <c r="K93" i="80" s="1"/>
  <c r="M93" i="80"/>
  <c r="N93" i="80" s="1"/>
  <c r="L93" i="80"/>
  <c r="H94" i="80"/>
  <c r="I94" i="80" s="1"/>
  <c r="H95" i="80" l="1"/>
  <c r="I95" i="80" s="1"/>
  <c r="L94" i="80"/>
  <c r="M94" i="80"/>
  <c r="N94" i="80" s="1"/>
  <c r="J94" i="80"/>
  <c r="K94" i="80" s="1"/>
  <c r="H96" i="80" l="1"/>
  <c r="I96" i="80" s="1"/>
  <c r="J95" i="80"/>
  <c r="K95" i="80" s="1"/>
  <c r="M95" i="80"/>
  <c r="N95" i="80" s="1"/>
  <c r="L95" i="80"/>
  <c r="H97" i="80" l="1"/>
  <c r="I97" i="80" s="1"/>
  <c r="J96" i="80"/>
  <c r="K96" i="80" s="1"/>
  <c r="M96" i="80"/>
  <c r="N96" i="80" s="1"/>
  <c r="L96" i="80"/>
  <c r="P16" i="17" l="1"/>
  <c r="P18" i="17" s="1"/>
  <c r="H98" i="80"/>
  <c r="M97" i="80"/>
  <c r="N97" i="80" s="1"/>
  <c r="L97" i="80"/>
  <c r="J97" i="80"/>
  <c r="K97" i="80" s="1"/>
  <c r="I98" i="80" l="1"/>
  <c r="M99" i="80" s="1"/>
  <c r="H160" i="80"/>
  <c r="M160" i="80" l="1"/>
  <c r="I5" i="11"/>
  <c r="N160" i="80"/>
  <c r="I160" i="80"/>
  <c r="J160" i="80" s="1"/>
  <c r="K160" i="80" s="1"/>
  <c r="C10" i="9"/>
  <c r="H100" i="80"/>
  <c r="I100" i="80" s="1"/>
  <c r="J98" i="80"/>
  <c r="K98" i="80" s="1"/>
  <c r="L98" i="80"/>
  <c r="M98" i="80"/>
  <c r="N98" i="80" s="1"/>
  <c r="I6" i="11" l="1"/>
  <c r="D10" i="9"/>
  <c r="E10" i="9" s="1"/>
  <c r="H101" i="80"/>
  <c r="I101" i="80" s="1"/>
  <c r="N99" i="80"/>
  <c r="M100" i="80"/>
  <c r="N100" i="80" s="1"/>
  <c r="J100" i="80"/>
  <c r="K100" i="80" s="1"/>
  <c r="L100" i="80"/>
  <c r="J101" i="80" l="1"/>
  <c r="K101" i="80" s="1"/>
  <c r="L101" i="80"/>
  <c r="M101" i="80"/>
  <c r="N101" i="80" s="1"/>
  <c r="H102" i="80"/>
  <c r="H103" i="80" l="1"/>
  <c r="I103" i="80" s="1"/>
  <c r="I102" i="80"/>
  <c r="L103" i="80" l="1"/>
  <c r="J103" i="80"/>
  <c r="K103" i="80" s="1"/>
  <c r="M103" i="80"/>
  <c r="N103" i="80" s="1"/>
  <c r="H104" i="80"/>
  <c r="I104" i="80" s="1"/>
  <c r="M102" i="80"/>
  <c r="N102" i="80" s="1"/>
  <c r="L102" i="80"/>
  <c r="J102" i="80"/>
  <c r="K102" i="80" s="1"/>
  <c r="H105" i="80" l="1"/>
  <c r="I105" i="80" s="1"/>
  <c r="J104" i="80"/>
  <c r="K104" i="80" s="1"/>
  <c r="L104" i="80"/>
  <c r="M104" i="80"/>
  <c r="N104" i="80" s="1"/>
  <c r="H106" i="80" l="1"/>
  <c r="I106" i="80" s="1"/>
  <c r="M105" i="80"/>
  <c r="N105" i="80" s="1"/>
  <c r="J105" i="80"/>
  <c r="K105" i="80" s="1"/>
  <c r="L105" i="80"/>
  <c r="J106" i="80" l="1"/>
  <c r="K106" i="80" s="1"/>
  <c r="L106" i="80"/>
  <c r="M106" i="80"/>
  <c r="N106" i="80" s="1"/>
  <c r="H107" i="80"/>
  <c r="I107" i="80" s="1"/>
  <c r="H108" i="80" l="1"/>
  <c r="I108" i="80" s="1"/>
  <c r="J107" i="80"/>
  <c r="K107" i="80" s="1"/>
  <c r="L107" i="80"/>
  <c r="M107" i="80"/>
  <c r="N107" i="80" s="1"/>
  <c r="J108" i="80" l="1"/>
  <c r="K108" i="80" s="1"/>
  <c r="L108" i="80"/>
  <c r="M108" i="80"/>
  <c r="N108" i="80" s="1"/>
  <c r="H109" i="80"/>
  <c r="I109" i="80" s="1"/>
  <c r="Q16" i="17" l="1"/>
  <c r="Q18" i="17" s="1"/>
  <c r="M109" i="80"/>
  <c r="N109" i="80" s="1"/>
  <c r="J109" i="80"/>
  <c r="K109" i="80" s="1"/>
  <c r="L109" i="80"/>
  <c r="H110" i="80"/>
  <c r="I110" i="80" l="1"/>
  <c r="M111" i="80" s="1"/>
  <c r="H161" i="80"/>
  <c r="M161" i="80" s="1"/>
  <c r="J5" i="11" l="1"/>
  <c r="I161" i="80"/>
  <c r="J161" i="80" s="1"/>
  <c r="K161" i="80" s="1"/>
  <c r="N161" i="80"/>
  <c r="C11" i="9"/>
  <c r="H112" i="80"/>
  <c r="I112" i="80" s="1"/>
  <c r="L110" i="80"/>
  <c r="M110" i="80"/>
  <c r="N110" i="80" s="1"/>
  <c r="J110" i="80"/>
  <c r="K110" i="80" s="1"/>
  <c r="J6" i="11" l="1"/>
  <c r="D11" i="9"/>
  <c r="E11" i="9" s="1"/>
  <c r="H113" i="80"/>
  <c r="I113" i="80" s="1"/>
  <c r="N111" i="80"/>
  <c r="J112" i="80"/>
  <c r="K112" i="80" s="1"/>
  <c r="L112" i="80"/>
  <c r="M112" i="80"/>
  <c r="N112" i="80" s="1"/>
  <c r="H114" i="80" l="1"/>
  <c r="M113" i="80"/>
  <c r="N113" i="80" s="1"/>
  <c r="L113" i="80"/>
  <c r="J113" i="80"/>
  <c r="K113" i="80" s="1"/>
  <c r="H115" i="80" l="1"/>
  <c r="I115" i="80" s="1"/>
  <c r="I114" i="80"/>
  <c r="H116" i="80" l="1"/>
  <c r="L115" i="80"/>
  <c r="J115" i="80"/>
  <c r="K115" i="80" s="1"/>
  <c r="M115" i="80"/>
  <c r="N115" i="80" s="1"/>
  <c r="M114" i="80"/>
  <c r="N114" i="80" s="1"/>
  <c r="J114" i="80"/>
  <c r="K114" i="80" s="1"/>
  <c r="L114" i="80"/>
  <c r="H117" i="80" l="1"/>
  <c r="I117" i="80" s="1"/>
  <c r="I116" i="80"/>
  <c r="H118" i="80" l="1"/>
  <c r="J116" i="80"/>
  <c r="K116" i="80" s="1"/>
  <c r="M116" i="80"/>
  <c r="N116" i="80" s="1"/>
  <c r="L116" i="80"/>
  <c r="J117" i="80"/>
  <c r="K117" i="80" s="1"/>
  <c r="M117" i="80"/>
  <c r="N117" i="80" s="1"/>
  <c r="L117" i="80"/>
  <c r="I118" i="80" l="1"/>
  <c r="I119" i="80"/>
  <c r="H120" i="80" l="1"/>
  <c r="I120" i="80" s="1"/>
  <c r="J119" i="80"/>
  <c r="K119" i="80" s="1"/>
  <c r="L119" i="80"/>
  <c r="M119" i="80"/>
  <c r="N119" i="80" s="1"/>
  <c r="J118" i="80"/>
  <c r="K118" i="80" s="1"/>
  <c r="M118" i="80"/>
  <c r="N118" i="80" s="1"/>
  <c r="L118" i="80"/>
  <c r="L120" i="80" l="1"/>
  <c r="M120" i="80"/>
  <c r="N120" i="80" s="1"/>
  <c r="J120" i="80"/>
  <c r="K120" i="80" s="1"/>
  <c r="H121" i="80"/>
  <c r="I121" i="80" s="1"/>
  <c r="H122" i="80" l="1"/>
  <c r="R16" i="17"/>
  <c r="R18" i="17" s="1"/>
  <c r="J121" i="80"/>
  <c r="K121" i="80" s="1"/>
  <c r="L121" i="80"/>
  <c r="M121" i="80"/>
  <c r="N121" i="80" s="1"/>
  <c r="H162" i="80" l="1"/>
  <c r="H166" i="80" s="1"/>
  <c r="I122" i="80"/>
  <c r="H123" i="80"/>
  <c r="M162" i="80" l="1"/>
  <c r="I162" i="80"/>
  <c r="J162" i="80" s="1"/>
  <c r="K162" i="80" s="1"/>
  <c r="K5" i="11"/>
  <c r="I166" i="80"/>
  <c r="N162" i="80"/>
  <c r="C12" i="9"/>
  <c r="D12" i="9" s="1"/>
  <c r="E12" i="9" s="1"/>
  <c r="J122" i="80"/>
  <c r="K122" i="80" s="1"/>
  <c r="K123" i="80" s="1"/>
  <c r="M122" i="80"/>
  <c r="N122" i="80" s="1"/>
  <c r="N123" i="80" s="1"/>
  <c r="Q27" i="80" s="1"/>
  <c r="L122" i="80"/>
  <c r="H124" i="80"/>
  <c r="L123" i="80" l="1"/>
  <c r="Q28" i="80" s="1"/>
  <c r="Q30" i="80" s="1"/>
  <c r="H125" i="80"/>
  <c r="H126" i="80" l="1"/>
  <c r="H127" i="80" l="1"/>
  <c r="K33" i="11"/>
  <c r="H128" i="80" l="1"/>
  <c r="D11" i="18"/>
  <c r="K24" i="11"/>
  <c r="H129" i="80" l="1"/>
  <c r="K55" i="11"/>
  <c r="K43" i="11"/>
  <c r="G45" i="11"/>
  <c r="K39" i="11"/>
  <c r="H130" i="80" l="1"/>
  <c r="K56" i="11"/>
  <c r="H131" i="80" l="1"/>
  <c r="H132" i="80" l="1"/>
  <c r="H133" i="80" l="1"/>
  <c r="H134" i="80" l="1"/>
  <c r="H163" i="80" s="1"/>
  <c r="S16" i="17"/>
  <c r="S18" i="17" s="1"/>
  <c r="C13" i="9" l="1"/>
  <c r="L5" i="11"/>
  <c r="G163" i="80"/>
  <c r="H135" i="80"/>
  <c r="G13" i="9" l="1"/>
  <c r="L10" i="11" s="1"/>
  <c r="T16" i="17"/>
  <c r="T18" i="17" s="1"/>
  <c r="H136" i="80"/>
  <c r="G32" i="9" l="1"/>
  <c r="G36" i="9" s="1"/>
  <c r="H40" i="9" s="1"/>
  <c r="K40" i="9"/>
  <c r="I40" i="9"/>
  <c r="I32" i="9" s="1"/>
  <c r="L40" i="9"/>
  <c r="J40" i="9"/>
  <c r="J32" i="9" s="1"/>
  <c r="H137" i="80"/>
  <c r="H138" i="80" l="1"/>
  <c r="L32" i="9"/>
  <c r="C12" i="18" s="1"/>
  <c r="L19" i="11"/>
  <c r="H32" i="9"/>
  <c r="L15" i="11" s="1"/>
  <c r="G40" i="9"/>
  <c r="K32" i="9"/>
  <c r="L28" i="11" s="1"/>
  <c r="M32" i="9" l="1"/>
  <c r="L23" i="11"/>
  <c r="B12" i="18"/>
  <c r="L24" i="11" s="1"/>
  <c r="H139" i="80"/>
  <c r="L32" i="11"/>
  <c r="L33" i="11"/>
  <c r="L39" i="11" l="1"/>
  <c r="H140" i="80"/>
  <c r="D12" i="18"/>
  <c r="N32" i="9"/>
  <c r="L42" i="11"/>
  <c r="L38" i="11"/>
  <c r="G46" i="11" l="1"/>
  <c r="L43" i="11"/>
  <c r="H141" i="80"/>
  <c r="L55" i="11"/>
  <c r="H142" i="80" l="1"/>
  <c r="L56" i="11"/>
  <c r="H143" i="80" l="1"/>
  <c r="H144" i="80" l="1"/>
  <c r="H145" i="80" l="1"/>
  <c r="H146" i="80" l="1"/>
  <c r="H164" i="80" l="1"/>
  <c r="H168" i="80" s="1"/>
  <c r="H150" i="80"/>
  <c r="C14" i="9" l="1"/>
  <c r="M5" i="11"/>
  <c r="G164" i="80"/>
  <c r="F164" i="80" s="1"/>
  <c r="I168" i="80"/>
  <c r="G14" i="9" l="1"/>
  <c r="G33" i="9" s="1"/>
  <c r="G37" i="9" s="1"/>
  <c r="J41" i="9" l="1"/>
  <c r="J33" i="9" s="1"/>
  <c r="B13" i="18" s="1"/>
  <c r="K41" i="9"/>
  <c r="H41" i="9"/>
  <c r="I41" i="9"/>
  <c r="L41" i="9"/>
  <c r="L33" i="9" s="1"/>
  <c r="C13" i="18" s="1"/>
  <c r="M10" i="11"/>
  <c r="I33" i="9"/>
  <c r="M19" i="11" s="1"/>
  <c r="K33" i="9"/>
  <c r="M28" i="11" s="1"/>
  <c r="M23" i="11" l="1"/>
  <c r="G41" i="9"/>
  <c r="H33" i="9"/>
  <c r="M15" i="11" s="1"/>
  <c r="M32" i="11"/>
  <c r="B14" i="18"/>
  <c r="M33" i="11"/>
  <c r="D13" i="18"/>
  <c r="M43" i="11" s="1"/>
  <c r="M24" i="11"/>
  <c r="M33" i="9" l="1"/>
  <c r="N33" i="9" s="1"/>
  <c r="M38" i="11"/>
  <c r="M39" i="11"/>
  <c r="M56" i="11" s="1"/>
  <c r="M42" i="11" l="1"/>
  <c r="M55" i="11"/>
</calcChain>
</file>

<file path=xl/sharedStrings.xml><?xml version="1.0" encoding="utf-8"?>
<sst xmlns="http://schemas.openxmlformats.org/spreadsheetml/2006/main" count="203" uniqueCount="117">
  <si>
    <t>Loss Factor</t>
  </si>
  <si>
    <t>Total Billed</t>
  </si>
  <si>
    <t>Heating Degree Days</t>
  </si>
  <si>
    <t>Cooling Degree Days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</si>
  <si>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</si>
  <si>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</si>
  <si>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</si>
  <si>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</si>
  <si>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</si>
  <si>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</si>
  <si>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</si>
  <si>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</si>
  <si>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>Check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</si>
  <si>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</si>
  <si>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</si>
  <si>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</si>
  <si>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</si>
  <si>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</si>
  <si>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</si>
  <si>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</si>
  <si>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</si>
  <si>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</si>
  <si>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</si>
  <si>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</si>
  <si>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</si>
  <si>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</si>
  <si>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</si>
  <si>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</si>
  <si>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</si>
  <si>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</si>
  <si>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</si>
  <si>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</si>
  <si>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</si>
  <si>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</si>
  <si>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</si>
  <si>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</si>
  <si>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</si>
  <si>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</si>
  <si>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</si>
  <si>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</si>
  <si>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</si>
  <si>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</si>
  <si>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</si>
  <si>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</si>
  <si>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</si>
  <si>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</si>
  <si>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</si>
  <si>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</si>
  <si>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</si>
  <si>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</si>
  <si>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</si>
  <si>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</si>
  <si>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Street Lights</t>
  </si>
  <si>
    <t>May</t>
  </si>
  <si>
    <t xml:space="preserve">2015 Actual </t>
  </si>
  <si>
    <t xml:space="preserve">2016 Actual </t>
  </si>
  <si>
    <t xml:space="preserve">2017 Actual </t>
  </si>
  <si>
    <t>Power Purchased</t>
  </si>
  <si>
    <t>Average Number of Customer/Connections</t>
  </si>
  <si>
    <t xml:space="preserve">2018 Actual </t>
  </si>
  <si>
    <t xml:space="preserve">2019 Actual </t>
  </si>
  <si>
    <t xml:space="preserve">Total Billed </t>
  </si>
  <si>
    <t>Check - must be zero</t>
  </si>
  <si>
    <t>2014 Actual</t>
  </si>
  <si>
    <t>2020 Actual</t>
  </si>
  <si>
    <t>2021 Actual</t>
  </si>
  <si>
    <t>2022 Actual</t>
  </si>
  <si>
    <t>10-year average</t>
  </si>
  <si>
    <t>Days in Month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</si>
  <si>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</si>
  <si>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</si>
  <si>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</si>
  <si>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</si>
  <si>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</si>
  <si>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</si>
  <si>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</si>
  <si>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</si>
  <si>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</si>
  <si>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</si>
  <si>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</si>
  <si>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Number of Customers</t>
  </si>
  <si>
    <t>Total Customers</t>
  </si>
  <si>
    <t>Weather Normal</t>
  </si>
  <si>
    <t>Weather Normal Conversion Factor</t>
  </si>
  <si>
    <t>R1(i) Residential</t>
  </si>
  <si>
    <t>R1(ii) GS &lt; 50 kW</t>
  </si>
  <si>
    <t>R2 GS&gt;50 kW</t>
  </si>
  <si>
    <t>Seasonal</t>
  </si>
  <si>
    <t>Year End</t>
  </si>
  <si>
    <t>Monthly Growth Rate</t>
  </si>
  <si>
    <t>2024 Bridge</t>
  </si>
  <si>
    <t>2025 Test</t>
  </si>
  <si>
    <t>Manual Incremental kWh</t>
  </si>
  <si>
    <t>Manual kW</t>
  </si>
  <si>
    <t>Residual Squared</t>
  </si>
  <si>
    <t>Sum of Squared Residuals</t>
  </si>
  <si>
    <t>Difference of Residuals</t>
  </si>
  <si>
    <t>Difference of Residuals Squared</t>
  </si>
  <si>
    <t>Sum of Squared Difference of Residuals</t>
  </si>
  <si>
    <t>Durbin-Watson Calculation</t>
  </si>
  <si>
    <t>Residual (kWh)</t>
  </si>
  <si>
    <t xml:space="preserve">% Residual </t>
  </si>
  <si>
    <t>% Residual (Abs)</t>
  </si>
  <si>
    <t>2025- excl Manual</t>
  </si>
  <si>
    <t>2023 Actuals</t>
  </si>
  <si>
    <t xml:space="preserve">Average </t>
  </si>
  <si>
    <t xml:space="preserve">Variance </t>
  </si>
  <si>
    <t>% Variance</t>
  </si>
  <si>
    <t>% Variance (Abs)</t>
  </si>
  <si>
    <t xml:space="preserve">Weather Normal </t>
  </si>
  <si>
    <t>Actual Weather Normalized</t>
  </si>
  <si>
    <t>2018 Yr End</t>
  </si>
  <si>
    <t>2015 to 2019</t>
  </si>
  <si>
    <t>Lower 95.0%</t>
  </si>
  <si>
    <t>Upper 95.0%</t>
  </si>
  <si>
    <t>proposed LF per APP 2-R</t>
  </si>
  <si>
    <t>API Weather Normal Load Forecast for 2025 Rate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</si>
</sst>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%"/>
    <numFmt numFmtId="168" formatCode="#,##0;\(#,##0\)"/>
    <numFmt numFmtId="169" formatCode="0.0000"/>
    <numFmt numFmtId="170" formatCode="#,##0.0000"/>
    <numFmt numFmtId="171" formatCode="0.0000%"/>
    <numFmt numFmtId="172" formatCode="_(* #,##0_);_(* \(#,##0\);_(* &quot;-&quot;??_);_(@_)"/>
    <numFmt numFmtId="173" formatCode="_(* #,##0.0_);_(* \(#,##0.0\);_(* &quot;-&quot;??_);_(@_)"/>
    <numFmt numFmtId="174" formatCode="#,##0.0"/>
    <numFmt numFmtId="175" formatCode="mm/dd/yyyy"/>
    <numFmt numFmtId="176" formatCode="0\-0"/>
    <numFmt numFmtId="177" formatCode="##\-#"/>
    <numFmt numFmtId="178" formatCode="&quot;£ &quot;#,##0.00;[Red]\-&quot;£ &quot;#,##0.00"/>
    <numFmt numFmtId="179" formatCode="_-* #,##0.00_-;\-* #,##0.00_-;_-* \-??_-;_-@_-"/>
    <numFmt numFmtId="180" formatCode="#,##0.0000000"/>
    <numFmt numFmtId="181" formatCode="0.00000%"/>
    <numFmt numFmtId="182" formatCode="0.000000000"/>
    <numFmt numFmtId="183" formatCode="#,##0.0000000000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4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sz val="10"/>
      <name val="Arial"/>
      <family val="2"/>
      <charset val="1"/>
    </font>
    <font>
      <sz val="10"/>
      <name val="Mangal"/>
      <family val="2"/>
      <charset val="1"/>
    </font>
    <font>
      <u/>
      <sz val="10"/>
      <color indexed="12"/>
      <name val="Times New Roman"/>
      <family val="1"/>
    </font>
    <font>
      <b/>
      <u/>
      <sz val="10"/>
      <name val="Arial"/>
      <family val="2"/>
    </font>
    <font>
      <sz val="1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49">
    <xf numFmtId="0" fontId="0" fillId="0" borderId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5" borderId="1" applyNumberFormat="0" applyProtection="0">
      <alignment horizontal="left" vertical="center"/>
    </xf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3" fontId="9" fillId="0" borderId="0"/>
    <xf numFmtId="174" fontId="9" fillId="0" borderId="0"/>
    <xf numFmtId="173" fontId="9" fillId="0" borderId="0"/>
    <xf numFmtId="173" fontId="9" fillId="0" borderId="0"/>
    <xf numFmtId="173" fontId="9" fillId="0" borderId="0"/>
    <xf numFmtId="173" fontId="9" fillId="0" borderId="0"/>
    <xf numFmtId="175" fontId="9" fillId="0" borderId="0"/>
    <xf numFmtId="176" fontId="9" fillId="0" borderId="0"/>
    <xf numFmtId="175" fontId="9" fillId="0" borderId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24" fillId="7" borderId="0" applyNumberFormat="0" applyBorder="0" applyAlignment="0" applyProtection="0"/>
    <xf numFmtId="0" fontId="28" fillId="10" borderId="8" applyNumberFormat="0" applyAlignment="0" applyProtection="0"/>
    <xf numFmtId="0" fontId="30" fillId="11" borderId="11" applyNumberFormat="0" applyAlignment="0" applyProtection="0"/>
    <xf numFmtId="166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38" fontId="15" fillId="37" borderId="0" applyNumberFormat="0" applyBorder="0" applyAlignment="0" applyProtection="0"/>
    <xf numFmtId="38" fontId="15" fillId="37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10" fontId="15" fillId="38" borderId="1" applyNumberFormat="0" applyBorder="0" applyAlignment="0" applyProtection="0"/>
    <xf numFmtId="10" fontId="15" fillId="38" borderId="1" applyNumberFormat="0" applyBorder="0" applyAlignment="0" applyProtection="0"/>
    <xf numFmtId="0" fontId="26" fillId="9" borderId="8" applyNumberFormat="0" applyAlignment="0" applyProtection="0"/>
    <xf numFmtId="0" fontId="29" fillId="0" borderId="10" applyNumberFormat="0" applyFill="0" applyAlignment="0" applyProtection="0"/>
    <xf numFmtId="177" fontId="9" fillId="0" borderId="0"/>
    <xf numFmtId="172" fontId="9" fillId="0" borderId="0"/>
    <xf numFmtId="177" fontId="9" fillId="0" borderId="0"/>
    <xf numFmtId="177" fontId="9" fillId="0" borderId="0"/>
    <xf numFmtId="177" fontId="9" fillId="0" borderId="0"/>
    <xf numFmtId="177" fontId="9" fillId="0" borderId="0"/>
    <xf numFmtId="0" fontId="25" fillId="8" borderId="0" applyNumberFormat="0" applyBorder="0" applyAlignment="0" applyProtection="0"/>
    <xf numFmtId="178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12" borderId="12" applyNumberFormat="0" applyFont="0" applyAlignment="0" applyProtection="0"/>
    <xf numFmtId="0" fontId="27" fillId="10" borderId="9" applyNumberFormat="0" applyAlignment="0" applyProtection="0"/>
    <xf numFmtId="10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4" fillId="0" borderId="0" applyNumberFormat="0" applyBorder="0" applyAlignment="0"/>
    <xf numFmtId="0" fontId="35" fillId="0" borderId="0" applyNumberFormat="0" applyBorder="0" applyAlignment="0"/>
    <xf numFmtId="0" fontId="36" fillId="0" borderId="0" applyNumberFormat="0" applyBorder="0" applyAlignment="0"/>
    <xf numFmtId="0" fontId="37" fillId="0" borderId="14">
      <alignment horizontal="center" vertical="center"/>
    </xf>
    <xf numFmtId="0" fontId="19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38" fillId="0" borderId="0"/>
    <xf numFmtId="166" fontId="38" fillId="0" borderId="0" applyFont="0" applyFill="0" applyBorder="0" applyAlignment="0" applyProtection="0"/>
    <xf numFmtId="0" fontId="38" fillId="0" borderId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3" fillId="7" borderId="0" applyNumberFormat="0" applyBorder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4" fillId="10" borderId="8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0" fontId="45" fillId="11" borderId="11" applyNumberFormat="0" applyAlignment="0" applyProtection="0"/>
    <xf numFmtId="43" fontId="38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8" fillId="0" borderId="5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49" fillId="0" borderId="6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1" fillId="9" borderId="8" applyNumberFormat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53" fillId="8" borderId="0" applyNumberFormat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34" fillId="12" borderId="12" applyNumberFormat="0" applyFon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0" fontId="54" fillId="10" borderId="9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5" borderId="1" applyNumberFormat="0" applyProtection="0">
      <alignment horizontal="left" vertical="center"/>
    </xf>
    <xf numFmtId="0" fontId="9" fillId="5" borderId="1" applyNumberFormat="0" applyProtection="0">
      <alignment horizontal="left" vertic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166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8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7" borderId="0" applyNumberFormat="0" applyBorder="0" applyAlignment="0" applyProtection="0"/>
    <xf numFmtId="0" fontId="41" fillId="50" borderId="0" applyNumberFormat="0" applyBorder="0" applyAlignment="0" applyProtection="0"/>
    <xf numFmtId="0" fontId="58" fillId="51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60" fillId="59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69" fillId="61" borderId="0" applyNumberFormat="0" applyBorder="0" applyAlignment="0" applyProtection="0"/>
    <xf numFmtId="0" fontId="71" fillId="0" borderId="0" applyNumberFormat="0" applyFill="0" applyBorder="0" applyAlignment="0" applyProtection="0"/>
    <xf numFmtId="0" fontId="72" fillId="0" borderId="23" applyNumberFormat="0" applyFill="0" applyAlignment="0" applyProtection="0"/>
    <xf numFmtId="0" fontId="73" fillId="0" borderId="0" applyNumberFormat="0" applyFill="0" applyBorder="0" applyAlignment="0" applyProtection="0"/>
    <xf numFmtId="0" fontId="9" fillId="0" borderId="0"/>
    <xf numFmtId="0" fontId="21" fillId="0" borderId="6" applyNumberFormat="0" applyFill="0" applyAlignment="0" applyProtection="0"/>
    <xf numFmtId="0" fontId="20" fillId="0" borderId="5" applyNumberFormat="0" applyFill="0" applyAlignment="0" applyProtection="0"/>
    <xf numFmtId="0" fontId="4" fillId="0" borderId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8" borderId="0" applyNumberFormat="0" applyBorder="0" applyAlignment="0" applyProtection="0"/>
    <xf numFmtId="0" fontId="26" fillId="9" borderId="8" applyNumberFormat="0" applyAlignment="0" applyProtection="0"/>
    <xf numFmtId="0" fontId="27" fillId="10" borderId="9" applyNumberFormat="0" applyAlignment="0" applyProtection="0"/>
    <xf numFmtId="0" fontId="28" fillId="10" borderId="8" applyNumberFormat="0" applyAlignment="0" applyProtection="0"/>
    <xf numFmtId="0" fontId="29" fillId="0" borderId="10" applyNumberFormat="0" applyFill="0" applyAlignment="0" applyProtection="0"/>
    <xf numFmtId="0" fontId="30" fillId="11" borderId="11" applyNumberFormat="0" applyAlignment="0" applyProtection="0"/>
    <xf numFmtId="0" fontId="31" fillId="0" borderId="0" applyNumberFormat="0" applyFill="0" applyBorder="0" applyAlignment="0" applyProtection="0"/>
    <xf numFmtId="0" fontId="4" fillId="12" borderId="12" applyNumberFormat="0" applyFont="0" applyAlignment="0" applyProtection="0"/>
    <xf numFmtId="0" fontId="32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3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3" fillId="32" borderId="0" applyNumberFormat="0" applyBorder="0" applyAlignment="0" applyProtection="0"/>
    <xf numFmtId="0" fontId="33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33" fillId="36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70" fillId="59" borderId="22" applyNumberFormat="0" applyAlignment="0" applyProtection="0"/>
    <xf numFmtId="0" fontId="61" fillId="60" borderId="16" applyNumberFormat="0" applyAlignment="0" applyProtection="0"/>
    <xf numFmtId="0" fontId="67" fillId="46" borderId="15" applyNumberFormat="0" applyAlignment="0" applyProtection="0"/>
    <xf numFmtId="0" fontId="9" fillId="62" borderId="21" applyNumberFormat="0" applyFont="0" applyAlignment="0" applyProtection="0"/>
    <xf numFmtId="0" fontId="63" fillId="43" borderId="0" applyNumberFormat="0" applyBorder="0" applyAlignment="0" applyProtection="0"/>
    <xf numFmtId="0" fontId="59" fillId="42" borderId="0" applyNumberFormat="0" applyBorder="0" applyAlignment="0" applyProtection="0"/>
    <xf numFmtId="0" fontId="66" fillId="0" borderId="19" applyNumberFormat="0" applyFill="0" applyAlignment="0" applyProtection="0"/>
    <xf numFmtId="0" fontId="65" fillId="0" borderId="18" applyNumberFormat="0" applyFill="0" applyAlignment="0" applyProtection="0"/>
    <xf numFmtId="0" fontId="62" fillId="0" borderId="0" applyNumberFormat="0" applyFill="0" applyBorder="0" applyAlignment="0" applyProtection="0"/>
    <xf numFmtId="0" fontId="64" fillId="0" borderId="17" applyNumberFormat="0" applyFill="0" applyAlignment="0" applyProtection="0"/>
    <xf numFmtId="0" fontId="5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8" fillId="5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58" borderId="0" applyNumberFormat="0" applyBorder="0" applyAlignment="0" applyProtection="0"/>
    <xf numFmtId="0" fontId="58" fillId="52" borderId="0" applyNumberFormat="0" applyBorder="0" applyAlignment="0" applyProtection="0"/>
    <xf numFmtId="43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8" fillId="0" borderId="0"/>
    <xf numFmtId="0" fontId="68" fillId="0" borderId="20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9" fillId="0" borderId="0"/>
    <xf numFmtId="0" fontId="9" fillId="0" borderId="0"/>
    <xf numFmtId="0" fontId="67" fillId="46" borderId="15" applyNumberFormat="0" applyAlignment="0" applyProtection="0"/>
    <xf numFmtId="0" fontId="67" fillId="46" borderId="15" applyNumberFormat="0" applyAlignment="0" applyProtection="0"/>
    <xf numFmtId="0" fontId="67" fillId="46" borderId="15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7" fillId="46" borderId="15" applyNumberFormat="0" applyAlignment="0" applyProtection="0"/>
    <xf numFmtId="0" fontId="9" fillId="0" borderId="0"/>
    <xf numFmtId="0" fontId="38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" fillId="0" borderId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9" fillId="0" borderId="0" applyFont="0" applyFill="0" applyBorder="0" applyAlignment="0" applyProtection="0"/>
    <xf numFmtId="0" fontId="9" fillId="0" borderId="0"/>
    <xf numFmtId="9" fontId="38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4" fillId="0" borderId="0"/>
    <xf numFmtId="44" fontId="3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8" fillId="0" borderId="0"/>
    <xf numFmtId="43" fontId="38" fillId="0" borderId="0" applyFont="0" applyFill="0" applyBorder="0" applyAlignment="0" applyProtection="0"/>
    <xf numFmtId="0" fontId="4" fillId="0" borderId="0"/>
    <xf numFmtId="0" fontId="4" fillId="0" borderId="0"/>
    <xf numFmtId="9" fontId="3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4" fillId="0" borderId="0"/>
    <xf numFmtId="0" fontId="56" fillId="0" borderId="0" applyNumberFormat="0" applyFill="0" applyBorder="0" applyAlignment="0" applyProtection="0"/>
    <xf numFmtId="0" fontId="74" fillId="0" borderId="0"/>
    <xf numFmtId="0" fontId="3" fillId="0" borderId="0"/>
    <xf numFmtId="0" fontId="75" fillId="0" borderId="0"/>
    <xf numFmtId="179" fontId="76" fillId="0" borderId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9" fillId="0" borderId="0"/>
    <xf numFmtId="0" fontId="2" fillId="0" borderId="0"/>
    <xf numFmtId="0" fontId="9" fillId="0" borderId="0"/>
    <xf numFmtId="0" fontId="9" fillId="0" borderId="0"/>
    <xf numFmtId="0" fontId="72" fillId="0" borderId="35" applyNumberFormat="0" applyFill="0" applyAlignment="0" applyProtection="0"/>
    <xf numFmtId="0" fontId="60" fillId="59" borderId="26" applyNumberFormat="0" applyAlignment="0" applyProtection="0"/>
    <xf numFmtId="0" fontId="70" fillId="59" borderId="34" applyNumberFormat="0" applyAlignment="0" applyProtection="0"/>
    <xf numFmtId="0" fontId="67" fillId="46" borderId="32" applyNumberFormat="0" applyAlignment="0" applyProtection="0"/>
    <xf numFmtId="0" fontId="60" fillId="59" borderId="32" applyNumberFormat="0" applyAlignment="0" applyProtection="0"/>
    <xf numFmtId="0" fontId="67" fillId="46" borderId="26" applyNumberFormat="0" applyAlignment="0" applyProtection="0"/>
    <xf numFmtId="0" fontId="9" fillId="62" borderId="27" applyNumberFormat="0" applyFont="0" applyAlignment="0" applyProtection="0"/>
    <xf numFmtId="0" fontId="70" fillId="59" borderId="28" applyNumberFormat="0" applyAlignment="0" applyProtection="0"/>
    <xf numFmtId="0" fontId="72" fillId="0" borderId="29" applyNumberFormat="0" applyFill="0" applyAlignment="0" applyProtection="0"/>
    <xf numFmtId="0" fontId="9" fillId="0" borderId="0"/>
    <xf numFmtId="0" fontId="1" fillId="0" borderId="0"/>
    <xf numFmtId="0" fontId="67" fillId="46" borderId="32" applyNumberFormat="0" applyAlignment="0" applyProtection="0"/>
    <xf numFmtId="0" fontId="9" fillId="62" borderId="33" applyNumberFormat="0" applyFont="0" applyAlignment="0" applyProtection="0"/>
    <xf numFmtId="0" fontId="1" fillId="12" borderId="1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7" fillId="46" borderId="32" applyNumberForma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9" fillId="0" borderId="0" applyFont="0" applyFill="0" applyBorder="0" applyAlignment="0" applyProtection="0"/>
    <xf numFmtId="10" fontId="15" fillId="38" borderId="30" applyNumberFormat="0" applyBorder="0" applyAlignment="0" applyProtection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62" borderId="27" applyNumberFormat="0" applyFont="0" applyAlignment="0" applyProtection="0"/>
    <xf numFmtId="0" fontId="9" fillId="0" borderId="0"/>
    <xf numFmtId="0" fontId="1" fillId="0" borderId="0"/>
    <xf numFmtId="0" fontId="1" fillId="12" borderId="1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1" fillId="12" borderId="12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46" borderId="32" applyNumberFormat="0" applyAlignment="0" applyProtection="0"/>
    <xf numFmtId="10" fontId="15" fillId="38" borderId="25" applyNumberFormat="0" applyBorder="0" applyAlignment="0" applyProtection="0"/>
    <xf numFmtId="0" fontId="9" fillId="0" borderId="0"/>
    <xf numFmtId="0" fontId="67" fillId="46" borderId="32" applyNumberFormat="0" applyAlignment="0" applyProtection="0"/>
    <xf numFmtId="0" fontId="9" fillId="62" borderId="33" applyNumberFormat="0" applyFont="0" applyAlignment="0" applyProtection="0"/>
    <xf numFmtId="0" fontId="9" fillId="0" borderId="0"/>
  </cellStyleXfs>
  <cellXfs count="117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37" fontId="10" fillId="0" borderId="0" xfId="0" applyNumberFormat="1" applyFont="1" applyAlignment="1">
      <alignment horizontal="center"/>
    </xf>
    <xf numFmtId="3" fontId="9" fillId="0" borderId="0" xfId="1" applyNumberFormat="1" applyAlignment="1">
      <alignment horizontal="center"/>
    </xf>
    <xf numFmtId="167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2" fillId="0" borderId="0" xfId="0" applyFont="1"/>
    <xf numFmtId="3" fontId="0" fillId="2" borderId="0" xfId="0" applyNumberFormat="1" applyFill="1" applyAlignment="1">
      <alignment horizontal="center"/>
    </xf>
    <xf numFmtId="17" fontId="12" fillId="0" borderId="0" xfId="0" applyNumberFormat="1" applyFont="1"/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3" fontId="10" fillId="2" borderId="1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12" fillId="0" borderId="0" xfId="0" applyNumberFormat="1" applyFont="1"/>
    <xf numFmtId="0" fontId="13" fillId="0" borderId="0" xfId="0" applyFont="1"/>
    <xf numFmtId="167" fontId="0" fillId="0" borderId="0" xfId="0" applyNumberFormat="1" applyAlignment="1">
      <alignment horizontal="center" wrapText="1"/>
    </xf>
    <xf numFmtId="0" fontId="12" fillId="0" borderId="0" xfId="0" applyFont="1" applyAlignment="1">
      <alignment horizontal="center" wrapText="1"/>
    </xf>
    <xf numFmtId="3" fontId="11" fillId="3" borderId="0" xfId="0" applyNumberFormat="1" applyFont="1" applyFill="1" applyAlignment="1">
      <alignment horizontal="center"/>
    </xf>
    <xf numFmtId="3" fontId="10" fillId="3" borderId="0" xfId="0" applyNumberFormat="1" applyFont="1" applyFill="1" applyAlignment="1">
      <alignment horizontal="center" wrapText="1"/>
    </xf>
    <xf numFmtId="3" fontId="11" fillId="3" borderId="0" xfId="0" applyNumberFormat="1" applyFont="1" applyFill="1" applyAlignment="1">
      <alignment horizontal="center" wrapText="1"/>
    </xf>
    <xf numFmtId="37" fontId="0" fillId="0" borderId="0" xfId="0" applyNumberFormat="1" applyAlignment="1">
      <alignment horizontal="center"/>
    </xf>
    <xf numFmtId="17" fontId="0" fillId="0" borderId="0" xfId="0" applyNumberFormat="1" applyAlignment="1">
      <alignment horizontal="left"/>
    </xf>
    <xf numFmtId="166" fontId="0" fillId="0" borderId="0" xfId="1" applyFont="1" applyAlignment="1">
      <alignment horizontal="center"/>
    </xf>
    <xf numFmtId="172" fontId="0" fillId="0" borderId="0" xfId="1" applyNumberFormat="1" applyFont="1" applyAlignment="1">
      <alignment horizontal="center"/>
    </xf>
    <xf numFmtId="3" fontId="0" fillId="0" borderId="0" xfId="0" applyNumberFormat="1"/>
    <xf numFmtId="172" fontId="0" fillId="0" borderId="0" xfId="0" applyNumberFormat="1" applyAlignment="1">
      <alignment horizontal="center"/>
    </xf>
    <xf numFmtId="3" fontId="0" fillId="4" borderId="0" xfId="0" applyNumberFormat="1" applyFill="1" applyAlignment="1">
      <alignment horizontal="center"/>
    </xf>
    <xf numFmtId="3" fontId="10" fillId="4" borderId="1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left"/>
    </xf>
    <xf numFmtId="167" fontId="0" fillId="0" borderId="0" xfId="2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8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3" fontId="9" fillId="3" borderId="0" xfId="0" applyNumberFormat="1" applyFont="1" applyFill="1" applyAlignment="1">
      <alignment horizontal="center" wrapText="1"/>
    </xf>
    <xf numFmtId="17" fontId="0" fillId="0" borderId="1" xfId="0" applyNumberFormat="1" applyBorder="1" applyAlignment="1">
      <alignment horizontal="left"/>
    </xf>
    <xf numFmtId="37" fontId="10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9" fillId="4" borderId="0" xfId="0" applyNumberFormat="1" applyFont="1" applyFill="1" applyAlignment="1">
      <alignment horizontal="center"/>
    </xf>
    <xf numFmtId="9" fontId="0" fillId="4" borderId="0" xfId="0" applyNumberFormat="1" applyFill="1" applyAlignment="1">
      <alignment horizontal="center"/>
    </xf>
    <xf numFmtId="0" fontId="9" fillId="0" borderId="0" xfId="0" applyFont="1" applyAlignment="1">
      <alignment horizontal="center"/>
    </xf>
    <xf numFmtId="171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70" fontId="0" fillId="40" borderId="0" xfId="0" applyNumberFormat="1" applyFill="1" applyAlignment="1">
      <alignment horizontal="center"/>
    </xf>
    <xf numFmtId="37" fontId="10" fillId="4" borderId="1" xfId="0" applyNumberFormat="1" applyFont="1" applyFill="1" applyBorder="1" applyAlignment="1">
      <alignment horizontal="center"/>
    </xf>
    <xf numFmtId="12" fontId="0" fillId="0" borderId="0" xfId="0" applyNumberFormat="1"/>
    <xf numFmtId="12" fontId="10" fillId="0" borderId="0" xfId="0" applyNumberFormat="1" applyFont="1"/>
    <xf numFmtId="9" fontId="0" fillId="0" borderId="0" xfId="2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0" fillId="3" borderId="0" xfId="0" applyNumberFormat="1" applyFill="1" applyAlignment="1">
      <alignment horizontal="center"/>
    </xf>
    <xf numFmtId="37" fontId="10" fillId="6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2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/>
    </xf>
    <xf numFmtId="10" fontId="0" fillId="0" borderId="0" xfId="2" applyNumberFormat="1" applyFont="1" applyAlignment="1">
      <alignment horizontal="center" vertical="center"/>
    </xf>
    <xf numFmtId="0" fontId="9" fillId="0" borderId="24" xfId="0" applyFont="1" applyBorder="1" applyAlignment="1">
      <alignment horizontal="right"/>
    </xf>
    <xf numFmtId="3" fontId="0" fillId="0" borderId="24" xfId="0" applyNumberFormat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0" fillId="63" borderId="1" xfId="0" applyNumberFormat="1" applyFont="1" applyFill="1" applyBorder="1" applyAlignment="1">
      <alignment horizontal="center" vertical="center"/>
    </xf>
    <xf numFmtId="174" fontId="0" fillId="0" borderId="0" xfId="0" applyNumberFormat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4" borderId="30" xfId="0" applyNumberFormat="1" applyFont="1" applyFill="1" applyBorder="1" applyAlignment="1">
      <alignment horizontal="center"/>
    </xf>
    <xf numFmtId="37" fontId="0" fillId="0" borderId="0" xfId="0" applyNumberFormat="1"/>
    <xf numFmtId="3" fontId="9" fillId="64" borderId="0" xfId="0" applyNumberFormat="1" applyFont="1" applyFill="1" applyAlignment="1">
      <alignment horizontal="center"/>
    </xf>
    <xf numFmtId="3" fontId="0" fillId="64" borderId="0" xfId="0" applyNumberFormat="1" applyFill="1" applyAlignment="1">
      <alignment horizontal="center"/>
    </xf>
    <xf numFmtId="3" fontId="9" fillId="64" borderId="3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169" fontId="0" fillId="0" borderId="0" xfId="0" applyNumberFormat="1"/>
    <xf numFmtId="167" fontId="0" fillId="0" borderId="0" xfId="0" applyNumberFormat="1"/>
    <xf numFmtId="37" fontId="10" fillId="65" borderId="1" xfId="0" applyNumberFormat="1" applyFont="1" applyFill="1" applyBorder="1" applyAlignment="1">
      <alignment horizontal="center"/>
    </xf>
    <xf numFmtId="180" fontId="0" fillId="0" borderId="0" xfId="0" applyNumberFormat="1" applyAlignment="1">
      <alignment horizontal="center"/>
    </xf>
    <xf numFmtId="3" fontId="9" fillId="4" borderId="31" xfId="0" applyNumberFormat="1" applyFont="1" applyFill="1" applyBorder="1" applyAlignment="1">
      <alignment horizontal="center"/>
    </xf>
    <xf numFmtId="181" fontId="0" fillId="0" borderId="0" xfId="0" applyNumberFormat="1"/>
    <xf numFmtId="9" fontId="0" fillId="0" borderId="0" xfId="0" applyNumberFormat="1"/>
    <xf numFmtId="182" fontId="0" fillId="0" borderId="0" xfId="0" applyNumberFormat="1"/>
    <xf numFmtId="10" fontId="0" fillId="0" borderId="0" xfId="0" applyNumberFormat="1"/>
    <xf numFmtId="0" fontId="0" fillId="0" borderId="2" xfId="0" applyBorder="1"/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Continuous"/>
    </xf>
    <xf numFmtId="166" fontId="0" fillId="0" borderId="0" xfId="1" applyFont="1" applyFill="1" applyBorder="1" applyAlignment="1"/>
    <xf numFmtId="3" fontId="0" fillId="66" borderId="0" xfId="0" applyNumberFormat="1" applyFill="1" applyAlignment="1">
      <alignment horizontal="center" wrapText="1"/>
    </xf>
    <xf numFmtId="10" fontId="0" fillId="0" borderId="0" xfId="2" applyNumberFormat="1" applyFont="1" applyFill="1" applyBorder="1" applyAlignment="1"/>
    <xf numFmtId="172" fontId="0" fillId="0" borderId="0" xfId="1" applyNumberFormat="1" applyFont="1" applyFill="1" applyBorder="1" applyAlignment="1"/>
    <xf numFmtId="166" fontId="0" fillId="0" borderId="2" xfId="1" applyFont="1" applyFill="1" applyBorder="1" applyAlignment="1"/>
    <xf numFmtId="172" fontId="0" fillId="0" borderId="2" xfId="1" applyNumberFormat="1" applyFont="1" applyFill="1" applyBorder="1" applyAlignment="1"/>
    <xf numFmtId="183" fontId="0" fillId="0" borderId="0" xfId="0" applyNumberFormat="1"/>
    <xf numFmtId="37" fontId="10" fillId="67" borderId="1" xfId="0" applyNumberFormat="1" applyFont="1" applyFill="1" applyBorder="1" applyAlignment="1">
      <alignment horizontal="center"/>
    </xf>
    <xf numFmtId="166" fontId="0" fillId="0" borderId="0" xfId="1" applyFont="1"/>
    <xf numFmtId="172" fontId="0" fillId="0" borderId="0" xfId="1" applyNumberFormat="1" applyFont="1"/>
    <xf numFmtId="172" fontId="0" fillId="67" borderId="0" xfId="1" applyNumberFormat="1" applyFont="1" applyFill="1"/>
    <xf numFmtId="0" fontId="0" fillId="39" borderId="0" xfId="0" applyFill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8" fillId="0" borderId="0" xfId="0" applyFont="1" applyAlignment="1">
      <alignment horizontal="center"/>
    </xf>
  </cellXfs>
  <cellStyles count="1649">
    <cellStyle name="$" xfId="14" xr:uid="{00000000-0005-0000-0000-000000000000}"/>
    <cellStyle name="$.00" xfId="15" xr:uid="{00000000-0005-0000-0000-000001000000}"/>
    <cellStyle name="$_9. Rev2Cost_GDPIPI" xfId="16" xr:uid="{00000000-0005-0000-0000-000002000000}"/>
    <cellStyle name="$_lists" xfId="17" xr:uid="{00000000-0005-0000-0000-000003000000}"/>
    <cellStyle name="$_lists_4. Current Monthly Fixed Charge" xfId="18" xr:uid="{00000000-0005-0000-0000-000004000000}"/>
    <cellStyle name="$_Sheet4" xfId="19" xr:uid="{00000000-0005-0000-0000-000005000000}"/>
    <cellStyle name="$M" xfId="20" xr:uid="{00000000-0005-0000-0000-000006000000}"/>
    <cellStyle name="$M.00" xfId="21" xr:uid="{00000000-0005-0000-0000-000007000000}"/>
    <cellStyle name="$M_9. Rev2Cost_GDPIPI" xfId="22" xr:uid="{00000000-0005-0000-0000-000008000000}"/>
    <cellStyle name="20% - Accent1 10" xfId="104" xr:uid="{3FA1FFCA-BE3F-41A7-8993-95B3F773BA7C}"/>
    <cellStyle name="20% - Accent1 11" xfId="105" xr:uid="{5649297F-154B-4C02-A181-973285B19D7D}"/>
    <cellStyle name="20% - Accent1 12" xfId="106" xr:uid="{E383FC1D-9847-4DFF-966B-4A3C321502F6}"/>
    <cellStyle name="20% - Accent1 13" xfId="107" xr:uid="{1217E4AB-7DED-403D-A5CC-F233870FFAD1}"/>
    <cellStyle name="20% - Accent1 14" xfId="108" xr:uid="{94913466-AC2B-4CA2-A0C2-791B5ABBC469}"/>
    <cellStyle name="20% - Accent1 15" xfId="109" xr:uid="{8AB6D119-F782-40E6-9646-B552CB37096B}"/>
    <cellStyle name="20% - Accent1 16" xfId="769" xr:uid="{45FBF829-0047-4ADB-BC05-C028DF6644DA}"/>
    <cellStyle name="20% - Accent1 2" xfId="23" xr:uid="{00000000-0005-0000-0000-000009000000}"/>
    <cellStyle name="20% - Accent1 2 2" xfId="815" xr:uid="{1EAF84D8-4755-4733-849D-1BFF4F73BD94}"/>
    <cellStyle name="20% - Accent1 2 2 2" xfId="1585" xr:uid="{7089DDAD-30FE-43D1-A6B6-6696F1921C22}"/>
    <cellStyle name="20% - Accent1 2 3" xfId="110" xr:uid="{4A647E3F-96F3-4D22-89D1-F5D064BBDC62}"/>
    <cellStyle name="20% - Accent1 2 3 2" xfId="1618" xr:uid="{54F2DDC7-871E-4AAE-A9C8-03C7FEFF7255}"/>
    <cellStyle name="20% - Accent1 2 4" xfId="1549" xr:uid="{6498D3B7-D895-4F43-ACAE-CBC25968B0C0}"/>
    <cellStyle name="20% - Accent1 3" xfId="111" xr:uid="{BBBC7D0B-BD48-4D03-AA8A-2C01413CC7B2}"/>
    <cellStyle name="20% - Accent1 4" xfId="112" xr:uid="{967EE2E3-4945-4801-8E05-BC4B5DE50086}"/>
    <cellStyle name="20% - Accent1 5" xfId="113" xr:uid="{7E251424-5435-4D56-B08E-62A05FE87F7E}"/>
    <cellStyle name="20% - Accent1 6" xfId="114" xr:uid="{376DAE87-F0AA-4C7C-9983-5B8780A7A441}"/>
    <cellStyle name="20% - Accent1 7" xfId="115" xr:uid="{443E02D2-0543-42C4-875F-F2E9B3167F6C}"/>
    <cellStyle name="20% - Accent1 8" xfId="116" xr:uid="{E2A56F3A-271E-4A07-8608-251A3D42C601}"/>
    <cellStyle name="20% - Accent1 9" xfId="117" xr:uid="{2CB79A3F-4E62-4EAE-9F90-44BF93F1D182}"/>
    <cellStyle name="20% - Accent2 10" xfId="118" xr:uid="{6C190751-8BFA-4BAD-AFD5-DC099043E3FC}"/>
    <cellStyle name="20% - Accent2 11" xfId="119" xr:uid="{A10CC3DB-1218-4CDC-9E9D-72567D40C1B9}"/>
    <cellStyle name="20% - Accent2 12" xfId="120" xr:uid="{1EB12AEB-951A-4D60-87C9-8A7E59E24A01}"/>
    <cellStyle name="20% - Accent2 13" xfId="121" xr:uid="{473F8E8B-6183-4F6C-B892-4BD1091F10E0}"/>
    <cellStyle name="20% - Accent2 14" xfId="122" xr:uid="{13696E75-2D2C-4621-955F-23F7900D4AAA}"/>
    <cellStyle name="20% - Accent2 15" xfId="123" xr:uid="{F0E2D41A-B837-46EC-BBEA-2CAE487D301E}"/>
    <cellStyle name="20% - Accent2 16" xfId="770" xr:uid="{D6013404-A408-4AAB-80F1-09258BC9B437}"/>
    <cellStyle name="20% - Accent2 2" xfId="24" xr:uid="{00000000-0005-0000-0000-00000A000000}"/>
    <cellStyle name="20% - Accent2 2 2" xfId="819" xr:uid="{88E9716D-ED26-4B0C-B13D-E8B8E843EB65}"/>
    <cellStyle name="20% - Accent2 2 2 2" xfId="1587" xr:uid="{A07D000B-63F8-4381-8F55-D2158DEAC585}"/>
    <cellStyle name="20% - Accent2 2 3" xfId="124" xr:uid="{9A2CCDBD-6CEB-439D-8ED1-7C033D7D4909}"/>
    <cellStyle name="20% - Accent2 2 3 2" xfId="1620" xr:uid="{76DE2459-9BEA-46E7-BF77-DBCF127487BC}"/>
    <cellStyle name="20% - Accent2 2 4" xfId="1551" xr:uid="{E01A7A15-6DB9-43B1-8D8A-36D88C34E8CA}"/>
    <cellStyle name="20% - Accent2 3" xfId="125" xr:uid="{55000463-8A6F-4E5F-895F-1D6836E3F798}"/>
    <cellStyle name="20% - Accent2 4" xfId="126" xr:uid="{AF859086-CC51-40A1-9C3C-6366AA79F1FF}"/>
    <cellStyle name="20% - Accent2 5" xfId="127" xr:uid="{832429B3-E619-4DDA-B4A3-64363250CB45}"/>
    <cellStyle name="20% - Accent2 6" xfId="128" xr:uid="{B89B8E96-1DD4-4C95-A573-00A44AE3E0E0}"/>
    <cellStyle name="20% - Accent2 7" xfId="129" xr:uid="{7EE69995-BB3B-41D4-8136-EBAEC511BB7C}"/>
    <cellStyle name="20% - Accent2 8" xfId="130" xr:uid="{2725C661-C278-4344-B0A1-619B40DB1CEF}"/>
    <cellStyle name="20% - Accent2 9" xfId="131" xr:uid="{48AAB1AD-A964-4460-92AD-A040CBF8F10D}"/>
    <cellStyle name="20% - Accent3 10" xfId="132" xr:uid="{7ACE94B7-11FE-4305-941E-C0B5D6C40E5D}"/>
    <cellStyle name="20% - Accent3 11" xfId="133" xr:uid="{238C467B-9463-4905-866D-FE45FF0EE60B}"/>
    <cellStyle name="20% - Accent3 12" xfId="134" xr:uid="{442C9A86-B726-436B-A8EE-CBE9AFDBF4D7}"/>
    <cellStyle name="20% - Accent3 13" xfId="135" xr:uid="{2CD00547-C846-4ECE-B078-3A0B79C7A7F7}"/>
    <cellStyle name="20% - Accent3 14" xfId="136" xr:uid="{223898B6-3510-4569-AEE2-C0DBD9EC9E21}"/>
    <cellStyle name="20% - Accent3 15" xfId="137" xr:uid="{ECFD3754-2839-443F-93D6-2988AB81F926}"/>
    <cellStyle name="20% - Accent3 16" xfId="771" xr:uid="{12D4EFAA-CEF6-43E3-AECD-3B0EF030DC19}"/>
    <cellStyle name="20% - Accent3 2" xfId="25" xr:uid="{00000000-0005-0000-0000-00000B000000}"/>
    <cellStyle name="20% - Accent3 2 2" xfId="823" xr:uid="{BC8980A8-10CB-4C9B-80DC-B668AC15844F}"/>
    <cellStyle name="20% - Accent3 2 2 2" xfId="1589" xr:uid="{08C4068D-4012-4C4F-A4FE-0129FE1B9182}"/>
    <cellStyle name="20% - Accent3 2 3" xfId="138" xr:uid="{0A9F25B4-70CA-4082-AB6C-473346FA893F}"/>
    <cellStyle name="20% - Accent3 2 3 2" xfId="1622" xr:uid="{6D9E4497-9EB6-4B97-91BE-D818E8C0AFF1}"/>
    <cellStyle name="20% - Accent3 2 4" xfId="1553" xr:uid="{DA771738-C36E-41D2-A2E4-894437A3D247}"/>
    <cellStyle name="20% - Accent3 3" xfId="139" xr:uid="{FC3BB4A7-30D5-4C60-A940-C9F97270670D}"/>
    <cellStyle name="20% - Accent3 4" xfId="140" xr:uid="{9BFF5A1D-111E-40A5-846A-74F9CC4C6F78}"/>
    <cellStyle name="20% - Accent3 5" xfId="141" xr:uid="{6ED29ED2-D5FA-4F82-8DDE-AC56B37D1B7B}"/>
    <cellStyle name="20% - Accent3 6" xfId="142" xr:uid="{2EE88B77-B4ED-4224-8F5A-1F5F717E398A}"/>
    <cellStyle name="20% - Accent3 7" xfId="143" xr:uid="{7FE3F72A-B20C-4FA5-8174-BF46E31A47FA}"/>
    <cellStyle name="20% - Accent3 8" xfId="144" xr:uid="{26BDBDB6-96C4-4DE8-8498-1D3EDB6B5361}"/>
    <cellStyle name="20% - Accent3 9" xfId="145" xr:uid="{58ACF6E2-883C-4F05-A549-358FF04DE678}"/>
    <cellStyle name="20% - Accent4 10" xfId="146" xr:uid="{91A615A8-05D8-4E89-9B9D-40BB1EBF12DF}"/>
    <cellStyle name="20% - Accent4 11" xfId="147" xr:uid="{4BF0B27D-D287-4453-B607-E298CBF863AC}"/>
    <cellStyle name="20% - Accent4 12" xfId="148" xr:uid="{7B996A7E-4836-4E27-8B5A-D813B5202EE1}"/>
    <cellStyle name="20% - Accent4 13" xfId="149" xr:uid="{37B53B62-2DCD-4744-95D8-F12FA4004CB2}"/>
    <cellStyle name="20% - Accent4 14" xfId="150" xr:uid="{E09126FA-9152-4B23-9983-B1F228217BF6}"/>
    <cellStyle name="20% - Accent4 15" xfId="151" xr:uid="{2FAAE852-EEC6-4346-A0B9-174305E14DEC}"/>
    <cellStyle name="20% - Accent4 16" xfId="772" xr:uid="{85D136F8-EEB5-44EA-BB38-A6FEF4273F13}"/>
    <cellStyle name="20% - Accent4 2" xfId="26" xr:uid="{00000000-0005-0000-0000-00000C000000}"/>
    <cellStyle name="20% - Accent4 2 2" xfId="827" xr:uid="{D06E2F48-0918-4986-B898-28978AD07AFD}"/>
    <cellStyle name="20% - Accent4 2 2 2" xfId="1591" xr:uid="{BABAB920-5CE9-4824-B9B7-8C254707DBA8}"/>
    <cellStyle name="20% - Accent4 2 3" xfId="152" xr:uid="{628FC5C7-725D-4262-97F4-6C2D4880CC12}"/>
    <cellStyle name="20% - Accent4 2 3 2" xfId="1624" xr:uid="{1F438915-B1D6-4253-A49A-73B79C77A3E6}"/>
    <cellStyle name="20% - Accent4 2 4" xfId="1555" xr:uid="{89CF9E7C-B510-4722-919E-C2D754DA4997}"/>
    <cellStyle name="20% - Accent4 3" xfId="153" xr:uid="{67E18104-DDA9-43A1-8F21-8E27D7C24A4F}"/>
    <cellStyle name="20% - Accent4 4" xfId="154" xr:uid="{53918B96-84C3-4AA2-ABA4-AFB5DA482B70}"/>
    <cellStyle name="20% - Accent4 5" xfId="155" xr:uid="{03FA5905-9E5F-405E-AEB8-80E98202F63F}"/>
    <cellStyle name="20% - Accent4 6" xfId="156" xr:uid="{34A83AA0-64AF-4F94-A503-6B66AF786291}"/>
    <cellStyle name="20% - Accent4 7" xfId="157" xr:uid="{F133B68C-37B6-4046-B43A-51FDE6B78839}"/>
    <cellStyle name="20% - Accent4 8" xfId="158" xr:uid="{C6135576-4E9B-4065-8B00-004EF1FCA6D1}"/>
    <cellStyle name="20% - Accent4 9" xfId="159" xr:uid="{40EED231-805A-4BF5-97A3-F43A32E53F31}"/>
    <cellStyle name="20% - Accent5 10" xfId="160" xr:uid="{556A4AC5-934D-4EE2-937B-B4B7DFF7734B}"/>
    <cellStyle name="20% - Accent5 11" xfId="161" xr:uid="{A6203A92-BE82-4D71-B8FB-C8951C6F6557}"/>
    <cellStyle name="20% - Accent5 12" xfId="162" xr:uid="{B3C0FFAB-84FF-4C68-A0EA-EE0C344E5FE2}"/>
    <cellStyle name="20% - Accent5 13" xfId="163" xr:uid="{3EBDDB24-F2EE-474D-B752-BE8BE3DE5A38}"/>
    <cellStyle name="20% - Accent5 14" xfId="164" xr:uid="{27F55098-EFEC-46E3-BDA7-4277FDD475BC}"/>
    <cellStyle name="20% - Accent5 15" xfId="165" xr:uid="{04EFEFEB-0B30-4830-805D-7D5774D404E0}"/>
    <cellStyle name="20% - Accent5 16" xfId="773" xr:uid="{B58B696C-1AD8-4BE3-AD63-BCF4319CEA5A}"/>
    <cellStyle name="20% - Accent5 2" xfId="27" xr:uid="{00000000-0005-0000-0000-00000D000000}"/>
    <cellStyle name="20% - Accent5 2 2" xfId="831" xr:uid="{652E9BFD-81A6-4A19-BEF1-E7BFF3FAB0F1}"/>
    <cellStyle name="20% - Accent5 2 2 2" xfId="1593" xr:uid="{4AE6DEF4-F3EC-425B-8CDA-F19E7D3532C2}"/>
    <cellStyle name="20% - Accent5 2 3" xfId="166" xr:uid="{23D49ADB-2FF4-4148-9B22-B3C738EA11E9}"/>
    <cellStyle name="20% - Accent5 2 3 2" xfId="1626" xr:uid="{BD299D98-DE77-4417-8E64-941CAEE74941}"/>
    <cellStyle name="20% - Accent5 2 4" xfId="1558" xr:uid="{7F06C8FB-B421-4555-BD2B-9E1A2A0046C0}"/>
    <cellStyle name="20% - Accent5 3" xfId="167" xr:uid="{E98098AD-5A8D-48A7-8DE0-9ADC2266105D}"/>
    <cellStyle name="20% - Accent5 4" xfId="168" xr:uid="{1C1E91C7-7042-429F-B1C5-411ACF9CBBCF}"/>
    <cellStyle name="20% - Accent5 5" xfId="169" xr:uid="{422A26CC-E4B4-4336-AA0F-8359A04D7B83}"/>
    <cellStyle name="20% - Accent5 6" xfId="170" xr:uid="{1B4D09BC-54C5-442E-ADA7-412AA2DFD1A5}"/>
    <cellStyle name="20% - Accent5 7" xfId="171" xr:uid="{B4CFA23B-E802-4FB4-AB99-BD62BDE3BEB2}"/>
    <cellStyle name="20% - Accent5 8" xfId="172" xr:uid="{5B8A6E2A-2E41-4FF2-AEC8-5756A286555C}"/>
    <cellStyle name="20% - Accent5 9" xfId="173" xr:uid="{FF94B448-1F47-4F55-9AD1-ABAD8D916933}"/>
    <cellStyle name="20% - Accent6 10" xfId="174" xr:uid="{B0B014D6-3453-46F5-B2FE-B2959DF45DFB}"/>
    <cellStyle name="20% - Accent6 11" xfId="175" xr:uid="{AC3EC00E-9E37-44DC-9918-23252D168BF2}"/>
    <cellStyle name="20% - Accent6 12" xfId="176" xr:uid="{58693F19-3FFD-4B09-A291-A5F2514A84CD}"/>
    <cellStyle name="20% - Accent6 13" xfId="177" xr:uid="{3198F183-ADFC-4503-9E1D-F891D7E566AF}"/>
    <cellStyle name="20% - Accent6 14" xfId="178" xr:uid="{B60C7443-327B-4F8E-9518-15019205241A}"/>
    <cellStyle name="20% - Accent6 15" xfId="179" xr:uid="{45E4AECC-F318-4938-BD9F-65DC08E5D592}"/>
    <cellStyle name="20% - Accent6 16" xfId="774" xr:uid="{4F2E5720-5564-4734-A561-D6DED9723019}"/>
    <cellStyle name="20% - Accent6 2" xfId="28" xr:uid="{00000000-0005-0000-0000-00000E000000}"/>
    <cellStyle name="20% - Accent6 2 2" xfId="835" xr:uid="{E1ACEB4D-35CF-439A-A936-4E9FAADC3D97}"/>
    <cellStyle name="20% - Accent6 2 2 2" xfId="1595" xr:uid="{3075ADD5-0903-4333-B0D3-9D0A3F295BD3}"/>
    <cellStyle name="20% - Accent6 2 3" xfId="180" xr:uid="{23858E14-2CB1-44A7-B23D-E19C6229B1E9}"/>
    <cellStyle name="20% - Accent6 2 3 2" xfId="1628" xr:uid="{B0CF4784-D695-4E5F-9DB8-004F80EE0D0F}"/>
    <cellStyle name="20% - Accent6 2 4" xfId="1560" xr:uid="{704C47E1-284A-4BB6-BEBE-CAAE08985FEB}"/>
    <cellStyle name="20% - Accent6 3" xfId="181" xr:uid="{C954C1DA-9CC4-4F08-ADE4-65A5EFF632AE}"/>
    <cellStyle name="20% - Accent6 4" xfId="182" xr:uid="{D27369D7-1364-455F-97A9-5A80947173E2}"/>
    <cellStyle name="20% - Accent6 5" xfId="183" xr:uid="{66135377-1C7B-48AD-BBEB-E351F4E0F924}"/>
    <cellStyle name="20% - Accent6 6" xfId="184" xr:uid="{4389F928-9B8B-4D54-BEC3-08B3FBDA9B3F}"/>
    <cellStyle name="20% - Accent6 7" xfId="185" xr:uid="{C2867C10-48D2-4372-BA82-BD0E35CB215A}"/>
    <cellStyle name="20% - Accent6 8" xfId="186" xr:uid="{D841A974-F1F2-4713-A333-1804D458F962}"/>
    <cellStyle name="20% - Accent6 9" xfId="187" xr:uid="{6025B705-C6CF-44DA-AB4D-B4DE7650F5E3}"/>
    <cellStyle name="40% - Accent1 10" xfId="188" xr:uid="{B0E83834-BEB3-4CE3-97BF-242EE57722C5}"/>
    <cellStyle name="40% - Accent1 11" xfId="189" xr:uid="{B4A2DA17-1254-4028-8D4F-31196E952D02}"/>
    <cellStyle name="40% - Accent1 12" xfId="190" xr:uid="{5A5E40CA-9493-4F17-9194-C528CF9B1274}"/>
    <cellStyle name="40% - Accent1 13" xfId="191" xr:uid="{DFBCE186-3B79-43D4-9BFB-7D3DA7941470}"/>
    <cellStyle name="40% - Accent1 14" xfId="192" xr:uid="{AD3BC8B0-7404-4C7A-AD16-9753D6A66FD7}"/>
    <cellStyle name="40% - Accent1 15" xfId="193" xr:uid="{09743533-13AB-44D0-BB58-9017799A680D}"/>
    <cellStyle name="40% - Accent1 16" xfId="775" xr:uid="{3A388316-DEF4-42F9-ABDC-31C94B0C904F}"/>
    <cellStyle name="40% - Accent1 2" xfId="29" xr:uid="{00000000-0005-0000-0000-00000F000000}"/>
    <cellStyle name="40% - Accent1 2 2" xfId="816" xr:uid="{D5E74BFD-9148-4EE4-B593-8994D85408E0}"/>
    <cellStyle name="40% - Accent1 2 2 2" xfId="1586" xr:uid="{FDFCD76F-69D7-4CCF-8E96-F74921059EAF}"/>
    <cellStyle name="40% - Accent1 2 3" xfId="194" xr:uid="{452896B4-C918-4AB8-BF14-9E16F99BDB5A}"/>
    <cellStyle name="40% - Accent1 2 3 2" xfId="1619" xr:uid="{49E61076-1FAB-43BD-BDBC-ADD837D50EEF}"/>
    <cellStyle name="40% - Accent1 2 4" xfId="1550" xr:uid="{8A17BEDC-C7CC-45C2-A6C8-08155751422E}"/>
    <cellStyle name="40% - Accent1 3" xfId="195" xr:uid="{FBDA3C72-C9BF-4515-B12A-B99BEA22797E}"/>
    <cellStyle name="40% - Accent1 4" xfId="196" xr:uid="{7B5C1FE6-1EB8-4FDE-823F-5809E39BB777}"/>
    <cellStyle name="40% - Accent1 5" xfId="197" xr:uid="{EA059D40-C3A0-47F2-AA34-92AF78C5112C}"/>
    <cellStyle name="40% - Accent1 6" xfId="198" xr:uid="{18438076-76AD-4E68-A52D-25EFD9FD58CB}"/>
    <cellStyle name="40% - Accent1 7" xfId="199" xr:uid="{877D8177-7E96-445E-930E-4EAF5ACB4BC6}"/>
    <cellStyle name="40% - Accent1 8" xfId="200" xr:uid="{45082CB2-B4D3-45AF-8A37-0A1A6BBA137C}"/>
    <cellStyle name="40% - Accent1 9" xfId="201" xr:uid="{FD82306A-7FF0-4AD6-9E20-BB1960E1B9E5}"/>
    <cellStyle name="40% - Accent2 10" xfId="202" xr:uid="{DC766658-E04E-4781-9B3D-9FCA499DF540}"/>
    <cellStyle name="40% - Accent2 11" xfId="203" xr:uid="{6EE2C881-3B9E-4BFE-8D6B-74F958F42483}"/>
    <cellStyle name="40% - Accent2 12" xfId="204" xr:uid="{3A4FEACD-1098-4C34-8887-ED7EFF12A8C3}"/>
    <cellStyle name="40% - Accent2 13" xfId="205" xr:uid="{78FD4142-783D-47E9-961D-AD9F53A84A47}"/>
    <cellStyle name="40% - Accent2 14" xfId="206" xr:uid="{F3905C11-5C6E-407F-9FE4-C2BE4ED27FC1}"/>
    <cellStyle name="40% - Accent2 15" xfId="207" xr:uid="{275C7196-9270-4E11-819A-71265121EB4A}"/>
    <cellStyle name="40% - Accent2 16" xfId="776" xr:uid="{98D98272-F30D-416F-8B22-8ADB03B6A6FD}"/>
    <cellStyle name="40% - Accent2 2" xfId="30" xr:uid="{00000000-0005-0000-0000-000010000000}"/>
    <cellStyle name="40% - Accent2 2 2" xfId="820" xr:uid="{C2D10E15-E426-4108-B85B-6C7DE3C1A0B1}"/>
    <cellStyle name="40% - Accent2 2 2 2" xfId="1588" xr:uid="{188FA989-C024-4A9A-8007-A4C2294F2D65}"/>
    <cellStyle name="40% - Accent2 2 3" xfId="208" xr:uid="{AE931783-BF8A-406C-9218-F3BDF4370B32}"/>
    <cellStyle name="40% - Accent2 2 3 2" xfId="1621" xr:uid="{7432BC28-DB2D-42BF-BE7F-02BAE911AAEE}"/>
    <cellStyle name="40% - Accent2 2 4" xfId="1552" xr:uid="{D499B9C5-DE17-44A5-83B0-047E3D21F36B}"/>
    <cellStyle name="40% - Accent2 3" xfId="209" xr:uid="{AE954E18-8794-49A9-9415-299F014F3527}"/>
    <cellStyle name="40% - Accent2 4" xfId="210" xr:uid="{19745F1D-242C-4B9C-B9F3-916AFB931858}"/>
    <cellStyle name="40% - Accent2 5" xfId="211" xr:uid="{09233828-006D-4D7D-9EDF-A94417D6147F}"/>
    <cellStyle name="40% - Accent2 6" xfId="212" xr:uid="{04B1B4C5-A88C-4470-82AA-4DF8A01568D5}"/>
    <cellStyle name="40% - Accent2 7" xfId="213" xr:uid="{231EEF1F-0300-4BE4-85CE-ABBF696D4616}"/>
    <cellStyle name="40% - Accent2 8" xfId="214" xr:uid="{4D602BFD-5C21-4733-931F-D2C7D845F201}"/>
    <cellStyle name="40% - Accent2 9" xfId="215" xr:uid="{202359F1-545B-4030-8153-D7B0A55D1230}"/>
    <cellStyle name="40% - Accent3 10" xfId="216" xr:uid="{5878F044-561C-41C6-9C91-123ABCFDB6F3}"/>
    <cellStyle name="40% - Accent3 11" xfId="217" xr:uid="{0E1C3A02-FACD-48C2-B8F2-CBEDA32FEA63}"/>
    <cellStyle name="40% - Accent3 12" xfId="218" xr:uid="{205049EA-A559-4F65-9A9F-92C97EDD3397}"/>
    <cellStyle name="40% - Accent3 13" xfId="219" xr:uid="{A076CB8B-D8B6-4B16-86C2-8BDE586D8BF9}"/>
    <cellStyle name="40% - Accent3 14" xfId="220" xr:uid="{6E255168-72C6-47AA-AAE6-7EC8F79CB76F}"/>
    <cellStyle name="40% - Accent3 15" xfId="221" xr:uid="{3933DF1D-A360-4D2B-AE67-695AA53DA308}"/>
    <cellStyle name="40% - Accent3 16" xfId="777" xr:uid="{D2E2E13A-FC2E-4B8B-A8C3-A662CCA596DB}"/>
    <cellStyle name="40% - Accent3 2" xfId="31" xr:uid="{00000000-0005-0000-0000-000011000000}"/>
    <cellStyle name="40% - Accent3 2 2" xfId="824" xr:uid="{3FFE699D-FF22-4CD8-8F49-961EC3463774}"/>
    <cellStyle name="40% - Accent3 2 2 2" xfId="1590" xr:uid="{DE6EA67E-539E-4BFE-B115-3CAF6927CF67}"/>
    <cellStyle name="40% - Accent3 2 3" xfId="222" xr:uid="{CA5F1453-1410-43C5-A45C-F86291F2E44F}"/>
    <cellStyle name="40% - Accent3 2 3 2" xfId="1623" xr:uid="{3C60E394-618C-4F51-A5AC-31F4FDAF3678}"/>
    <cellStyle name="40% - Accent3 2 4" xfId="1554" xr:uid="{FF22FCF6-3DFD-469F-A56C-D7B00378EFF6}"/>
    <cellStyle name="40% - Accent3 3" xfId="223" xr:uid="{00545917-E985-4949-A135-C0069F2F5964}"/>
    <cellStyle name="40% - Accent3 4" xfId="224" xr:uid="{373FD863-FF50-420B-A6A3-4C553869201B}"/>
    <cellStyle name="40% - Accent3 5" xfId="225" xr:uid="{7B0301B7-EBBE-4B25-9875-AB0F581B3909}"/>
    <cellStyle name="40% - Accent3 6" xfId="226" xr:uid="{C97DF1CF-8857-464C-BF5B-4571AF10A22A}"/>
    <cellStyle name="40% - Accent3 7" xfId="227" xr:uid="{9ED2E067-CF4B-41D8-8695-210DD1ED4E22}"/>
    <cellStyle name="40% - Accent3 8" xfId="228" xr:uid="{D9516C01-C1C0-4BEA-AF36-6AC586D99DD9}"/>
    <cellStyle name="40% - Accent3 9" xfId="229" xr:uid="{1557B7B0-3521-4375-A1F2-1FCE64DA907E}"/>
    <cellStyle name="40% - Accent4 10" xfId="230" xr:uid="{FCC8DAE6-7C6C-4C69-83C0-E6494C8B087E}"/>
    <cellStyle name="40% - Accent4 11" xfId="231" xr:uid="{710562A4-BDAA-474B-8C7A-E4207F04BDF2}"/>
    <cellStyle name="40% - Accent4 12" xfId="232" xr:uid="{A8FC7048-3047-4266-997A-9AC419A602D4}"/>
    <cellStyle name="40% - Accent4 13" xfId="233" xr:uid="{2840B729-B5EE-4D9B-BDD5-DA990CC2D323}"/>
    <cellStyle name="40% - Accent4 14" xfId="234" xr:uid="{E21DA2E5-CA4F-4300-8540-BD274395AB98}"/>
    <cellStyle name="40% - Accent4 15" xfId="235" xr:uid="{5F076097-3A67-4408-A0B3-27E99AED263A}"/>
    <cellStyle name="40% - Accent4 16" xfId="778" xr:uid="{9C7A0D89-12CC-4951-A852-99B7293D9A6E}"/>
    <cellStyle name="40% - Accent4 2" xfId="32" xr:uid="{00000000-0005-0000-0000-000012000000}"/>
    <cellStyle name="40% - Accent4 2 2" xfId="828" xr:uid="{DE96DD59-C572-4829-9421-70ACC85D81E7}"/>
    <cellStyle name="40% - Accent4 2 2 2" xfId="1592" xr:uid="{8E8CEB07-B999-4ABE-A31A-BA8F1D368004}"/>
    <cellStyle name="40% - Accent4 2 3" xfId="236" xr:uid="{5FB646AB-A516-4BDF-BFE6-9741474BEB55}"/>
    <cellStyle name="40% - Accent4 2 3 2" xfId="1625" xr:uid="{303559DD-BB15-4F0D-9F93-71F277BF63D0}"/>
    <cellStyle name="40% - Accent4 2 4" xfId="1556" xr:uid="{5F637F9F-4AC8-48B4-9B58-68E4B0E18EC9}"/>
    <cellStyle name="40% - Accent4 3" xfId="237" xr:uid="{447B0CD2-53AC-46E0-9B9A-0E0BB08CFE6A}"/>
    <cellStyle name="40% - Accent4 4" xfId="238" xr:uid="{3B7BF122-F8C8-49C7-B305-63AE385C82DE}"/>
    <cellStyle name="40% - Accent4 5" xfId="239" xr:uid="{C4F3B33C-40F7-4211-86F9-2A5435ABE83C}"/>
    <cellStyle name="40% - Accent4 6" xfId="240" xr:uid="{3C1C6561-A7F6-422A-B8D6-2AE50DA1EF28}"/>
    <cellStyle name="40% - Accent4 7" xfId="241" xr:uid="{9F58035A-5FDA-42DA-AD9E-4290B130CD8D}"/>
    <cellStyle name="40% - Accent4 8" xfId="242" xr:uid="{F8347329-2424-479F-B0FB-36BB9B9677F2}"/>
    <cellStyle name="40% - Accent4 9" xfId="243" xr:uid="{A7A92B1F-77C3-466D-ADF9-21AFB314A7BB}"/>
    <cellStyle name="40% - Accent5 10" xfId="244" xr:uid="{81D1D75A-6C36-43A8-9C12-2A10964CFFB6}"/>
    <cellStyle name="40% - Accent5 11" xfId="245" xr:uid="{AB6006B8-9245-460E-9CFC-248A22873C75}"/>
    <cellStyle name="40% - Accent5 12" xfId="246" xr:uid="{39A08134-1E5A-4F3F-9E4C-749CA259A973}"/>
    <cellStyle name="40% - Accent5 13" xfId="247" xr:uid="{D157AAF2-DB8C-469C-BDED-CF9D6A27508D}"/>
    <cellStyle name="40% - Accent5 14" xfId="248" xr:uid="{E27E1984-D386-4E38-A113-807A7FC56898}"/>
    <cellStyle name="40% - Accent5 15" xfId="249" xr:uid="{36634722-E327-4BC0-9113-C77D84A48DC0}"/>
    <cellStyle name="40% - Accent5 16" xfId="779" xr:uid="{E29A45F4-D81A-4E2B-8C48-738596DD8264}"/>
    <cellStyle name="40% - Accent5 2" xfId="33" xr:uid="{00000000-0005-0000-0000-000013000000}"/>
    <cellStyle name="40% - Accent5 2 2" xfId="832" xr:uid="{3A0664EE-7C38-43B4-B8FD-5C6C0FC3BDE3}"/>
    <cellStyle name="40% - Accent5 2 2 2" xfId="1594" xr:uid="{7FF59556-460A-4210-94B8-13AE8C7EA909}"/>
    <cellStyle name="40% - Accent5 2 3" xfId="250" xr:uid="{F82C0BC5-6E74-4D55-9F8B-18ADB943D5E2}"/>
    <cellStyle name="40% - Accent5 2 3 2" xfId="1627" xr:uid="{CD8D4BD0-6AB3-4F96-BDA4-3DF56BB6BDE6}"/>
    <cellStyle name="40% - Accent5 2 4" xfId="1559" xr:uid="{23DDFA9C-3BAD-4889-81B1-1ADB24ACB357}"/>
    <cellStyle name="40% - Accent5 3" xfId="251" xr:uid="{BED4D3FC-DB10-446F-9B58-67F7BB355728}"/>
    <cellStyle name="40% - Accent5 4" xfId="252" xr:uid="{146C250D-9876-48CC-A43A-80CCE03EAF69}"/>
    <cellStyle name="40% - Accent5 5" xfId="253" xr:uid="{2E069F66-4FD1-485F-812E-2D334075FE3F}"/>
    <cellStyle name="40% - Accent5 6" xfId="254" xr:uid="{A67D1C26-A7E1-4249-8F0A-B74EE22C90FC}"/>
    <cellStyle name="40% - Accent5 7" xfId="255" xr:uid="{BB2E3FCE-8470-4A39-B0B0-06985E6FAF0C}"/>
    <cellStyle name="40% - Accent5 8" xfId="256" xr:uid="{CF48EE0B-3D9A-4E8D-BA4B-93DCA00AC744}"/>
    <cellStyle name="40% - Accent5 9" xfId="257" xr:uid="{EE2A0F91-D9F0-402D-A570-F1F403F262AD}"/>
    <cellStyle name="40% - Accent6 10" xfId="258" xr:uid="{063FF286-593A-43F4-A6A4-C5FAF1B7496C}"/>
    <cellStyle name="40% - Accent6 11" xfId="259" xr:uid="{3A0D6BD3-2517-47F4-ACF6-063BCFEA6422}"/>
    <cellStyle name="40% - Accent6 12" xfId="260" xr:uid="{AFAEDE9C-9F9B-4894-8747-392B027FD40C}"/>
    <cellStyle name="40% - Accent6 13" xfId="261" xr:uid="{66721FAF-ACD8-4D7A-ACA0-DE12C31F562A}"/>
    <cellStyle name="40% - Accent6 14" xfId="262" xr:uid="{24DC32D0-C8F7-4E3B-8854-2AA9EEB4903D}"/>
    <cellStyle name="40% - Accent6 15" xfId="263" xr:uid="{5D979095-49EC-40DE-9D27-4F2C3CF8FC56}"/>
    <cellStyle name="40% - Accent6 16" xfId="780" xr:uid="{D226C986-725A-4430-BB2E-923F5DB35BE0}"/>
    <cellStyle name="40% - Accent6 2" xfId="34" xr:uid="{00000000-0005-0000-0000-000014000000}"/>
    <cellStyle name="40% - Accent6 2 2" xfId="836" xr:uid="{55D6C8D3-8343-4C9B-AF9D-E057025C2BCB}"/>
    <cellStyle name="40% - Accent6 2 2 2" xfId="1596" xr:uid="{C49DF089-6320-497B-8554-472A9BDCE42F}"/>
    <cellStyle name="40% - Accent6 2 3" xfId="264" xr:uid="{66A8F444-729A-480D-91B8-2A2A0AEADE80}"/>
    <cellStyle name="40% - Accent6 2 3 2" xfId="1629" xr:uid="{068EBA13-23E2-42BC-B850-48EE2CA1B17F}"/>
    <cellStyle name="40% - Accent6 2 4" xfId="1561" xr:uid="{94B5F9E4-8293-4E34-BF06-542E69FD43F8}"/>
    <cellStyle name="40% - Accent6 3" xfId="265" xr:uid="{30099454-2072-4D8D-A920-2C35B492A4D9}"/>
    <cellStyle name="40% - Accent6 4" xfId="266" xr:uid="{CF27A3A7-120B-4E2B-8CD6-64D7A7BC6399}"/>
    <cellStyle name="40% - Accent6 5" xfId="267" xr:uid="{A557B3E1-5E14-4490-9399-C90860D40BF4}"/>
    <cellStyle name="40% - Accent6 6" xfId="268" xr:uid="{DF3145FD-ABB6-4AD0-A84E-8B8FE4DE779A}"/>
    <cellStyle name="40% - Accent6 7" xfId="269" xr:uid="{EBA005D8-ACE1-451A-98F8-07DA1AA4DB1D}"/>
    <cellStyle name="40% - Accent6 8" xfId="270" xr:uid="{4CB26E9C-9ECA-4043-A3A1-22AA5784988E}"/>
    <cellStyle name="40% - Accent6 9" xfId="271" xr:uid="{4CCF379F-2F25-4939-A225-C4B8453ECE3A}"/>
    <cellStyle name="60% - Accent1 10" xfId="272" xr:uid="{121D0AB9-CE72-4784-9393-8E3D367A5FC1}"/>
    <cellStyle name="60% - Accent1 11" xfId="273" xr:uid="{B7F2F6D3-662C-4B06-81D7-AA81CDFFE44C}"/>
    <cellStyle name="60% - Accent1 12" xfId="274" xr:uid="{CF0770D2-01E8-4E33-BAF7-91F084A95505}"/>
    <cellStyle name="60% - Accent1 13" xfId="275" xr:uid="{7CEC125A-2191-4C31-8E75-FA3AA08AF528}"/>
    <cellStyle name="60% - Accent1 14" xfId="276" xr:uid="{4F76651C-E0C6-4828-8638-CCE7CBEF79BC}"/>
    <cellStyle name="60% - Accent1 15" xfId="277" xr:uid="{8CA670D0-8B0E-4D89-B2A5-E65A4631E0D0}"/>
    <cellStyle name="60% - Accent1 16" xfId="781" xr:uid="{EE15427E-4B7D-46C4-A810-A0149D768BE3}"/>
    <cellStyle name="60% - Accent1 2" xfId="35" xr:uid="{00000000-0005-0000-0000-000015000000}"/>
    <cellStyle name="60% - Accent1 2 2" xfId="817" xr:uid="{DA53280A-48A4-4C8D-B351-917BE633AA11}"/>
    <cellStyle name="60% - Accent1 2 3" xfId="278" xr:uid="{B22BB10A-14FF-4849-A0B3-5F4CFF0AD886}"/>
    <cellStyle name="60% - Accent1 3" xfId="279" xr:uid="{F081065D-FB71-4871-914C-CE127F402382}"/>
    <cellStyle name="60% - Accent1 4" xfId="280" xr:uid="{B2DAFC0D-440B-4325-81DF-8AACD2800598}"/>
    <cellStyle name="60% - Accent1 5" xfId="281" xr:uid="{DC694C4B-078D-4F35-B8DF-EF8AD1F9CBB4}"/>
    <cellStyle name="60% - Accent1 6" xfId="282" xr:uid="{73B8B9D5-1E27-4E10-ADCD-1AB4364307CA}"/>
    <cellStyle name="60% - Accent1 7" xfId="283" xr:uid="{04916911-431D-4FD8-AEB9-9527C7EA90A5}"/>
    <cellStyle name="60% - Accent1 8" xfId="284" xr:uid="{BEC5E216-0D73-4287-B87E-A081C003DB91}"/>
    <cellStyle name="60% - Accent1 9" xfId="285" xr:uid="{6EC31DE2-92E7-4685-8893-10EC7B245FFB}"/>
    <cellStyle name="60% - Accent2 10" xfId="286" xr:uid="{5A4C17A8-4857-4C00-BAD5-907895B2A795}"/>
    <cellStyle name="60% - Accent2 11" xfId="287" xr:uid="{AAAB4EF6-1227-4703-935B-E1144856CDEB}"/>
    <cellStyle name="60% - Accent2 12" xfId="288" xr:uid="{C8E65D39-1F04-4C71-BC79-C3FD8B4C739D}"/>
    <cellStyle name="60% - Accent2 13" xfId="289" xr:uid="{75D766B4-751F-4E61-937A-B29967B28276}"/>
    <cellStyle name="60% - Accent2 14" xfId="290" xr:uid="{B6CBCFDE-2995-4D82-A44C-9F34B0AC89A7}"/>
    <cellStyle name="60% - Accent2 15" xfId="291" xr:uid="{FCB55BF2-48F1-4DF2-B95F-AE5172C28027}"/>
    <cellStyle name="60% - Accent2 16" xfId="782" xr:uid="{77D578A0-FD5A-49D6-94E0-3A5E3FFC73D9}"/>
    <cellStyle name="60% - Accent2 2" xfId="36" xr:uid="{00000000-0005-0000-0000-000016000000}"/>
    <cellStyle name="60% - Accent2 2 2" xfId="821" xr:uid="{0000B17A-C06A-4F22-907A-3FF328F00F86}"/>
    <cellStyle name="60% - Accent2 2 3" xfId="292" xr:uid="{958FB846-B3E0-48B1-98D9-EA000ED18435}"/>
    <cellStyle name="60% - Accent2 3" xfId="293" xr:uid="{1E6A68D4-E7D6-45D5-8321-239EECB71DBD}"/>
    <cellStyle name="60% - Accent2 4" xfId="294" xr:uid="{1AB2AFBD-AA6A-41C7-8244-42E5F5D3FD1C}"/>
    <cellStyle name="60% - Accent2 5" xfId="295" xr:uid="{1C19E159-F86C-42A9-ABE1-591CDBC84F90}"/>
    <cellStyle name="60% - Accent2 6" xfId="296" xr:uid="{9EE756B7-D35D-45CE-8233-30596E37DD24}"/>
    <cellStyle name="60% - Accent2 7" xfId="297" xr:uid="{4C09B745-4F30-4B03-BF81-47729DB3CF3A}"/>
    <cellStyle name="60% - Accent2 8" xfId="298" xr:uid="{B94AA458-577F-4CDE-9BE3-2EC500D97A78}"/>
    <cellStyle name="60% - Accent2 9" xfId="299" xr:uid="{669F84EE-6D47-4B43-95F9-E73081B36D62}"/>
    <cellStyle name="60% - Accent3 10" xfId="300" xr:uid="{E004A4EC-F1DD-46A4-B225-11995009ACD1}"/>
    <cellStyle name="60% - Accent3 11" xfId="301" xr:uid="{39BED4F6-819E-4365-8C8B-40178C8674D1}"/>
    <cellStyle name="60% - Accent3 12" xfId="302" xr:uid="{49B92048-6C3F-4A6B-B81F-749B819D0DE2}"/>
    <cellStyle name="60% - Accent3 13" xfId="303" xr:uid="{89E54486-4DB7-4A0E-807A-CC52AEC1AE84}"/>
    <cellStyle name="60% - Accent3 14" xfId="304" xr:uid="{3729815D-C0C0-44FE-B70F-512CB7FC63E9}"/>
    <cellStyle name="60% - Accent3 15" xfId="305" xr:uid="{E3BCEA63-A2DB-4B83-AC76-8977550F608C}"/>
    <cellStyle name="60% - Accent3 16" xfId="783" xr:uid="{CB624445-18FF-43B8-971E-E4297F509989}"/>
    <cellStyle name="60% - Accent3 2" xfId="37" xr:uid="{00000000-0005-0000-0000-000017000000}"/>
    <cellStyle name="60% - Accent3 2 2" xfId="825" xr:uid="{44DD17FD-58C8-4F15-8A99-9B8CF79411B3}"/>
    <cellStyle name="60% - Accent3 2 3" xfId="306" xr:uid="{D6AF060B-685D-4A0E-ADAF-C6E5982631E4}"/>
    <cellStyle name="60% - Accent3 3" xfId="307" xr:uid="{066235C4-8112-4190-9BB8-40460448C492}"/>
    <cellStyle name="60% - Accent3 4" xfId="308" xr:uid="{FB275DE9-577B-4B6B-B7EB-0300703382DB}"/>
    <cellStyle name="60% - Accent3 5" xfId="309" xr:uid="{21626179-22AF-4425-B3E3-D323B8D89A3B}"/>
    <cellStyle name="60% - Accent3 6" xfId="310" xr:uid="{F2DDA026-78E1-4C8D-A288-3C57E26AD150}"/>
    <cellStyle name="60% - Accent3 7" xfId="311" xr:uid="{83E38BA6-8E54-4ABC-91A3-3ED49925CD9D}"/>
    <cellStyle name="60% - Accent3 8" xfId="312" xr:uid="{26390211-D61D-45BF-BBC5-7FE49861737C}"/>
    <cellStyle name="60% - Accent3 9" xfId="313" xr:uid="{B612C642-70BE-4649-930A-BBD649C8A156}"/>
    <cellStyle name="60% - Accent4 10" xfId="314" xr:uid="{AAF16347-5166-4508-BA3F-D490E39D1490}"/>
    <cellStyle name="60% - Accent4 11" xfId="315" xr:uid="{EB04CC85-EF0F-448E-B94C-16E0F738326D}"/>
    <cellStyle name="60% - Accent4 12" xfId="316" xr:uid="{87018657-7442-4BF1-A854-F7EF377F7D05}"/>
    <cellStyle name="60% - Accent4 13" xfId="317" xr:uid="{9F1F49B9-CB22-4964-8A30-06E5D0B30654}"/>
    <cellStyle name="60% - Accent4 14" xfId="318" xr:uid="{AD06B357-9DA6-4627-8EC8-A5220D680CE6}"/>
    <cellStyle name="60% - Accent4 15" xfId="319" xr:uid="{361052E9-8026-4A4E-A7FB-42F9CB6ED48F}"/>
    <cellStyle name="60% - Accent4 16" xfId="784" xr:uid="{47C94269-E3DE-4187-8087-4B76933C7F34}"/>
    <cellStyle name="60% - Accent4 2" xfId="38" xr:uid="{00000000-0005-0000-0000-000018000000}"/>
    <cellStyle name="60% - Accent4 2 2" xfId="829" xr:uid="{9A15E3F0-3BDC-4AE9-A088-651919D69ED0}"/>
    <cellStyle name="60% - Accent4 2 3" xfId="320" xr:uid="{72D010D9-7502-45D0-B05F-B92BABA26233}"/>
    <cellStyle name="60% - Accent4 3" xfId="321" xr:uid="{ADFC752E-942C-43E0-BF1D-F592C797999E}"/>
    <cellStyle name="60% - Accent4 4" xfId="322" xr:uid="{55B6F08B-7D92-4A8E-B30C-65C9C70CD56A}"/>
    <cellStyle name="60% - Accent4 5" xfId="323" xr:uid="{62F88DA3-F11D-4E51-9969-77F5BDD6C53F}"/>
    <cellStyle name="60% - Accent4 6" xfId="324" xr:uid="{7155239E-D1BE-44CB-8A50-536C5CC3A744}"/>
    <cellStyle name="60% - Accent4 7" xfId="325" xr:uid="{D393407F-B740-4E6D-B506-76010AAD788B}"/>
    <cellStyle name="60% - Accent4 8" xfId="326" xr:uid="{66A852E5-31EB-4F6D-8728-E8A2B5CE781F}"/>
    <cellStyle name="60% - Accent4 9" xfId="327" xr:uid="{BA84BE9B-99F1-4CD6-9C7E-856F335BE3C2}"/>
    <cellStyle name="60% - Accent5 10" xfId="328" xr:uid="{A963E034-9E64-4E89-B8F0-F115F5AAA65A}"/>
    <cellStyle name="60% - Accent5 11" xfId="329" xr:uid="{904852EA-FFB1-47CB-AE94-51F5FBF89AAD}"/>
    <cellStyle name="60% - Accent5 12" xfId="330" xr:uid="{50A01703-8CA0-48E6-98FA-415610CB0F41}"/>
    <cellStyle name="60% - Accent5 13" xfId="331" xr:uid="{E0836346-B2E1-46BA-BA3D-166D1B4193B2}"/>
    <cellStyle name="60% - Accent5 14" xfId="332" xr:uid="{31B79357-0BC4-418C-8617-8F732A50488E}"/>
    <cellStyle name="60% - Accent5 15" xfId="333" xr:uid="{4561D9AC-BAD1-4061-9A9F-6F4CC6D8E7BC}"/>
    <cellStyle name="60% - Accent5 16" xfId="785" xr:uid="{62921C0F-003F-4EB3-82B7-62379FA6FA2F}"/>
    <cellStyle name="60% - Accent5 2" xfId="39" xr:uid="{00000000-0005-0000-0000-000019000000}"/>
    <cellStyle name="60% - Accent5 2 2" xfId="833" xr:uid="{81D9616E-F32A-4263-8427-204776A10764}"/>
    <cellStyle name="60% - Accent5 2 3" xfId="334" xr:uid="{2B160FDD-523E-44FA-BBF2-A885ABBFA819}"/>
    <cellStyle name="60% - Accent5 3" xfId="335" xr:uid="{228875CA-4A37-4DD6-B065-693F85C8A0B2}"/>
    <cellStyle name="60% - Accent5 4" xfId="336" xr:uid="{03B501A0-8915-47F7-989C-079DCC58520A}"/>
    <cellStyle name="60% - Accent5 5" xfId="337" xr:uid="{DBBAEAE6-E755-4C0F-8909-F7E95E331556}"/>
    <cellStyle name="60% - Accent5 6" xfId="338" xr:uid="{6CBDED8D-5F78-4A1E-8FDF-5124269990F2}"/>
    <cellStyle name="60% - Accent5 7" xfId="339" xr:uid="{BA493134-E102-4C9E-BCA2-4E827A30352D}"/>
    <cellStyle name="60% - Accent5 8" xfId="340" xr:uid="{E5CCAB94-2F4B-4054-831E-E7E2F9CD2073}"/>
    <cellStyle name="60% - Accent5 9" xfId="341" xr:uid="{3B976BA8-CF6A-4E3E-8FE9-9FE1A613DF8A}"/>
    <cellStyle name="60% - Accent6 10" xfId="342" xr:uid="{DC2C7613-3F0A-49D1-AD17-3285665FC348}"/>
    <cellStyle name="60% - Accent6 11" xfId="343" xr:uid="{8EB07F71-F72B-44EE-A412-CA0C9E9CCEB9}"/>
    <cellStyle name="60% - Accent6 12" xfId="344" xr:uid="{CEA9548B-BB37-42BD-8290-27DFFFF7464D}"/>
    <cellStyle name="60% - Accent6 13" xfId="345" xr:uid="{05E0F87D-45F8-4B63-A506-191888AD78D6}"/>
    <cellStyle name="60% - Accent6 14" xfId="346" xr:uid="{EDB37D45-0450-4071-AD0E-5EF631CD35AC}"/>
    <cellStyle name="60% - Accent6 15" xfId="347" xr:uid="{6C7DF8D5-D93F-4C3F-8A1B-B840732D2150}"/>
    <cellStyle name="60% - Accent6 16" xfId="786" xr:uid="{AC620523-7C15-4129-8994-447C11F011E2}"/>
    <cellStyle name="60% - Accent6 2" xfId="40" xr:uid="{00000000-0005-0000-0000-00001A000000}"/>
    <cellStyle name="60% - Accent6 2 2" xfId="837" xr:uid="{C211F60E-4F1E-462D-90B1-D1C59A7CA834}"/>
    <cellStyle name="60% - Accent6 2 3" xfId="348" xr:uid="{8FEDC37A-83AA-453F-B9D4-61E8375107AA}"/>
    <cellStyle name="60% - Accent6 3" xfId="349" xr:uid="{A63D4885-BA94-4853-A7BD-AFFFAC1920B8}"/>
    <cellStyle name="60% - Accent6 4" xfId="350" xr:uid="{8A3CFC16-1705-4DF2-8A6F-AA9875D68BA0}"/>
    <cellStyle name="60% - Accent6 5" xfId="351" xr:uid="{DB292F6C-AB35-4BEF-B436-04DCF7815BDF}"/>
    <cellStyle name="60% - Accent6 6" xfId="352" xr:uid="{5024521E-5F69-4CDE-8085-03959B8B9E73}"/>
    <cellStyle name="60% - Accent6 7" xfId="353" xr:uid="{A2573E77-FB71-4184-9A07-0F342EA9BCFD}"/>
    <cellStyle name="60% - Accent6 8" xfId="354" xr:uid="{FF57B009-A40C-4C40-AD15-1BD3894F9A34}"/>
    <cellStyle name="60% - Accent6 9" xfId="355" xr:uid="{7F460525-0B9B-431B-AC5C-1E2EE8771FBF}"/>
    <cellStyle name="Accent1 10" xfId="356" xr:uid="{5D702F71-5298-448D-95F3-3C43CD194A53}"/>
    <cellStyle name="Accent1 11" xfId="357" xr:uid="{85567DA3-A5FA-4720-9124-13817F6F24CF}"/>
    <cellStyle name="Accent1 12" xfId="358" xr:uid="{9F8CB846-DD76-474F-9C05-DE4B0B7C6A62}"/>
    <cellStyle name="Accent1 13" xfId="359" xr:uid="{D44710D6-FEB4-4B8E-AA73-202B4284C3C8}"/>
    <cellStyle name="Accent1 14" xfId="360" xr:uid="{422053BA-6D94-4F2E-A1B1-ABAC4525B803}"/>
    <cellStyle name="Accent1 15" xfId="361" xr:uid="{A1875704-5ECE-4612-9772-19904B18B858}"/>
    <cellStyle name="Accent1 16" xfId="787" xr:uid="{A97D7B3B-83A4-460F-AF58-77C7E8A85F3B}"/>
    <cellStyle name="Accent1 2" xfId="41" xr:uid="{00000000-0005-0000-0000-00001B000000}"/>
    <cellStyle name="Accent1 2 2" xfId="814" xr:uid="{D8C6A5BA-9C94-42E7-B238-00124BC1E5B7}"/>
    <cellStyle name="Accent1 2 3" xfId="362" xr:uid="{A8C6951A-18E5-4626-BFDA-A274AA07EA64}"/>
    <cellStyle name="Accent1 3" xfId="363" xr:uid="{A7AD30D4-1F8B-4798-A5E8-B007655B61F5}"/>
    <cellStyle name="Accent1 4" xfId="364" xr:uid="{F70D2A21-5E75-427B-9A49-C7879FEFE499}"/>
    <cellStyle name="Accent1 5" xfId="365" xr:uid="{195574B9-FA2C-4D0E-80EC-E9D2B3E99470}"/>
    <cellStyle name="Accent1 6" xfId="366" xr:uid="{35A9CE23-BAE9-4556-9CF8-319451A6CC0B}"/>
    <cellStyle name="Accent1 7" xfId="367" xr:uid="{A92F728B-D892-42C5-9F6B-7F264DED586E}"/>
    <cellStyle name="Accent1 8" xfId="368" xr:uid="{C2C70A46-7D76-4ED2-BEF2-B25DB1E2677B}"/>
    <cellStyle name="Accent1 9" xfId="369" xr:uid="{294B5A8D-A5E3-4272-8D09-3F68D8E68C21}"/>
    <cellStyle name="Accent2 10" xfId="370" xr:uid="{84FF7D4D-1E1C-4BE7-8B9F-039C2BC638A9}"/>
    <cellStyle name="Accent2 11" xfId="371" xr:uid="{843D242C-4647-4C9E-90FD-AE74BE489C3A}"/>
    <cellStyle name="Accent2 12" xfId="372" xr:uid="{603FEADC-D8F0-43D7-89C7-CC59CBF7E923}"/>
    <cellStyle name="Accent2 13" xfId="373" xr:uid="{4B6FC0B0-2125-4593-A694-6D0F2E126E5F}"/>
    <cellStyle name="Accent2 14" xfId="374" xr:uid="{B6DC7C0E-30F8-402E-BF60-5FCEC289BFE8}"/>
    <cellStyle name="Accent2 15" xfId="375" xr:uid="{89B64ED2-BDD2-4F72-A4CB-9C8121043CEC}"/>
    <cellStyle name="Accent2 16" xfId="788" xr:uid="{0F01D3EA-A884-46AF-AF28-8FBCB7DB4F43}"/>
    <cellStyle name="Accent2 2" xfId="42" xr:uid="{00000000-0005-0000-0000-00001C000000}"/>
    <cellStyle name="Accent2 2 2" xfId="818" xr:uid="{F4A32345-D18B-422B-9E95-E9D6BCBFA8DE}"/>
    <cellStyle name="Accent2 2 3" xfId="376" xr:uid="{658ACFBF-F8A5-46A6-A4A8-BB00CA5F6D24}"/>
    <cellStyle name="Accent2 3" xfId="377" xr:uid="{0E04D4DB-0043-4EF3-B1DE-89D122024744}"/>
    <cellStyle name="Accent2 4" xfId="378" xr:uid="{ABEA153E-575F-4599-8F2D-CDDDE8620568}"/>
    <cellStyle name="Accent2 5" xfId="379" xr:uid="{B6F33499-F77A-45F7-88AF-FED3701ABE51}"/>
    <cellStyle name="Accent2 6" xfId="380" xr:uid="{3C76C1D3-42D0-4088-9FDA-A18118ACC297}"/>
    <cellStyle name="Accent2 7" xfId="381" xr:uid="{FEC8E6FD-689B-4A71-A528-6A8837063972}"/>
    <cellStyle name="Accent2 8" xfId="382" xr:uid="{A356D243-8855-4D71-ADEC-7D7F568976C0}"/>
    <cellStyle name="Accent2 9" xfId="383" xr:uid="{505F449A-057A-4060-B5A3-641E3DC0385C}"/>
    <cellStyle name="Accent3 10" xfId="384" xr:uid="{45E2612A-F1E5-49CF-9998-716AE4C7E2F0}"/>
    <cellStyle name="Accent3 11" xfId="385" xr:uid="{951959F2-B7B1-44C7-9976-25CD33D5BCBE}"/>
    <cellStyle name="Accent3 12" xfId="386" xr:uid="{0CF52F73-80A2-426A-AD4F-B3553621461F}"/>
    <cellStyle name="Accent3 13" xfId="387" xr:uid="{31A39ED5-FA8D-421D-9FFA-5B9ACD37FF6B}"/>
    <cellStyle name="Accent3 14" xfId="388" xr:uid="{A947A20A-8F2B-4C56-BF86-4257791EADE9}"/>
    <cellStyle name="Accent3 15" xfId="389" xr:uid="{D41435EB-6E64-4382-8481-BF9E91CBCF12}"/>
    <cellStyle name="Accent3 16" xfId="789" xr:uid="{C8733DC0-B5E6-4232-9A49-46F93C0D4E4F}"/>
    <cellStyle name="Accent3 2" xfId="43" xr:uid="{00000000-0005-0000-0000-00001D000000}"/>
    <cellStyle name="Accent3 2 2" xfId="822" xr:uid="{B60E2D03-5380-4C79-985E-C82533A9F749}"/>
    <cellStyle name="Accent3 2 3" xfId="390" xr:uid="{2CBCA5EE-BE77-4470-897F-E80E0D5DF163}"/>
    <cellStyle name="Accent3 3" xfId="391" xr:uid="{7E5E41E5-0AAC-4B04-8490-B57402A0F4BA}"/>
    <cellStyle name="Accent3 4" xfId="392" xr:uid="{F95D2CCE-8F67-4454-A2EA-427DF7044C56}"/>
    <cellStyle name="Accent3 5" xfId="393" xr:uid="{904401F1-D588-4BF1-8332-30B44D2882A5}"/>
    <cellStyle name="Accent3 6" xfId="394" xr:uid="{51445725-488F-4395-9089-4CD2E9935CCB}"/>
    <cellStyle name="Accent3 7" xfId="395" xr:uid="{87034619-7FBA-4BB6-9FD6-0BA43CF303E0}"/>
    <cellStyle name="Accent3 8" xfId="396" xr:uid="{95F92697-F1BE-4802-8AD6-BB4B4CC0E381}"/>
    <cellStyle name="Accent3 9" xfId="397" xr:uid="{1DC0A8BC-6398-46E9-BA7D-385A0F1E2629}"/>
    <cellStyle name="Accent4 10" xfId="398" xr:uid="{0846C6B3-8DC3-40E9-B253-B876D99D423F}"/>
    <cellStyle name="Accent4 11" xfId="399" xr:uid="{AA8A6EFE-68D5-4939-8663-F4C12ECA1874}"/>
    <cellStyle name="Accent4 12" xfId="400" xr:uid="{BCCE4523-5EAE-4B0A-A908-B2BEF07910AA}"/>
    <cellStyle name="Accent4 13" xfId="401" xr:uid="{BE8BA843-2C3B-498E-AA84-AF0EEA4A9D08}"/>
    <cellStyle name="Accent4 14" xfId="402" xr:uid="{2942FC04-1DCE-4A87-932C-CDFCD7D8C80D}"/>
    <cellStyle name="Accent4 15" xfId="403" xr:uid="{CA723D49-D18A-40A2-B08B-E9563211ABCA}"/>
    <cellStyle name="Accent4 16" xfId="871" xr:uid="{A6928AFA-45D5-4ECE-B72F-01121C16BFEF}"/>
    <cellStyle name="Accent4 2" xfId="44" xr:uid="{00000000-0005-0000-0000-00001E000000}"/>
    <cellStyle name="Accent4 2 2" xfId="826" xr:uid="{46F873C4-B866-4F77-AF9B-F232FFBB5B98}"/>
    <cellStyle name="Accent4 2 3" xfId="404" xr:uid="{975A9701-FA0E-4A13-B8DD-CDF2819CD5A2}"/>
    <cellStyle name="Accent4 3" xfId="405" xr:uid="{5B4974FB-59DB-46B5-BB8E-1D441665E735}"/>
    <cellStyle name="Accent4 4" xfId="406" xr:uid="{F373D766-E62C-4E35-B388-048F69949A2A}"/>
    <cellStyle name="Accent4 5" xfId="407" xr:uid="{2737E294-DCBF-46EF-86B0-FE5C12C02CAA}"/>
    <cellStyle name="Accent4 6" xfId="408" xr:uid="{107DD55B-0855-48BB-8177-89B07261A147}"/>
    <cellStyle name="Accent4 7" xfId="409" xr:uid="{0B450E02-87F3-46FC-ABCF-14FF49675432}"/>
    <cellStyle name="Accent4 8" xfId="410" xr:uid="{FA4F0027-AB48-4607-A2C9-2F6DFA011570}"/>
    <cellStyle name="Accent4 9" xfId="411" xr:uid="{8B350769-DEE4-4AA9-9969-CF5914B7C43B}"/>
    <cellStyle name="Accent5 10" xfId="412" xr:uid="{64E3DEE8-54E1-4E9F-815B-D01BC9343BE8}"/>
    <cellStyle name="Accent5 11" xfId="413" xr:uid="{A1144569-983B-49D4-97FA-47DD60DF1F94}"/>
    <cellStyle name="Accent5 12" xfId="414" xr:uid="{562878AE-DB2E-4827-8199-027B77329B98}"/>
    <cellStyle name="Accent5 13" xfId="415" xr:uid="{EE017235-1C02-41B2-8D9B-E1885733A643}"/>
    <cellStyle name="Accent5 14" xfId="416" xr:uid="{B350A851-0856-4638-8406-23D404FCD8BF}"/>
    <cellStyle name="Accent5 15" xfId="417" xr:uid="{00914131-44F1-47F6-A633-AF50C11D9247}"/>
    <cellStyle name="Accent5 16" xfId="866" xr:uid="{6554CF10-4167-4B33-BF47-88337BEAA272}"/>
    <cellStyle name="Accent5 2" xfId="45" xr:uid="{00000000-0005-0000-0000-00001F000000}"/>
    <cellStyle name="Accent5 2 2" xfId="830" xr:uid="{7569D6EC-EB2F-4158-AB54-D4F60CF9ED0B}"/>
    <cellStyle name="Accent5 2 3" xfId="418" xr:uid="{5179EA49-A272-41FC-993B-E4F55677CBC9}"/>
    <cellStyle name="Accent5 3" xfId="419" xr:uid="{2D1C5A73-024B-4C15-B18B-3D645AB7F0C1}"/>
    <cellStyle name="Accent5 4" xfId="420" xr:uid="{6800D9EF-155D-4AE6-942B-0EED17109F2A}"/>
    <cellStyle name="Accent5 5" xfId="421" xr:uid="{7270F192-3905-4544-A9C9-2686AF21939D}"/>
    <cellStyle name="Accent5 6" xfId="422" xr:uid="{55C18A12-D324-472C-9022-BE401BF33F42}"/>
    <cellStyle name="Accent5 7" xfId="423" xr:uid="{671DBB28-BAA0-4308-95F0-4DE0137BDC9E}"/>
    <cellStyle name="Accent5 8" xfId="424" xr:uid="{6679B65E-5BFB-4FE7-8ADE-052325510415}"/>
    <cellStyle name="Accent5 9" xfId="425" xr:uid="{12E34B9E-05B6-4F21-A899-0C0A36736E6C}"/>
    <cellStyle name="Accent6 10" xfId="426" xr:uid="{5732E225-880B-4B24-BD7E-92655A9BE055}"/>
    <cellStyle name="Accent6 11" xfId="427" xr:uid="{FE1FB0D1-F152-4328-9B56-1AAF63E4E7EC}"/>
    <cellStyle name="Accent6 12" xfId="428" xr:uid="{9F90447A-26B8-4B1E-9139-D9E47F0344C5}"/>
    <cellStyle name="Accent6 13" xfId="429" xr:uid="{A7359480-AD64-405B-8B54-22F2CDC03D6B}"/>
    <cellStyle name="Accent6 14" xfId="430" xr:uid="{5DADB6C9-F700-4288-B5EE-846044C5E251}"/>
    <cellStyle name="Accent6 15" xfId="431" xr:uid="{2F5D5605-A8B0-44BB-AFAB-DEE06114F71F}"/>
    <cellStyle name="Accent6 16" xfId="870" xr:uid="{DC8A7880-3A36-41A4-A73A-F9DB1A061A43}"/>
    <cellStyle name="Accent6 2" xfId="46" xr:uid="{00000000-0005-0000-0000-000020000000}"/>
    <cellStyle name="Accent6 2 2" xfId="834" xr:uid="{3B96CDD7-EE3D-42E0-BFB4-03DD4B8BBD24}"/>
    <cellStyle name="Accent6 2 3" xfId="432" xr:uid="{A6EF0BCD-1951-4469-A103-C10605D9C201}"/>
    <cellStyle name="Accent6 3" xfId="433" xr:uid="{937A6A4B-0827-42B7-94E1-ED48F95052E5}"/>
    <cellStyle name="Accent6 4" xfId="434" xr:uid="{02437E66-BCE1-4A90-A9A2-DA098689900A}"/>
    <cellStyle name="Accent6 5" xfId="435" xr:uid="{577460C7-DC19-4713-88DB-4CA0D0F9C622}"/>
    <cellStyle name="Accent6 6" xfId="436" xr:uid="{D59A24A9-41A8-46BF-B9B3-6D69CD3561C7}"/>
    <cellStyle name="Accent6 7" xfId="437" xr:uid="{8CBEE71B-01B1-4BCD-B271-33421739FAFD}"/>
    <cellStyle name="Accent6 8" xfId="438" xr:uid="{B7D34C19-695B-432D-910D-448C2F6E7189}"/>
    <cellStyle name="Accent6 9" xfId="439" xr:uid="{9FD4DBF2-7929-4247-B3EE-5DBD075A23D5}"/>
    <cellStyle name="Bad 10" xfId="440" xr:uid="{566576D2-7204-4BE5-8BDC-957672F81708}"/>
    <cellStyle name="Bad 11" xfId="441" xr:uid="{559A247D-7B62-4A49-9CF0-FBF489CDC04A}"/>
    <cellStyle name="Bad 12" xfId="442" xr:uid="{BF16EEDD-25D2-4EA4-8E63-E658C7170B27}"/>
    <cellStyle name="Bad 13" xfId="443" xr:uid="{98093839-534A-40C9-93AC-6ED13E1668EA}"/>
    <cellStyle name="Bad 14" xfId="444" xr:uid="{BBFC7792-30AF-4045-8C74-F38D575C7A15}"/>
    <cellStyle name="Bad 15" xfId="445" xr:uid="{4C1240DB-66C6-4BAB-8C54-D3C7417CC4C7}"/>
    <cellStyle name="Bad 16" xfId="855" xr:uid="{B7F14968-FE81-46C2-9311-818578C2F573}"/>
    <cellStyle name="Bad 2" xfId="47" xr:uid="{00000000-0005-0000-0000-000021000000}"/>
    <cellStyle name="Bad 2 2" xfId="803" xr:uid="{74E993D3-BC7E-4377-88D7-775701107076}"/>
    <cellStyle name="Bad 2 3" xfId="446" xr:uid="{41A6028F-ABDC-42B2-A98C-558E769DDBB8}"/>
    <cellStyle name="Bad 3" xfId="447" xr:uid="{D76F6138-44C3-441E-875B-A4F2C607CE4C}"/>
    <cellStyle name="Bad 4" xfId="448" xr:uid="{85042327-E6F6-4E0C-A834-E27C1FB2195B}"/>
    <cellStyle name="Bad 5" xfId="449" xr:uid="{71EA3BCB-4953-42EF-A94D-10BF71005792}"/>
    <cellStyle name="Bad 6" xfId="450" xr:uid="{EBC9A3A2-CE6B-425B-A05F-6EAEE22CBFDA}"/>
    <cellStyle name="Bad 7" xfId="451" xr:uid="{0243F4B2-A7ED-47C9-8377-E8C0C97F2BB8}"/>
    <cellStyle name="Bad 8" xfId="452" xr:uid="{5A3E1F77-EF22-4CCE-BC13-7D962668A6D2}"/>
    <cellStyle name="Bad 9" xfId="453" xr:uid="{E5DAD6C6-2824-45DA-A0AF-07DD62140BD5}"/>
    <cellStyle name="Calculation 10" xfId="454" xr:uid="{B082A5D2-CBF8-447D-9EFD-F50F2FC0995D}"/>
    <cellStyle name="Calculation 11" xfId="455" xr:uid="{47971860-E666-4C29-97F9-161A08A9FF1E}"/>
    <cellStyle name="Calculation 12" xfId="456" xr:uid="{2FC89415-36AF-4353-B5B7-78192B53DA51}"/>
    <cellStyle name="Calculation 13" xfId="457" xr:uid="{726743D5-765F-4053-A7B0-CF1E385961A9}"/>
    <cellStyle name="Calculation 14" xfId="458" xr:uid="{E82CFC78-EA29-42A0-8624-BC3BB0C4CF1B}"/>
    <cellStyle name="Calculation 15" xfId="459" xr:uid="{599CDEE9-E7D5-4FCC-9B2A-54F4711FE356}"/>
    <cellStyle name="Calculation 16" xfId="790" xr:uid="{712A35D0-6342-4FA3-89E2-CC72CF61E961}"/>
    <cellStyle name="Calculation 17" xfId="1536" xr:uid="{2EDE4944-FD14-46AE-8D88-08C84DBAA993}"/>
    <cellStyle name="Calculation 18" xfId="1539" xr:uid="{B43EC870-A144-4BBF-BFA9-B9480390D328}"/>
    <cellStyle name="Calculation 2" xfId="48" xr:uid="{00000000-0005-0000-0000-000022000000}"/>
    <cellStyle name="Calculation 2 2" xfId="807" xr:uid="{B42AAE89-5EA0-4B4D-BAFF-47773D7B4CFD}"/>
    <cellStyle name="Calculation 2 3" xfId="460" xr:uid="{C4C74B5B-8AE0-4EC3-9C78-1196B7B6FD0D}"/>
    <cellStyle name="Calculation 3" xfId="461" xr:uid="{1F8CEF80-6E40-44C7-B96B-7343048F4087}"/>
    <cellStyle name="Calculation 4" xfId="462" xr:uid="{701D28DE-684A-499C-A8BF-54C60C03DEAE}"/>
    <cellStyle name="Calculation 5" xfId="463" xr:uid="{408654D6-6674-41DB-91CE-F0969FF2081D}"/>
    <cellStyle name="Calculation 6" xfId="464" xr:uid="{5D482EDF-5266-43FF-9B1C-CBC5E37E3E6E}"/>
    <cellStyle name="Calculation 7" xfId="465" xr:uid="{083EBA3B-C5DE-464E-A820-DEC2E0B9B615}"/>
    <cellStyle name="Calculation 8" xfId="466" xr:uid="{B78FAE0F-4228-4CAA-8791-909755D8B289}"/>
    <cellStyle name="Calculation 9" xfId="467" xr:uid="{51BC4678-9144-4C80-A553-F021F0AAEB43}"/>
    <cellStyle name="Check Cell 10" xfId="468" xr:uid="{997FE835-F944-429F-9F23-526FFEECE3BE}"/>
    <cellStyle name="Check Cell 11" xfId="469" xr:uid="{DF114F21-C2B3-403B-B0D3-2CC3E61E0EE8}"/>
    <cellStyle name="Check Cell 12" xfId="470" xr:uid="{339E30AC-96AA-4CBD-A482-6CC6FCE29AC4}"/>
    <cellStyle name="Check Cell 13" xfId="471" xr:uid="{76D427B1-8257-473F-9191-F6852C679A79}"/>
    <cellStyle name="Check Cell 14" xfId="472" xr:uid="{3EBAAF24-5E78-4BDD-AFFE-0605609C6746}"/>
    <cellStyle name="Check Cell 15" xfId="473" xr:uid="{E29C7AF3-6982-4C26-A85C-9CC17498033A}"/>
    <cellStyle name="Check Cell 16" xfId="851" xr:uid="{DA86EF6C-96DC-4468-A9D7-A2B132A5CBC6}"/>
    <cellStyle name="Check Cell 2" xfId="49" xr:uid="{00000000-0005-0000-0000-000023000000}"/>
    <cellStyle name="Check Cell 2 2" xfId="809" xr:uid="{0834D282-C2F0-4E40-9F46-AC121EABF6EC}"/>
    <cellStyle name="Check Cell 2 3" xfId="474" xr:uid="{BBE0D81B-B04F-47B8-B9D9-7E418AE7ADCE}"/>
    <cellStyle name="Check Cell 3" xfId="475" xr:uid="{DC684159-56B1-431F-9DF0-56BB473ACBA0}"/>
    <cellStyle name="Check Cell 4" xfId="476" xr:uid="{F67AF96B-4B3A-4B61-B6F6-814D18FE2440}"/>
    <cellStyle name="Check Cell 5" xfId="477" xr:uid="{CB29AD73-0E65-4DA4-A542-081E7B0B7621}"/>
    <cellStyle name="Check Cell 6" xfId="478" xr:uid="{ABEDE31E-2C1B-4954-8E7C-7236B4512FFA}"/>
    <cellStyle name="Check Cell 7" xfId="479" xr:uid="{991EF724-160F-4B20-A41E-4A1F071082EB}"/>
    <cellStyle name="Check Cell 8" xfId="480" xr:uid="{6A1F5257-F00B-4E36-AD85-EBEF8E88730A}"/>
    <cellStyle name="Check Cell 9" xfId="481" xr:uid="{6B69CF47-0A5A-46F4-9DAF-FB4BA3D27483}"/>
    <cellStyle name="Comma" xfId="1" builtinId="3"/>
    <cellStyle name="Comma 10" xfId="482" xr:uid="{8FECAEF1-0324-4522-B12C-14CA6AF8D6F9}"/>
    <cellStyle name="Comma 2" xfId="5" xr:uid="{00000000-0005-0000-0000-000025000000}"/>
    <cellStyle name="Comma 2 10" xfId="1527" xr:uid="{0BC537A4-BE34-44C8-AA9F-9D29E2B272D0}"/>
    <cellStyle name="Comma 2 2" xfId="696" xr:uid="{5C884EC2-A2E8-4501-80D2-1AD62416BE05}"/>
    <cellStyle name="Comma 2 2 2" xfId="695" xr:uid="{45356556-BBB8-4BAC-AD32-6D82C625287D}"/>
    <cellStyle name="Comma 2 2 3" xfId="1598" xr:uid="{6B31B1F2-0BE4-40C6-9AA7-6AC72AA3B3EE}"/>
    <cellStyle name="Comma 2 3" xfId="734" xr:uid="{27F51AD3-0C7D-4B0F-B4B0-08BB7C60AE6D}"/>
    <cellStyle name="Comma 2 3 2" xfId="1631" xr:uid="{97BACC60-7486-4E1C-9DEF-041ACF924BB4}"/>
    <cellStyle name="Comma 2 4" xfId="839" xr:uid="{51C41699-2F14-4740-B30A-17757AFCA611}"/>
    <cellStyle name="Comma 2 5" xfId="1529" xr:uid="{D042C698-5BF5-4C4E-A832-9FA411884923}"/>
    <cellStyle name="Comma 2 6" xfId="1563" xr:uid="{711DB856-27D7-4708-B216-B536633DE10D}"/>
    <cellStyle name="Comma 3" xfId="6" xr:uid="{00000000-0005-0000-0000-000026000000}"/>
    <cellStyle name="Comma 3 2" xfId="50" xr:uid="{00000000-0005-0000-0000-000027000000}"/>
    <cellStyle name="Comma 3 2 2" xfId="845" xr:uid="{06F33135-4716-4593-9B2D-3B6B69144D17}"/>
    <cellStyle name="Comma 3 2 2 2" xfId="1611" xr:uid="{9D697535-BF40-42F1-B8DA-2257CEB21307}"/>
    <cellStyle name="Comma 3 2 3" xfId="697" xr:uid="{2385347A-A18A-44FB-B93F-BA54E6114382}"/>
    <cellStyle name="Comma 3 2 3 2" xfId="1641" xr:uid="{768B1C9F-FA1F-4427-A789-A0C74DA40ECD}"/>
    <cellStyle name="Comma 3 2 4" xfId="1576" xr:uid="{3138837E-8DD2-4EA7-9C15-583C8E21D09D}"/>
    <cellStyle name="Comma 3 2 5" xfId="98" xr:uid="{00000000-0005-0000-0000-000028000000}"/>
    <cellStyle name="Comma 3 3" xfId="841" xr:uid="{6F3B3E26-3FC8-4A18-8614-A92B20C5AF9B}"/>
    <cellStyle name="Comma 3 3 2" xfId="1601" xr:uid="{AA3C8A3C-D478-4AA2-8E24-619BEA3F7829}"/>
    <cellStyle name="Comma 3 4" xfId="1013" xr:uid="{93DBB256-1BC0-48FF-9C75-641FCC229582}"/>
    <cellStyle name="Comma 3 4 2" xfId="1634" xr:uid="{C034EDFB-859B-4BB2-BD5F-1B572BB2EDDF}"/>
    <cellStyle name="Comma 3 5" xfId="483" xr:uid="{F7718869-6A96-4AF3-81D7-69A99B2C7D27}"/>
    <cellStyle name="Comma 3 6" xfId="1566" xr:uid="{0341A5C9-6337-4E00-8AD0-91A483843BFF}"/>
    <cellStyle name="Comma 4" xfId="13" xr:uid="{00000000-0005-0000-0000-000029000000}"/>
    <cellStyle name="Comma 4 10" xfId="1571" xr:uid="{59A05CAD-A77A-404C-9BCA-17D6F7F90762}"/>
    <cellStyle name="Comma 4 2" xfId="718" xr:uid="{D0DD6974-E7F0-4910-AA4F-6BBA504B5857}"/>
    <cellStyle name="Comma 4 2 2" xfId="755" xr:uid="{F6DD45F6-AA08-4067-8760-3140FB1C46EE}"/>
    <cellStyle name="Comma 4 2 2 2" xfId="910" xr:uid="{AB3D9A1D-98A3-4322-A683-8C09853113F7}"/>
    <cellStyle name="Comma 4 2 2 2 2" xfId="1241" xr:uid="{AA2F7961-ECF3-4EBC-90A1-9D7D8B40F223}"/>
    <cellStyle name="Comma 4 2 2 2 2 2" xfId="1474" xr:uid="{21270ADF-E7D8-464A-BC26-DE8E50AFECD9}"/>
    <cellStyle name="Comma 4 2 2 2 3" xfId="1358" xr:uid="{BA5C24C9-1D6A-4368-8680-4AE2FCDC3F8B}"/>
    <cellStyle name="Comma 4 2 2 2 4" xfId="1122" xr:uid="{10FB19E0-5D9C-41C7-8B76-8FD8F1367963}"/>
    <cellStyle name="Comma 4 2 2 3" xfId="980" xr:uid="{124C35C6-121E-48BC-B4E2-4A86CAACA293}"/>
    <cellStyle name="Comma 4 2 2 3 2" xfId="1418" xr:uid="{E9D209CB-A116-47DC-82B1-A39F9EE0AFEE}"/>
    <cellStyle name="Comma 4 2 2 3 3" xfId="1185" xr:uid="{0326AC30-ABE8-4986-8663-1F0E856C12E3}"/>
    <cellStyle name="Comma 4 2 2 4" xfId="1302" xr:uid="{D8140800-B9AD-48FE-A30D-80226EB45111}"/>
    <cellStyle name="Comma 4 2 2 5" xfId="1065" xr:uid="{CD31EEDF-D1FF-431C-9685-02F421699DC0}"/>
    <cellStyle name="Comma 4 2 3" xfId="877" xr:uid="{911F8651-F3EA-4CE8-8564-FEF8B0403898}"/>
    <cellStyle name="Comma 4 2 3 2" xfId="1211" xr:uid="{DA551323-8739-4FD7-A3C1-37A7F4683952}"/>
    <cellStyle name="Comma 4 2 3 2 2" xfId="1444" xr:uid="{6D689856-4D13-4705-A1DF-6BA472F4AF93}"/>
    <cellStyle name="Comma 4 2 3 3" xfId="1328" xr:uid="{2664CE71-23FD-4C73-97D7-14BF4346EA3D}"/>
    <cellStyle name="Comma 4 2 3 4" xfId="1092" xr:uid="{F1050FED-08FE-46E5-A0B9-3619004886D2}"/>
    <cellStyle name="Comma 4 2 4" xfId="950" xr:uid="{537C12F2-00D3-490C-B1C6-0FF5719159D3}"/>
    <cellStyle name="Comma 4 2 4 2" xfId="1392" xr:uid="{C7AF5BEC-A755-4741-8E3C-C34268932174}"/>
    <cellStyle name="Comma 4 2 4 3" xfId="1159" xr:uid="{212B962E-FEA4-4A3E-9652-0DDE300E3E39}"/>
    <cellStyle name="Comma 4 2 5" xfId="1276" xr:uid="{D5CAA9EF-8912-4D00-BF61-F9BC7A4772B2}"/>
    <cellStyle name="Comma 4 2 6" xfId="1039" xr:uid="{CE49E489-05BC-4A71-8EC3-FD661246633E}"/>
    <cellStyle name="Comma 4 2 7" xfId="1607" xr:uid="{4E30939D-2574-440C-8B14-B830349B47A9}"/>
    <cellStyle name="Comma 4 3" xfId="726" xr:uid="{67127201-94F5-40AA-8AE2-FB81460347C4}"/>
    <cellStyle name="Comma 4 3 2" xfId="763" xr:uid="{5B7EC4E5-ECF7-4B15-A09D-23B645B4F88C}"/>
    <cellStyle name="Comma 4 3 2 2" xfId="918" xr:uid="{E658FB33-1557-4651-8E1C-BA142126A1E8}"/>
    <cellStyle name="Comma 4 3 2 2 2" xfId="1249" xr:uid="{C596C76D-ECDE-4A0D-9747-26845C136FB2}"/>
    <cellStyle name="Comma 4 3 2 2 2 2" xfId="1482" xr:uid="{92D06D19-0813-437A-80F1-ED18C108F715}"/>
    <cellStyle name="Comma 4 3 2 2 3" xfId="1366" xr:uid="{A7B0B188-956E-4DBD-99A4-E5758BECC5FE}"/>
    <cellStyle name="Comma 4 3 2 2 4" xfId="1130" xr:uid="{8A0EEEAE-AE6C-4963-BBA5-59EDC018D60A}"/>
    <cellStyle name="Comma 4 3 2 3" xfId="988" xr:uid="{C03078A6-19C3-4289-81C7-E8AA019F220E}"/>
    <cellStyle name="Comma 4 3 2 3 2" xfId="1426" xr:uid="{FFEE48A5-F665-4DF0-B7B7-4E37A8A4A939}"/>
    <cellStyle name="Comma 4 3 2 3 3" xfId="1193" xr:uid="{09AAF5DC-B974-42A4-AF2D-32BD1EC925FE}"/>
    <cellStyle name="Comma 4 3 2 4" xfId="1310" xr:uid="{AF59D94F-F15B-48EA-B21F-AC432AC23454}"/>
    <cellStyle name="Comma 4 3 2 5" xfId="1073" xr:uid="{26067BA4-3E55-4DA0-8E34-9551523DB588}"/>
    <cellStyle name="Comma 4 3 3" xfId="885" xr:uid="{8A87DA2E-AA61-4561-B5E8-4813CC7D4658}"/>
    <cellStyle name="Comma 4 3 3 2" xfId="1219" xr:uid="{575DA251-2CA0-401E-B426-9076F102FB9E}"/>
    <cellStyle name="Comma 4 3 3 2 2" xfId="1452" xr:uid="{4E9F9CAD-E96D-4636-92B0-707D07BC2F48}"/>
    <cellStyle name="Comma 4 3 3 3" xfId="1336" xr:uid="{30E8549D-535B-4380-B876-0EE75E63C991}"/>
    <cellStyle name="Comma 4 3 3 4" xfId="1100" xr:uid="{047C5DE1-2659-45EB-A103-18F7B40CFCE4}"/>
    <cellStyle name="Comma 4 3 4" xfId="958" xr:uid="{85799808-3E9F-42A6-BF19-48433923D002}"/>
    <cellStyle name="Comma 4 3 4 2" xfId="1400" xr:uid="{0550F9F1-B02D-454E-94D7-589ACB208F92}"/>
    <cellStyle name="Comma 4 3 4 3" xfId="1167" xr:uid="{1C29E861-3E06-47A1-94E3-8AF606845AC6}"/>
    <cellStyle name="Comma 4 3 5" xfId="1284" xr:uid="{CF437CAC-360E-4884-AF60-368B11CB6458}"/>
    <cellStyle name="Comma 4 3 6" xfId="1047" xr:uid="{C0A5D906-73E8-49A9-A601-A6CE3F8B5C5D}"/>
    <cellStyle name="Comma 4 3 7" xfId="1639" xr:uid="{161C6614-5553-4531-A455-85DD98A38AB3}"/>
    <cellStyle name="Comma 4 4" xfId="747" xr:uid="{0B9BCA44-DFFA-4CC3-A75B-421218FEFFE8}"/>
    <cellStyle name="Comma 4 4 2" xfId="902" xr:uid="{C8BDA6AB-74B3-4D08-A410-54F4E97BF3FC}"/>
    <cellStyle name="Comma 4 4 2 2" xfId="1233" xr:uid="{E77F1A97-F579-4335-A04C-D57E5835BC85}"/>
    <cellStyle name="Comma 4 4 2 2 2" xfId="1466" xr:uid="{A4D9D4A8-EF3C-496E-9E8D-C9F187AF6641}"/>
    <cellStyle name="Comma 4 4 2 3" xfId="1350" xr:uid="{19A4DDEC-1099-4BCC-BFB7-B0554E937F32}"/>
    <cellStyle name="Comma 4 4 2 4" xfId="1114" xr:uid="{215A50F9-63DE-436F-ABB5-D560B8641C69}"/>
    <cellStyle name="Comma 4 4 3" xfId="972" xr:uid="{01CD0DAF-2A1A-45AC-A428-611E56F68FA8}"/>
    <cellStyle name="Comma 4 4 3 2" xfId="1410" xr:uid="{451E20B6-7523-4933-83F0-6F2A8A63B3C5}"/>
    <cellStyle name="Comma 4 4 3 3" xfId="1177" xr:uid="{01ED00B4-BAD8-4B65-B432-748338A35FA0}"/>
    <cellStyle name="Comma 4 4 4" xfId="1294" xr:uid="{D2908565-DD96-4CD4-A8F9-F79AF8BDE1F7}"/>
    <cellStyle name="Comma 4 4 5" xfId="1057" xr:uid="{E0EAB927-C99B-4228-BC3E-8F0B521DA070}"/>
    <cellStyle name="Comma 4 5" xfId="863" xr:uid="{3EFD697D-D6C4-4CA7-B04E-B6412980BE8E}"/>
    <cellStyle name="Comma 4 5 2" xfId="1203" xr:uid="{AF133694-6241-4138-ABAC-4AB6FC6ECA78}"/>
    <cellStyle name="Comma 4 5 2 2" xfId="1436" xr:uid="{A37C04A3-570D-4FE6-BD1A-17C18A9E005E}"/>
    <cellStyle name="Comma 4 5 3" xfId="1320" xr:uid="{B197301A-741B-4433-973F-5E1E0E023447}"/>
    <cellStyle name="Comma 4 5 4" xfId="1084" xr:uid="{1EE9568E-58C4-415B-AF12-B388F50F8338}"/>
    <cellStyle name="Comma 4 6" xfId="942" xr:uid="{61C3D071-B490-470C-976E-9FEA44632C71}"/>
    <cellStyle name="Comma 4 6 2" xfId="1384" xr:uid="{2AE5B1D2-6D68-4937-9D3D-0CD5365CB6DC}"/>
    <cellStyle name="Comma 4 6 3" xfId="1151" xr:uid="{05EEA04F-4961-47B1-9E84-9A4BFDCDDA3D}"/>
    <cellStyle name="Comma 4 7" xfId="1268" xr:uid="{7F0F30CE-4CA9-4A1E-9660-386E4D681100}"/>
    <cellStyle name="Comma 4 8" xfId="1031" xr:uid="{1C1658A9-D38B-4BE5-916F-FA668E383A19}"/>
    <cellStyle name="Comma 4 9" xfId="698" xr:uid="{403C2BF1-19F8-4B11-8FB8-2357CD776909}"/>
    <cellStyle name="Comma 5" xfId="51" xr:uid="{00000000-0005-0000-0000-00002A000000}"/>
    <cellStyle name="Comma 5 2" xfId="741" xr:uid="{D478268A-DF0C-4B5B-BBEF-00FA1734E830}"/>
    <cellStyle name="Comma 6" xfId="52" xr:uid="{00000000-0005-0000-0000-00002B000000}"/>
    <cellStyle name="Comma 6 2" xfId="895" xr:uid="{F255B425-0280-4CF8-89B6-EBB2DEB02552}"/>
    <cellStyle name="Comma 6 2 2" xfId="1255" xr:uid="{704A244E-5A2F-4111-8E9C-2B938158BD5D}"/>
    <cellStyle name="Comma 6 2 2 2" xfId="1488" xr:uid="{9297EA6E-2CCB-4112-AF77-09EC4E4C5152}"/>
    <cellStyle name="Comma 6 2 3" xfId="1372" xr:uid="{7E23E9E1-6CEE-4A2F-8C5E-CE28F4FE14D3}"/>
    <cellStyle name="Comma 6 2 4" xfId="1136" xr:uid="{350B5B09-4779-4312-8758-D4340CF22AA9}"/>
    <cellStyle name="Comma 6 3" xfId="966" xr:uid="{6A26894F-FD4A-4F90-BFB9-AE902B473A5C}"/>
    <cellStyle name="Comma 6 3 2" xfId="1460" xr:uid="{39475F79-9885-4357-B4C1-05F47188DE1B}"/>
    <cellStyle name="Comma 6 3 3" xfId="1227" xr:uid="{18FF843B-5F8B-4F38-B119-D2C05ADBC0D3}"/>
    <cellStyle name="Comma 6 4" xfId="1344" xr:uid="{DBD9FCEF-F0D2-4017-9B9B-19883A39E7D5}"/>
    <cellStyle name="Comma 6 5" xfId="1108" xr:uid="{F50B1894-6A6C-4E4A-AB3F-58439678ADF2}"/>
    <cellStyle name="Comma 6 6" xfId="738" xr:uid="{A9251E0A-8C2F-49D9-A754-368AFE55B188}"/>
    <cellStyle name="Comma 7" xfId="102" xr:uid="{D5206E47-2A95-4FF1-9589-DA112C04A81A}"/>
    <cellStyle name="Comma 7 2" xfId="1139" xr:uid="{59452356-5177-4B48-872B-45F54E602F39}"/>
    <cellStyle name="Comma 7 3" xfId="872" xr:uid="{E7864F6D-C031-4AC2-9E32-1C2D4D8E89CF}"/>
    <cellStyle name="Comma 7 4" xfId="1528" xr:uid="{9114E8B8-6A58-43C1-A5B1-35829673A44E}"/>
    <cellStyle name="Comma 8" xfId="1143" xr:uid="{0FD88E57-14A1-40FC-9477-C96E25492CE0}"/>
    <cellStyle name="Comma 8 2" xfId="1373" xr:uid="{0BB19685-7025-45A9-8241-45B89BCC565C}"/>
    <cellStyle name="Comma 9" xfId="1257" xr:uid="{971631FA-90B2-4CD7-93DD-3F784E81F85A}"/>
    <cellStyle name="Comma0" xfId="7" xr:uid="{00000000-0005-0000-0000-00002D000000}"/>
    <cellStyle name="Currency 2" xfId="12" xr:uid="{00000000-0005-0000-0000-00002F000000}"/>
    <cellStyle name="Currency 2 2" xfId="699" xr:uid="{CCB3356E-8847-428F-9561-B52CF2B5D2E2}"/>
    <cellStyle name="Currency 2 2 2" xfId="1606" xr:uid="{208E9C23-43B5-4F69-8B65-01537819225E}"/>
    <cellStyle name="Currency 2 3" xfId="690" xr:uid="{9C4D7435-CAEA-4E1C-AF51-D7C33A5A362E}"/>
    <cellStyle name="Currency 2 3 2" xfId="1638" xr:uid="{69C8B5FF-9F26-4822-879B-C9763D573929}"/>
    <cellStyle name="Currency 2 4" xfId="865" xr:uid="{8C3B8BBD-B628-4F2B-8D55-97666F333DE1}"/>
    <cellStyle name="Currency 2 5" xfId="1012" xr:uid="{2B08C812-A7E7-4016-93C8-C0DB4CB6968D}"/>
    <cellStyle name="Currency 2 6" xfId="484" xr:uid="{85D9DD75-2F9D-4F20-9400-0DF1B67F12D8}"/>
    <cellStyle name="Currency 2 7" xfId="1570" xr:uid="{F70DAD11-0C4F-4AEC-8C4F-9D99939DBE4C}"/>
    <cellStyle name="Currency 3" xfId="53" xr:uid="{00000000-0005-0000-0000-000030000000}"/>
    <cellStyle name="Currency 3 2" xfId="700" xr:uid="{F12677A6-4868-46D1-8874-DF53244EE9F2}"/>
    <cellStyle name="Currency 3 3" xfId="691" xr:uid="{8C0C9F5B-7CBC-4E61-B5B1-D7F321083EB5}"/>
    <cellStyle name="Currency 3 4" xfId="847" xr:uid="{A9840730-335F-4017-8C21-E00A0D19E2FE}"/>
    <cellStyle name="Currency 4" xfId="54" xr:uid="{00000000-0005-0000-0000-000031000000}"/>
    <cellStyle name="Currency 4 2" xfId="1024" xr:uid="{C7D9E384-5727-432F-96D9-82CF94516DD6}"/>
    <cellStyle name="Currency 5" xfId="485" xr:uid="{C7B28150-23F3-45C8-963D-555E5B2F35A2}"/>
    <cellStyle name="Currency0" xfId="8" xr:uid="{00000000-0005-0000-0000-000032000000}"/>
    <cellStyle name="Currency0 2" xfId="1572" xr:uid="{A67DA7F1-FDCC-4193-82F7-5AAABD13B541}"/>
    <cellStyle name="Date" xfId="9" xr:uid="{00000000-0005-0000-0000-000033000000}"/>
    <cellStyle name="Explanatory Text 10" xfId="486" xr:uid="{3F568998-35F7-44A2-9AEC-A813F95A59CE}"/>
    <cellStyle name="Explanatory Text 11" xfId="487" xr:uid="{5FC0FBBC-85B9-45FD-8B6D-CA82D2F1478C}"/>
    <cellStyle name="Explanatory Text 12" xfId="488" xr:uid="{444080BA-CCBC-47B4-82A2-112260A77878}"/>
    <cellStyle name="Explanatory Text 13" xfId="489" xr:uid="{2C2D7632-5C19-4DCD-98DD-F85174427DE2}"/>
    <cellStyle name="Explanatory Text 14" xfId="490" xr:uid="{09616D64-CBE4-4F8D-B345-186D66FA5AFB}"/>
    <cellStyle name="Explanatory Text 15" xfId="491" xr:uid="{C1D71F60-2F1B-47F4-A1FF-22279A29821E}"/>
    <cellStyle name="Explanatory Text 16" xfId="858" xr:uid="{5E0802C2-FAC0-4F40-B18D-7EDA62AA95A1}"/>
    <cellStyle name="Explanatory Text 2" xfId="55" xr:uid="{00000000-0005-0000-0000-000034000000}"/>
    <cellStyle name="Explanatory Text 2 2" xfId="812" xr:uid="{0AC47521-27F7-42DA-B27B-6855D64DA743}"/>
    <cellStyle name="Explanatory Text 2 3" xfId="492" xr:uid="{B8CAF406-178C-404F-AE8E-50A5F2C419F4}"/>
    <cellStyle name="Explanatory Text 3" xfId="493" xr:uid="{3DE7E739-A21D-4074-8DD5-9A974430DDFB}"/>
    <cellStyle name="Explanatory Text 4" xfId="494" xr:uid="{156BF659-3287-4DEB-BCA8-8C04E0893A73}"/>
    <cellStyle name="Explanatory Text 5" xfId="495" xr:uid="{48106F97-63CD-40B9-9462-C458763860F2}"/>
    <cellStyle name="Explanatory Text 6" xfId="496" xr:uid="{EE422B80-A024-477E-8C69-0FAAC5D0CFAC}"/>
    <cellStyle name="Explanatory Text 7" xfId="497" xr:uid="{AFDE6411-3EEE-44AC-B8BF-FA204E5051BF}"/>
    <cellStyle name="Explanatory Text 8" xfId="498" xr:uid="{7BB4893F-B03E-4570-9C80-D4AA4418FA3D}"/>
    <cellStyle name="Explanatory Text 9" xfId="499" xr:uid="{F05F9865-3553-41D8-830A-071B8A90EE20}"/>
    <cellStyle name="Fixed" xfId="10" xr:uid="{00000000-0005-0000-0000-000035000000}"/>
    <cellStyle name="Good 10" xfId="500" xr:uid="{C451AD54-ABF5-4565-B12E-1F6E359DC56B}"/>
    <cellStyle name="Good 11" xfId="501" xr:uid="{477B308C-2A42-4289-8388-841D4F3C01F2}"/>
    <cellStyle name="Good 12" xfId="502" xr:uid="{EED55874-ACA9-43D4-B0F8-9F8CFA3B7EBB}"/>
    <cellStyle name="Good 13" xfId="503" xr:uid="{06738BA4-B842-4E0D-8F29-E7AABAC7C2D0}"/>
    <cellStyle name="Good 14" xfId="504" xr:uid="{F6D303B6-E67A-47E9-8A88-DA7D3C546EB6}"/>
    <cellStyle name="Good 15" xfId="505" xr:uid="{07A1B848-DAF0-4DF4-A5A8-C1DA38F2899A}"/>
    <cellStyle name="Good 16" xfId="854" xr:uid="{99305D87-F9C9-4A92-A870-2CE2C13B233B}"/>
    <cellStyle name="Good 2" xfId="56" xr:uid="{00000000-0005-0000-0000-000036000000}"/>
    <cellStyle name="Good 2 2" xfId="802" xr:uid="{C8062E05-3AC3-4A7D-B3D2-A8C659F209A7}"/>
    <cellStyle name="Good 2 3" xfId="506" xr:uid="{E6E0D2CD-8100-4FCE-A179-F74656B8C726}"/>
    <cellStyle name="Good 3" xfId="507" xr:uid="{D412163F-CAF5-4F3E-B5D9-154CD32B3649}"/>
    <cellStyle name="Good 4" xfId="508" xr:uid="{5163F374-85F1-45C6-A3BF-73D9F4281B84}"/>
    <cellStyle name="Good 5" xfId="509" xr:uid="{E41196D2-18A9-4FAB-A024-99F795C3A322}"/>
    <cellStyle name="Good 6" xfId="510" xr:uid="{686E4C23-FE4E-424C-86B5-FF2A3875654A}"/>
    <cellStyle name="Good 7" xfId="511" xr:uid="{DDFE59F5-E3FE-489A-A546-D535A98225B7}"/>
    <cellStyle name="Good 8" xfId="512" xr:uid="{1D6A403A-D8BE-4EE0-AF00-FBA64FF55CB2}"/>
    <cellStyle name="Good 9" xfId="513" xr:uid="{BCA1139F-F4D8-4CFA-B409-BE5FF150E196}"/>
    <cellStyle name="Grey" xfId="57" xr:uid="{00000000-0005-0000-0000-000037000000}"/>
    <cellStyle name="Grey 2" xfId="58" xr:uid="{00000000-0005-0000-0000-000038000000}"/>
    <cellStyle name="Heading 1 10" xfId="514" xr:uid="{9E624CDE-0423-440C-A4ED-02BA57126B0A}"/>
    <cellStyle name="Heading 1 11" xfId="515" xr:uid="{420CD4AA-C500-43DA-857C-C54649CDD88B}"/>
    <cellStyle name="Heading 1 12" xfId="516" xr:uid="{ED610558-97CF-4C75-8634-AC453831E2A7}"/>
    <cellStyle name="Heading 1 13" xfId="517" xr:uid="{DF3CBB7A-DAC3-43DE-9208-7E0509BE0979}"/>
    <cellStyle name="Heading 1 14" xfId="518" xr:uid="{E35E3306-7E01-4D7E-A942-2DA12E860C2B}"/>
    <cellStyle name="Heading 1 15" xfId="519" xr:uid="{8A590370-8506-4CB7-9C25-363C8FC5ADB6}"/>
    <cellStyle name="Heading 1 16" xfId="859" xr:uid="{F31F6FF6-09B3-4267-84F6-6FFB2F75E5BE}"/>
    <cellStyle name="Heading 1 2" xfId="59" xr:uid="{00000000-0005-0000-0000-000039000000}"/>
    <cellStyle name="Heading 1 2 2" xfId="798" xr:uid="{42114794-85CD-4DC9-9E32-AF5DC4D513C5}"/>
    <cellStyle name="Heading 1 2 3" xfId="520" xr:uid="{442B69F2-4020-4257-9FF0-33B86FEEF72F}"/>
    <cellStyle name="Heading 1 3" xfId="521" xr:uid="{B734E738-71C1-413E-BBE8-89B6B36CE6B8}"/>
    <cellStyle name="Heading 1 4" xfId="522" xr:uid="{F7EF0496-19E7-4393-998C-58E5A1034A4D}"/>
    <cellStyle name="Heading 1 5" xfId="523" xr:uid="{56A7BF5C-A8A0-425C-95B1-EA1F23847572}"/>
    <cellStyle name="Heading 1 6" xfId="524" xr:uid="{C2B4BA43-BB9D-4D8F-B5DA-134E183331EF}"/>
    <cellStyle name="Heading 1 7" xfId="525" xr:uid="{9F6A45B5-23B9-47B1-AEB6-7E721373A1AC}"/>
    <cellStyle name="Heading 1 8" xfId="526" xr:uid="{798AA96D-96A8-4B59-802A-BA99B94902A4}"/>
    <cellStyle name="Heading 1 9" xfId="527" xr:uid="{EF77EB25-2DAB-4D59-921C-0131F9D0B75F}"/>
    <cellStyle name="Heading 2 10" xfId="528" xr:uid="{B5AA27F0-304F-4E99-B21C-8B8712FA4165}"/>
    <cellStyle name="Heading 2 11" xfId="529" xr:uid="{A1D4FE1F-312F-43DB-8CFD-F201869E9B3C}"/>
    <cellStyle name="Heading 2 12" xfId="530" xr:uid="{4007DB4B-D3E9-426D-A7FA-ED0A696AAAF6}"/>
    <cellStyle name="Heading 2 13" xfId="531" xr:uid="{B28FA389-45DF-4AB1-8897-277C23CC3FA7}"/>
    <cellStyle name="Heading 2 14" xfId="532" xr:uid="{5A8C742C-DB19-4EC4-835D-AFC511F93C94}"/>
    <cellStyle name="Heading 2 15" xfId="533" xr:uid="{FA6DE6E7-A037-4E73-AA35-579E61882E7D}"/>
    <cellStyle name="Heading 2 16" xfId="857" xr:uid="{BAC56A11-6A84-4DC7-8A7C-A95273358D05}"/>
    <cellStyle name="Heading 2 2" xfId="60" xr:uid="{00000000-0005-0000-0000-00003A000000}"/>
    <cellStyle name="Heading 2 2 2" xfId="797" xr:uid="{1EC90361-A88E-41E1-B673-8AE5818ECE13}"/>
    <cellStyle name="Heading 2 2 3" xfId="534" xr:uid="{7FC0C457-DBDB-41AD-BEED-45FB73286358}"/>
    <cellStyle name="Heading 2 3" xfId="535" xr:uid="{CB578845-A402-4794-8ECA-F4A5BC80A61C}"/>
    <cellStyle name="Heading 2 4" xfId="536" xr:uid="{DC34F801-A50C-4B02-8269-B1A07F547300}"/>
    <cellStyle name="Heading 2 5" xfId="537" xr:uid="{E412664C-4AC0-4537-9FDD-E07EFCA87B1B}"/>
    <cellStyle name="Heading 2 6" xfId="538" xr:uid="{D4DB2174-C562-4ADE-9FA7-0FEE935AAAB7}"/>
    <cellStyle name="Heading 2 7" xfId="539" xr:uid="{DEDC2B60-1B69-4826-9336-1B2BC2A3B799}"/>
    <cellStyle name="Heading 2 8" xfId="540" xr:uid="{ECA80A98-A669-4991-B231-3FF18FE8AE11}"/>
    <cellStyle name="Heading 2 9" xfId="541" xr:uid="{74B44C0C-BC2A-46CE-879D-E71314F03F44}"/>
    <cellStyle name="Heading 3 10" xfId="542" xr:uid="{0056499D-0B1B-48E3-AFF7-E47A76DDBBFE}"/>
    <cellStyle name="Heading 3 11" xfId="543" xr:uid="{CC48EB8F-6D56-4FAF-95CE-0BFFDB329924}"/>
    <cellStyle name="Heading 3 12" xfId="544" xr:uid="{ED196745-9F63-4C62-9954-D54724F889B3}"/>
    <cellStyle name="Heading 3 13" xfId="545" xr:uid="{2ADA19A8-28E1-4633-BE46-D04DCBD133BE}"/>
    <cellStyle name="Heading 3 14" xfId="546" xr:uid="{D269FC63-B8A0-4224-A885-4DFBDC82C17F}"/>
    <cellStyle name="Heading 3 15" xfId="547" xr:uid="{5C574794-0860-4AF0-805D-7059BDDF9022}"/>
    <cellStyle name="Heading 3 16" xfId="856" xr:uid="{F9DBED36-4DDE-44EA-B350-14A3ED9668CA}"/>
    <cellStyle name="Heading 3 2" xfId="61" xr:uid="{00000000-0005-0000-0000-00003B000000}"/>
    <cellStyle name="Heading 3 2 2" xfId="800" xr:uid="{E3A44095-41C1-4888-B770-A3C44C563613}"/>
    <cellStyle name="Heading 3 2 3" xfId="548" xr:uid="{CD0C936A-A37F-45B3-A551-1CCD5983472B}"/>
    <cellStyle name="Heading 3 3" xfId="549" xr:uid="{4B632B50-B86A-4BD6-B70A-410C94453E8F}"/>
    <cellStyle name="Heading 3 4" xfId="550" xr:uid="{A35712B7-3017-47E0-81A2-4EB9F398CD91}"/>
    <cellStyle name="Heading 3 5" xfId="551" xr:uid="{14F4B2F7-EA1B-4CD7-8338-A3B55E765F77}"/>
    <cellStyle name="Heading 3 6" xfId="552" xr:uid="{642493DE-887B-4A06-A06A-6297B3FF8999}"/>
    <cellStyle name="Heading 3 7" xfId="553" xr:uid="{6E4F8E46-5828-4BAE-A973-606B191C211D}"/>
    <cellStyle name="Heading 3 8" xfId="554" xr:uid="{DB0E6BED-7A26-4E75-B093-BD43156578FD}"/>
    <cellStyle name="Heading 3 9" xfId="555" xr:uid="{358BCA0B-38E7-4986-A011-02C672C2C349}"/>
    <cellStyle name="Heading 4 10" xfId="556" xr:uid="{8B115146-7BB8-4B81-861F-32A38D1DBE13}"/>
    <cellStyle name="Heading 4 11" xfId="557" xr:uid="{BA5FBD86-1D09-487F-B698-4D3B26279FC9}"/>
    <cellStyle name="Heading 4 12" xfId="558" xr:uid="{AE6058B7-193F-4532-A06B-9F23221B3D5D}"/>
    <cellStyle name="Heading 4 13" xfId="559" xr:uid="{7A980230-E901-4F9D-816D-5ACD164F95CD}"/>
    <cellStyle name="Heading 4 14" xfId="560" xr:uid="{F1EC93E7-7A54-45EF-B8C6-A9AACB5D888E}"/>
    <cellStyle name="Heading 4 15" xfId="561" xr:uid="{8AAD284E-8998-43F6-A97F-9397F17CCAAE}"/>
    <cellStyle name="Heading 4 16" xfId="899" xr:uid="{7CF9C2C5-5603-43A8-932A-DF6B5880F72B}"/>
    <cellStyle name="Heading 4 2" xfId="62" xr:uid="{00000000-0005-0000-0000-00003C000000}"/>
    <cellStyle name="Heading 4 2 2" xfId="801" xr:uid="{AF5481CE-3F5B-4067-AC2F-59C876B89B71}"/>
    <cellStyle name="Heading 4 2 3" xfId="562" xr:uid="{4DBCF3A6-B5C3-4771-885C-DA6694A7F581}"/>
    <cellStyle name="Heading 4 3" xfId="563" xr:uid="{53D5D40A-B907-4F0D-BBC7-B9A14AD06670}"/>
    <cellStyle name="Heading 4 4" xfId="564" xr:uid="{F6074E72-6FB2-42ED-8CA7-1E28CCAA9BD5}"/>
    <cellStyle name="Heading 4 5" xfId="565" xr:uid="{DDA30D74-ADE2-4D38-ADB8-C2E6CF93F16A}"/>
    <cellStyle name="Heading 4 6" xfId="566" xr:uid="{76AC7961-3DBE-4A30-871C-01E62F713E82}"/>
    <cellStyle name="Heading 4 7" xfId="567" xr:uid="{4974BFD7-F728-4875-9874-91F45EDDA4BB}"/>
    <cellStyle name="Heading 4 8" xfId="568" xr:uid="{BB57A0B3-EE28-4776-BAEF-6376EF2FAFC8}"/>
    <cellStyle name="Heading 4 9" xfId="569" xr:uid="{BFED68BB-B5AF-46C2-8CBF-5080D92E4AFB}"/>
    <cellStyle name="Hyperlink 2" xfId="860" xr:uid="{19815D14-47F1-4C40-8908-1673DE960848}"/>
    <cellStyle name="Hyperlink 2 2" xfId="1079" xr:uid="{B7941911-38B4-4FE7-BACD-288A82ABB0C8}"/>
    <cellStyle name="Hyperlink 3" xfId="791" xr:uid="{7A09522E-D196-42F7-B014-32412D80B9F6}"/>
    <cellStyle name="Hyperlink 4" xfId="1523" xr:uid="{235BE327-B228-457D-94C2-FC138186B686}"/>
    <cellStyle name="Hyperlink 5" xfId="1530" xr:uid="{91A199C1-5D5B-498A-9C86-73CB2DB0B42E}"/>
    <cellStyle name="Input [yellow]" xfId="63" xr:uid="{00000000-0005-0000-0000-00003D000000}"/>
    <cellStyle name="Input [yellow] 2" xfId="64" xr:uid="{00000000-0005-0000-0000-00003E000000}"/>
    <cellStyle name="Input [yellow] 3" xfId="1573" xr:uid="{D16E7B25-5563-4B06-ACDF-0D7B628DC97A}"/>
    <cellStyle name="Input [yellow] 4" xfId="1644" xr:uid="{35359276-7EED-4A9F-A48F-A426D1C05BF9}"/>
    <cellStyle name="Input 10" xfId="570" xr:uid="{069DF234-84A1-4E00-A14F-7863896AA320}"/>
    <cellStyle name="Input 11" xfId="571" xr:uid="{CE6A837F-79AF-4FC5-9784-7ED9953EC354}"/>
    <cellStyle name="Input 12" xfId="572" xr:uid="{18AB055D-95D5-40A6-B334-75565775AAAA}"/>
    <cellStyle name="Input 13" xfId="573" xr:uid="{E9EDB48C-7B77-456C-8AAE-14670AEFC864}"/>
    <cellStyle name="Input 14" xfId="574" xr:uid="{373C56A7-1B4E-4846-9B18-50CE4B182894}"/>
    <cellStyle name="Input 15" xfId="575" xr:uid="{EB3C41C1-EA4C-4F90-B9E4-615EC0280012}"/>
    <cellStyle name="Input 16" xfId="852" xr:uid="{AA092E4D-9BD3-4E34-9B51-C1A7AB92F3D9}"/>
    <cellStyle name="Input 17" xfId="928" xr:uid="{A5FC5402-8443-4CFE-B8BB-04E05BF3122A}"/>
    <cellStyle name="Input 18" xfId="927" xr:uid="{5DD1FDA6-9E91-44BF-9711-D61B26D3FD88}"/>
    <cellStyle name="Input 19" xfId="926" xr:uid="{3BB892ED-CF61-4FBA-B3DD-F8D4B74AE053}"/>
    <cellStyle name="Input 2" xfId="65" xr:uid="{00000000-0005-0000-0000-00003F000000}"/>
    <cellStyle name="Input 2 2" xfId="805" xr:uid="{E3715E8F-709E-4A08-AEF7-D54EB62A7FD8}"/>
    <cellStyle name="Input 2 3" xfId="576" xr:uid="{D34BDCDB-1998-43C6-BC40-5E036E8649E0}"/>
    <cellStyle name="Input 20" xfId="934" xr:uid="{38FAA33F-2AF3-476E-B1B1-E5248307639C}"/>
    <cellStyle name="Input 21" xfId="1540" xr:uid="{48F8FE0A-D177-44BC-AC5D-C6B1B009C84D}"/>
    <cellStyle name="Input 22" xfId="1538" xr:uid="{7AC07D71-37BC-48AF-95B4-5171B3D34CD9}"/>
    <cellStyle name="Input 23" xfId="1646" xr:uid="{C4E14F13-BFA4-45FE-9BC7-1AE1E056399D}"/>
    <cellStyle name="Input 24" xfId="1643" xr:uid="{1842796D-12E1-43C2-8712-D61AC4CD2DEA}"/>
    <cellStyle name="Input 25" xfId="1546" xr:uid="{6DFEB0B4-0CAA-48EE-B83F-B3AD170702E4}"/>
    <cellStyle name="Input 26" xfId="1557" xr:uid="{3FA2D9F5-E587-4AEA-9A78-8B0C129D5290}"/>
    <cellStyle name="Input 3" xfId="577" xr:uid="{F53E2F5D-33EB-4FE2-AF79-C2A1FAA86F0E}"/>
    <cellStyle name="Input 4" xfId="578" xr:uid="{49058892-9165-4E66-8EEA-2AFA430B8DEC}"/>
    <cellStyle name="Input 5" xfId="579" xr:uid="{A312C826-AEF1-48B7-AA47-DF7CA0243D79}"/>
    <cellStyle name="Input 6" xfId="580" xr:uid="{7D67E213-7EB0-4F3E-91C3-FA387B1DEDF1}"/>
    <cellStyle name="Input 7" xfId="581" xr:uid="{ECEB7560-00DD-4419-BBFD-1D266401279E}"/>
    <cellStyle name="Input 8" xfId="582" xr:uid="{E9882AD8-260E-4025-B4A7-6164E193ADA4}"/>
    <cellStyle name="Input 9" xfId="583" xr:uid="{A42343CE-E863-4020-9ACF-21FF6F93DA8F}"/>
    <cellStyle name="Linked Cell 10" xfId="584" xr:uid="{B21F4A40-B749-4006-BA69-DD93F4F95645}"/>
    <cellStyle name="Linked Cell 11" xfId="585" xr:uid="{7C5E111D-2754-40AF-85CF-BD920860561D}"/>
    <cellStyle name="Linked Cell 12" xfId="586" xr:uid="{67355B33-B838-4142-A59A-DA682EDD41CA}"/>
    <cellStyle name="Linked Cell 13" xfId="587" xr:uid="{C24ABC20-0F0E-42C9-A66D-46C1DF61572A}"/>
    <cellStyle name="Linked Cell 14" xfId="588" xr:uid="{7BAC505C-1347-47BB-94C1-4BF5F93D8489}"/>
    <cellStyle name="Linked Cell 15" xfId="589" xr:uid="{F2314CE8-4249-40BB-9A62-8E163E0150B8}"/>
    <cellStyle name="Linked Cell 16" xfId="893" xr:uid="{83678AE8-03BC-4101-8573-36E493C3A34D}"/>
    <cellStyle name="Linked Cell 2" xfId="66" xr:uid="{00000000-0005-0000-0000-000040000000}"/>
    <cellStyle name="Linked Cell 2 2" xfId="808" xr:uid="{CFF4BC8D-A982-40A0-B526-0EA910458D3B}"/>
    <cellStyle name="Linked Cell 2 3" xfId="590" xr:uid="{49F0270A-FD95-4073-B548-2A0E4E22E41C}"/>
    <cellStyle name="Linked Cell 3" xfId="591" xr:uid="{A4ABCC8F-849D-4690-826F-522012C9B1E0}"/>
    <cellStyle name="Linked Cell 4" xfId="592" xr:uid="{F5055E08-3357-44CC-8CA5-30AAE9D24F9C}"/>
    <cellStyle name="Linked Cell 5" xfId="593" xr:uid="{D07BE249-6F9C-440A-9641-503066FDD0F7}"/>
    <cellStyle name="Linked Cell 6" xfId="594" xr:uid="{39D6E0B0-9681-4C5A-87A3-87A5B4900297}"/>
    <cellStyle name="Linked Cell 7" xfId="595" xr:uid="{ECFB7E7E-23BD-4786-921E-428DFD12CEC7}"/>
    <cellStyle name="Linked Cell 8" xfId="596" xr:uid="{A13B6203-94E6-465B-88C0-8333B7EFF1CB}"/>
    <cellStyle name="Linked Cell 9" xfId="597" xr:uid="{814C020F-504A-49DB-B60F-40E62953FEEF}"/>
    <cellStyle name="M" xfId="67" xr:uid="{00000000-0005-0000-0000-000041000000}"/>
    <cellStyle name="M.00" xfId="68" xr:uid="{00000000-0005-0000-0000-000042000000}"/>
    <cellStyle name="M_9. Rev2Cost_GDPIPI" xfId="69" xr:uid="{00000000-0005-0000-0000-000043000000}"/>
    <cellStyle name="M_lists" xfId="70" xr:uid="{00000000-0005-0000-0000-000044000000}"/>
    <cellStyle name="M_lists_4. Current Monthly Fixed Charge" xfId="71" xr:uid="{00000000-0005-0000-0000-000045000000}"/>
    <cellStyle name="M_Sheet4" xfId="72" xr:uid="{00000000-0005-0000-0000-000046000000}"/>
    <cellStyle name="Neutral 10" xfId="598" xr:uid="{6F95EAEC-D219-47AA-818A-6412A59B782E}"/>
    <cellStyle name="Neutral 11" xfId="599" xr:uid="{AB5A434D-7685-4E7B-B984-3B12A50B68C8}"/>
    <cellStyle name="Neutral 12" xfId="600" xr:uid="{F94ACB22-8D04-4F3E-98E2-E51863D5BA55}"/>
    <cellStyle name="Neutral 13" xfId="601" xr:uid="{A23CA9BD-6F4B-4D44-82A7-D0BFD3375E7E}"/>
    <cellStyle name="Neutral 14" xfId="602" xr:uid="{4FD47164-5B43-454C-9A4A-9FDC9E9FEA35}"/>
    <cellStyle name="Neutral 15" xfId="603" xr:uid="{66C52A4E-60B4-4372-B326-1C34BBB46852}"/>
    <cellStyle name="Neutral 16" xfId="792" xr:uid="{E81E74C4-7F10-4522-AC98-50BD1DACA006}"/>
    <cellStyle name="Neutral 2" xfId="73" xr:uid="{00000000-0005-0000-0000-000047000000}"/>
    <cellStyle name="Neutral 2 2" xfId="804" xr:uid="{0A0FF0D2-A479-4191-A737-74B8277B8933}"/>
    <cellStyle name="Neutral 2 3" xfId="604" xr:uid="{94DE363B-90BE-4EC8-B725-DBD4849CAC16}"/>
    <cellStyle name="Neutral 3" xfId="605" xr:uid="{F6D2C34F-C9FB-4B15-884C-D3923FF3B004}"/>
    <cellStyle name="Neutral 4" xfId="606" xr:uid="{FB913938-7725-4FCF-B496-056091105E82}"/>
    <cellStyle name="Neutral 5" xfId="607" xr:uid="{5C7C171D-5911-4DC5-A06C-8C9929ECE242}"/>
    <cellStyle name="Neutral 6" xfId="608" xr:uid="{9FAE97F8-66CD-4CC8-BAD3-EC4497EF96E6}"/>
    <cellStyle name="Neutral 7" xfId="609" xr:uid="{8B9C3F4B-0AE1-4039-AE99-0B371EA450AC}"/>
    <cellStyle name="Neutral 8" xfId="610" xr:uid="{EBF9C081-925B-4056-AB2C-324936527996}"/>
    <cellStyle name="Neutral 9" xfId="611" xr:uid="{690673FD-C651-44D2-AAFE-9267319BA234}"/>
    <cellStyle name="Normal" xfId="0" builtinId="0"/>
    <cellStyle name="Normal - Style1" xfId="74" xr:uid="{00000000-0005-0000-0000-000049000000}"/>
    <cellStyle name="Normal 10" xfId="612" xr:uid="{352B99B7-E791-44FE-A409-3B6B22DBC66D}"/>
    <cellStyle name="Normal 10 2" xfId="1614" xr:uid="{9FDA585C-C9A8-49A2-ACEA-42CFE0957DE8}"/>
    <cellStyle name="Normal 11" xfId="613" xr:uid="{893E931D-4E9C-4905-A23B-BFF0440FB9E0}"/>
    <cellStyle name="Normal 11 2" xfId="1609" xr:uid="{DE524E45-84B4-466E-9A9E-98FAF53DA18C}"/>
    <cellStyle name="Normal 12" xfId="614" xr:uid="{8AE0198E-883C-4F6F-97E3-9C75B3AE60CE}"/>
    <cellStyle name="Normal 12 2" xfId="1613" xr:uid="{5B537B38-FD59-4F6C-B84A-A1E356E858B8}"/>
    <cellStyle name="Normal 13" xfId="615" xr:uid="{643DD5FB-F07D-4293-A038-42E059C88DDB}"/>
    <cellStyle name="Normal 13 2" xfId="1608" xr:uid="{BC588223-551B-491E-B4FF-F4EDD1F4A6AB}"/>
    <cellStyle name="Normal 14" xfId="616" xr:uid="{985BC5CD-E9C0-45ED-A7A9-F3178E7A8ACE}"/>
    <cellStyle name="Normal 14 2" xfId="1579" xr:uid="{00C23F26-461F-45C3-ACBC-06EEDF191C88}"/>
    <cellStyle name="Normal 15" xfId="617" xr:uid="{746CEED5-D31C-4B5E-B01C-999F254D400E}"/>
    <cellStyle name="Normal 15 2" xfId="1578" xr:uid="{E4793A64-8823-4FC0-806B-9DBBD0F66E99}"/>
    <cellStyle name="Normal 16" xfId="618" xr:uid="{8DB39564-67F8-484F-B1B0-00D66C338C64}"/>
    <cellStyle name="Normal 16 10" xfId="1259" xr:uid="{D11C47E5-D4E7-45C3-BB82-0A752B1F0015}"/>
    <cellStyle name="Normal 16 11" xfId="1015" xr:uid="{57D040D4-503F-40A1-90CD-1615B5E01440}"/>
    <cellStyle name="Normal 16 12" xfId="1525" xr:uid="{A8C1394D-571A-4DF2-9A7A-F3A896CB1989}"/>
    <cellStyle name="Normal 16 13" xfId="1603" xr:uid="{7393DD1E-A530-4689-AEE2-1C96D163242C}"/>
    <cellStyle name="Normal 16 2" xfId="702" xr:uid="{B5CB81A1-FB5B-4416-AC23-B698BDCF35B9}"/>
    <cellStyle name="Normal 16 2 2" xfId="719" xr:uid="{5B176D0D-6DDB-4F20-AC89-9B6D4F4B0722}"/>
    <cellStyle name="Normal 16 2 2 2" xfId="756" xr:uid="{CCED57E6-7CA4-42AD-800A-C43BD096FC98}"/>
    <cellStyle name="Normal 16 2 2 2 2" xfId="911" xr:uid="{EE8A9668-9D87-4B4A-BE05-070C101A8FA1}"/>
    <cellStyle name="Normal 16 2 2 2 2 2" xfId="1242" xr:uid="{8D2422FC-6AEF-4678-A368-A8C1CFEFEE16}"/>
    <cellStyle name="Normal 16 2 2 2 2 2 2" xfId="1475" xr:uid="{4298163A-3ADA-4F1D-AC69-9D98741656A0}"/>
    <cellStyle name="Normal 16 2 2 2 2 3" xfId="1359" xr:uid="{2E131CCB-E43A-4F00-BA88-6385D22F28ED}"/>
    <cellStyle name="Normal 16 2 2 2 2 4" xfId="1123" xr:uid="{37527739-35E6-4706-BBB9-48C6880812AD}"/>
    <cellStyle name="Normal 16 2 2 2 3" xfId="981" xr:uid="{8BCD1CF9-8159-48C3-A165-AB962B87DDD7}"/>
    <cellStyle name="Normal 16 2 2 2 3 2" xfId="1419" xr:uid="{2E9F9722-3CA5-438D-8D6D-7738B0984467}"/>
    <cellStyle name="Normal 16 2 2 2 3 3" xfId="1186" xr:uid="{0E503507-8660-44E0-94C7-F4E10870FF0B}"/>
    <cellStyle name="Normal 16 2 2 2 4" xfId="1303" xr:uid="{979F8276-91F2-47BD-99EF-32588E3605B6}"/>
    <cellStyle name="Normal 16 2 2 2 5" xfId="1066" xr:uid="{86B17F5B-CA6B-4804-949E-F7C2D7ECC56E}"/>
    <cellStyle name="Normal 16 2 2 3" xfId="878" xr:uid="{6FAF650D-7924-4E92-A807-3B59CA51A462}"/>
    <cellStyle name="Normal 16 2 2 3 2" xfId="1212" xr:uid="{BB7F1923-A612-4363-8D4D-F99B8D66B336}"/>
    <cellStyle name="Normal 16 2 2 3 2 2" xfId="1445" xr:uid="{C0CB804A-C941-42EF-8135-ACB20316F4A0}"/>
    <cellStyle name="Normal 16 2 2 3 3" xfId="1329" xr:uid="{026C5EC5-B00A-428E-B16E-AF795C02B991}"/>
    <cellStyle name="Normal 16 2 2 3 4" xfId="1093" xr:uid="{4214FC4B-0897-4487-97F8-6039ABE03C3E}"/>
    <cellStyle name="Normal 16 2 2 4" xfId="951" xr:uid="{89A58685-58FB-4DDC-81B9-B8F938BFE0FA}"/>
    <cellStyle name="Normal 16 2 2 4 2" xfId="1393" xr:uid="{1005D80C-7C29-4324-AE76-4D671E24769A}"/>
    <cellStyle name="Normal 16 2 2 4 3" xfId="1160" xr:uid="{06DDA56E-8B4F-42F1-ABFE-7C780EBB1C9A}"/>
    <cellStyle name="Normal 16 2 2 5" xfId="1277" xr:uid="{EDBECFEE-4A06-4E5F-AB9B-FDDD8FB34AA6}"/>
    <cellStyle name="Normal 16 2 2 6" xfId="1040" xr:uid="{7A69416D-089B-4BE5-8DA8-8A862B132B79}"/>
    <cellStyle name="Normal 16 2 3" xfId="727" xr:uid="{8181242A-1029-403B-A479-2C6824647F65}"/>
    <cellStyle name="Normal 16 2 3 2" xfId="764" xr:uid="{78E809B7-D6B6-4C18-A303-F0AA97DDBDF7}"/>
    <cellStyle name="Normal 16 2 3 2 2" xfId="919" xr:uid="{357A0A9F-B97F-4B6F-9EBD-E523BC482569}"/>
    <cellStyle name="Normal 16 2 3 2 2 2" xfId="1250" xr:uid="{D598DA34-F80F-4574-BBC9-6E38E030DE9C}"/>
    <cellStyle name="Normal 16 2 3 2 2 2 2" xfId="1483" xr:uid="{D252604A-7F20-4973-8D31-A5183EB044BD}"/>
    <cellStyle name="Normal 16 2 3 2 2 3" xfId="1367" xr:uid="{872C178D-A946-4E4A-A209-F681FC201A68}"/>
    <cellStyle name="Normal 16 2 3 2 2 4" xfId="1131" xr:uid="{4F94F7D6-5F4C-4C58-A10F-3D93FB5A55EC}"/>
    <cellStyle name="Normal 16 2 3 2 3" xfId="989" xr:uid="{1480CC62-9DAF-46C4-AD79-E2B7813983F4}"/>
    <cellStyle name="Normal 16 2 3 2 3 2" xfId="1427" xr:uid="{EEA6FC4A-320C-474D-9ACF-041CAE492F1E}"/>
    <cellStyle name="Normal 16 2 3 2 3 3" xfId="1194" xr:uid="{5FB7FA9C-C8C8-42E6-AE95-C79E305A6BA6}"/>
    <cellStyle name="Normal 16 2 3 2 4" xfId="1311" xr:uid="{1D1584EB-8D99-4475-80BF-CA938E0FF133}"/>
    <cellStyle name="Normal 16 2 3 2 5" xfId="1074" xr:uid="{8CE72E2A-58BB-4597-B672-E5D5D011747D}"/>
    <cellStyle name="Normal 16 2 3 3" xfId="886" xr:uid="{5DA7AE01-DF8F-4A33-A683-FA46AF0BB6FF}"/>
    <cellStyle name="Normal 16 2 3 3 2" xfId="1220" xr:uid="{83029381-99CF-447A-9F99-46DD7D22EBF4}"/>
    <cellStyle name="Normal 16 2 3 3 2 2" xfId="1453" xr:uid="{C29BBBF3-C86B-464A-8894-7BD0B0CE222E}"/>
    <cellStyle name="Normal 16 2 3 3 3" xfId="1337" xr:uid="{FC98BCE8-3FCF-4A57-A930-2B978B575E32}"/>
    <cellStyle name="Normal 16 2 3 3 4" xfId="1101" xr:uid="{7C7F496A-2C9B-4DB1-9C43-F623F0CB6591}"/>
    <cellStyle name="Normal 16 2 3 4" xfId="959" xr:uid="{FDA52B70-09C9-4EA2-A9AE-07EF412D60B4}"/>
    <cellStyle name="Normal 16 2 3 4 2" xfId="1401" xr:uid="{B01EF6BA-5909-47FB-94D8-990C9F7ABCE2}"/>
    <cellStyle name="Normal 16 2 3 4 3" xfId="1168" xr:uid="{87AAA9C8-38FB-4BA1-B6D4-52E6F91A1C4C}"/>
    <cellStyle name="Normal 16 2 3 5" xfId="1285" xr:uid="{97EE116A-7435-49E1-9080-E3B0765CF90B}"/>
    <cellStyle name="Normal 16 2 3 6" xfId="1048" xr:uid="{F1C4B3D3-061F-4A83-9412-5A316539AC10}"/>
    <cellStyle name="Normal 16 2 4" xfId="748" xr:uid="{003B8D2F-52A8-48F4-9228-654CB9468373}"/>
    <cellStyle name="Normal 16 2 4 2" xfId="903" xr:uid="{72E27FE8-97D9-4F89-AE82-E538AEEA42F2}"/>
    <cellStyle name="Normal 16 2 4 2 2" xfId="1234" xr:uid="{E797BDCF-554C-47DF-99C3-F7811DA4E312}"/>
    <cellStyle name="Normal 16 2 4 2 2 2" xfId="1467" xr:uid="{8A537419-5CB5-4956-B41F-351C1B7B1E04}"/>
    <cellStyle name="Normal 16 2 4 2 3" xfId="1351" xr:uid="{4B24532C-C426-4608-99ED-8DE66DB46408}"/>
    <cellStyle name="Normal 16 2 4 2 4" xfId="1115" xr:uid="{F96E555E-18E3-48D0-A7CF-EDFFCF8B6C48}"/>
    <cellStyle name="Normal 16 2 4 3" xfId="973" xr:uid="{80BE72E1-5B95-4FF6-81A6-5C3E36BA1281}"/>
    <cellStyle name="Normal 16 2 4 3 2" xfId="1385" xr:uid="{E1836667-345E-4348-AB82-6807F54570EB}"/>
    <cellStyle name="Normal 16 2 4 3 3" xfId="1152" xr:uid="{48A3CDD0-4359-4D55-A277-EF0A326D1B73}"/>
    <cellStyle name="Normal 16 2 4 4" xfId="1269" xr:uid="{25BE4342-2353-4828-9B45-469672BDA3F8}"/>
    <cellStyle name="Normal 16 2 4 5" xfId="1032" xr:uid="{D8FEFC3C-03C0-436A-B6F0-54ABB8426012}"/>
    <cellStyle name="Normal 16 2 5" xfId="867" xr:uid="{94397E37-06A9-4C98-8C7A-3F080653F666}"/>
    <cellStyle name="Normal 16 2 5 2" xfId="1178" xr:uid="{36857F4C-D30B-45F2-A807-D90702A26108}"/>
    <cellStyle name="Normal 16 2 5 2 2" xfId="1411" xr:uid="{57D3B334-254F-4A04-B084-BF45905564AB}"/>
    <cellStyle name="Normal 16 2 5 3" xfId="1295" xr:uid="{2EB076AC-55BB-4FAD-B567-D01CF76CD668}"/>
    <cellStyle name="Normal 16 2 5 4" xfId="1058" xr:uid="{701C20DC-C784-4E88-BCFC-3A954897E3D8}"/>
    <cellStyle name="Normal 16 2 6" xfId="943" xr:uid="{EB8BF13E-CA49-442A-A21B-491C54C4EF03}"/>
    <cellStyle name="Normal 16 2 6 2" xfId="1204" xr:uid="{6CBAC271-C332-4BB7-9C98-A5674A9D977F}"/>
    <cellStyle name="Normal 16 2 6 2 2" xfId="1437" xr:uid="{58294802-60FB-4308-8041-E761EAD08C59}"/>
    <cellStyle name="Normal 16 2 6 3" xfId="1321" xr:uid="{6AB800DB-38E9-406C-A358-173ABD9F97E2}"/>
    <cellStyle name="Normal 16 2 6 4" xfId="1085" xr:uid="{0800CD92-0CED-44DA-87C1-D87CB2577BE9}"/>
    <cellStyle name="Normal 16 2 7" xfId="1145" xr:uid="{5BEA8471-93C4-4F4A-B01A-D3C2D15F52F8}"/>
    <cellStyle name="Normal 16 2 7 2" xfId="1378" xr:uid="{E286ACE1-416B-4AE7-A618-A2950CA5912D}"/>
    <cellStyle name="Normal 16 2 8" xfId="1262" xr:uid="{9667BC3C-4D98-4C69-85D7-DF0356E78227}"/>
    <cellStyle name="Normal 16 2 9" xfId="1025" xr:uid="{F6FA6B5F-B0B8-4489-A2DF-9B1AA05F7B3E}"/>
    <cellStyle name="Normal 16 3" xfId="692" xr:uid="{75AFC1AB-C96C-4A7A-B1F8-1CBE54E53C8B}"/>
    <cellStyle name="Normal 16 3 2" xfId="745" xr:uid="{7ACC2397-C183-488E-BAB0-A35AF22A0232}"/>
    <cellStyle name="Normal 16 3 2 2" xfId="900" xr:uid="{CC56C255-3000-4976-B11A-C22C6006C2BD}"/>
    <cellStyle name="Normal 16 3 2 2 2" xfId="1231" xr:uid="{9102B0EE-CEED-4C5B-85B3-5CD58E587B30}"/>
    <cellStyle name="Normal 16 3 2 2 2 2" xfId="1464" xr:uid="{FAF5085B-5263-435D-A101-F7DA350026F5}"/>
    <cellStyle name="Normal 16 3 2 2 3" xfId="1348" xr:uid="{7A3F7C50-18E7-4F81-A568-30789E504B05}"/>
    <cellStyle name="Normal 16 3 2 2 4" xfId="1112" xr:uid="{33033AB1-B54C-4D0E-A57A-B5F4EAF19085}"/>
    <cellStyle name="Normal 16 3 2 3" xfId="970" xr:uid="{592E2029-CE45-42F4-A5F0-68CB25F990C5}"/>
    <cellStyle name="Normal 16 3 2 3 2" xfId="1408" xr:uid="{D0BB00D9-8E74-4835-8172-2500BF090980}"/>
    <cellStyle name="Normal 16 3 2 3 3" xfId="1175" xr:uid="{555F11FC-0FFA-4D50-B298-0B2BD0EC417C}"/>
    <cellStyle name="Normal 16 3 2 4" xfId="1292" xr:uid="{9EB1F452-8282-42A8-A521-AED9E558438D}"/>
    <cellStyle name="Normal 16 3 2 5" xfId="1055" xr:uid="{1ECE2BC0-98B3-4C95-9627-9350827B8964}"/>
    <cellStyle name="Normal 16 3 3" xfId="861" xr:uid="{AA74D108-1E6D-4538-BBBF-22C23DEA3B92}"/>
    <cellStyle name="Normal 16 3 3 2" xfId="1201" xr:uid="{3F2079A9-ADA6-474F-8A80-5ABBBFA141E3}"/>
    <cellStyle name="Normal 16 3 3 2 2" xfId="1434" xr:uid="{3610F4DB-46A2-4A87-9212-45C779594343}"/>
    <cellStyle name="Normal 16 3 3 3" xfId="1318" xr:uid="{40650D26-9659-4451-94DE-50DDC58FA0FC}"/>
    <cellStyle name="Normal 16 3 3 4" xfId="1082" xr:uid="{112FBEDC-618C-4338-9BE5-A0890D22D505}"/>
    <cellStyle name="Normal 16 3 4" xfId="940" xr:uid="{DF1E51C7-A3C3-441D-8D06-72D100FFB01E}"/>
    <cellStyle name="Normal 16 3 4 2" xfId="1382" xr:uid="{E5702181-C0C8-4BA9-A193-592F6C671E0E}"/>
    <cellStyle name="Normal 16 3 4 3" xfId="1149" xr:uid="{2596E483-19F4-47AA-BA41-34E801339111}"/>
    <cellStyle name="Normal 16 3 5" xfId="1266" xr:uid="{D9CE3EBE-49F0-4D58-ABE3-0F7215A9BC85}"/>
    <cellStyle name="Normal 16 3 6" xfId="1029" xr:uid="{EE401F4A-9970-4582-83DC-88A28DD98B3C}"/>
    <cellStyle name="Normal 16 4" xfId="716" xr:uid="{F94CDDB1-AC0E-45C9-9E5D-42E8F8937EC7}"/>
    <cellStyle name="Normal 16 4 2" xfId="753" xr:uid="{0F30F6BB-A628-408F-AFF4-147C9727888A}"/>
    <cellStyle name="Normal 16 4 2 2" xfId="908" xr:uid="{C2B5C1E4-D43C-48E5-B24E-A5FE2C7ADE62}"/>
    <cellStyle name="Normal 16 4 2 2 2" xfId="1239" xr:uid="{CDB9DCED-6BC2-47C6-AC63-504FA1793D4C}"/>
    <cellStyle name="Normal 16 4 2 2 2 2" xfId="1472" xr:uid="{29CD4C29-E0CA-4058-A84D-BB1FE7C39A66}"/>
    <cellStyle name="Normal 16 4 2 2 3" xfId="1356" xr:uid="{22F798B6-306F-4DF2-9EDF-C39A69EF75F7}"/>
    <cellStyle name="Normal 16 4 2 2 4" xfId="1120" xr:uid="{918BAB90-6D29-492C-8E36-770CE13C6185}"/>
    <cellStyle name="Normal 16 4 2 3" xfId="978" xr:uid="{C743BE88-30B7-4A77-BFDE-0D65DA21EDF9}"/>
    <cellStyle name="Normal 16 4 2 3 2" xfId="1416" xr:uid="{07469379-CAD4-46AD-913C-9C8844F80971}"/>
    <cellStyle name="Normal 16 4 2 3 3" xfId="1183" xr:uid="{CE51430F-DE24-4741-BF15-4356FEC478DC}"/>
    <cellStyle name="Normal 16 4 2 4" xfId="1300" xr:uid="{13188033-950F-4035-9540-8F761AB2F1BB}"/>
    <cellStyle name="Normal 16 4 2 5" xfId="1063" xr:uid="{E71989F3-B066-4A3D-9A41-D6457AA038F5}"/>
    <cellStyle name="Normal 16 4 3" xfId="875" xr:uid="{6B1972C1-3BDC-4BC2-9C6C-BE908A3AFF67}"/>
    <cellStyle name="Normal 16 4 3 2" xfId="1209" xr:uid="{C2B55D3C-6699-41B9-AB15-5A45144CEFF1}"/>
    <cellStyle name="Normal 16 4 3 2 2" xfId="1442" xr:uid="{1E535E8F-931B-40A4-B39E-B787ECC9506A}"/>
    <cellStyle name="Normal 16 4 3 3" xfId="1326" xr:uid="{BE5C968D-05EC-447B-B945-E2F3CC2206BC}"/>
    <cellStyle name="Normal 16 4 3 4" xfId="1090" xr:uid="{11A2E6CB-F2E4-4E5B-928C-62F98322B322}"/>
    <cellStyle name="Normal 16 4 4" xfId="948" xr:uid="{9B328873-1806-4082-B064-C7A23B75314F}"/>
    <cellStyle name="Normal 16 4 4 2" xfId="1390" xr:uid="{7AEB1605-5FD2-4024-91D9-891CD1546843}"/>
    <cellStyle name="Normal 16 4 4 3" xfId="1157" xr:uid="{0D92C57B-0246-46A8-A079-53C6CB3C8803}"/>
    <cellStyle name="Normal 16 4 5" xfId="1274" xr:uid="{BB64F024-BAC7-44C7-B8F7-13A1FAEC51DD}"/>
    <cellStyle name="Normal 16 4 6" xfId="1037" xr:uid="{A4933E40-6FC5-405E-A940-AA6D0C52D173}"/>
    <cellStyle name="Normal 16 5" xfId="724" xr:uid="{7ABCE511-FB84-43D8-8AFF-E536CB54C775}"/>
    <cellStyle name="Normal 16 5 2" xfId="761" xr:uid="{66781CC8-3178-4CC0-9384-C80324B91394}"/>
    <cellStyle name="Normal 16 5 2 2" xfId="916" xr:uid="{3D47E10A-E3FA-4933-AF77-389A88B36C62}"/>
    <cellStyle name="Normal 16 5 2 2 2" xfId="1247" xr:uid="{9EEE97D1-8904-4026-AFCB-1AE58CA518B4}"/>
    <cellStyle name="Normal 16 5 2 2 2 2" xfId="1480" xr:uid="{65162FBC-5C17-4D71-883C-7E26DC4617E8}"/>
    <cellStyle name="Normal 16 5 2 2 3" xfId="1364" xr:uid="{ECBD7176-25D0-4351-82B7-A206A0C35428}"/>
    <cellStyle name="Normal 16 5 2 2 4" xfId="1128" xr:uid="{B0005392-6A58-4646-9B1C-DB806894FBC0}"/>
    <cellStyle name="Normal 16 5 2 3" xfId="986" xr:uid="{2E26093C-AB4E-4760-B265-60BE2F318FB5}"/>
    <cellStyle name="Normal 16 5 2 3 2" xfId="1424" xr:uid="{1C563250-2DE2-49D5-A64A-CDC7D41AE731}"/>
    <cellStyle name="Normal 16 5 2 3 3" xfId="1191" xr:uid="{81C1BDF8-F98F-4459-AC5A-02C501FB301C}"/>
    <cellStyle name="Normal 16 5 2 4" xfId="1308" xr:uid="{34855590-3299-46E8-8AEF-DB5FAFD98962}"/>
    <cellStyle name="Normal 16 5 2 5" xfId="1071" xr:uid="{9B94545B-F5F1-4BA5-87C1-5BD7763A2A19}"/>
    <cellStyle name="Normal 16 5 3" xfId="883" xr:uid="{C7BEDDA9-3EA0-4519-8044-963237B8C57F}"/>
    <cellStyle name="Normal 16 5 3 2" xfId="1217" xr:uid="{6FD1A33E-7A6D-437F-BAAE-78F5BF240666}"/>
    <cellStyle name="Normal 16 5 3 2 2" xfId="1450" xr:uid="{6A67D5BC-98E4-4E92-A4C5-4B37B80254D6}"/>
    <cellStyle name="Normal 16 5 3 3" xfId="1334" xr:uid="{1C2E214E-6433-4C88-B51A-FCCF7270D323}"/>
    <cellStyle name="Normal 16 5 3 4" xfId="1098" xr:uid="{944A7916-B300-4BE8-92A0-56F7A459E40A}"/>
    <cellStyle name="Normal 16 5 4" xfId="956" xr:uid="{0BF55E71-56B9-4AED-B999-3F4BAD64225C}"/>
    <cellStyle name="Normal 16 5 4 2" xfId="1398" xr:uid="{9372F4C0-4C76-48A7-82FA-4E4DC2B6579C}"/>
    <cellStyle name="Normal 16 5 4 3" xfId="1165" xr:uid="{B6D83829-DBBE-44A9-A070-F40F3B710B59}"/>
    <cellStyle name="Normal 16 5 5" xfId="1282" xr:uid="{C2A1EC7C-8B6D-4FB3-8405-87E4108A8508}"/>
    <cellStyle name="Normal 16 5 6" xfId="1045" xr:uid="{7F9190FF-B1C3-4A13-AC17-4E3DCC037934}"/>
    <cellStyle name="Normal 16 6" xfId="742" xr:uid="{7C4D855B-77D0-4FD9-84A4-C646DB9A1136}"/>
    <cellStyle name="Normal 16 6 2" xfId="897" xr:uid="{92B84C2B-CD15-4FAE-ABCB-7F82DE028B7F}"/>
    <cellStyle name="Normal 16 6 2 2" xfId="1229" xr:uid="{3525B0DE-9753-4275-97BD-E94095C42BDD}"/>
    <cellStyle name="Normal 16 6 2 2 2" xfId="1462" xr:uid="{483AADAC-EDAA-4729-A915-4CFD2899E48B}"/>
    <cellStyle name="Normal 16 6 2 3" xfId="1346" xr:uid="{5E032A8D-DFE9-4B53-81BB-D6592597D222}"/>
    <cellStyle name="Normal 16 6 2 4" xfId="1110" xr:uid="{ED2CFEC9-EF56-4378-9B0A-9239B876CA55}"/>
    <cellStyle name="Normal 16 6 3" xfId="968" xr:uid="{E638FDF6-C53D-4113-883F-5F6B8E25A712}"/>
    <cellStyle name="Normal 16 6 3 2" xfId="1380" xr:uid="{5B87E875-39C3-4476-BC67-131E3C1BCF5D}"/>
    <cellStyle name="Normal 16 6 3 3" xfId="1147" xr:uid="{31A7468B-9D98-4F5A-9CFD-7A85237A6C52}"/>
    <cellStyle name="Normal 16 6 4" xfId="1264" xr:uid="{9031939C-395B-46CA-AC12-69BC813952AD}"/>
    <cellStyle name="Normal 16 6 5" xfId="1027" xr:uid="{E279AB78-14E9-4C44-882F-410D7439A979}"/>
    <cellStyle name="Normal 16 7" xfId="848" xr:uid="{E5C65F03-6086-43BE-9428-3E10061B96C8}"/>
    <cellStyle name="Normal 16 7 2" xfId="1173" xr:uid="{DF7B8223-8079-4A11-AA14-B842A1AB986C}"/>
    <cellStyle name="Normal 16 7 2 2" xfId="1406" xr:uid="{5BD90DF6-C9EE-4E63-B7B5-4243D1A33C2C}"/>
    <cellStyle name="Normal 16 7 3" xfId="1290" xr:uid="{1BB29B83-1557-44DD-829F-12EC44F3FB73}"/>
    <cellStyle name="Normal 16 7 4" xfId="1053" xr:uid="{1FD5B3C2-B6E5-42B2-B381-84051E674AED}"/>
    <cellStyle name="Normal 16 8" xfId="937" xr:uid="{DF0E4876-8E87-423C-BC2F-71A503FB00BC}"/>
    <cellStyle name="Normal 16 8 2" xfId="1199" xr:uid="{E4D6D739-EACB-4E1F-94EC-CA8554E496DF}"/>
    <cellStyle name="Normal 16 8 2 2" xfId="1432" xr:uid="{39ECDD55-84A6-4955-825C-E5B06481C532}"/>
    <cellStyle name="Normal 16 8 3" xfId="1316" xr:uid="{88801C65-8F38-43C1-AA37-1BE4356B18A7}"/>
    <cellStyle name="Normal 16 8 4" xfId="1080" xr:uid="{3D817D99-C614-4377-AB8D-D9735607212A}"/>
    <cellStyle name="Normal 16 9" xfId="1140" xr:uid="{8534E94A-8D28-48DF-973A-AC8924C02445}"/>
    <cellStyle name="Normal 16 9 2" xfId="1375" xr:uid="{7EAD7DFC-98F1-4BD8-8F03-C79EDBB3DB4C}"/>
    <cellStyle name="Normal 17" xfId="619" xr:uid="{0C8ADA19-BD56-4582-8D5B-93133CD00AB2}"/>
    <cellStyle name="Normal 17 10" xfId="1260" xr:uid="{9D0FD28E-A9D9-4E0F-9A5D-B2697CB29779}"/>
    <cellStyle name="Normal 17 11" xfId="1016" xr:uid="{0E12EE3F-6CC6-4ABA-9011-C6505CBD1CB3}"/>
    <cellStyle name="Normal 17 12" xfId="1615" xr:uid="{94E3AD69-6DC5-4B2F-A52C-BADDE5888D4E}"/>
    <cellStyle name="Normal 17 2" xfId="703" xr:uid="{CFA2D5BB-9ED6-4529-AC96-8FE18C873E09}"/>
    <cellStyle name="Normal 17 2 2" xfId="720" xr:uid="{1EBE8604-2098-4E49-B17A-54E83EAC3E11}"/>
    <cellStyle name="Normal 17 2 2 2" xfId="757" xr:uid="{3DAF6FA3-C3EF-4D1F-8BE1-3263E59AC999}"/>
    <cellStyle name="Normal 17 2 2 2 2" xfId="912" xr:uid="{ACD4999E-093B-4FE1-8F29-4A2660D07D12}"/>
    <cellStyle name="Normal 17 2 2 2 2 2" xfId="1243" xr:uid="{502652A6-FAEA-4566-9776-309606FBB2D8}"/>
    <cellStyle name="Normal 17 2 2 2 2 2 2" xfId="1476" xr:uid="{75EE7E14-43D6-4A1A-BC47-72F4E2D9CE68}"/>
    <cellStyle name="Normal 17 2 2 2 2 3" xfId="1360" xr:uid="{BE93CB78-B43F-4E69-9AB5-8A9DFD95F185}"/>
    <cellStyle name="Normal 17 2 2 2 2 4" xfId="1124" xr:uid="{2DB3CD64-076E-4A80-82B3-EF8884AFB89D}"/>
    <cellStyle name="Normal 17 2 2 2 3" xfId="982" xr:uid="{B6605F7C-8B2F-4700-BB67-4306C9A47B08}"/>
    <cellStyle name="Normal 17 2 2 2 3 2" xfId="1420" xr:uid="{B79E8AF8-9E4C-4800-B097-E2D7638853F3}"/>
    <cellStyle name="Normal 17 2 2 2 3 3" xfId="1187" xr:uid="{FD380C7F-5973-4C40-8322-842654ED9E0B}"/>
    <cellStyle name="Normal 17 2 2 2 4" xfId="1304" xr:uid="{1E2B48F7-05F7-429B-9AE4-A67EB43A46A8}"/>
    <cellStyle name="Normal 17 2 2 2 5" xfId="1067" xr:uid="{402E278B-6047-48DA-A4F6-EE347BD0179D}"/>
    <cellStyle name="Normal 17 2 2 3" xfId="879" xr:uid="{05EEBCB2-86EC-4B17-83C9-DE3E35814002}"/>
    <cellStyle name="Normal 17 2 2 3 2" xfId="1213" xr:uid="{B3E7D3E9-7A9F-4382-8FB5-B95996F878C3}"/>
    <cellStyle name="Normal 17 2 2 3 2 2" xfId="1446" xr:uid="{D5A0F440-E2C1-42C3-AA08-F8C78AF7C7DD}"/>
    <cellStyle name="Normal 17 2 2 3 3" xfId="1330" xr:uid="{EFB53BCB-A63D-4239-9B75-96911782A9D1}"/>
    <cellStyle name="Normal 17 2 2 3 4" xfId="1094" xr:uid="{09291D5B-5481-449F-8581-C71B007BA015}"/>
    <cellStyle name="Normal 17 2 2 4" xfId="952" xr:uid="{8F89E512-C697-4EB4-87D5-E20F9B8BE6C5}"/>
    <cellStyle name="Normal 17 2 2 4 2" xfId="1394" xr:uid="{62905811-7623-43EC-AF28-3997FF25E1B7}"/>
    <cellStyle name="Normal 17 2 2 4 3" xfId="1161" xr:uid="{3AE1D3FA-E391-429C-90E3-243DA4DA4CD5}"/>
    <cellStyle name="Normal 17 2 2 5" xfId="1278" xr:uid="{A06D7E4B-18CC-401C-AEF8-F55BE35F20AC}"/>
    <cellStyle name="Normal 17 2 2 6" xfId="1041" xr:uid="{B0335D1D-3383-4AB6-96D4-2C6755759FB6}"/>
    <cellStyle name="Normal 17 2 3" xfId="728" xr:uid="{A5C8C1FC-D8A5-4ABB-8CDB-365D53932044}"/>
    <cellStyle name="Normal 17 2 3 2" xfId="765" xr:uid="{13DD6223-EC1E-44C1-BE8B-37BF2213068C}"/>
    <cellStyle name="Normal 17 2 3 2 2" xfId="920" xr:uid="{337F0F65-7E7A-4069-9F28-F9B76104CDC2}"/>
    <cellStyle name="Normal 17 2 3 2 2 2" xfId="1251" xr:uid="{353A8B5D-C86D-4FD6-A322-69D8086D1BFB}"/>
    <cellStyle name="Normal 17 2 3 2 2 2 2" xfId="1484" xr:uid="{E73AC069-ADB5-42A5-8BED-1D1260F38E0E}"/>
    <cellStyle name="Normal 17 2 3 2 2 3" xfId="1368" xr:uid="{6756039F-96D3-4FF1-9D9A-6916EF4C2BC6}"/>
    <cellStyle name="Normal 17 2 3 2 2 4" xfId="1132" xr:uid="{4456BF40-DE8B-4B1C-8F07-6B5E8CFBFEF9}"/>
    <cellStyle name="Normal 17 2 3 2 3" xfId="990" xr:uid="{4B4725F8-97A7-4550-A7FD-7674EE55DECC}"/>
    <cellStyle name="Normal 17 2 3 2 3 2" xfId="1428" xr:uid="{2FBD4D6E-89E2-432B-AA58-37C443125F2A}"/>
    <cellStyle name="Normal 17 2 3 2 3 3" xfId="1195" xr:uid="{F2302B83-FA35-49F4-B655-6E419E2C146C}"/>
    <cellStyle name="Normal 17 2 3 2 4" xfId="1312" xr:uid="{03BBE647-9889-45E6-8EDE-22D34B532DF4}"/>
    <cellStyle name="Normal 17 2 3 2 5" xfId="1075" xr:uid="{37D26FD2-B030-409E-BC75-B9C9BE9031CB}"/>
    <cellStyle name="Normal 17 2 3 3" xfId="887" xr:uid="{E04AE7F0-ABAA-4296-B02E-E4974C8BF1BA}"/>
    <cellStyle name="Normal 17 2 3 3 2" xfId="1221" xr:uid="{C7C0A8C4-46E2-437A-A238-16A07BA036ED}"/>
    <cellStyle name="Normal 17 2 3 3 2 2" xfId="1454" xr:uid="{610FF6C8-6014-406B-BC99-69F61A1BBAE7}"/>
    <cellStyle name="Normal 17 2 3 3 3" xfId="1338" xr:uid="{24C071E4-3A93-46B3-94AF-F09564D638C2}"/>
    <cellStyle name="Normal 17 2 3 3 4" xfId="1102" xr:uid="{6BCB2BAD-477D-4DBB-9EE6-BE5C5ED5802B}"/>
    <cellStyle name="Normal 17 2 3 4" xfId="960" xr:uid="{FB8C2E85-0E24-45B3-B267-1EEC5CA239CF}"/>
    <cellStyle name="Normal 17 2 3 4 2" xfId="1402" xr:uid="{BD38EF6A-752D-400D-BC68-CCF1F161F409}"/>
    <cellStyle name="Normal 17 2 3 4 3" xfId="1169" xr:uid="{5893B61A-AAF4-43D7-817D-BAAFB720A6EC}"/>
    <cellStyle name="Normal 17 2 3 5" xfId="1286" xr:uid="{014A2F42-A31D-488D-BC4B-F5406149A7EA}"/>
    <cellStyle name="Normal 17 2 3 6" xfId="1049" xr:uid="{88F855C4-35BA-403E-B11A-3CE533AF9D05}"/>
    <cellStyle name="Normal 17 2 4" xfId="749" xr:uid="{3620A05B-98C5-43C6-9109-9F78263B8D89}"/>
    <cellStyle name="Normal 17 2 4 2" xfId="904" xr:uid="{8FA468AB-59EE-4DBE-9073-AB6ACC11F80F}"/>
    <cellStyle name="Normal 17 2 4 2 2" xfId="1235" xr:uid="{FFC613AE-E90A-408D-AC26-98D373A92CF0}"/>
    <cellStyle name="Normal 17 2 4 2 2 2" xfId="1468" xr:uid="{F4A75714-AC0B-4520-B5EF-338128CCE0F1}"/>
    <cellStyle name="Normal 17 2 4 2 3" xfId="1352" xr:uid="{6F86C44D-248C-47A5-BF71-384E7AB9F270}"/>
    <cellStyle name="Normal 17 2 4 2 4" xfId="1116" xr:uid="{C0A56955-4A7A-43FE-A985-1A486B07AA09}"/>
    <cellStyle name="Normal 17 2 4 3" xfId="974" xr:uid="{E07C0DBA-0A41-4290-8C7D-0005CEEF785B}"/>
    <cellStyle name="Normal 17 2 4 3 2" xfId="1386" xr:uid="{BCC36A8E-574A-469C-801E-52339ADF5917}"/>
    <cellStyle name="Normal 17 2 4 3 3" xfId="1153" xr:uid="{F0987453-FE76-41F8-B449-6AAD9F2CD659}"/>
    <cellStyle name="Normal 17 2 4 4" xfId="1270" xr:uid="{9FEBB37E-357F-455A-BEF0-719929976BF5}"/>
    <cellStyle name="Normal 17 2 4 5" xfId="1033" xr:uid="{4615AA88-DC6E-4468-A058-078599A32863}"/>
    <cellStyle name="Normal 17 2 5" xfId="868" xr:uid="{DD595C49-348E-40B5-AF66-7185CB735A47}"/>
    <cellStyle name="Normal 17 2 5 2" xfId="1179" xr:uid="{85575C0E-CFFB-44B5-B935-E86718699990}"/>
    <cellStyle name="Normal 17 2 5 2 2" xfId="1412" xr:uid="{5667843E-41FE-4245-BBAC-FC7BF7B4AFB1}"/>
    <cellStyle name="Normal 17 2 5 3" xfId="1296" xr:uid="{157B2810-8A51-4642-8977-37F15DA19DEF}"/>
    <cellStyle name="Normal 17 2 5 4" xfId="1059" xr:uid="{20F594DB-88CD-46CD-BEA6-662207481C20}"/>
    <cellStyle name="Normal 17 2 6" xfId="944" xr:uid="{AA5B70BC-C7AB-4483-8E85-6EF4B06EDA7D}"/>
    <cellStyle name="Normal 17 2 6 2" xfId="1205" xr:uid="{A522744E-6128-4326-ABDE-67EDC8A47D64}"/>
    <cellStyle name="Normal 17 2 6 2 2" xfId="1438" xr:uid="{52E2928F-B969-4ECA-975A-E325E67F422E}"/>
    <cellStyle name="Normal 17 2 6 3" xfId="1322" xr:uid="{CE4E576F-6AC8-406F-AD31-EBBC5BDF9071}"/>
    <cellStyle name="Normal 17 2 6 4" xfId="1086" xr:uid="{9D5AA504-4ECE-4186-B183-083996743460}"/>
    <cellStyle name="Normal 17 2 7" xfId="1146" xr:uid="{D3EBE66E-40A4-4180-8BA8-68688CEA24BE}"/>
    <cellStyle name="Normal 17 2 7 2" xfId="1379" xr:uid="{7256A73C-A3E1-4713-8FAF-A9C3A42D5B6D}"/>
    <cellStyle name="Normal 17 2 8" xfId="1263" xr:uid="{1F819A75-CA1B-48DC-8079-05677AE1A6E4}"/>
    <cellStyle name="Normal 17 2 9" xfId="1026" xr:uid="{8F222D93-5250-4C15-A997-2EF0D52B852C}"/>
    <cellStyle name="Normal 17 3" xfId="693" xr:uid="{68935E0D-1D5C-4414-8497-28224F03542D}"/>
    <cellStyle name="Normal 17 3 2" xfId="746" xr:uid="{206CDE47-5A3E-423C-A9C3-7B81011D390F}"/>
    <cellStyle name="Normal 17 3 2 2" xfId="901" xr:uid="{4C8DF936-1C1D-4E51-B2E9-F0007B05ACA8}"/>
    <cellStyle name="Normal 17 3 2 2 2" xfId="1232" xr:uid="{8DB694D3-9CD5-4F14-AEB9-FD83367C156C}"/>
    <cellStyle name="Normal 17 3 2 2 2 2" xfId="1465" xr:uid="{42B57218-640D-48F4-975D-DBA82F606C0C}"/>
    <cellStyle name="Normal 17 3 2 2 3" xfId="1349" xr:uid="{08C15CB4-F96C-44B2-BA2F-F254F0255E97}"/>
    <cellStyle name="Normal 17 3 2 2 4" xfId="1113" xr:uid="{698B24CD-66FD-4E57-A84E-E77E663D8542}"/>
    <cellStyle name="Normal 17 3 2 3" xfId="971" xr:uid="{16E6F15B-4210-41DB-B163-B7A34BD63DEB}"/>
    <cellStyle name="Normal 17 3 2 3 2" xfId="1409" xr:uid="{B452BCB9-47C5-459F-A327-3EA043FEA36B}"/>
    <cellStyle name="Normal 17 3 2 3 3" xfId="1176" xr:uid="{ADC19205-746F-4D16-90D9-8DCF15CFD2D9}"/>
    <cellStyle name="Normal 17 3 2 4" xfId="1293" xr:uid="{847C85AA-4340-4C83-B5FC-2DC2B5EF0FBA}"/>
    <cellStyle name="Normal 17 3 2 5" xfId="1056" xr:uid="{59588DBB-D53C-422A-86E6-D973A2EFC67D}"/>
    <cellStyle name="Normal 17 3 3" xfId="862" xr:uid="{E821CCC4-2ED2-48AF-9BE5-9DEDE9BBAA13}"/>
    <cellStyle name="Normal 17 3 3 2" xfId="1202" xr:uid="{88B82FD4-9A99-49FD-B21F-689F1DF79D8C}"/>
    <cellStyle name="Normal 17 3 3 2 2" xfId="1435" xr:uid="{EF2E9229-CECC-4276-BAEE-8672D79758B7}"/>
    <cellStyle name="Normal 17 3 3 3" xfId="1319" xr:uid="{9C8A78C1-845A-4F29-AF1D-56911F602A99}"/>
    <cellStyle name="Normal 17 3 3 4" xfId="1083" xr:uid="{FB019EEA-7D0A-469F-BC6A-1285D612795D}"/>
    <cellStyle name="Normal 17 3 4" xfId="941" xr:uid="{52867957-FFF7-48B6-9B17-A989E6C8A0B2}"/>
    <cellStyle name="Normal 17 3 4 2" xfId="1383" xr:uid="{C48C4861-227D-4B95-85DE-E4C0370B926D}"/>
    <cellStyle name="Normal 17 3 4 3" xfId="1150" xr:uid="{5EFD09B4-E4D0-46F5-90C6-E375600417DC}"/>
    <cellStyle name="Normal 17 3 5" xfId="1267" xr:uid="{62979EED-BD06-46FB-9101-F36E293C0670}"/>
    <cellStyle name="Normal 17 3 6" xfId="1030" xr:uid="{6F40A419-61CA-4C7F-95CA-044B2716B425}"/>
    <cellStyle name="Normal 17 4" xfId="717" xr:uid="{35F0E75A-F324-441A-B6E2-1D0F2335A49B}"/>
    <cellStyle name="Normal 17 4 2" xfId="754" xr:uid="{25264894-6F5F-4DDE-B8F2-8D17C95AA2E7}"/>
    <cellStyle name="Normal 17 4 2 2" xfId="909" xr:uid="{8EEB88AF-EFBC-4D1C-9C5D-E3D185023C8E}"/>
    <cellStyle name="Normal 17 4 2 2 2" xfId="1240" xr:uid="{6F9D1665-4F6D-4EA6-A822-014B836AA3C7}"/>
    <cellStyle name="Normal 17 4 2 2 2 2" xfId="1473" xr:uid="{CD23C841-4A82-4FC3-803B-E1D1DAB2CD2B}"/>
    <cellStyle name="Normal 17 4 2 2 3" xfId="1357" xr:uid="{220BA773-23DF-433E-922E-C9B85B8C8E05}"/>
    <cellStyle name="Normal 17 4 2 2 4" xfId="1121" xr:uid="{865E67F9-CBCC-42D3-9CAF-E63504F7A099}"/>
    <cellStyle name="Normal 17 4 2 3" xfId="979" xr:uid="{8E203D50-73A4-4CF3-8509-EADCB9D4FC31}"/>
    <cellStyle name="Normal 17 4 2 3 2" xfId="1417" xr:uid="{86509580-1F4F-4EAE-9176-4D556341A209}"/>
    <cellStyle name="Normal 17 4 2 3 3" xfId="1184" xr:uid="{E0474D88-2F72-4786-A49E-55F57A32B388}"/>
    <cellStyle name="Normal 17 4 2 4" xfId="1301" xr:uid="{5324FA6F-2DB8-4E3B-BC31-CEEF42E0E3CB}"/>
    <cellStyle name="Normal 17 4 2 5" xfId="1064" xr:uid="{6C4E3330-023B-4453-91BA-B4B6E22DC740}"/>
    <cellStyle name="Normal 17 4 3" xfId="876" xr:uid="{1592777B-A6B4-4F98-8804-6D326395896C}"/>
    <cellStyle name="Normal 17 4 3 2" xfId="1210" xr:uid="{2FD04ACF-6506-4C5D-89DD-748D25DD653A}"/>
    <cellStyle name="Normal 17 4 3 2 2" xfId="1443" xr:uid="{2F2BCFFD-A177-4BBA-AE1F-484628EE067D}"/>
    <cellStyle name="Normal 17 4 3 3" xfId="1327" xr:uid="{42995D10-73E0-49A5-9C20-F37A7928C69F}"/>
    <cellStyle name="Normal 17 4 3 4" xfId="1091" xr:uid="{177943BF-07D7-4559-97FC-3BA18A03138C}"/>
    <cellStyle name="Normal 17 4 4" xfId="949" xr:uid="{DFC7FAE4-3643-41C2-94B8-F090B0519A05}"/>
    <cellStyle name="Normal 17 4 4 2" xfId="1391" xr:uid="{CC7678E2-BDF9-468F-BB28-05D2134E690B}"/>
    <cellStyle name="Normal 17 4 4 3" xfId="1158" xr:uid="{4F1766F4-C329-4FBB-A0C1-7155F5D19FE0}"/>
    <cellStyle name="Normal 17 4 5" xfId="1275" xr:uid="{C8534591-2672-4F75-B65B-7DD9E55B5E39}"/>
    <cellStyle name="Normal 17 4 6" xfId="1038" xr:uid="{77F65398-7BD2-4D4F-BF5A-58102FBB3652}"/>
    <cellStyle name="Normal 17 5" xfId="725" xr:uid="{A24DFF2F-6B8A-4767-997E-88A4AFDD2B85}"/>
    <cellStyle name="Normal 17 5 2" xfId="762" xr:uid="{75CF2383-B76B-4F21-8C17-A0D363E7C3DF}"/>
    <cellStyle name="Normal 17 5 2 2" xfId="917" xr:uid="{ADEBF3E4-E659-4346-8FAE-A828D31F6B43}"/>
    <cellStyle name="Normal 17 5 2 2 2" xfId="1248" xr:uid="{F57928BE-4B83-4A2E-98F1-DB72774D2E88}"/>
    <cellStyle name="Normal 17 5 2 2 2 2" xfId="1481" xr:uid="{2FAD08A2-5C61-45BE-A519-528B62B00B02}"/>
    <cellStyle name="Normal 17 5 2 2 3" xfId="1365" xr:uid="{8B81E238-58EE-45FC-87B8-4D04211DF775}"/>
    <cellStyle name="Normal 17 5 2 2 4" xfId="1129" xr:uid="{97879DD8-2561-4A7A-B6EB-E2414F87926A}"/>
    <cellStyle name="Normal 17 5 2 3" xfId="987" xr:uid="{11F9E366-F13C-4D97-AB0F-D9FB3F32ABC9}"/>
    <cellStyle name="Normal 17 5 2 3 2" xfId="1425" xr:uid="{3E928DE1-B53B-48EF-BA4E-E7A6DD4D737F}"/>
    <cellStyle name="Normal 17 5 2 3 3" xfId="1192" xr:uid="{9FEA8468-90DD-4247-89AA-16FEA54D859D}"/>
    <cellStyle name="Normal 17 5 2 4" xfId="1309" xr:uid="{B43775D6-0ED0-41A4-99D6-150F2F2CC7CB}"/>
    <cellStyle name="Normal 17 5 2 5" xfId="1072" xr:uid="{3F5DC931-95AF-40DD-91E6-BA2EDC3555A9}"/>
    <cellStyle name="Normal 17 5 3" xfId="884" xr:uid="{163864C0-9935-40BE-A215-A01A44F0F7B6}"/>
    <cellStyle name="Normal 17 5 3 2" xfId="1218" xr:uid="{5FB9DEAE-FFF5-4FD2-BAAA-4B6F35C26FE0}"/>
    <cellStyle name="Normal 17 5 3 2 2" xfId="1451" xr:uid="{DE1A967D-9801-4126-AA85-5C8D923D3368}"/>
    <cellStyle name="Normal 17 5 3 3" xfId="1335" xr:uid="{5782A3BC-0B11-47DB-A211-BA8AD8F7FA2C}"/>
    <cellStyle name="Normal 17 5 3 4" xfId="1099" xr:uid="{B7E96E4C-FB8D-4B95-A3B1-62B343EDACF1}"/>
    <cellStyle name="Normal 17 5 4" xfId="957" xr:uid="{EC4AF60B-D2FC-4643-95C3-FEDD34ED0D2F}"/>
    <cellStyle name="Normal 17 5 4 2" xfId="1399" xr:uid="{92A4151B-4D7B-4769-8D96-4EB63D0EA207}"/>
    <cellStyle name="Normal 17 5 4 3" xfId="1166" xr:uid="{067C92E1-A9CF-43C1-BD13-690C7944B320}"/>
    <cellStyle name="Normal 17 5 5" xfId="1283" xr:uid="{065AFA6A-A4F8-464A-9C88-74A22307F767}"/>
    <cellStyle name="Normal 17 5 6" xfId="1046" xr:uid="{4700386D-A247-4FD2-B19D-0B1EA4B0E255}"/>
    <cellStyle name="Normal 17 6" xfId="743" xr:uid="{A4540657-B022-4F85-AFC4-A340C870A792}"/>
    <cellStyle name="Normal 17 6 2" xfId="898" xr:uid="{7A42F428-6670-4A18-BB59-CAFEFAE0DE1A}"/>
    <cellStyle name="Normal 17 6 2 2" xfId="1230" xr:uid="{67370C1E-DAD0-487F-B6E6-B41F8D1B508C}"/>
    <cellStyle name="Normal 17 6 2 2 2" xfId="1463" xr:uid="{0CF29D3F-9D6B-4765-B508-332F6BEE3D7D}"/>
    <cellStyle name="Normal 17 6 2 3" xfId="1347" xr:uid="{1E92CFAF-5D1E-43E9-9250-8BA75DEB512A}"/>
    <cellStyle name="Normal 17 6 2 4" xfId="1111" xr:uid="{4D229EF9-1901-4FC3-865F-ABAFD90C1AA5}"/>
    <cellStyle name="Normal 17 6 3" xfId="969" xr:uid="{EE84494F-BDA9-4741-98DD-9C7ED8C29EF0}"/>
    <cellStyle name="Normal 17 6 3 2" xfId="1381" xr:uid="{5D7C942F-AA4C-4336-B1FD-810FF7D084B2}"/>
    <cellStyle name="Normal 17 6 3 3" xfId="1148" xr:uid="{42620923-1847-4C00-9464-5952F4800321}"/>
    <cellStyle name="Normal 17 6 4" xfId="1265" xr:uid="{B873A1EC-0097-40D5-83B2-AF5FC909A94A}"/>
    <cellStyle name="Normal 17 6 5" xfId="1028" xr:uid="{AC834ABA-6672-425E-9FA4-10EBC7E2196A}"/>
    <cellStyle name="Normal 17 7" xfId="849" xr:uid="{34B84DEA-A298-4EA0-A7A7-95D392CD29F1}"/>
    <cellStyle name="Normal 17 7 2" xfId="1174" xr:uid="{04B7D608-EB86-4A13-9654-42CD872B979A}"/>
    <cellStyle name="Normal 17 7 2 2" xfId="1407" xr:uid="{1956920F-67E2-4BC9-B803-A34B5EA324CA}"/>
    <cellStyle name="Normal 17 7 3" xfId="1291" xr:uid="{B5DCE034-9942-40F8-98A6-73AEE4016414}"/>
    <cellStyle name="Normal 17 7 4" xfId="1054" xr:uid="{26FCC237-0C2F-4CB3-891B-D0324D0D6621}"/>
    <cellStyle name="Normal 17 8" xfId="938" xr:uid="{863D58B4-67A7-46A3-BE9F-33041A17C191}"/>
    <cellStyle name="Normal 17 8 2" xfId="1200" xr:uid="{90782097-25FB-4664-8A77-EEB7A3B6145A}"/>
    <cellStyle name="Normal 17 8 2 2" xfId="1433" xr:uid="{1119AC7F-CA67-43C1-9456-F7C030F2D556}"/>
    <cellStyle name="Normal 17 8 3" xfId="1317" xr:uid="{C5BD4232-BB8B-4895-BB9E-4F56BDC4CF17}"/>
    <cellStyle name="Normal 17 8 4" xfId="1081" xr:uid="{3D464836-DDE2-40A4-9965-B5AB95DD4544}"/>
    <cellStyle name="Normal 17 9" xfId="1141" xr:uid="{27FF594B-3426-4334-AC30-72A95E6ED509}"/>
    <cellStyle name="Normal 17 9 2" xfId="1376" xr:uid="{B677D755-B870-4A19-9DF0-7951320D29DD}"/>
    <cellStyle name="Normal 18" xfId="620" xr:uid="{09A9475D-00B9-41C7-B868-A5CF0338B76F}"/>
    <cellStyle name="Normal 19" xfId="621" xr:uid="{B973DB66-FA23-46B4-9FF6-CA79D11B2E33}"/>
    <cellStyle name="Normal 19 2" xfId="704" xr:uid="{225131FA-D994-4E42-B7C9-15F0E63BA725}"/>
    <cellStyle name="Normal 19 3" xfId="694" xr:uid="{36CABFBA-090E-429A-8EB8-9CF02AE4E5D3}"/>
    <cellStyle name="Normal 2" xfId="4" xr:uid="{00000000-0005-0000-0000-00004A000000}"/>
    <cellStyle name="Normal 2 2" xfId="75" xr:uid="{00000000-0005-0000-0000-00004B000000}"/>
    <cellStyle name="Normal 2 2 10" xfId="705" xr:uid="{CA1BBAB5-9838-44F4-A3C7-C547B1B82236}"/>
    <cellStyle name="Normal 2 2 11" xfId="1526" xr:uid="{57271AA0-5F05-42AE-B8D2-D414B40CCC90}"/>
    <cellStyle name="Normal 2 2 2" xfId="721" xr:uid="{81119045-5A70-4725-8384-9E5E44ABD044}"/>
    <cellStyle name="Normal 2 2 2 2" xfId="758" xr:uid="{72174117-546D-4704-8FF4-6D5F2A81DA61}"/>
    <cellStyle name="Normal 2 2 2 2 2" xfId="913" xr:uid="{0C582D7A-694B-42A9-9C38-109820C7D571}"/>
    <cellStyle name="Normal 2 2 2 2 2 2" xfId="1244" xr:uid="{077F67D4-A6C7-4473-A2D1-2FA00BAB1F66}"/>
    <cellStyle name="Normal 2 2 2 2 2 2 2" xfId="1477" xr:uid="{F38D73C5-9CB3-46AE-8555-C3D428026777}"/>
    <cellStyle name="Normal 2 2 2 2 2 3" xfId="1361" xr:uid="{4BBE02DC-4C8E-41F1-9740-627396D6E249}"/>
    <cellStyle name="Normal 2 2 2 2 2 4" xfId="1125" xr:uid="{022ABC52-05D5-4556-9219-79815A02FCBB}"/>
    <cellStyle name="Normal 2 2 2 2 3" xfId="983" xr:uid="{8BE6A34C-EAF3-4C95-A4BD-FE3EF66F6588}"/>
    <cellStyle name="Normal 2 2 2 2 3 2" xfId="1421" xr:uid="{1C613E25-3945-4ED8-AF2F-7A5E9BEF855D}"/>
    <cellStyle name="Normal 2 2 2 2 3 3" xfId="1188" xr:uid="{5EABED71-0C03-45DF-9FAE-79C064ED7440}"/>
    <cellStyle name="Normal 2 2 2 2 4" xfId="1305" xr:uid="{6EE571EA-39CF-4979-8AF0-2B337C76DAFD}"/>
    <cellStyle name="Normal 2 2 2 2 5" xfId="1068" xr:uid="{A2199429-685F-4F4C-AA7D-FC1057DD5885}"/>
    <cellStyle name="Normal 2 2 2 3" xfId="880" xr:uid="{6AA8A082-7AFA-4A11-A3F6-3B5FC3B71A4F}"/>
    <cellStyle name="Normal 2 2 2 3 2" xfId="1214" xr:uid="{FAFDC8D5-1C87-419B-9E9A-E03BF6995A88}"/>
    <cellStyle name="Normal 2 2 2 3 2 2" xfId="1447" xr:uid="{7655CE8C-3B8C-44AF-9C50-EEE8829E1B66}"/>
    <cellStyle name="Normal 2 2 2 3 3" xfId="1331" xr:uid="{4674F0CB-21D6-41E7-8B82-7F0E14278A38}"/>
    <cellStyle name="Normal 2 2 2 3 4" xfId="1095" xr:uid="{DD327DFF-F19A-4E2E-BE46-8FAC7FE49EC6}"/>
    <cellStyle name="Normal 2 2 2 4" xfId="953" xr:uid="{9DBE9E37-E803-4CBA-8F1B-10E7C19DBADD}"/>
    <cellStyle name="Normal 2 2 2 4 2" xfId="1395" xr:uid="{E70F19D2-AB14-451B-B5CD-82C50138C78F}"/>
    <cellStyle name="Normal 2 2 2 4 3" xfId="1162" xr:uid="{75E2EDE9-F4BD-4E39-AD96-7762D6DB71DB}"/>
    <cellStyle name="Normal 2 2 2 5" xfId="1279" xr:uid="{3E25AA25-8913-46C9-B689-C4FA6F331DFA}"/>
    <cellStyle name="Normal 2 2 2 6" xfId="1042" xr:uid="{5916A03E-A346-4288-B952-171E8A3E873C}"/>
    <cellStyle name="Normal 2 2 3" xfId="729" xr:uid="{5BDCD611-EE52-4191-A0FF-979F64C33CE7}"/>
    <cellStyle name="Normal 2 2 3 2" xfId="766" xr:uid="{7DB5C444-4376-462B-A22B-49898CA5BAA2}"/>
    <cellStyle name="Normal 2 2 3 2 2" xfId="921" xr:uid="{971C25AF-0870-44E1-B9CD-91DB230146E1}"/>
    <cellStyle name="Normal 2 2 3 2 2 2" xfId="1252" xr:uid="{47E5B946-CB13-4F41-89B4-499E5B9ED1CB}"/>
    <cellStyle name="Normal 2 2 3 2 2 2 2" xfId="1485" xr:uid="{B39FC8D3-28A8-4C73-BE1C-E8F278F86545}"/>
    <cellStyle name="Normal 2 2 3 2 2 3" xfId="1369" xr:uid="{5A436301-99CA-4528-962C-32004EB383A5}"/>
    <cellStyle name="Normal 2 2 3 2 2 4" xfId="1133" xr:uid="{CC378B41-ECE0-4D32-A8FF-732A3010345A}"/>
    <cellStyle name="Normal 2 2 3 2 3" xfId="991" xr:uid="{3300C1A9-2DD4-45B9-933F-C71F262FEE86}"/>
    <cellStyle name="Normal 2 2 3 2 3 2" xfId="1429" xr:uid="{EFBCE65B-5044-4357-A2EE-474FF6DD7698}"/>
    <cellStyle name="Normal 2 2 3 2 3 3" xfId="1196" xr:uid="{C9E52917-7157-4F83-AC0F-2D69E873B98D}"/>
    <cellStyle name="Normal 2 2 3 2 4" xfId="1313" xr:uid="{F83E3E6B-7162-427D-A2AF-256B98FFFFD0}"/>
    <cellStyle name="Normal 2 2 3 2 5" xfId="1076" xr:uid="{89D981D5-1E03-4E3B-B829-5FD43A7CE54D}"/>
    <cellStyle name="Normal 2 2 3 3" xfId="888" xr:uid="{5C137E0E-2634-4791-A619-089A80E8A734}"/>
    <cellStyle name="Normal 2 2 3 3 2" xfId="1222" xr:uid="{D575FA7D-06C1-4407-BED9-A03937FF2D5B}"/>
    <cellStyle name="Normal 2 2 3 3 2 2" xfId="1455" xr:uid="{952CCB6E-E946-4D79-8B84-B40AE0449FB9}"/>
    <cellStyle name="Normal 2 2 3 3 3" xfId="1339" xr:uid="{98994242-29FA-4237-9FD3-6393E280C930}"/>
    <cellStyle name="Normal 2 2 3 3 4" xfId="1103" xr:uid="{D2BEC730-BEAA-4F5F-B460-7B29AB48361E}"/>
    <cellStyle name="Normal 2 2 3 4" xfId="961" xr:uid="{491A03AB-82B4-422B-88B9-9A915CD6F0FF}"/>
    <cellStyle name="Normal 2 2 3 4 2" xfId="1403" xr:uid="{852C08CE-94B0-4E50-A4F5-0ACBDFEF0CFD}"/>
    <cellStyle name="Normal 2 2 3 4 3" xfId="1170" xr:uid="{9C3885E1-066A-4562-845E-5718110E0644}"/>
    <cellStyle name="Normal 2 2 3 5" xfId="1287" xr:uid="{76B3816F-B917-4295-8E8B-EBBEDBDFF6A2}"/>
    <cellStyle name="Normal 2 2 3 6" xfId="1050" xr:uid="{8DC77C8C-D4A5-48D2-8A41-7AB28EE08B4A}"/>
    <cellStyle name="Normal 2 2 4" xfId="750" xr:uid="{D441E215-E076-49B4-AE91-D71CE69118C7}"/>
    <cellStyle name="Normal 2 2 4 2" xfId="905" xr:uid="{B4BF33B0-A35D-41DB-88A4-A40A227B8128}"/>
    <cellStyle name="Normal 2 2 4 2 2" xfId="1236" xr:uid="{FF85D3D6-7CAC-4208-AEBA-605FC2700B14}"/>
    <cellStyle name="Normal 2 2 4 2 2 2" xfId="1469" xr:uid="{94AF6012-0CEF-41C2-8823-47C2F8676E27}"/>
    <cellStyle name="Normal 2 2 4 2 3" xfId="1353" xr:uid="{F68652A5-901F-4AAF-B36B-2B435ABC6F44}"/>
    <cellStyle name="Normal 2 2 4 2 4" xfId="1117" xr:uid="{763C6FE0-4B52-4C7A-A409-5FC2C65A5ED3}"/>
    <cellStyle name="Normal 2 2 4 3" xfId="975" xr:uid="{4EFB6F37-6FD4-4E78-AF45-8E51BA63D988}"/>
    <cellStyle name="Normal 2 2 4 3 2" xfId="1387" xr:uid="{3E3AB025-2811-4579-A30B-19E844F49AC5}"/>
    <cellStyle name="Normal 2 2 4 3 3" xfId="1154" xr:uid="{049912C6-3E80-4E6B-A150-8056E204EEFB}"/>
    <cellStyle name="Normal 2 2 4 4" xfId="1271" xr:uid="{3D78D77E-9A2F-4340-999B-9F401326FC1E}"/>
    <cellStyle name="Normal 2 2 4 5" xfId="1034" xr:uid="{648A0206-8C15-4EFC-A860-CFF636B8FC17}"/>
    <cellStyle name="Normal 2 2 5" xfId="869" xr:uid="{66A3480A-78C5-453B-9F10-540DBC43B4DF}"/>
    <cellStyle name="Normal 2 2 5 2" xfId="1180" xr:uid="{9ED73892-E0E0-4EB3-8700-F0A516FF5823}"/>
    <cellStyle name="Normal 2 2 5 2 2" xfId="1413" xr:uid="{2DCDB3B5-3B99-4F1C-82C1-7DC98D0CF14D}"/>
    <cellStyle name="Normal 2 2 5 3" xfId="1297" xr:uid="{5A0D06E8-8ACC-4875-9CE9-F2268D6C6651}"/>
    <cellStyle name="Normal 2 2 5 4" xfId="1060" xr:uid="{78493F0E-4902-4231-BB33-339A7026B37C}"/>
    <cellStyle name="Normal 2 2 6" xfId="945" xr:uid="{7F6590EE-9E2B-4222-8306-2E71B8A640C0}"/>
    <cellStyle name="Normal 2 2 6 2" xfId="1206" xr:uid="{03152B51-C091-49BC-B213-1F867D9BB45F}"/>
    <cellStyle name="Normal 2 2 6 2 2" xfId="1439" xr:uid="{BD8F962C-6F0B-42C4-818A-17AEBC707021}"/>
    <cellStyle name="Normal 2 2 6 3" xfId="1323" xr:uid="{3DA4F678-1861-4B1A-A97F-1A38C0D4D346}"/>
    <cellStyle name="Normal 2 2 6 4" xfId="1087" xr:uid="{0FD44BDA-0617-474B-980A-FC4115BFCA1F}"/>
    <cellStyle name="Normal 2 2 7" xfId="1144" xr:uid="{732CB926-CA48-43D8-8ED5-1EAEEFE07A55}"/>
    <cellStyle name="Normal 2 2 7 2" xfId="1377" xr:uid="{B4B0F0D8-9DD0-4FE8-B284-B03C330BE379}"/>
    <cellStyle name="Normal 2 2 8" xfId="1261" xr:uid="{C4A2DAD3-271A-4F32-8D36-F70E6A130CDD}"/>
    <cellStyle name="Normal 2 2 9" xfId="1023" xr:uid="{5C46BC3A-8350-4893-8274-380D32A67AD3}"/>
    <cellStyle name="Normal 2 3" xfId="736" xr:uid="{5D999D92-2638-4729-98F0-A4C5158AB11A}"/>
    <cellStyle name="Normal 2 4" xfId="796" xr:uid="{2F3DBAA9-94D0-4A22-BC64-D62E21FD8832}"/>
    <cellStyle name="Normal 2 5" xfId="622" xr:uid="{52236977-69EE-43CE-978C-781C2B31DF6B}"/>
    <cellStyle name="Normal 20" xfId="623" xr:uid="{8B19251C-5490-410D-B5FC-05DDFDB381FB}"/>
    <cellStyle name="Normal 21" xfId="706" xr:uid="{73936943-F6B4-4180-94F4-96D1E1525801}"/>
    <cellStyle name="Normal 22" xfId="732" xr:uid="{ECE93BD4-AAB9-4E01-9BC8-E553EAD11CA6}"/>
    <cellStyle name="Normal 22 2" xfId="740" xr:uid="{2C19312B-F0BD-48A8-AD4A-DCE66515DB63}"/>
    <cellStyle name="Normal 22 3" xfId="891" xr:uid="{848E9D7F-F877-40AE-A485-C2398A2606A8}"/>
    <cellStyle name="Normal 22 3 2" xfId="1458" xr:uid="{C37F1FC4-C87A-445C-AFAF-EEEC874C963F}"/>
    <cellStyle name="Normal 22 3 3" xfId="1225" xr:uid="{BBAB6D9F-8302-4C91-B202-8DB48F373F08}"/>
    <cellStyle name="Normal 22 4" xfId="964" xr:uid="{E8690419-9D5D-45F4-AA2F-45398A042D5B}"/>
    <cellStyle name="Normal 22 4 2" xfId="1342" xr:uid="{557109F6-5A9B-47CC-AC61-D1B850FF4E70}"/>
    <cellStyle name="Normal 22 5" xfId="1106" xr:uid="{8760330B-4CB1-4B35-A979-FFC0CB19D8CB}"/>
    <cellStyle name="Normal 23" xfId="737" xr:uid="{D262FC73-2B79-43E0-A9A3-3B4A1830FC31}"/>
    <cellStyle name="Normal 23 2" xfId="894" xr:uid="{29E72DC0-12C2-4E8E-8A71-1B9C79159BF4}"/>
    <cellStyle name="Normal 23 2 2" xfId="1459" xr:uid="{29B7CA17-14DB-4D2A-84CD-C618F9CB2038}"/>
    <cellStyle name="Normal 23 2 3" xfId="1226" xr:uid="{065EE220-D577-49E6-BE90-5A71E2BF8A48}"/>
    <cellStyle name="Normal 23 3" xfId="965" xr:uid="{B39082DB-010D-4A23-8DE1-FBA352901F86}"/>
    <cellStyle name="Normal 23 3 2" xfId="1343" xr:uid="{B0E63C77-E165-4CE6-876C-E9C1E79155CD}"/>
    <cellStyle name="Normal 23 4" xfId="1107" xr:uid="{ACA2EA91-9CEE-4C60-A69A-050B08813299}"/>
    <cellStyle name="Normal 24" xfId="924" xr:uid="{31235064-FEE9-42F1-A8CD-4379E59DAE0B}"/>
    <cellStyle name="Normal 24 2" xfId="1138" xr:uid="{D501E2FD-CD72-4412-88EE-8F087D437134}"/>
    <cellStyle name="Normal 25" xfId="935" xr:uid="{139ABBEC-6429-4E74-9965-C58CC1601E8E}"/>
    <cellStyle name="Normal 25 2" xfId="1374" xr:uid="{A53E9708-A192-44B2-8E94-ABB8A267ED5C}"/>
    <cellStyle name="Normal 25 3" xfId="1137" xr:uid="{15A61BF5-5478-48F7-B307-4B6226F7FDED}"/>
    <cellStyle name="Normal 26" xfId="925" xr:uid="{8F86AA81-1B5B-4B8B-B2BD-5B9D903B78F6}"/>
    <cellStyle name="Normal 26 2" xfId="1256" xr:uid="{4B7D146E-FD15-47E7-BE08-3499F7960DD7}"/>
    <cellStyle name="Normal 27" xfId="931" xr:uid="{84BFC054-4661-4393-B984-77DB8F0E82AF}"/>
    <cellStyle name="Normal 28" xfId="936" xr:uid="{C800E3AB-A60F-47CA-9833-7A49F9B65DCA}"/>
    <cellStyle name="Normal 29" xfId="1006" xr:uid="{44E895C8-637A-4FCB-BE03-C15F1784E928}"/>
    <cellStyle name="Normal 3" xfId="11" xr:uid="{00000000-0005-0000-0000-00004C000000}"/>
    <cellStyle name="Normal 3 2" xfId="707" xr:uid="{D65206B1-1563-4F4F-BEFA-71E190E67CD7}"/>
    <cellStyle name="Normal 3 2 2" xfId="1583" xr:uid="{43BC6A37-160F-4BD3-98F8-B4D62D851E8F}"/>
    <cellStyle name="Normal 3 3" xfId="708" xr:uid="{9864E9AE-E37B-4FF2-A146-6D85B6CDD8FE}"/>
    <cellStyle name="Normal 3 3 2" xfId="701" xr:uid="{1D66177E-6151-41F7-B2EE-7C5EDFE1CB71}"/>
    <cellStyle name="Normal 3 3 3" xfId="1616" xr:uid="{5CF45649-4C77-457D-B31A-7562F865F1E5}"/>
    <cellStyle name="Normal 3 4" xfId="733" xr:uid="{A7A7F0F3-8B89-4D5B-99DB-883CFA1B0AB8}"/>
    <cellStyle name="Normal 3 4 2" xfId="892" xr:uid="{DE4A5A07-29E1-4A94-BFB4-D1D13D27A01E}"/>
    <cellStyle name="Normal 3 5" xfId="799" xr:uid="{D84FD27D-4F8D-4E1F-872A-4A3BD1D16E5B}"/>
    <cellStyle name="Normal 3 6" xfId="999" xr:uid="{8202992F-BAF8-44F3-8D2C-7901D2C69288}"/>
    <cellStyle name="Normal 3 7" xfId="624" xr:uid="{CCA486E0-110F-48D0-96E3-E1B5723E5A1E}"/>
    <cellStyle name="Normal 3 8" xfId="1545" xr:uid="{BB944EB7-6483-49E9-85DA-D9C3F57A3E78}"/>
    <cellStyle name="Normal 30" xfId="1002" xr:uid="{D71AAE61-B41E-4E2E-8C79-22AC7024A045}"/>
    <cellStyle name="Normal 31" xfId="1489" xr:uid="{DDBCD9E8-0303-4EEC-9B9E-5EFF33963772}"/>
    <cellStyle name="Normal 32" xfId="1000" xr:uid="{C56C40F9-D546-4507-B411-55FF0568CD46}"/>
    <cellStyle name="Normal 33" xfId="1004" xr:uid="{27E7B7E6-176C-4087-A1AF-4428A5A31B76}"/>
    <cellStyle name="Normal 34" xfId="1014" xr:uid="{D5BF7374-D31F-4352-B495-27C26D6F44DF}"/>
    <cellStyle name="Normal 35" xfId="1498" xr:uid="{64B2E403-9017-4256-8729-C5DC6166F9E7}"/>
    <cellStyle name="Normal 36" xfId="1500" xr:uid="{36AD661F-D9FA-431A-B1C6-8F3411C2B1FB}"/>
    <cellStyle name="Normal 37" xfId="1502" xr:uid="{0CDBD015-684B-4EA7-BC9C-7C9A9885E122}"/>
    <cellStyle name="Normal 38" xfId="1504" xr:uid="{A30F1ED4-9DAE-4847-AC49-35B7B94C492E}"/>
    <cellStyle name="Normal 39" xfId="1506" xr:uid="{96FFF111-080E-4963-B1EE-62224FE61868}"/>
    <cellStyle name="Normal 4" xfId="76" xr:uid="{00000000-0005-0000-0000-00004D000000}"/>
    <cellStyle name="Normal 4 2" xfId="709" xr:uid="{81E4A1C3-85D5-4122-8A76-9BB54D819642}"/>
    <cellStyle name="Normal 4 2 2" xfId="1597" xr:uid="{3D9CD546-22F8-46AE-906A-A052E50C9D65}"/>
    <cellStyle name="Normal 4 3" xfId="838" xr:uid="{F8577DCA-F3CC-455B-9CE2-FD746A551677}"/>
    <cellStyle name="Normal 4 3 2" xfId="1630" xr:uid="{59696BD0-08BF-4A00-9DE8-DAA3A1EE4D44}"/>
    <cellStyle name="Normal 4 4" xfId="625" xr:uid="{8D21A86B-11FF-4EC6-BA39-8F59D63C9E59}"/>
    <cellStyle name="Normal 4 5" xfId="1531" xr:uid="{31923F63-10F6-4C0A-AD6B-45FE62E25968}"/>
    <cellStyle name="Normal 4 6" xfId="1562" xr:uid="{3E8CC19A-597F-4F2C-A14C-222ED5FED6F2}"/>
    <cellStyle name="Normal 40" xfId="1508" xr:uid="{0678ED52-D772-40A4-A050-8422512AC453}"/>
    <cellStyle name="Normal 41" xfId="1510" xr:uid="{7DE8DAF9-80C6-450A-904E-7A79ED52CED1}"/>
    <cellStyle name="Normal 42" xfId="1512" xr:uid="{74D01AFB-BE4F-4FEF-9279-C38C89CBA31C}"/>
    <cellStyle name="Normal 43" xfId="1514" xr:uid="{F8035CA1-C432-45B1-B491-68C37027D628}"/>
    <cellStyle name="Normal 44" xfId="1516" xr:uid="{2A029B41-DE16-46A8-9636-243F012740C6}"/>
    <cellStyle name="Normal 45" xfId="1518" xr:uid="{6146693A-C26D-48DB-ABFB-A6180A76ED26}"/>
    <cellStyle name="Normal 46" xfId="1520" xr:uid="{6D70D31A-3CE0-457F-9352-EAD798906D71}"/>
    <cellStyle name="Normal 47" xfId="103" xr:uid="{07BB6707-B6DD-4770-B647-F614C56E2EBA}"/>
    <cellStyle name="Normal 48" xfId="1524" xr:uid="{0CF4069A-DC85-425D-9C92-AEC24AB13F57}"/>
    <cellStyle name="Normal 49" xfId="1533" xr:uid="{C9EAF9DB-3F77-4EE8-A0F3-CB71506A42D0}"/>
    <cellStyle name="Normal 5" xfId="77" xr:uid="{00000000-0005-0000-0000-00004E000000}"/>
    <cellStyle name="Normal 5 2" xfId="78" xr:uid="{00000000-0005-0000-0000-00004F000000}"/>
    <cellStyle name="Normal 5 2 2" xfId="1522" xr:uid="{4F6B48E3-82A2-4FB2-A4DA-88FF8A3F24DE}"/>
    <cellStyle name="Normal 5 2 2 2" xfId="1610" xr:uid="{0B6A2321-A1FC-4A78-BCD5-BD5A0CE7EB51}"/>
    <cellStyle name="Normal 5 2 3" xfId="79" xr:uid="{00000000-0005-0000-0000-000050000000}"/>
    <cellStyle name="Normal 5 2 3 2" xfId="97" xr:uid="{00000000-0005-0000-0000-000051000000}"/>
    <cellStyle name="Normal 5 2 3 3" xfId="100" xr:uid="{00000000-0005-0000-0000-000052000000}"/>
    <cellStyle name="Normal 5 2 3 3 2" xfId="1532" xr:uid="{EDE8BB89-AB18-479F-A06D-10BB1D3F4B85}"/>
    <cellStyle name="Normal 5 2 3 4" xfId="1640" xr:uid="{2E54A4A0-3ED7-4892-9BC9-153D4262FD89}"/>
    <cellStyle name="Normal 5 2 4" xfId="844" xr:uid="{E5ED4AF3-FB2C-445E-AD98-836387592AA0}"/>
    <cellStyle name="Normal 5 2 5" xfId="1575" xr:uid="{342AFFB9-C072-4776-8B05-33A2D52D4255}"/>
    <cellStyle name="Normal 5 3" xfId="840" xr:uid="{6F900A40-2CC6-4DF6-9E52-39DACFBB9333}"/>
    <cellStyle name="Normal 5 3 2" xfId="1600" xr:uid="{016B417D-6BE7-42EE-AB41-64CF17C581FC}"/>
    <cellStyle name="Normal 5 4" xfId="626" xr:uid="{1FAB166A-B1F1-49B7-9742-8EEB87263E54}"/>
    <cellStyle name="Normal 5 4 2" xfId="1633" xr:uid="{1AEFD97D-EB08-4369-87C3-D361F9435454}"/>
    <cellStyle name="Normal 5 5" xfId="1565" xr:uid="{62BBE788-3710-4EB5-8310-379D4C8E96D6}"/>
    <cellStyle name="Normal 50" xfId="1544" xr:uid="{7A973A52-FCB0-4512-B9DE-39384F1B1582}"/>
    <cellStyle name="Normal 51" xfId="1534" xr:uid="{971FB22C-377F-4E25-A099-3FC4D9A3E693}"/>
    <cellStyle name="Normal 52" xfId="1645" xr:uid="{C8DF7F4F-3DE3-44FA-98D5-0ABB0D889318}"/>
    <cellStyle name="Normal 53" xfId="1574" xr:uid="{9C6B2AEF-42CA-44CB-A0D1-6FBFAFB60886}"/>
    <cellStyle name="Normal 54" xfId="1648" xr:uid="{B323E6AB-6F97-433F-AEB2-47F72AEB8590}"/>
    <cellStyle name="Normal 6" xfId="80" xr:uid="{00000000-0005-0000-0000-000053000000}"/>
    <cellStyle name="Normal 6 2" xfId="843" xr:uid="{213AA290-D736-4DDA-A4D4-2EF27A647389}"/>
    <cellStyle name="Normal 6 2 2" xfId="1604" xr:uid="{981C84C6-DE44-4C20-92CF-FB2392451696}"/>
    <cellStyle name="Normal 6 3" xfId="627" xr:uid="{4A26A58B-7FCB-41A0-981C-8E1A21369BCB}"/>
    <cellStyle name="Normal 6 3 2" xfId="1636" xr:uid="{BBBB43E1-0D6C-404F-AE2D-BEB135A28257}"/>
    <cellStyle name="Normal 6 4" xfId="1568" xr:uid="{55488A95-04F8-42C5-A919-531BF6ADDF6F}"/>
    <cellStyle name="Normal 7" xfId="81" xr:uid="{00000000-0005-0000-0000-000054000000}"/>
    <cellStyle name="Normal 7 2" xfId="628" xr:uid="{13E091AF-29C3-4863-8FB8-0E8A765159CD}"/>
    <cellStyle name="Normal 8" xfId="101" xr:uid="{947A62E7-9B13-4125-8F42-56423315674A}"/>
    <cellStyle name="Normal 8 2" xfId="629" xr:uid="{6582A769-8B2B-4D65-B887-379AD44BDFA1}"/>
    <cellStyle name="Normal 8 3" xfId="1582" xr:uid="{73F06497-77A8-4349-9DEC-CF3147FE8E4B}"/>
    <cellStyle name="Normal 9" xfId="630" xr:uid="{1308C8C4-F275-4DBD-A9E8-E228AB03DA1C}"/>
    <cellStyle name="Normal 9 2" xfId="1580" xr:uid="{A92C3FE1-8FE0-4539-A9E7-A59774DD92C3}"/>
    <cellStyle name="Note 10" xfId="631" xr:uid="{35EB5A95-A177-4B20-9CA8-FDBCC671FD84}"/>
    <cellStyle name="Note 11" xfId="632" xr:uid="{DD8908E4-84DE-45EA-B7BC-C557752625C8}"/>
    <cellStyle name="Note 12" xfId="633" xr:uid="{68F04D36-2740-4F78-83FA-8F74E024A676}"/>
    <cellStyle name="Note 13" xfId="634" xr:uid="{5D21E44C-0A5A-42B8-93C2-5BF90A920C88}"/>
    <cellStyle name="Note 14" xfId="635" xr:uid="{647CC37C-98B8-4CEF-BCF8-D50D5CDAC4E6}"/>
    <cellStyle name="Note 15" xfId="636" xr:uid="{CADABAD8-6058-424E-B810-088BEF2266A5}"/>
    <cellStyle name="Note 16" xfId="853" xr:uid="{F0178167-BA7F-43D7-A57C-AB12C251AE24}"/>
    <cellStyle name="Note 17" xfId="1541" xr:uid="{E1653CB8-264D-4A32-8DCE-5DF1C782DAE8}"/>
    <cellStyle name="Note 18" xfId="1547" xr:uid="{DEA9A86E-F245-43FF-81DB-721FD600E8AB}"/>
    <cellStyle name="Note 2" xfId="82" xr:uid="{00000000-0005-0000-0000-000055000000}"/>
    <cellStyle name="Note 2 2" xfId="811" xr:uid="{88EE9475-8459-4E92-B64E-E25ACC6A51C7}"/>
    <cellStyle name="Note 2 2 2" xfId="1584" xr:uid="{1F85A3D8-AD6E-4049-AA4B-E30F2D26ED10}"/>
    <cellStyle name="Note 2 3" xfId="637" xr:uid="{CF50727E-2C77-407C-AC31-2D4DB5D30CFE}"/>
    <cellStyle name="Note 2 3 2" xfId="1617" xr:uid="{358680A1-CE85-4911-AF8D-F2668E0509D9}"/>
    <cellStyle name="Note 2 4" xfId="1548" xr:uid="{C93E4656-5D6E-461E-9195-344D5ED1B639}"/>
    <cellStyle name="Note 3" xfId="638" xr:uid="{19CEE5A5-BE22-42FF-910F-F069B3250C44}"/>
    <cellStyle name="Note 3 2" xfId="1581" xr:uid="{9E9807CA-B7C2-43A0-A5FA-A97763CD76DE}"/>
    <cellStyle name="Note 3 3" xfId="1647" xr:uid="{E633B5F4-851F-4DFA-94F4-BB0394006E03}"/>
    <cellStyle name="Note 4" xfId="639" xr:uid="{7AAED23A-34C0-4215-94F7-C4B1D21960EC}"/>
    <cellStyle name="Note 5" xfId="640" xr:uid="{3103A930-B420-44AE-8895-D819302C9BDA}"/>
    <cellStyle name="Note 6" xfId="641" xr:uid="{C572E38B-6B5D-494E-8559-22C9EAB31C47}"/>
    <cellStyle name="Note 7" xfId="642" xr:uid="{3E7F198A-42F7-4B61-99ED-E2D3DCC08E12}"/>
    <cellStyle name="Note 8" xfId="643" xr:uid="{25454A26-39A3-4DBB-88AA-CA12323CA64D}"/>
    <cellStyle name="Note 9" xfId="644" xr:uid="{00A3A72B-FBB4-4FAD-806E-3FCEF69DB47B}"/>
    <cellStyle name="Output 10" xfId="645" xr:uid="{948DCE6F-F3AD-49C7-90BE-C0A77BA0A473}"/>
    <cellStyle name="Output 11" xfId="646" xr:uid="{41BB4598-CBAA-49B3-BCA1-F91656EA7BA5}"/>
    <cellStyle name="Output 12" xfId="647" xr:uid="{D44A6A04-6B8C-4AC3-8451-ACF4F4536437}"/>
    <cellStyle name="Output 13" xfId="648" xr:uid="{A1C840EB-126E-476B-9DB7-9F9FD513C45C}"/>
    <cellStyle name="Output 14" xfId="649" xr:uid="{209CA6CB-EBC5-4833-A448-26231E2C1D8F}"/>
    <cellStyle name="Output 15" xfId="650" xr:uid="{E30BF09A-1449-4208-A811-33F74229B6CB}"/>
    <cellStyle name="Output 16" xfId="850" xr:uid="{09A8C6D2-A18C-40CA-ADA3-B844F231D36B}"/>
    <cellStyle name="Output 17" xfId="1542" xr:uid="{64AB2EF3-E341-4D11-9281-8032EB7008D0}"/>
    <cellStyle name="Output 18" xfId="1537" xr:uid="{C9E53BC3-C0FE-4A2A-82A1-60E937FF9C47}"/>
    <cellStyle name="Output 2" xfId="83" xr:uid="{00000000-0005-0000-0000-000056000000}"/>
    <cellStyle name="Output 2 2" xfId="806" xr:uid="{868B9F9B-667E-4F4E-AC42-FC4F489CB68D}"/>
    <cellStyle name="Output 2 3" xfId="651" xr:uid="{B5A3D20B-4584-4D4F-B9C7-E8488A6C23BE}"/>
    <cellStyle name="Output 3" xfId="652" xr:uid="{06436D1D-8BB7-4628-9EA9-12D6FC22BB0A}"/>
    <cellStyle name="Output 4" xfId="653" xr:uid="{6FD8334D-DB5B-4630-81A8-BD868D298189}"/>
    <cellStyle name="Output 5" xfId="654" xr:uid="{1D3CCAC3-AAD0-459B-B647-1D3C3BE34F01}"/>
    <cellStyle name="Output 6" xfId="655" xr:uid="{26FD6B34-F510-4192-9020-53C7C8AA0209}"/>
    <cellStyle name="Output 7" xfId="656" xr:uid="{E462345A-6513-4121-9711-FF362BF6DCF1}"/>
    <cellStyle name="Output 8" xfId="657" xr:uid="{94957617-06E5-49AE-AB00-F8F922E700A8}"/>
    <cellStyle name="Output 9" xfId="658" xr:uid="{9DC6D9F4-C9EC-4F7E-B76A-0C28FDD3DEC9}"/>
    <cellStyle name="Percent" xfId="2" builtinId="5"/>
    <cellStyle name="Percent [2]" xfId="84" xr:uid="{00000000-0005-0000-0000-000058000000}"/>
    <cellStyle name="Percent 10" xfId="932" xr:uid="{FB1570F1-7578-4FAD-BB88-C18527592552}"/>
    <cellStyle name="Percent 11" xfId="939" xr:uid="{7AE6E81E-F411-42C0-A1D6-589223235D82}"/>
    <cellStyle name="Percent 12" xfId="1017" xr:uid="{13BBC6A7-4A41-4785-B24C-CEC1AD4782DA}"/>
    <cellStyle name="Percent 13" xfId="1001" xr:uid="{11B89A78-EBF2-4925-A9DD-72416425FF84}"/>
    <cellStyle name="Percent 14" xfId="1005" xr:uid="{315724E4-062B-4765-9C10-C07216F846DA}"/>
    <cellStyle name="Percent 15" xfId="994" xr:uid="{7DB09506-9926-4C30-A23C-6154A44DC063}"/>
    <cellStyle name="Percent 16" xfId="1490" xr:uid="{C4D6394C-3D02-4661-9E8C-77AA478929E7}"/>
    <cellStyle name="Percent 17" xfId="1010" xr:uid="{1F9FB357-76B2-48C6-9E1F-444336BFB2C0}"/>
    <cellStyle name="Percent 18" xfId="1019" xr:uid="{276BE303-10C9-4C7C-AD95-CCB0C7BDCA45}"/>
    <cellStyle name="Percent 19" xfId="996" xr:uid="{5CEBFF43-1967-4B66-A658-E098DB32EC52}"/>
    <cellStyle name="Percent 2" xfId="85" xr:uid="{00000000-0005-0000-0000-000059000000}"/>
    <cellStyle name="Percent 2 2" xfId="710" xr:uid="{5F566A33-788D-4491-BA80-85773E6ABBA7}"/>
    <cellStyle name="Percent 2 2 2" xfId="722" xr:uid="{BDD03D9D-A05C-45DE-B7D8-9F969CC45511}"/>
    <cellStyle name="Percent 2 2 2 2" xfId="759" xr:uid="{7D0A15BA-9EB9-4B73-89D5-75F2F55338A9}"/>
    <cellStyle name="Percent 2 2 2 2 2" xfId="914" xr:uid="{99B3F488-4664-4E01-BFAB-C0FABD9C30A8}"/>
    <cellStyle name="Percent 2 2 2 2 2 2" xfId="1245" xr:uid="{41688BAB-4B30-4E89-969D-FD0B5B4D6AEB}"/>
    <cellStyle name="Percent 2 2 2 2 2 2 2" xfId="1478" xr:uid="{AAD5EAEB-A357-42D6-86FB-6D478523F5C3}"/>
    <cellStyle name="Percent 2 2 2 2 2 3" xfId="1362" xr:uid="{0FB9F9BB-5D75-4020-82D7-2C4364DA421F}"/>
    <cellStyle name="Percent 2 2 2 2 2 4" xfId="1126" xr:uid="{EF1AA621-7718-46D6-AC53-D2FB3F60416D}"/>
    <cellStyle name="Percent 2 2 2 2 3" xfId="984" xr:uid="{B1F05F6C-B390-40EA-B343-C566D8DD604C}"/>
    <cellStyle name="Percent 2 2 2 2 3 2" xfId="1422" xr:uid="{BBD119E7-0FC4-4E68-B34A-A90D652EEE0C}"/>
    <cellStyle name="Percent 2 2 2 2 3 3" xfId="1189" xr:uid="{6C317745-1C34-4BBA-82D2-4F24D0D8C069}"/>
    <cellStyle name="Percent 2 2 2 2 4" xfId="1306" xr:uid="{8A14BC25-43A7-47D0-8C1C-78F2081802AB}"/>
    <cellStyle name="Percent 2 2 2 2 5" xfId="1069" xr:uid="{CB0CE082-3FD8-4C7A-BC45-D657324A4C73}"/>
    <cellStyle name="Percent 2 2 2 3" xfId="881" xr:uid="{79E3FAC0-D3ED-4B7C-8C40-AAF91A32B3F2}"/>
    <cellStyle name="Percent 2 2 2 3 2" xfId="1215" xr:uid="{16D41656-864B-4625-85C3-899CC98BD310}"/>
    <cellStyle name="Percent 2 2 2 3 2 2" xfId="1448" xr:uid="{E1453BE3-5FF1-4B5C-887E-F8C2872DC576}"/>
    <cellStyle name="Percent 2 2 2 3 3" xfId="1332" xr:uid="{C36D18BC-0C1A-4676-B3D9-8FEFF81F12E3}"/>
    <cellStyle name="Percent 2 2 2 3 4" xfId="1096" xr:uid="{E9D05171-8549-4045-95DE-D2677DB08E9D}"/>
    <cellStyle name="Percent 2 2 2 4" xfId="954" xr:uid="{2BC70880-FB56-4C6D-B3C1-D1D222A4FF4B}"/>
    <cellStyle name="Percent 2 2 2 4 2" xfId="1396" xr:uid="{DE582128-E9D5-4F43-923A-E3CD7F05F6D4}"/>
    <cellStyle name="Percent 2 2 2 4 3" xfId="1163" xr:uid="{FFC31374-59B4-461A-B16A-6A38C5AF4DCB}"/>
    <cellStyle name="Percent 2 2 2 5" xfId="1280" xr:uid="{BDB68D74-C350-4EDC-A83C-9006A8FA1F85}"/>
    <cellStyle name="Percent 2 2 2 6" xfId="1043" xr:uid="{F79B9E8B-24CA-419A-A2E1-D4C5134BA55B}"/>
    <cellStyle name="Percent 2 2 3" xfId="730" xr:uid="{F32A737C-2306-44ED-9157-B3D163846A14}"/>
    <cellStyle name="Percent 2 2 3 2" xfId="767" xr:uid="{E657F6D9-E0AA-4D8B-92C4-EABED89B476E}"/>
    <cellStyle name="Percent 2 2 3 2 2" xfId="922" xr:uid="{BC6D34E9-33EF-433C-902A-20A87DE028F5}"/>
    <cellStyle name="Percent 2 2 3 2 2 2" xfId="1253" xr:uid="{DC2D2E41-3FC5-4180-B6BA-4B927EA723B8}"/>
    <cellStyle name="Percent 2 2 3 2 2 2 2" xfId="1486" xr:uid="{4B7EA963-8402-4E59-8139-012705EA26BE}"/>
    <cellStyle name="Percent 2 2 3 2 2 3" xfId="1370" xr:uid="{A1B37527-05B3-46E3-A0A4-DAC5ABBF2FBF}"/>
    <cellStyle name="Percent 2 2 3 2 2 4" xfId="1134" xr:uid="{77B232BD-EF62-4D0A-B9C3-B0DF78598044}"/>
    <cellStyle name="Percent 2 2 3 2 3" xfId="992" xr:uid="{B690CDB8-EDC9-44D9-8D4E-39F1E9A35023}"/>
    <cellStyle name="Percent 2 2 3 2 3 2" xfId="1430" xr:uid="{08EEE802-44F5-4F43-96F8-92A9476EE4D6}"/>
    <cellStyle name="Percent 2 2 3 2 3 3" xfId="1197" xr:uid="{5C1C04E1-7084-4333-910C-D20285CC2BE5}"/>
    <cellStyle name="Percent 2 2 3 2 4" xfId="1314" xr:uid="{D823029D-21EE-41FC-B92C-38976A279C31}"/>
    <cellStyle name="Percent 2 2 3 2 5" xfId="1077" xr:uid="{955D8B21-0F5E-4361-8715-390646E07FE5}"/>
    <cellStyle name="Percent 2 2 3 3" xfId="889" xr:uid="{9EF5348F-4454-449B-89AE-C2C15C4F53A9}"/>
    <cellStyle name="Percent 2 2 3 3 2" xfId="1223" xr:uid="{558A92A8-DE44-42E9-911A-14AA6455D021}"/>
    <cellStyle name="Percent 2 2 3 3 2 2" xfId="1456" xr:uid="{B97C0724-5A35-409F-846A-809D6DF8C35E}"/>
    <cellStyle name="Percent 2 2 3 3 3" xfId="1340" xr:uid="{DC1F1817-3C6B-4CEC-A655-7E63A634A07D}"/>
    <cellStyle name="Percent 2 2 3 3 4" xfId="1104" xr:uid="{D1860A29-6BD6-451F-A9B3-CEF347F16220}"/>
    <cellStyle name="Percent 2 2 3 4" xfId="962" xr:uid="{95D78603-66E8-4024-A783-3BEEEFD9FEC0}"/>
    <cellStyle name="Percent 2 2 3 4 2" xfId="1404" xr:uid="{3EAB58BA-5BA4-44A8-B4EE-E6301138CFFF}"/>
    <cellStyle name="Percent 2 2 3 4 3" xfId="1171" xr:uid="{F500D14E-AF25-4979-8E0F-8A6D777664FF}"/>
    <cellStyle name="Percent 2 2 3 5" xfId="1288" xr:uid="{6B444173-8074-4761-BC65-0A84B7BA2D3D}"/>
    <cellStyle name="Percent 2 2 3 6" xfId="1051" xr:uid="{61119096-C3F9-47C9-872A-BABE34AA5001}"/>
    <cellStyle name="Percent 2 2 4" xfId="751" xr:uid="{67C08EE6-CC85-474D-9333-46CD53D7D965}"/>
    <cellStyle name="Percent 2 2 4 2" xfId="906" xr:uid="{78D525A1-AB0A-4D6B-A580-B5C2B6A2642F}"/>
    <cellStyle name="Percent 2 2 4 2 2" xfId="1237" xr:uid="{AD0C68EA-2396-4546-802F-535480E3F6A7}"/>
    <cellStyle name="Percent 2 2 4 2 2 2" xfId="1470" xr:uid="{E39EABB1-29B7-43EA-ABBE-7A912A3DA402}"/>
    <cellStyle name="Percent 2 2 4 2 3" xfId="1354" xr:uid="{7EF0AEBC-96D9-464F-91AE-11582A21A53C}"/>
    <cellStyle name="Percent 2 2 4 2 4" xfId="1118" xr:uid="{FEA682B3-D045-43DA-8BE3-B1C208A16ED9}"/>
    <cellStyle name="Percent 2 2 4 3" xfId="976" xr:uid="{E82A8719-362B-4533-8AE7-243A3A10BCEB}"/>
    <cellStyle name="Percent 2 2 4 3 2" xfId="1414" xr:uid="{0D65EABF-9039-4F52-AAD7-86DA9F5E03E7}"/>
    <cellStyle name="Percent 2 2 4 3 3" xfId="1181" xr:uid="{2027761D-7285-42B4-8E52-FD7608B4230C}"/>
    <cellStyle name="Percent 2 2 4 4" xfId="1298" xr:uid="{3B1A5A77-BF21-48C5-B3F7-88AFD7439F34}"/>
    <cellStyle name="Percent 2 2 4 5" xfId="1061" xr:uid="{9C590336-6991-43C1-88EC-9D1707BC96EC}"/>
    <cellStyle name="Percent 2 2 5" xfId="873" xr:uid="{67F12982-8CCE-43D4-8570-78EB238B02D4}"/>
    <cellStyle name="Percent 2 2 5 2" xfId="1207" xr:uid="{24FBBF85-8E4B-4274-9838-CE4688F9E7F0}"/>
    <cellStyle name="Percent 2 2 5 2 2" xfId="1440" xr:uid="{1B8C678E-AC22-4A1F-B582-54F3A8909F73}"/>
    <cellStyle name="Percent 2 2 5 3" xfId="1324" xr:uid="{DCC78229-2BE3-40E8-84E4-1CBCF46CBB87}"/>
    <cellStyle name="Percent 2 2 5 4" xfId="1088" xr:uid="{CCBEFCB9-7912-450F-A502-47923A3928A2}"/>
    <cellStyle name="Percent 2 2 6" xfId="946" xr:uid="{9C4479DA-E787-427F-85A9-A4F58C5AAED7}"/>
    <cellStyle name="Percent 2 2 6 2" xfId="1388" xr:uid="{0668FD38-92E8-479D-86DA-C347453AA5FC}"/>
    <cellStyle name="Percent 2 2 6 3" xfId="1155" xr:uid="{C3634280-881D-4D54-AFF1-030BE9D03180}"/>
    <cellStyle name="Percent 2 2 7" xfId="1272" xr:uid="{EDC9D8FF-2B90-40E7-A280-8190504072A1}"/>
    <cellStyle name="Percent 2 2 8" xfId="1035" xr:uid="{F1CC9E9A-C24E-4D2A-AF01-744365E7B526}"/>
    <cellStyle name="Percent 2 2 9" xfId="1599" xr:uid="{11076CA7-C845-40CF-A3DC-D75A2058016F}"/>
    <cellStyle name="Percent 2 3" xfId="715" xr:uid="{957618BB-BB17-4599-B407-40F2504A0070}"/>
    <cellStyle name="Percent 2 3 2" xfId="723" xr:uid="{C334603A-CB93-4693-802B-1C5DE4FBA56B}"/>
    <cellStyle name="Percent 2 3 2 2" xfId="760" xr:uid="{3D0EB092-A6B4-4128-AF1C-12541BBD9A4F}"/>
    <cellStyle name="Percent 2 3 2 2 2" xfId="915" xr:uid="{3F02A74B-E453-40FC-9FB3-EC91A9EC293C}"/>
    <cellStyle name="Percent 2 3 2 2 2 2" xfId="1246" xr:uid="{ADE6962A-0F5E-4A0E-8526-21507C0C1CE2}"/>
    <cellStyle name="Percent 2 3 2 2 2 2 2" xfId="1479" xr:uid="{20AC5FD3-EE33-4452-B98E-610C5F113420}"/>
    <cellStyle name="Percent 2 3 2 2 2 3" xfId="1363" xr:uid="{8D03E115-34CE-4D64-93FD-487BF1B13253}"/>
    <cellStyle name="Percent 2 3 2 2 2 4" xfId="1127" xr:uid="{2FDBD90E-2E53-432D-97D4-96D689759883}"/>
    <cellStyle name="Percent 2 3 2 2 3" xfId="985" xr:uid="{BB0FB4EE-AE37-4CB9-B3E3-60A6A3E7CA87}"/>
    <cellStyle name="Percent 2 3 2 2 3 2" xfId="1423" xr:uid="{F64ED0DD-0205-438D-B588-ECE37A6A79A6}"/>
    <cellStyle name="Percent 2 3 2 2 3 3" xfId="1190" xr:uid="{45DA7050-7CA6-4E37-883F-A7FA850BCBAA}"/>
    <cellStyle name="Percent 2 3 2 2 4" xfId="1307" xr:uid="{85CC6D77-C8BF-4997-856A-36C792984BC9}"/>
    <cellStyle name="Percent 2 3 2 2 5" xfId="1070" xr:uid="{01CD960F-60E3-4B38-A068-DBECC530CCCB}"/>
    <cellStyle name="Percent 2 3 2 3" xfId="882" xr:uid="{1A56FA07-B24A-4458-ABB7-6A359A1EDDCC}"/>
    <cellStyle name="Percent 2 3 2 3 2" xfId="1216" xr:uid="{9B1E6F73-4710-4375-BD5A-EFF527D46207}"/>
    <cellStyle name="Percent 2 3 2 3 2 2" xfId="1449" xr:uid="{505B5699-6BE1-4703-A3B8-85EACD8AC3DF}"/>
    <cellStyle name="Percent 2 3 2 3 3" xfId="1333" xr:uid="{47773169-E417-4DD5-BE8E-B367EAAC66B7}"/>
    <cellStyle name="Percent 2 3 2 3 4" xfId="1097" xr:uid="{2F36AFF0-A868-453E-9820-59363BF4605B}"/>
    <cellStyle name="Percent 2 3 2 4" xfId="955" xr:uid="{85BACFE1-8D9D-4C9D-B21D-8006B00DF0A3}"/>
    <cellStyle name="Percent 2 3 2 4 2" xfId="1397" xr:uid="{DA623913-9CF7-4071-A1B8-267A5DDBF6F8}"/>
    <cellStyle name="Percent 2 3 2 4 3" xfId="1164" xr:uid="{C90ECF37-3C70-4B50-A8A5-16B86102142B}"/>
    <cellStyle name="Percent 2 3 2 5" xfId="1281" xr:uid="{7801F8DD-CD8B-4ECF-AEE1-D2B6A7D3CE61}"/>
    <cellStyle name="Percent 2 3 2 6" xfId="1044" xr:uid="{25644436-848F-4D06-8082-AC8096CEBBAB}"/>
    <cellStyle name="Percent 2 3 3" xfId="731" xr:uid="{8B53BB45-03F5-45F9-8DFF-41A7D01DF75F}"/>
    <cellStyle name="Percent 2 3 3 2" xfId="768" xr:uid="{B1C85827-EF7C-42A2-9763-9802B30DD390}"/>
    <cellStyle name="Percent 2 3 3 2 2" xfId="923" xr:uid="{484E0AE3-8EB5-4742-9CE6-D005770C2BEC}"/>
    <cellStyle name="Percent 2 3 3 2 2 2" xfId="1254" xr:uid="{5DB3A0DD-8A14-4585-A864-C6B49B4357DE}"/>
    <cellStyle name="Percent 2 3 3 2 2 2 2" xfId="1487" xr:uid="{2865ADB8-6236-479C-B012-F90D868943BE}"/>
    <cellStyle name="Percent 2 3 3 2 2 3" xfId="1371" xr:uid="{D30FF093-2737-41F8-8E8F-A19BC2F3774D}"/>
    <cellStyle name="Percent 2 3 3 2 2 4" xfId="1135" xr:uid="{CFAE250A-5ACB-45AE-800B-4ECD631A2251}"/>
    <cellStyle name="Percent 2 3 3 2 3" xfId="993" xr:uid="{1D9A29FE-9C6E-46DC-9A77-B89E3F3CBDAB}"/>
    <cellStyle name="Percent 2 3 3 2 3 2" xfId="1431" xr:uid="{010D03B1-4B47-44DA-A3AE-EB8FDDD30EC5}"/>
    <cellStyle name="Percent 2 3 3 2 3 3" xfId="1198" xr:uid="{41DCA3EF-8577-4C49-953F-C059C10267E5}"/>
    <cellStyle name="Percent 2 3 3 2 4" xfId="1315" xr:uid="{F63763CF-C887-48B4-A431-E5E833571B72}"/>
    <cellStyle name="Percent 2 3 3 2 5" xfId="1078" xr:uid="{748DDF15-5AF1-41A0-9367-3E4D45F8D759}"/>
    <cellStyle name="Percent 2 3 3 3" xfId="890" xr:uid="{1AB42011-F939-4163-8F76-49C89E7DB62C}"/>
    <cellStyle name="Percent 2 3 3 3 2" xfId="1224" xr:uid="{C677F1C4-0F2E-4219-8507-AB3DF04B2F87}"/>
    <cellStyle name="Percent 2 3 3 3 2 2" xfId="1457" xr:uid="{DCF1D279-FD00-4A7A-B071-A76E8D35B2AE}"/>
    <cellStyle name="Percent 2 3 3 3 3" xfId="1341" xr:uid="{4972E8A8-9A4C-4A17-BD8A-4949B375C5C0}"/>
    <cellStyle name="Percent 2 3 3 3 4" xfId="1105" xr:uid="{165CE284-A2FC-49C7-B2B5-59C4B3A90D7E}"/>
    <cellStyle name="Percent 2 3 3 4" xfId="963" xr:uid="{D211CE6A-38EE-4318-B1FA-11236953FD93}"/>
    <cellStyle name="Percent 2 3 3 4 2" xfId="1405" xr:uid="{1F8B2815-722A-4306-8EA5-152EC4C53F99}"/>
    <cellStyle name="Percent 2 3 3 4 3" xfId="1172" xr:uid="{9A17229A-0A23-42FB-A386-6025C0AF1AA0}"/>
    <cellStyle name="Percent 2 3 3 5" xfId="1289" xr:uid="{B69FA835-8DA6-4470-B8B5-4F2EC6C92574}"/>
    <cellStyle name="Percent 2 3 3 6" xfId="1052" xr:uid="{4229D542-344F-4FED-9745-1DCB82C2A25B}"/>
    <cellStyle name="Percent 2 3 4" xfId="752" xr:uid="{A06D54FA-1BE7-4EC7-A4CE-2E5ED86DC7F8}"/>
    <cellStyle name="Percent 2 3 4 2" xfId="907" xr:uid="{C9A63241-03B1-4A5F-B3A3-82EAB8F1E8B6}"/>
    <cellStyle name="Percent 2 3 4 2 2" xfId="1238" xr:uid="{06666921-8819-4BAD-BB2E-C28B6D172465}"/>
    <cellStyle name="Percent 2 3 4 2 2 2" xfId="1471" xr:uid="{75245791-C09F-4E64-90AF-4CC00FEAC8C5}"/>
    <cellStyle name="Percent 2 3 4 2 3" xfId="1355" xr:uid="{1753C37D-B412-4B6E-89EA-CA9A85CB8A9C}"/>
    <cellStyle name="Percent 2 3 4 2 4" xfId="1119" xr:uid="{FA2C178F-FECC-4FF1-B1CF-092C95D56237}"/>
    <cellStyle name="Percent 2 3 4 3" xfId="977" xr:uid="{15CDCB16-6A58-45E5-98A8-0FB701935A23}"/>
    <cellStyle name="Percent 2 3 4 3 2" xfId="1415" xr:uid="{40D3D8C4-31D1-4158-950F-E62F909951EC}"/>
    <cellStyle name="Percent 2 3 4 3 3" xfId="1182" xr:uid="{8BF9878D-6AD9-4640-86F8-6381C4488A5E}"/>
    <cellStyle name="Percent 2 3 4 4" xfId="1299" xr:uid="{EA845108-13B8-4213-8F1E-022A1DFBE373}"/>
    <cellStyle name="Percent 2 3 4 5" xfId="1062" xr:uid="{585185B1-1F12-41A8-8768-5FF189C2F07A}"/>
    <cellStyle name="Percent 2 3 5" xfId="874" xr:uid="{5E82E133-C67A-4986-A03F-CF24947BB3F0}"/>
    <cellStyle name="Percent 2 3 5 2" xfId="1208" xr:uid="{FD1FE9F1-D9B3-4F5A-98AC-8ABCD1A80B0C}"/>
    <cellStyle name="Percent 2 3 5 2 2" xfId="1441" xr:uid="{4382CE8D-E9E4-4259-8E9E-98D00809D4DE}"/>
    <cellStyle name="Percent 2 3 5 3" xfId="1325" xr:uid="{D6D89290-7914-4588-AA44-ED4448B728D9}"/>
    <cellStyle name="Percent 2 3 5 4" xfId="1089" xr:uid="{8F0C975D-EACE-4C08-A195-E228E14156E8}"/>
    <cellStyle name="Percent 2 3 6" xfId="947" xr:uid="{3B956D36-FB19-4557-8C02-9B43DC27B55B}"/>
    <cellStyle name="Percent 2 3 6 2" xfId="1389" xr:uid="{E2417F6D-06E6-4402-A2F3-3C36E3214CEE}"/>
    <cellStyle name="Percent 2 3 6 3" xfId="1156" xr:uid="{BD8B0B01-D36E-4B3B-BCF0-186DC0A359ED}"/>
    <cellStyle name="Percent 2 3 7" xfId="1273" xr:uid="{1E4F2552-9B0C-4E02-AD0B-3FA68BA722F5}"/>
    <cellStyle name="Percent 2 3 8" xfId="1036" xr:uid="{504F4993-2E2D-41CB-A02A-94ACD62B22AD}"/>
    <cellStyle name="Percent 2 3 9" xfId="1632" xr:uid="{328C826B-3EE9-4765-A4C9-86C8DA2B2B26}"/>
    <cellStyle name="Percent 2 4" xfId="1491" xr:uid="{63A4295F-CB30-4A18-B766-1E2FF7F4C0D1}"/>
    <cellStyle name="Percent 2 5" xfId="660" xr:uid="{4942AEF8-1E46-4CCB-B071-0521E2369A69}"/>
    <cellStyle name="Percent 2 6" xfId="1564" xr:uid="{ED940744-9E62-4A76-A09E-3BCDC8013F72}"/>
    <cellStyle name="Percent 20" xfId="995" xr:uid="{88286FDA-7BF1-4A87-994E-478ECAFFCA49}"/>
    <cellStyle name="Percent 21" xfId="997" xr:uid="{DF070F17-16A0-4CF6-8DC2-A1F7AEF91A35}"/>
    <cellStyle name="Percent 22" xfId="1008" xr:uid="{072A6A8E-01B0-4277-9BF1-06FF2876414E}"/>
    <cellStyle name="Percent 23" xfId="1492" xr:uid="{59092509-D486-4035-A998-EF1E88800E41}"/>
    <cellStyle name="Percent 24" xfId="1011" xr:uid="{E2BF0BF1-3FF5-4A5B-B1B1-5DE1DD784078}"/>
    <cellStyle name="Percent 25" xfId="1494" xr:uid="{0ADD595E-96F4-45BC-9CFA-23D5819380C5}"/>
    <cellStyle name="Percent 26" xfId="1021" xr:uid="{152B16FB-9AAC-47DA-BB25-B6E03715D3AB}"/>
    <cellStyle name="Percent 27" xfId="998" xr:uid="{B053958A-9854-45B4-932F-35BD075BE6CC}"/>
    <cellStyle name="Percent 28" xfId="1007" xr:uid="{CA176766-B462-4A0E-8185-4B333BBC4162}"/>
    <cellStyle name="Percent 29" xfId="1496" xr:uid="{E80A7E8B-47C6-4E4B-AF4D-7F99345B9FDD}"/>
    <cellStyle name="Percent 3" xfId="86" xr:uid="{00000000-0005-0000-0000-00005A000000}"/>
    <cellStyle name="Percent 3 2" xfId="87" xr:uid="{00000000-0005-0000-0000-00005B000000}"/>
    <cellStyle name="Percent 3 2 2" xfId="846" xr:uid="{3040551E-A83F-4526-9243-69DD6D01574C}"/>
    <cellStyle name="Percent 3 2 2 2" xfId="1612" xr:uid="{CE8721E5-7D04-4B51-A390-52D49BD5D2E9}"/>
    <cellStyle name="Percent 3 2 3" xfId="99" xr:uid="{00000000-0005-0000-0000-00005C000000}"/>
    <cellStyle name="Percent 3 2 3 2" xfId="1642" xr:uid="{C7B43141-A610-4E55-81D9-4A9C57B8E057}"/>
    <cellStyle name="Percent 3 2 4" xfId="711" xr:uid="{CFAB68E3-4DA1-4B36-806A-2EF59B608AF7}"/>
    <cellStyle name="Percent 3 2 5" xfId="1577" xr:uid="{9662C7D4-AD5C-4DD7-B4E7-A0AB5F3E568A}"/>
    <cellStyle name="Percent 3 3" xfId="735" xr:uid="{B1055DFC-E471-4EEA-9D50-1A88F26CD4BA}"/>
    <cellStyle name="Percent 3 3 2" xfId="1602" xr:uid="{57305F4D-EDB2-4D36-8225-FA5A165900D4}"/>
    <cellStyle name="Percent 3 4" xfId="842" xr:uid="{18429C23-B04A-4925-B20D-809EF7B2CD13}"/>
    <cellStyle name="Percent 3 4 2" xfId="1635" xr:uid="{1DDF8FEE-45D4-4CB0-AB31-1185FCC7F460}"/>
    <cellStyle name="Percent 3 5" xfId="661" xr:uid="{4A961E52-7858-4D07-90B6-5933D4465ABC}"/>
    <cellStyle name="Percent 3 6" xfId="1567" xr:uid="{70458123-3BD2-4E89-975D-DB9530A3D3BE}"/>
    <cellStyle name="Percent 30" xfId="1018" xr:uid="{F10D3621-BAA6-4330-8044-79E95329A343}"/>
    <cellStyle name="Percent 31" xfId="1020" xr:uid="{3E4921C8-B9E3-47DF-8C3B-46F7F146FFFC}"/>
    <cellStyle name="Percent 32" xfId="1009" xr:uid="{9617C96B-923A-46D2-BD6C-665997BF16C1}"/>
    <cellStyle name="Percent 33" xfId="1495" xr:uid="{BDCA4C26-8227-48E4-8115-35D488F4B99B}"/>
    <cellStyle name="Percent 34" xfId="1003" xr:uid="{60C11D62-61CC-45E3-9415-54E833E12B30}"/>
    <cellStyle name="Percent 35" xfId="1493" xr:uid="{DC2BAC89-00D5-4A3B-B29A-B39718E8F0C6}"/>
    <cellStyle name="Percent 36" xfId="1497" xr:uid="{02F7BAE4-5DEA-494F-9256-E9442B1864E3}"/>
    <cellStyle name="Percent 37" xfId="1499" xr:uid="{C81CE211-9D11-4567-9F40-51E90814147B}"/>
    <cellStyle name="Percent 38" xfId="1501" xr:uid="{68B9045E-FE4E-45DA-8A94-460D0B107C41}"/>
    <cellStyle name="Percent 39" xfId="1503" xr:uid="{BBB9BA4E-CEBE-4741-8055-9095E4630484}"/>
    <cellStyle name="Percent 4" xfId="88" xr:uid="{00000000-0005-0000-0000-00005D000000}"/>
    <cellStyle name="Percent 4 2" xfId="864" xr:uid="{C729B1F8-E543-471E-8920-B5EFAA934FCB}"/>
    <cellStyle name="Percent 4 2 2" xfId="1605" xr:uid="{FC82A935-AE04-4B1B-B96C-D26214972BFC}"/>
    <cellStyle name="Percent 4 3" xfId="712" xr:uid="{55D2CD74-19FC-40BE-B10B-80E3CC32F985}"/>
    <cellStyle name="Percent 4 3 2" xfId="1637" xr:uid="{E466A553-F57C-4915-B33E-AC2031F53E0C}"/>
    <cellStyle name="Percent 4 4" xfId="1569" xr:uid="{8C18DBF0-E732-42B7-98C6-0B0E42ADB1FD}"/>
    <cellStyle name="Percent 40" xfId="1505" xr:uid="{6186B9CC-7DF7-4DE1-B26B-37F54E2FE527}"/>
    <cellStyle name="Percent 41" xfId="1507" xr:uid="{C3FE416F-455E-427D-BF1E-166A567ACECC}"/>
    <cellStyle name="Percent 42" xfId="1509" xr:uid="{17975B7A-5585-4B35-AD6C-A95C737F6F36}"/>
    <cellStyle name="Percent 43" xfId="1511" xr:uid="{ED3CC2E2-376F-4E95-B580-3998411C884D}"/>
    <cellStyle name="Percent 44" xfId="1513" xr:uid="{7E48C945-A29D-45B4-8D15-6B4E5E396A36}"/>
    <cellStyle name="Percent 45" xfId="1515" xr:uid="{8AA11831-538B-4C4C-8842-9B72706654B5}"/>
    <cellStyle name="Percent 46" xfId="1517" xr:uid="{A02A0402-8161-4A49-9DC6-0D06618F876A}"/>
    <cellStyle name="Percent 47" xfId="1519" xr:uid="{A6709786-5F9B-4B09-B051-65D55B309133}"/>
    <cellStyle name="Percent 48" xfId="1521" xr:uid="{23263B67-DA48-4959-A266-D04B85B13A50}"/>
    <cellStyle name="Percent 49" xfId="659" xr:uid="{A9361BA9-887F-4091-9842-A632E38243DD}"/>
    <cellStyle name="Percent 5" xfId="89" xr:uid="{00000000-0005-0000-0000-00005E000000}"/>
    <cellStyle name="Percent 5 2" xfId="744" xr:uid="{C51EA53D-BD39-4949-B029-F588B38C9096}"/>
    <cellStyle name="Percent 6" xfId="739" xr:uid="{00E4EDF4-04AE-4A8A-A445-3F1770962B6D}"/>
    <cellStyle name="Percent 6 2" xfId="896" xr:uid="{133A4BC4-9BF1-4B85-9B40-BC456A15AB6C}"/>
    <cellStyle name="Percent 6 2 2" xfId="1461" xr:uid="{E3077FF0-236A-462E-A858-57FA2C3BC860}"/>
    <cellStyle name="Percent 6 2 3" xfId="1228" xr:uid="{A7EDCDC1-20D6-435E-870C-68C5F715E7C6}"/>
    <cellStyle name="Percent 6 3" xfId="967" xr:uid="{89B06886-1275-4116-8A5C-BAE4447F47F1}"/>
    <cellStyle name="Percent 6 3 2" xfId="1345" xr:uid="{D312287E-6135-4A4E-B1DC-83B1838D1694}"/>
    <cellStyle name="Percent 6 4" xfId="1109" xr:uid="{38ECC924-6877-4C16-8D0F-B18EF5D0A5CC}"/>
    <cellStyle name="Percent 7" xfId="929" xr:uid="{E3721F02-5F4C-4E9C-9734-E0FFFDC69449}"/>
    <cellStyle name="Percent 7 2" xfId="1142" xr:uid="{06CD519F-2993-4E2E-BEEC-92D8F5DA0F5F}"/>
    <cellStyle name="Percent 8" xfId="930" xr:uid="{B03B89C8-5F04-4F53-8156-073A14975EDC}"/>
    <cellStyle name="Percent 8 2" xfId="1258" xr:uid="{757B7B4C-F691-4D83-BEE6-CC035DAC7294}"/>
    <cellStyle name="Percent 9" xfId="933" xr:uid="{9A749FCD-075B-4097-874D-65B6CE283A39}"/>
    <cellStyle name="Style 23" xfId="3" xr:uid="{00000000-0005-0000-0000-00005F000000}"/>
    <cellStyle name="Style 23 2" xfId="714" xr:uid="{58BF3198-1938-4CE3-8788-C79370C43328}"/>
    <cellStyle name="Style 23 3" xfId="713" xr:uid="{7D65EC76-69C8-40B7-9320-37CD6834A8FC}"/>
    <cellStyle name="STYLE1" xfId="90" xr:uid="{00000000-0005-0000-0000-000060000000}"/>
    <cellStyle name="STYLE2" xfId="91" xr:uid="{00000000-0005-0000-0000-000061000000}"/>
    <cellStyle name="STYLE4" xfId="92" xr:uid="{00000000-0005-0000-0000-000062000000}"/>
    <cellStyle name="Subtotal" xfId="93" xr:uid="{00000000-0005-0000-0000-000063000000}"/>
    <cellStyle name="Title 2" xfId="94" xr:uid="{00000000-0005-0000-0000-000064000000}"/>
    <cellStyle name="Title 2 2" xfId="1022" xr:uid="{0CB3792D-C93A-46FD-BA8F-B2566CC7F30E}"/>
    <cellStyle name="Title 3" xfId="793" xr:uid="{00A40A86-F2D4-46E7-BC07-5190D5DAED0C}"/>
    <cellStyle name="Total 10" xfId="662" xr:uid="{B8C97E61-A9F6-4417-B045-67D836D6A9E9}"/>
    <cellStyle name="Total 11" xfId="663" xr:uid="{4AFD8423-901D-4C1F-9483-BFF2E575BAF2}"/>
    <cellStyle name="Total 12" xfId="664" xr:uid="{03F47C12-3FB6-4CC5-8599-93F0CE2E6212}"/>
    <cellStyle name="Total 13" xfId="665" xr:uid="{40376B34-1598-432D-849E-19D337D84FAB}"/>
    <cellStyle name="Total 14" xfId="666" xr:uid="{E0EC608F-D44D-4DA9-8508-F7B07A6D62C3}"/>
    <cellStyle name="Total 15" xfId="667" xr:uid="{47B510AC-5742-44FB-8E21-028FBFA1CE2D}"/>
    <cellStyle name="Total 16" xfId="794" xr:uid="{0AD3E2A5-2193-4C63-B928-834750545801}"/>
    <cellStyle name="Total 17" xfId="1543" xr:uid="{3EC4D3CD-718E-41FA-9386-6749F39F03AD}"/>
    <cellStyle name="Total 18" xfId="1535" xr:uid="{CF971472-34CA-4B8A-B909-EA590493A870}"/>
    <cellStyle name="Total 2" xfId="95" xr:uid="{00000000-0005-0000-0000-000065000000}"/>
    <cellStyle name="Total 2 2" xfId="813" xr:uid="{28FAF2D3-4A09-434B-BD0C-CA27F6C494BC}"/>
    <cellStyle name="Total 2 3" xfId="668" xr:uid="{EC04D9DC-5173-4E4A-A489-F66F37367CE0}"/>
    <cellStyle name="Total 3" xfId="669" xr:uid="{BD127B31-8186-4B6D-8D0E-706E3F42F845}"/>
    <cellStyle name="Total 4" xfId="670" xr:uid="{A4DD1224-D6AA-40BD-806E-86C4453F2752}"/>
    <cellStyle name="Total 5" xfId="671" xr:uid="{EAE319E5-2D49-4304-92BB-167E6B681D0C}"/>
    <cellStyle name="Total 6" xfId="672" xr:uid="{A15C169C-84D9-47ED-8D17-D0385D36B226}"/>
    <cellStyle name="Total 7" xfId="673" xr:uid="{001D1633-CA86-4CA9-A6F6-68C601CA5879}"/>
    <cellStyle name="Total 8" xfId="674" xr:uid="{218F9980-F3A4-458A-9A94-FAE3D15DAB05}"/>
    <cellStyle name="Total 9" xfId="675" xr:uid="{B0DC51FE-90E2-46C3-9684-9FBDAA24DFF5}"/>
    <cellStyle name="Warning Text 10" xfId="676" xr:uid="{9D27EA6C-1766-4A37-B121-CA1B3ECB5E10}"/>
    <cellStyle name="Warning Text 11" xfId="677" xr:uid="{96E5491B-6C27-43BA-8188-BF6514EAF449}"/>
    <cellStyle name="Warning Text 12" xfId="678" xr:uid="{B9487338-0B7E-406F-913B-9087095D8D55}"/>
    <cellStyle name="Warning Text 13" xfId="679" xr:uid="{C4D2BB42-FB9F-4845-8E8F-6C5172FFC117}"/>
    <cellStyle name="Warning Text 14" xfId="680" xr:uid="{61778BEC-7724-4B4C-87C2-D72F67BE4508}"/>
    <cellStyle name="Warning Text 15" xfId="681" xr:uid="{2851631C-9765-4B86-B376-AEA1567F9E81}"/>
    <cellStyle name="Warning Text 16" xfId="795" xr:uid="{733EE28F-3587-4E0F-8BFA-69D5A0401452}"/>
    <cellStyle name="Warning Text 2" xfId="96" xr:uid="{00000000-0005-0000-0000-000066000000}"/>
    <cellStyle name="Warning Text 2 2" xfId="810" xr:uid="{2B837EDB-828B-4983-B609-910661F9A201}"/>
    <cellStyle name="Warning Text 2 3" xfId="682" xr:uid="{5B3BC198-7405-44C4-9AC4-99FF46EBC9BD}"/>
    <cellStyle name="Warning Text 3" xfId="683" xr:uid="{A5BA6059-1DE1-47EF-A0D4-B76430AED1F7}"/>
    <cellStyle name="Warning Text 4" xfId="684" xr:uid="{7F31B44A-BE13-4D1F-85C8-5DFE23E7654B}"/>
    <cellStyle name="Warning Text 5" xfId="685" xr:uid="{968A673C-2DBC-4706-B115-EB4C7B1B7AF0}"/>
    <cellStyle name="Warning Text 6" xfId="686" xr:uid="{3B092DE0-F827-405B-90DE-31D01E1505C0}"/>
    <cellStyle name="Warning Text 7" xfId="687" xr:uid="{BDED9789-8E45-4E4A-AD10-EB0825BE44E9}"/>
    <cellStyle name="Warning Text 8" xfId="688" xr:uid="{0708A765-B026-48C5-AF8A-0EAAC65DA0A0}"/>
    <cellStyle name="Warning Text 9" xfId="689" xr:uid="{9C40819F-8CFD-4A5D-B22B-6FD37B9AECC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92D050"/>
    <pageSetUpPr fitToPage="1"/>
  </sheetPr>
  <dimension ref="A1:S56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 x14ac:dyDescent="0.2"/>
  <cols>
    <col min="1" max="1" width="42.5703125" customWidth="1"/>
    <col min="2" max="2" width="14" bestFit="1" customWidth="1"/>
    <col min="3" max="7" width="12.5703125" bestFit="1" customWidth="1"/>
    <col min="8" max="10" width="12.5703125" customWidth="1"/>
    <col min="11" max="12" width="12.5703125" bestFit="1" customWidth="1"/>
    <col min="13" max="13" width="13" customWidth="1"/>
    <col min="14" max="14" width="12.5703125" customWidth="1"/>
    <col min="15" max="15" width="18" bestFit="1" customWidth="1"/>
  </cols>
  <sheetData>
    <row r="1" spans="1:19" ht="15.75" x14ac:dyDescent="0.25">
      <c r="A1" s="27" t="s">
        <v>116</v>
      </c>
    </row>
    <row r="2" spans="1:19" x14ac:dyDescent="0.2">
      <c r="L2" s="29" t="s">
        <v>90</v>
      </c>
      <c r="M2" s="29" t="s">
        <v>91</v>
      </c>
    </row>
    <row r="3" spans="1:19" ht="25.5" x14ac:dyDescent="0.2">
      <c r="B3" s="29" t="s">
        <v>63</v>
      </c>
      <c r="C3" s="29" t="s">
        <v>54</v>
      </c>
      <c r="D3" s="29" t="s">
        <v>55</v>
      </c>
      <c r="E3" s="29" t="s">
        <v>56</v>
      </c>
      <c r="F3" s="29" t="s">
        <v>59</v>
      </c>
      <c r="G3" s="29" t="s">
        <v>60</v>
      </c>
      <c r="H3" s="29" t="s">
        <v>64</v>
      </c>
      <c r="I3" s="29" t="s">
        <v>65</v>
      </c>
      <c r="J3" s="29" t="s">
        <v>66</v>
      </c>
      <c r="K3" s="29" t="s">
        <v>104</v>
      </c>
      <c r="L3" s="29" t="s">
        <v>82</v>
      </c>
      <c r="M3" s="29" t="s">
        <v>82</v>
      </c>
    </row>
    <row r="4" spans="1:19" x14ac:dyDescent="0.2">
      <c r="A4" s="14" t="s">
        <v>47</v>
      </c>
      <c r="B4" s="21">
        <f>'Power Purchased Model'!B153</f>
        <v>222844848</v>
      </c>
      <c r="C4" s="21">
        <f>'Power Purchased Model'!B154</f>
        <v>216436884</v>
      </c>
      <c r="D4" s="21">
        <f>'Power Purchased Model'!B155</f>
        <v>211050246</v>
      </c>
      <c r="E4" s="21">
        <f>'Power Purchased Model'!B156</f>
        <v>217280995.02387795</v>
      </c>
      <c r="F4" s="21">
        <f>'Power Purchased Model'!B157</f>
        <v>241087151.13</v>
      </c>
      <c r="G4" s="21">
        <f>'Power Purchased Model'!B158</f>
        <v>255923211</v>
      </c>
      <c r="H4" s="21">
        <f>'Power Purchased Model'!B159</f>
        <v>252540603</v>
      </c>
      <c r="I4" s="21">
        <f>'Power Purchased Model'!B160</f>
        <v>265226888</v>
      </c>
      <c r="J4" s="21">
        <f>'Power Purchased Model'!B161</f>
        <v>279572890</v>
      </c>
      <c r="K4" s="37">
        <f>'Power Purchased Model'!B162</f>
        <v>281399999.13</v>
      </c>
    </row>
    <row r="5" spans="1:19" x14ac:dyDescent="0.2">
      <c r="A5" s="14" t="s">
        <v>48</v>
      </c>
      <c r="B5" s="21">
        <f>'Power Purchased Model'!H153</f>
        <v>228113503.04210097</v>
      </c>
      <c r="C5" s="21">
        <f>'Power Purchased Model'!H154</f>
        <v>223845144.6474447</v>
      </c>
      <c r="D5" s="21">
        <f>'Power Purchased Model'!H155</f>
        <v>220586970.39512861</v>
      </c>
      <c r="E5" s="21">
        <f>'Power Purchased Model'!H156</f>
        <v>222969696.20413664</v>
      </c>
      <c r="F5" s="21">
        <f>'Power Purchased Model'!H157</f>
        <v>231004601.65648609</v>
      </c>
      <c r="G5" s="21">
        <f>'Power Purchased Model'!H158</f>
        <v>238654515.30313912</v>
      </c>
      <c r="H5" s="21">
        <f>'Power Purchased Model'!H159</f>
        <v>248745294.03057954</v>
      </c>
      <c r="I5" s="21">
        <f>'Power Purchased Model'!H160</f>
        <v>265662736.62875956</v>
      </c>
      <c r="J5" s="21">
        <f>'Power Purchased Model'!H161</f>
        <v>281017552.01169604</v>
      </c>
      <c r="K5" s="21">
        <f>'Power Purchased Model'!H162</f>
        <v>282763701.36440945</v>
      </c>
      <c r="L5" s="103">
        <f>'Power Purchased Model'!H163</f>
        <v>287962761.86431342</v>
      </c>
      <c r="M5" s="103">
        <f>'Power Purchased Model'!H164</f>
        <v>288843743.92609626</v>
      </c>
    </row>
    <row r="6" spans="1:19" x14ac:dyDescent="0.2">
      <c r="A6" s="14" t="s">
        <v>6</v>
      </c>
      <c r="B6" s="28">
        <f t="shared" ref="B6:J6" si="0">(B5-B4)/B4</f>
        <v>2.3642705179798305E-2</v>
      </c>
      <c r="C6" s="28">
        <f t="shared" si="0"/>
        <v>3.4228272513129952E-2</v>
      </c>
      <c r="D6" s="28">
        <f t="shared" si="0"/>
        <v>4.5186985449562601E-2</v>
      </c>
      <c r="E6" s="28">
        <f t="shared" si="0"/>
        <v>2.6181310425394247E-2</v>
      </c>
      <c r="F6" s="28">
        <f t="shared" si="0"/>
        <v>-4.1821181370537447E-2</v>
      </c>
      <c r="G6" s="28">
        <f t="shared" si="0"/>
        <v>-6.7476082491247272E-2</v>
      </c>
      <c r="H6" s="28">
        <f t="shared" si="0"/>
        <v>-1.5028509967644542E-2</v>
      </c>
      <c r="I6" s="28">
        <f t="shared" si="0"/>
        <v>1.6433048400415684E-3</v>
      </c>
      <c r="J6" s="28">
        <f t="shared" si="0"/>
        <v>5.1673894836371317E-3</v>
      </c>
    </row>
    <row r="7" spans="1:19" x14ac:dyDescent="0.2">
      <c r="A7" s="14"/>
      <c r="B7" s="28"/>
      <c r="C7" s="28"/>
      <c r="D7" s="28"/>
      <c r="E7" s="28"/>
      <c r="F7" s="28"/>
      <c r="G7" s="28"/>
      <c r="H7" s="28"/>
      <c r="I7" s="28"/>
      <c r="J7" s="28"/>
      <c r="K7" s="21"/>
      <c r="L7" s="21"/>
      <c r="M7" s="21"/>
    </row>
    <row r="8" spans="1:19" x14ac:dyDescent="0.2">
      <c r="A8" s="14"/>
      <c r="B8" s="28"/>
      <c r="C8" s="28"/>
      <c r="D8" s="28"/>
      <c r="E8" s="28"/>
      <c r="F8" s="28"/>
      <c r="G8" s="28"/>
      <c r="H8" s="28"/>
      <c r="I8" s="28"/>
      <c r="J8" s="28"/>
      <c r="K8" s="37"/>
      <c r="L8" s="37"/>
      <c r="M8" s="37"/>
      <c r="N8" s="37"/>
    </row>
    <row r="9" spans="1:19" x14ac:dyDescent="0.2">
      <c r="A9" s="14"/>
      <c r="B9" s="28"/>
      <c r="C9" s="28"/>
      <c r="D9" s="28"/>
      <c r="E9" s="28"/>
      <c r="F9" s="28"/>
      <c r="G9" s="28"/>
      <c r="H9" s="28"/>
      <c r="I9" s="28"/>
      <c r="J9" s="28"/>
    </row>
    <row r="10" spans="1:19" x14ac:dyDescent="0.2">
      <c r="A10" s="14" t="s">
        <v>61</v>
      </c>
      <c r="B10" s="6">
        <f>'Rate Class Energy Model'!G3</f>
        <v>204773501.5</v>
      </c>
      <c r="C10" s="6">
        <f>'Rate Class Energy Model'!G4</f>
        <v>201146570.5</v>
      </c>
      <c r="D10" s="6">
        <f>'Rate Class Energy Model'!G5</f>
        <v>197263064.90000001</v>
      </c>
      <c r="E10" s="6">
        <f>'Rate Class Energy Model'!G6</f>
        <v>203063777.39999998</v>
      </c>
      <c r="F10" s="6">
        <f>'Rate Class Energy Model'!G7</f>
        <v>224565775.07520857</v>
      </c>
      <c r="G10" s="6">
        <f>'Rate Class Energy Model'!G8</f>
        <v>235800480.53377673</v>
      </c>
      <c r="H10" s="6">
        <f>'Rate Class Energy Model'!G9</f>
        <v>229140219.85089642</v>
      </c>
      <c r="I10" s="6">
        <f>'Rate Class Energy Model'!G10</f>
        <v>244314343.79167747</v>
      </c>
      <c r="J10" s="6">
        <f>'Rate Class Energy Model'!G11</f>
        <v>256287580.02670693</v>
      </c>
      <c r="K10" s="6">
        <f>'Rate Class Energy Model'!G12</f>
        <v>259742424</v>
      </c>
      <c r="L10" s="6">
        <f>'Rate Class Energy Model'!G13</f>
        <v>264839929.97708619</v>
      </c>
      <c r="M10" s="6">
        <f>'Rate Class Energy Model'!G14</f>
        <v>265650170.94728351</v>
      </c>
    </row>
    <row r="11" spans="1:19" x14ac:dyDescent="0.2">
      <c r="A11" s="14"/>
      <c r="K11" s="6"/>
    </row>
    <row r="12" spans="1:19" ht="15.75" x14ac:dyDescent="0.25">
      <c r="A12" s="27" t="s">
        <v>49</v>
      </c>
      <c r="B12" s="1"/>
      <c r="D12" s="1"/>
      <c r="G12" s="37"/>
      <c r="N12" s="37"/>
      <c r="P12" s="37"/>
    </row>
    <row r="13" spans="1:19" x14ac:dyDescent="0.2">
      <c r="A13" s="26" t="str">
        <f>'Rate Class Energy Model'!H2</f>
        <v>R1(i) Residential</v>
      </c>
      <c r="B13" s="1"/>
      <c r="C13" s="1"/>
      <c r="D13" s="1"/>
      <c r="G13" s="6"/>
      <c r="H13" s="6"/>
      <c r="I13" s="6"/>
      <c r="J13" s="6"/>
      <c r="K13" s="6"/>
      <c r="L13" s="6"/>
      <c r="M13" s="6"/>
    </row>
    <row r="14" spans="1:19" x14ac:dyDescent="0.2">
      <c r="A14" t="s">
        <v>41</v>
      </c>
      <c r="B14" s="6">
        <f>'Rate Class Customer Model'!B3</f>
        <v>7397.916666666667</v>
      </c>
      <c r="C14" s="6">
        <f>'Rate Class Customer Model'!B4</f>
        <v>7479.5</v>
      </c>
      <c r="D14" s="6">
        <f>'Rate Class Customer Model'!B5</f>
        <v>7543.75</v>
      </c>
      <c r="E14" s="6">
        <f>'Rate Class Customer Model'!B6</f>
        <v>7596.416666666667</v>
      </c>
      <c r="F14" s="6">
        <f>'Rate Class Customer Model'!B7</f>
        <v>7639.75</v>
      </c>
      <c r="G14" s="6">
        <f>'Rate Class Customer Model'!B8</f>
        <v>7697.5</v>
      </c>
      <c r="H14" s="6">
        <f>'Rate Class Customer Model'!B9</f>
        <v>7924.5</v>
      </c>
      <c r="I14" s="6">
        <f>'Rate Class Customer Model'!B10</f>
        <v>8204.5</v>
      </c>
      <c r="J14" s="6">
        <f>'Rate Class Customer Model'!B11</f>
        <v>8360.5</v>
      </c>
      <c r="K14" s="6">
        <f>'Rate Class Customer Model'!B12</f>
        <v>8485</v>
      </c>
      <c r="L14" s="6">
        <f>'Rate Class Customer Model'!B13</f>
        <v>8552.6342340088631</v>
      </c>
      <c r="M14" s="6">
        <f>'Rate Class Customer Model'!B14</f>
        <v>8620.8075828804213</v>
      </c>
      <c r="N14" s="37"/>
      <c r="O14" s="37"/>
      <c r="P14" s="37"/>
      <c r="Q14" s="37"/>
      <c r="R14" s="37"/>
      <c r="S14" s="37"/>
    </row>
    <row r="15" spans="1:19" x14ac:dyDescent="0.2">
      <c r="A15" t="s">
        <v>42</v>
      </c>
      <c r="B15" s="6">
        <f>'Rate Class Energy Model'!H3</f>
        <v>85393126</v>
      </c>
      <c r="C15" s="6">
        <f>'Rate Class Energy Model'!H4</f>
        <v>80876149.5</v>
      </c>
      <c r="D15" s="36">
        <f>'Rate Class Energy Model'!H5</f>
        <v>75910135.700000003</v>
      </c>
      <c r="E15" s="6">
        <f>'Rate Class Energy Model'!H6</f>
        <v>76321855.799999997</v>
      </c>
      <c r="F15" s="6">
        <f>'Rate Class Energy Model'!H7</f>
        <v>82424404.340000227</v>
      </c>
      <c r="G15" s="6">
        <f>'Rate Class Energy Model'!H8</f>
        <v>86629135.540000111</v>
      </c>
      <c r="H15" s="6">
        <f>'Rate Class Energy Model'!H9</f>
        <v>91478383.059998766</v>
      </c>
      <c r="I15" s="6">
        <f>'Rate Class Energy Model'!H10</f>
        <v>92005689.629998744</v>
      </c>
      <c r="J15" s="6">
        <f>'Rate Class Energy Model'!H11</f>
        <v>99292265.290000916</v>
      </c>
      <c r="K15" s="6">
        <f>'Rate Class Energy Model'!H12</f>
        <v>96395846</v>
      </c>
      <c r="L15" s="6">
        <f>'Rate Class Energy Model'!H32</f>
        <v>100119667.51908097</v>
      </c>
      <c r="M15" s="6">
        <f>'Rate Class Energy Model'!H33</f>
        <v>102025758.21612892</v>
      </c>
      <c r="N15" s="37"/>
    </row>
    <row r="16" spans="1:19" x14ac:dyDescent="0.2">
      <c r="B16" s="36"/>
      <c r="E16" s="37"/>
      <c r="F16" s="37"/>
      <c r="H16" s="37"/>
      <c r="I16" s="37"/>
      <c r="K16" s="37"/>
      <c r="N16" s="37"/>
      <c r="O16" s="108"/>
    </row>
    <row r="17" spans="1:15" x14ac:dyDescent="0.2">
      <c r="A17" s="26" t="str">
        <f>'Rate Class Energy Model'!I2</f>
        <v>R1(ii) GS &lt; 50 kW</v>
      </c>
      <c r="B17" s="47"/>
      <c r="C17" s="1"/>
      <c r="D17" s="1"/>
      <c r="E17" s="1"/>
      <c r="F17" s="6"/>
      <c r="G17" s="6"/>
      <c r="H17" s="6"/>
      <c r="I17" s="6"/>
      <c r="J17" s="6"/>
      <c r="K17" s="6"/>
      <c r="L17" s="6"/>
      <c r="M17" s="6"/>
    </row>
    <row r="18" spans="1:15" ht="13.5" customHeight="1" x14ac:dyDescent="0.2">
      <c r="A18" t="s">
        <v>41</v>
      </c>
      <c r="B18" s="6">
        <f>'Rate Class Customer Model'!C3</f>
        <v>955.66666666666663</v>
      </c>
      <c r="C18" s="6">
        <f>'Rate Class Customer Model'!C4</f>
        <v>954.25</v>
      </c>
      <c r="D18" s="6">
        <f>'Rate Class Customer Model'!C5</f>
        <v>951.16666666666663</v>
      </c>
      <c r="E18" s="6">
        <f>'Rate Class Customer Model'!C6</f>
        <v>961.16666666666663</v>
      </c>
      <c r="F18" s="6">
        <f>'Rate Class Customer Model'!C7</f>
        <v>960.91666666666663</v>
      </c>
      <c r="G18" s="6">
        <f>'Rate Class Customer Model'!C8</f>
        <v>951</v>
      </c>
      <c r="H18" s="6">
        <f>'Rate Class Customer Model'!C9</f>
        <v>968.5</v>
      </c>
      <c r="I18" s="6">
        <f>'Rate Class Customer Model'!C10</f>
        <v>998.5</v>
      </c>
      <c r="J18" s="6">
        <f>'Rate Class Customer Model'!C11</f>
        <v>1025</v>
      </c>
      <c r="K18" s="6">
        <f>'Rate Class Customer Model'!C12</f>
        <v>1055</v>
      </c>
      <c r="L18" s="6">
        <f>'Rate Class Customer Model'!C13</f>
        <v>1053.9676362410144</v>
      </c>
      <c r="M18" s="6">
        <f>'Rate Class Customer Model'!C14</f>
        <v>1052.9362826952333</v>
      </c>
      <c r="O18" s="37"/>
    </row>
    <row r="19" spans="1:15" x14ac:dyDescent="0.2">
      <c r="A19" t="s">
        <v>42</v>
      </c>
      <c r="B19" s="6">
        <f>'Rate Class Energy Model'!I3</f>
        <v>27212831</v>
      </c>
      <c r="C19" s="6">
        <f>'Rate Class Energy Model'!I4</f>
        <v>26130351</v>
      </c>
      <c r="D19" s="6">
        <f>'Rate Class Energy Model'!I5</f>
        <v>24984442</v>
      </c>
      <c r="E19" s="6">
        <f>'Rate Class Energy Model'!I6</f>
        <v>25604789</v>
      </c>
      <c r="F19" s="6">
        <f>'Rate Class Energy Model'!I7</f>
        <v>26132430.019999992</v>
      </c>
      <c r="G19" s="6">
        <f>'Rate Class Energy Model'!I8</f>
        <v>26695948.809999999</v>
      </c>
      <c r="H19" s="6">
        <f>'Rate Class Energy Model'!I9</f>
        <v>27143066.610000066</v>
      </c>
      <c r="I19" s="6">
        <f>'Rate Class Energy Model'!I10</f>
        <v>27745373.102553256</v>
      </c>
      <c r="J19" s="6">
        <f>'Rate Class Energy Model'!I11</f>
        <v>29567137.169999924</v>
      </c>
      <c r="K19" s="6">
        <f>'Rate Class Energy Model'!I12</f>
        <v>28496501</v>
      </c>
      <c r="L19" s="6">
        <f>'Rate Class Energy Model'!I32</f>
        <v>29334546.615617376</v>
      </c>
      <c r="M19" s="6">
        <f>'Rate Class Energy Model'!I33</f>
        <v>29627607.034917999</v>
      </c>
      <c r="O19" s="108"/>
    </row>
    <row r="20" spans="1:15" x14ac:dyDescent="0.2">
      <c r="B20" s="1"/>
      <c r="F20" s="37"/>
      <c r="H20" s="37"/>
      <c r="I20" s="37"/>
      <c r="K20" s="37"/>
      <c r="M20" s="37"/>
    </row>
    <row r="21" spans="1:15" x14ac:dyDescent="0.2">
      <c r="A21" s="26" t="str">
        <f>'Rate Class Energy Model'!J2</f>
        <v>R2 GS&gt;50 kW</v>
      </c>
      <c r="B21" s="1"/>
      <c r="C21" s="1"/>
      <c r="D21" s="1"/>
      <c r="E21" s="1"/>
      <c r="N21" s="37"/>
    </row>
    <row r="22" spans="1:15" x14ac:dyDescent="0.2">
      <c r="A22" t="s">
        <v>41</v>
      </c>
      <c r="B22" s="6">
        <f>'Rate Class Customer Model'!D3</f>
        <v>43.416666666666664</v>
      </c>
      <c r="C22" s="6">
        <f>'Rate Class Customer Model'!D4</f>
        <v>42.166666666666664</v>
      </c>
      <c r="D22" s="6">
        <f>'Rate Class Customer Model'!D5</f>
        <v>42.083333333333336</v>
      </c>
      <c r="E22" s="6">
        <f>'Rate Class Customer Model'!D6</f>
        <v>38.166666666666664</v>
      </c>
      <c r="F22" s="6">
        <f>'Rate Class Customer Model'!D7</f>
        <v>39.75</v>
      </c>
      <c r="G22" s="6">
        <f>'Rate Class Customer Model'!D8</f>
        <v>39.5</v>
      </c>
      <c r="H22" s="6">
        <f>'Rate Class Customer Model'!D9</f>
        <v>40.5</v>
      </c>
      <c r="I22" s="6">
        <f>'Rate Class Customer Model'!D10</f>
        <v>42.5</v>
      </c>
      <c r="J22" s="6">
        <f>'Rate Class Customer Model'!D11</f>
        <v>45.5</v>
      </c>
      <c r="K22" s="6">
        <f>'Rate Class Customer Model'!D12</f>
        <v>47</v>
      </c>
      <c r="L22" s="6">
        <f>'Rate Class Customer Model'!D13</f>
        <v>46.119647750507838</v>
      </c>
      <c r="M22" s="6">
        <f>'Rate Class Customer Model'!D14</f>
        <v>45.255785290019631</v>
      </c>
    </row>
    <row r="23" spans="1:15" x14ac:dyDescent="0.2">
      <c r="A23" t="s">
        <v>42</v>
      </c>
      <c r="B23" s="6">
        <f>'Rate Class Energy Model'!J3</f>
        <v>83470707.799999997</v>
      </c>
      <c r="C23" s="6">
        <f>'Rate Class Energy Model'!J4</f>
        <v>86528983.700000003</v>
      </c>
      <c r="D23" s="6">
        <f>'Rate Class Energy Model'!J5</f>
        <v>89578885.799999997</v>
      </c>
      <c r="E23" s="6">
        <f>'Rate Class Energy Model'!J6</f>
        <v>94512142.900000006</v>
      </c>
      <c r="F23" s="6">
        <f>'Rate Class Energy Model'!J7</f>
        <v>109385574.42520839</v>
      </c>
      <c r="G23" s="6">
        <f>'Rate Class Energy Model'!J8</f>
        <v>115631848.81377667</v>
      </c>
      <c r="H23" s="6">
        <f>'Rate Class Energy Model'!J9</f>
        <v>103396925.32089764</v>
      </c>
      <c r="I23" s="6">
        <f>'Rate Class Energy Model'!J10</f>
        <v>117544957.4291255</v>
      </c>
      <c r="J23" s="6">
        <f>'Rate Class Energy Model'!J11</f>
        <v>120294405.22670604</v>
      </c>
      <c r="K23" s="6">
        <f>'Rate Class Energy Model'!J12</f>
        <v>128188723</v>
      </c>
      <c r="L23" s="6">
        <f>'Rate Class Energy Model'!J32</f>
        <v>128802124.96305612</v>
      </c>
      <c r="M23" s="6">
        <f>'Rate Class Energy Model'!J33</f>
        <v>179389417.92343298</v>
      </c>
    </row>
    <row r="24" spans="1:15" x14ac:dyDescent="0.2">
      <c r="A24" t="s">
        <v>43</v>
      </c>
      <c r="B24" s="6">
        <f>'Rate Class Load Model'!B2</f>
        <v>196688</v>
      </c>
      <c r="C24" s="6">
        <f>'Rate Class Load Model'!B3</f>
        <v>208261</v>
      </c>
      <c r="D24" s="6">
        <f>'Rate Class Load Model'!B4</f>
        <v>217368.6</v>
      </c>
      <c r="E24" s="6">
        <f>'Rate Class Load Model'!B5</f>
        <v>210836.1</v>
      </c>
      <c r="F24" s="6">
        <f>'Rate Class Load Model'!B6</f>
        <v>234798.30000000002</v>
      </c>
      <c r="G24" s="6">
        <f>'Rate Class Load Model'!B7</f>
        <v>243009.88000000006</v>
      </c>
      <c r="H24" s="6">
        <f>'Rate Class Load Model'!B8</f>
        <v>232896.94000000003</v>
      </c>
      <c r="I24" s="6">
        <f>'Rate Class Load Model'!B9</f>
        <v>251732.03000000003</v>
      </c>
      <c r="J24" s="6">
        <f>'Rate Class Load Model'!B10</f>
        <v>260826.09999999986</v>
      </c>
      <c r="K24" s="6">
        <f>'Rate Class Load Model'!B11</f>
        <v>278055</v>
      </c>
      <c r="L24" s="6">
        <f>'Rate Class Load Model'!B12</f>
        <v>288517.10581246525</v>
      </c>
      <c r="M24" s="6">
        <f>'Rate Class Load Model'!B13</f>
        <v>372457.4413868101</v>
      </c>
    </row>
    <row r="25" spans="1:15" x14ac:dyDescent="0.2">
      <c r="B25" s="6"/>
      <c r="C25" s="6"/>
      <c r="D25" s="6"/>
      <c r="E25" s="6"/>
      <c r="F25" s="6"/>
      <c r="G25" s="6"/>
      <c r="H25" s="6"/>
      <c r="J25" s="6"/>
      <c r="K25" s="6"/>
      <c r="M25" s="6"/>
      <c r="N25" s="37"/>
    </row>
    <row r="26" spans="1:15" x14ac:dyDescent="0.2">
      <c r="A26" s="26" t="str">
        <f>'Rate Class Energy Model'!K2</f>
        <v>Seasonal</v>
      </c>
      <c r="D26" s="1"/>
      <c r="E26" s="1"/>
      <c r="G26" s="1"/>
      <c r="J26" s="6"/>
    </row>
    <row r="27" spans="1:15" x14ac:dyDescent="0.2">
      <c r="A27" t="s">
        <v>44</v>
      </c>
      <c r="B27" s="6">
        <f>'Rate Class Customer Model'!E3</f>
        <v>3254.5</v>
      </c>
      <c r="C27" s="6">
        <f>'Rate Class Customer Model'!E4</f>
        <v>3175.9166666666665</v>
      </c>
      <c r="D27" s="6">
        <f>'Rate Class Customer Model'!E5</f>
        <v>3139.9166666666665</v>
      </c>
      <c r="E27" s="6">
        <f>'Rate Class Customer Model'!E6</f>
        <v>3108.0833333333335</v>
      </c>
      <c r="F27" s="6">
        <f>'Rate Class Customer Model'!E7</f>
        <v>3076.4166666666665</v>
      </c>
      <c r="G27" s="6">
        <f>'Rate Class Customer Model'!E8</f>
        <v>3038.5</v>
      </c>
      <c r="H27" s="6">
        <f>'Rate Class Customer Model'!E9</f>
        <v>2989.5</v>
      </c>
      <c r="I27" s="6">
        <f>'Rate Class Customer Model'!E10</f>
        <v>2925</v>
      </c>
      <c r="J27" s="6">
        <f>'Rate Class Customer Model'!E11</f>
        <v>2848.5</v>
      </c>
      <c r="K27" s="6">
        <f>'Rate Class Customer Model'!E12</f>
        <v>2793</v>
      </c>
      <c r="L27" s="6">
        <f>'Rate Class Customer Model'!E13</f>
        <v>2754.9005685292791</v>
      </c>
      <c r="M27" s="6">
        <f>'Rate Class Customer Model'!E14</f>
        <v>2717.3208530193142</v>
      </c>
    </row>
    <row r="28" spans="1:15" x14ac:dyDescent="0.2">
      <c r="A28" t="s">
        <v>42</v>
      </c>
      <c r="B28" s="6">
        <f>'Rate Class Energy Model'!K3</f>
        <v>7919568</v>
      </c>
      <c r="C28" s="6">
        <f>'Rate Class Energy Model'!K4</f>
        <v>6868390</v>
      </c>
      <c r="D28" s="6">
        <f>'Rate Class Energy Model'!K5</f>
        <v>6205026</v>
      </c>
      <c r="E28" s="6">
        <f>'Rate Class Energy Model'!K6</f>
        <v>6042453</v>
      </c>
      <c r="F28" s="6">
        <f>'Rate Class Energy Model'!K7</f>
        <v>6046269.2899999535</v>
      </c>
      <c r="G28" s="6">
        <f>'Rate Class Energy Model'!K8</f>
        <v>6277417.3699999545</v>
      </c>
      <c r="H28" s="6">
        <f>'Rate Class Energy Model'!K9</f>
        <v>6529262.7599999467</v>
      </c>
      <c r="I28" s="6">
        <f>'Rate Class Energy Model'!K10</f>
        <v>6424167.5299999965</v>
      </c>
      <c r="J28" s="6">
        <f>'Rate Class Energy Model'!K11</f>
        <v>6540797.4400000293</v>
      </c>
      <c r="K28" s="6">
        <f>'Rate Class Energy Model'!K12</f>
        <v>6123988</v>
      </c>
      <c r="L28" s="6">
        <f>'Rate Class Energy Model'!K32</f>
        <v>6040450.4199307133</v>
      </c>
      <c r="M28" s="6">
        <f>'Rate Class Energy Model'!K33</f>
        <v>5958052.3795345658</v>
      </c>
    </row>
    <row r="29" spans="1:15" x14ac:dyDescent="0.2">
      <c r="G29" s="6"/>
      <c r="H29" s="6"/>
      <c r="J29" s="6"/>
      <c r="K29" s="6"/>
      <c r="M29" s="6"/>
    </row>
    <row r="30" spans="1:15" x14ac:dyDescent="0.2">
      <c r="A30" s="26" t="str">
        <f>'Rate Class Energy Model'!L2</f>
        <v>Street Lights</v>
      </c>
      <c r="D30" s="1"/>
      <c r="F30" s="1"/>
      <c r="J30" s="18"/>
    </row>
    <row r="31" spans="1:15" x14ac:dyDescent="0.2">
      <c r="A31" t="s">
        <v>44</v>
      </c>
      <c r="B31" s="6">
        <f>'Rate Class Customer Model'!F3</f>
        <v>1018.5833333333334</v>
      </c>
      <c r="C31" s="6">
        <f>'Rate Class Customer Model'!F4</f>
        <v>1022.6666666666666</v>
      </c>
      <c r="D31" s="6">
        <f>'Rate Class Customer Model'!F5</f>
        <v>1066.3333333333333</v>
      </c>
      <c r="E31" s="6">
        <f>'Rate Class Customer Model'!F6</f>
        <v>1070</v>
      </c>
      <c r="F31" s="6">
        <f>'Rate Class Customer Model'!F7</f>
        <v>1067.0833333333333</v>
      </c>
      <c r="G31" s="6">
        <f>'Rate Class Customer Model'!F8</f>
        <v>1074.5</v>
      </c>
      <c r="H31" s="6">
        <f>'Rate Class Customer Model'!F9</f>
        <v>1105</v>
      </c>
      <c r="I31" s="6">
        <f>'Rate Class Customer Model'!F10</f>
        <v>1141</v>
      </c>
      <c r="J31" s="6">
        <f>'Rate Class Customer Model'!F11</f>
        <v>1146</v>
      </c>
      <c r="K31" s="6">
        <f>'Rate Class Customer Model'!F12</f>
        <v>1131.5</v>
      </c>
      <c r="L31" s="6">
        <f>'Rate Class Customer Model'!F13</f>
        <v>1143.6589397398568</v>
      </c>
      <c r="M31" s="6">
        <f>'Rate Class Customer Model'!F14</f>
        <v>1155.948537734771</v>
      </c>
    </row>
    <row r="32" spans="1:15" x14ac:dyDescent="0.2">
      <c r="A32" t="s">
        <v>42</v>
      </c>
      <c r="B32" s="6">
        <f>'Rate Class Energy Model'!L3</f>
        <v>777268.7</v>
      </c>
      <c r="C32" s="6">
        <f>'Rate Class Energy Model'!L4</f>
        <v>742696.3</v>
      </c>
      <c r="D32" s="6">
        <f>'Rate Class Energy Model'!L5</f>
        <v>584575.4</v>
      </c>
      <c r="E32" s="6">
        <f>'Rate Class Energy Model'!L6</f>
        <v>582536.69999999995</v>
      </c>
      <c r="F32" s="6">
        <f>'Rate Class Energy Model'!L7</f>
        <v>577097.00000000012</v>
      </c>
      <c r="G32" s="6">
        <f>'Rate Class Energy Model'!L8</f>
        <v>566130.00000000012</v>
      </c>
      <c r="H32" s="6">
        <f>'Rate Class Energy Model'!L9</f>
        <v>592582.10000000009</v>
      </c>
      <c r="I32" s="6">
        <f>'Rate Class Energy Model'!L10</f>
        <v>594156.09999999986</v>
      </c>
      <c r="J32" s="6">
        <f>'Rate Class Energy Model'!L11</f>
        <v>592974.89999999991</v>
      </c>
      <c r="K32" s="6">
        <f>'Rate Class Energy Model'!L12</f>
        <v>537366</v>
      </c>
      <c r="L32" s="6">
        <f>'Rate Class Energy Model'!L32</f>
        <v>543140.45940101449</v>
      </c>
      <c r="M32" s="6">
        <f>'Rate Class Energy Model'!L33</f>
        <v>548976.97032998933</v>
      </c>
    </row>
    <row r="33" spans="1:15" x14ac:dyDescent="0.2">
      <c r="A33" t="s">
        <v>43</v>
      </c>
      <c r="B33" s="6">
        <f>'Rate Class Load Model'!C2</f>
        <v>2227</v>
      </c>
      <c r="C33" s="6">
        <f>'Rate Class Load Model'!C3</f>
        <v>2128</v>
      </c>
      <c r="D33" s="6">
        <f>'Rate Class Load Model'!C4</f>
        <v>1623</v>
      </c>
      <c r="E33" s="6">
        <f>'Rate Class Load Model'!C5</f>
        <v>1619</v>
      </c>
      <c r="F33" s="6">
        <f>'Rate Class Load Model'!C6</f>
        <v>1580.78</v>
      </c>
      <c r="G33" s="6">
        <f>'Rate Class Load Model'!C7</f>
        <v>1574</v>
      </c>
      <c r="H33" s="6">
        <f>'Rate Class Load Model'!C8</f>
        <v>1635.91</v>
      </c>
      <c r="I33" s="6">
        <f>'Rate Class Load Model'!C9</f>
        <v>1593.23</v>
      </c>
      <c r="J33" s="6">
        <f>'Rate Class Load Model'!C10</f>
        <v>1705.9</v>
      </c>
      <c r="K33" s="6">
        <f>'Rate Class Load Model'!C11</f>
        <v>1505</v>
      </c>
      <c r="L33" s="6">
        <f>'Rate Class Load Model'!C12</f>
        <v>1516.7286502860061</v>
      </c>
      <c r="M33" s="6">
        <f>'Rate Class Load Model'!C13</f>
        <v>1533.0272028803868</v>
      </c>
    </row>
    <row r="36" spans="1:15" x14ac:dyDescent="0.2">
      <c r="A36" s="26" t="s">
        <v>7</v>
      </c>
      <c r="B36" s="1"/>
      <c r="D36" s="1"/>
      <c r="G36" s="45"/>
    </row>
    <row r="37" spans="1:15" x14ac:dyDescent="0.2">
      <c r="A37" t="s">
        <v>46</v>
      </c>
      <c r="B37" s="6">
        <f>+B14+B18+B22+B27+B31</f>
        <v>12670.083333333334</v>
      </c>
      <c r="C37" s="6">
        <f t="shared" ref="C37:M37" si="1">+C14+C18+C22+C27+C31</f>
        <v>12674.499999999998</v>
      </c>
      <c r="D37" s="6">
        <f t="shared" si="1"/>
        <v>12743.25</v>
      </c>
      <c r="E37" s="6">
        <f t="shared" si="1"/>
        <v>12773.833333333334</v>
      </c>
      <c r="F37" s="6">
        <f t="shared" si="1"/>
        <v>12783.916666666666</v>
      </c>
      <c r="G37" s="6">
        <f t="shared" si="1"/>
        <v>12801</v>
      </c>
      <c r="H37" s="6">
        <f t="shared" si="1"/>
        <v>13028</v>
      </c>
      <c r="I37" s="6">
        <f t="shared" si="1"/>
        <v>13311.5</v>
      </c>
      <c r="J37" s="6">
        <f t="shared" si="1"/>
        <v>13425.5</v>
      </c>
      <c r="K37" s="6">
        <f t="shared" si="1"/>
        <v>13511.5</v>
      </c>
      <c r="L37" s="6">
        <f t="shared" si="1"/>
        <v>13551.28102626952</v>
      </c>
      <c r="M37" s="6">
        <f t="shared" si="1"/>
        <v>13592.269041619758</v>
      </c>
    </row>
    <row r="38" spans="1:15" x14ac:dyDescent="0.2">
      <c r="A38" t="s">
        <v>42</v>
      </c>
      <c r="B38" s="6">
        <f>+B15+B19+B23+B28+B32</f>
        <v>204773501.5</v>
      </c>
      <c r="C38" s="6">
        <f t="shared" ref="C38:L38" si="2">+C15+C19+C23+C28+C32</f>
        <v>201146570.5</v>
      </c>
      <c r="D38" s="6">
        <f t="shared" si="2"/>
        <v>197263064.90000001</v>
      </c>
      <c r="E38" s="6">
        <f t="shared" si="2"/>
        <v>203063777.39999998</v>
      </c>
      <c r="F38" s="6">
        <f t="shared" si="2"/>
        <v>224565775.07520857</v>
      </c>
      <c r="G38" s="6">
        <f t="shared" si="2"/>
        <v>235800480.53377673</v>
      </c>
      <c r="H38" s="6">
        <f t="shared" si="2"/>
        <v>229140219.85089642</v>
      </c>
      <c r="I38" s="6">
        <f t="shared" si="2"/>
        <v>244314343.79167747</v>
      </c>
      <c r="J38" s="6">
        <f t="shared" si="2"/>
        <v>256287580.02670693</v>
      </c>
      <c r="K38" s="6">
        <f t="shared" si="2"/>
        <v>259742424</v>
      </c>
      <c r="L38" s="6">
        <f t="shared" si="2"/>
        <v>264839929.97708622</v>
      </c>
      <c r="M38" s="6">
        <f>+M15+M19+M23+M28+M32</f>
        <v>317549812.52434444</v>
      </c>
    </row>
    <row r="39" spans="1:15" x14ac:dyDescent="0.2">
      <c r="A39" t="s">
        <v>45</v>
      </c>
      <c r="B39" s="6">
        <f>+B24+B33</f>
        <v>198915</v>
      </c>
      <c r="C39" s="6">
        <f t="shared" ref="C39:M39" si="3">+C24+C33</f>
        <v>210389</v>
      </c>
      <c r="D39" s="6">
        <f t="shared" si="3"/>
        <v>218991.6</v>
      </c>
      <c r="E39" s="6">
        <f t="shared" si="3"/>
        <v>212455.1</v>
      </c>
      <c r="F39" s="6">
        <f t="shared" si="3"/>
        <v>236379.08000000002</v>
      </c>
      <c r="G39" s="6">
        <f t="shared" si="3"/>
        <v>244583.88000000006</v>
      </c>
      <c r="H39" s="6">
        <f t="shared" si="3"/>
        <v>234532.85000000003</v>
      </c>
      <c r="I39" s="6">
        <f t="shared" si="3"/>
        <v>253325.26000000004</v>
      </c>
      <c r="J39" s="6">
        <f t="shared" si="3"/>
        <v>262531.99999999988</v>
      </c>
      <c r="K39" s="6">
        <f t="shared" si="3"/>
        <v>279560</v>
      </c>
      <c r="L39" s="6">
        <f>+L24+L33</f>
        <v>290033.83446275123</v>
      </c>
      <c r="M39" s="6">
        <f t="shared" si="3"/>
        <v>373990.46858969046</v>
      </c>
    </row>
    <row r="40" spans="1:15" x14ac:dyDescent="0.2">
      <c r="B40" s="45"/>
      <c r="C40" s="1"/>
      <c r="D40" s="1"/>
      <c r="E40" s="1"/>
    </row>
    <row r="41" spans="1:15" x14ac:dyDescent="0.2">
      <c r="A41" t="s">
        <v>46</v>
      </c>
      <c r="B41" s="6">
        <f>'Rate Class Customer Model'!G3</f>
        <v>12670.083333333334</v>
      </c>
      <c r="C41" s="6">
        <f>'Rate Class Customer Model'!G4</f>
        <v>12674.499999999998</v>
      </c>
      <c r="D41" s="6">
        <f>'Rate Class Customer Model'!G5</f>
        <v>12743.25</v>
      </c>
      <c r="E41" s="6">
        <f>'Rate Class Customer Model'!G6</f>
        <v>12773.833333333334</v>
      </c>
      <c r="F41" s="6">
        <f>'Rate Class Customer Model'!G7</f>
        <v>12783.916666666666</v>
      </c>
      <c r="G41" s="6">
        <f>'Rate Class Customer Model'!G8</f>
        <v>12801</v>
      </c>
      <c r="H41" s="6">
        <f>'Rate Class Customer Model'!G9</f>
        <v>13028</v>
      </c>
      <c r="I41" s="6">
        <f>'Rate Class Customer Model'!G10</f>
        <v>13311.5</v>
      </c>
      <c r="J41" s="6">
        <f>'Rate Class Customer Model'!G11</f>
        <v>13425.5</v>
      </c>
      <c r="K41" s="6">
        <f>'Rate Class Customer Model'!G12</f>
        <v>13511.5</v>
      </c>
      <c r="L41" s="6">
        <f>'Rate Class Customer Model'!G13</f>
        <v>13551.28102626952</v>
      </c>
      <c r="M41" s="6">
        <f>'Rate Class Customer Model'!G14</f>
        <v>13592.269041619758</v>
      </c>
    </row>
    <row r="42" spans="1:15" x14ac:dyDescent="0.2">
      <c r="A42" t="s">
        <v>42</v>
      </c>
      <c r="B42" s="6">
        <f>'Rate Class Energy Model'!G3</f>
        <v>204773501.5</v>
      </c>
      <c r="C42" s="6">
        <f>'Rate Class Energy Model'!G4</f>
        <v>201146570.5</v>
      </c>
      <c r="D42" s="6">
        <f>'Rate Class Energy Model'!G5</f>
        <v>197263064.90000001</v>
      </c>
      <c r="E42" s="6">
        <f>'Rate Class Energy Model'!G6</f>
        <v>203063777.39999998</v>
      </c>
      <c r="F42" s="6">
        <f>'Rate Class Energy Model'!G7</f>
        <v>224565775.07520857</v>
      </c>
      <c r="G42" s="6">
        <f>'Rate Class Energy Model'!G8</f>
        <v>235800480.53377673</v>
      </c>
      <c r="H42" s="6">
        <f>'Rate Class Energy Model'!G9</f>
        <v>229140219.85089642</v>
      </c>
      <c r="I42" s="6">
        <f>'Rate Class Energy Model'!G10</f>
        <v>244314343.79167747</v>
      </c>
      <c r="J42" s="6">
        <f>'Rate Class Energy Model'!G11</f>
        <v>256287580.02670693</v>
      </c>
      <c r="K42" s="6">
        <f>'Rate Class Energy Model'!G12</f>
        <v>259742424</v>
      </c>
      <c r="L42" s="6">
        <f>'Rate Class Energy Model'!M32</f>
        <v>264839929.97708622</v>
      </c>
      <c r="M42" s="6">
        <f>'Rate Class Energy Model'!M33</f>
        <v>317549812.52434444</v>
      </c>
      <c r="N42" s="6"/>
      <c r="O42" s="37"/>
    </row>
    <row r="43" spans="1:15" x14ac:dyDescent="0.2">
      <c r="A43" t="s">
        <v>45</v>
      </c>
      <c r="B43" s="6">
        <f>'Rate Class Load Model'!D2</f>
        <v>198915</v>
      </c>
      <c r="C43" s="6">
        <f>'Rate Class Load Model'!D3</f>
        <v>210389</v>
      </c>
      <c r="D43" s="6">
        <f>'Rate Class Load Model'!D4</f>
        <v>218991.6</v>
      </c>
      <c r="E43" s="6">
        <f>'Rate Class Load Model'!D5</f>
        <v>212455.1</v>
      </c>
      <c r="F43" s="6">
        <f>'Rate Class Load Model'!D6</f>
        <v>236379.08000000002</v>
      </c>
      <c r="G43" s="6">
        <f>'Rate Class Load Model'!D7</f>
        <v>244583.88000000006</v>
      </c>
      <c r="H43" s="6">
        <f>'Rate Class Load Model'!D8</f>
        <v>234532.85000000003</v>
      </c>
      <c r="I43" s="6">
        <f>'Rate Class Load Model'!D9</f>
        <v>253325.26000000004</v>
      </c>
      <c r="J43" s="6">
        <f>'Rate Class Load Model'!D10</f>
        <v>262531.99999999988</v>
      </c>
      <c r="K43" s="6">
        <f>'Rate Class Load Model'!D11</f>
        <v>279560</v>
      </c>
      <c r="L43" s="6">
        <f>'Rate Class Load Model'!D12</f>
        <v>290033.83446275123</v>
      </c>
      <c r="M43" s="6">
        <f>'Rate Class Load Model'!D13</f>
        <v>373990.46858969046</v>
      </c>
    </row>
    <row r="45" spans="1:15" hidden="1" x14ac:dyDescent="0.2">
      <c r="A45" t="s">
        <v>46</v>
      </c>
      <c r="G45" s="6">
        <f>'Rate Class Load Model'!D11</f>
        <v>279560</v>
      </c>
      <c r="H45" s="6" t="e">
        <f>#REF!</f>
        <v>#REF!</v>
      </c>
      <c r="I45" s="6"/>
      <c r="J45" s="6"/>
      <c r="K45" s="6" t="e">
        <f>#REF!</f>
        <v>#REF!</v>
      </c>
      <c r="L45" s="6" t="e">
        <f>#REF!</f>
        <v>#REF!</v>
      </c>
      <c r="M45" s="6"/>
    </row>
    <row r="46" spans="1:15" hidden="1" x14ac:dyDescent="0.2">
      <c r="A46" t="s">
        <v>42</v>
      </c>
      <c r="G46" s="6">
        <f>'Rate Class Load Model'!D12</f>
        <v>290033.83446275123</v>
      </c>
      <c r="H46" s="6" t="e">
        <f>#REF!</f>
        <v>#REF!</v>
      </c>
      <c r="I46" s="6"/>
      <c r="J46" s="6"/>
      <c r="K46" s="6" t="e">
        <f>#REF!</f>
        <v>#REF!</v>
      </c>
      <c r="L46" s="6" t="e">
        <f>#REF!</f>
        <v>#REF!</v>
      </c>
      <c r="M46" s="6"/>
    </row>
    <row r="47" spans="1:15" hidden="1" x14ac:dyDescent="0.2">
      <c r="A47" t="s">
        <v>45</v>
      </c>
      <c r="G47" s="6">
        <f>'Rate Class Load Model'!D14</f>
        <v>0</v>
      </c>
      <c r="H47" s="6" t="e">
        <f>#REF!</f>
        <v>#REF!</v>
      </c>
      <c r="I47" s="6"/>
      <c r="J47" s="6"/>
      <c r="K47" s="6" t="e">
        <f>#REF!</f>
        <v>#REF!</v>
      </c>
      <c r="L47" s="6" t="e">
        <f>#REF!</f>
        <v>#REF!</v>
      </c>
      <c r="M47" s="6"/>
    </row>
    <row r="48" spans="1:15" hidden="1" x14ac:dyDescent="0.2">
      <c r="G48" s="6">
        <f>'Rate Class Load Model'!D15</f>
        <v>0</v>
      </c>
    </row>
    <row r="49" spans="1:13" hidden="1" x14ac:dyDescent="0.2">
      <c r="A49" t="s">
        <v>46</v>
      </c>
      <c r="G49" s="6" t="e">
        <f>'Rate Class Load Model'!#REF!</f>
        <v>#REF!</v>
      </c>
      <c r="H49" s="6" t="e">
        <f>#REF!-H45</f>
        <v>#REF!</v>
      </c>
      <c r="I49" s="6"/>
      <c r="J49" s="6"/>
      <c r="K49" s="6" t="e">
        <f>#REF!-K45</f>
        <v>#REF!</v>
      </c>
      <c r="L49" s="6" t="e">
        <f>#REF!-L45</f>
        <v>#REF!</v>
      </c>
      <c r="M49" s="6"/>
    </row>
    <row r="50" spans="1:13" hidden="1" x14ac:dyDescent="0.2">
      <c r="A50" t="s">
        <v>42</v>
      </c>
      <c r="G50" s="6">
        <f>'Rate Class Load Model'!C16</f>
        <v>2.8651610440507897E-3</v>
      </c>
      <c r="H50" s="6" t="e">
        <f>#REF!-H46</f>
        <v>#REF!</v>
      </c>
      <c r="I50" s="6"/>
      <c r="J50" s="6"/>
      <c r="K50" s="6" t="e">
        <f>#REF!-K46</f>
        <v>#REF!</v>
      </c>
      <c r="L50" s="6" t="e">
        <f>#REF!-L46</f>
        <v>#REF!</v>
      </c>
      <c r="M50" s="6"/>
    </row>
    <row r="51" spans="1:13" hidden="1" x14ac:dyDescent="0.2">
      <c r="A51" t="s">
        <v>45</v>
      </c>
      <c r="G51" s="6">
        <f>'Rate Class Load Model'!C17</f>
        <v>2.8652357632588175E-3</v>
      </c>
      <c r="H51" s="6" t="e">
        <f>#REF!-H47</f>
        <v>#REF!</v>
      </c>
      <c r="I51" s="6"/>
      <c r="J51" s="6"/>
      <c r="K51" s="6" t="e">
        <f>#REF!-K47</f>
        <v>#REF!</v>
      </c>
      <c r="L51" s="6" t="e">
        <f>#REF!-L47</f>
        <v>#REF!</v>
      </c>
      <c r="M51" s="6"/>
    </row>
    <row r="52" spans="1:13" hidden="1" x14ac:dyDescent="0.2">
      <c r="G52" s="6">
        <f>'Rate Class Load Model'!C18</f>
        <v>2.7763740999022539E-3</v>
      </c>
    </row>
    <row r="53" spans="1:13" x14ac:dyDescent="0.2">
      <c r="A53" s="44" t="s">
        <v>12</v>
      </c>
      <c r="G53" s="6"/>
    </row>
    <row r="54" spans="1:13" x14ac:dyDescent="0.2">
      <c r="A54" t="s">
        <v>46</v>
      </c>
      <c r="B54" s="6">
        <f t="shared" ref="B54:L54" si="4">B37-B41</f>
        <v>0</v>
      </c>
      <c r="C54" s="6">
        <f t="shared" si="4"/>
        <v>0</v>
      </c>
      <c r="D54" s="6">
        <f t="shared" si="4"/>
        <v>0</v>
      </c>
      <c r="E54" s="6">
        <f t="shared" si="4"/>
        <v>0</v>
      </c>
      <c r="F54" s="6">
        <f t="shared" si="4"/>
        <v>0</v>
      </c>
      <c r="G54" s="6">
        <f t="shared" si="4"/>
        <v>0</v>
      </c>
      <c r="H54" s="6">
        <f t="shared" si="4"/>
        <v>0</v>
      </c>
      <c r="I54" s="6">
        <f t="shared" ref="I54:J56" si="5">I37-I41</f>
        <v>0</v>
      </c>
      <c r="J54" s="6">
        <f t="shared" si="5"/>
        <v>0</v>
      </c>
      <c r="K54" s="6">
        <f t="shared" si="4"/>
        <v>0</v>
      </c>
      <c r="L54" s="6">
        <f t="shared" si="4"/>
        <v>0</v>
      </c>
      <c r="M54" s="6">
        <f t="shared" ref="M54" si="6">M37-M41</f>
        <v>0</v>
      </c>
    </row>
    <row r="55" spans="1:13" x14ac:dyDescent="0.2">
      <c r="A55" t="s">
        <v>42</v>
      </c>
      <c r="B55" s="6">
        <f t="shared" ref="B55:L55" si="7">B38-B42</f>
        <v>0</v>
      </c>
      <c r="C55" s="6">
        <f t="shared" si="7"/>
        <v>0</v>
      </c>
      <c r="D55" s="6">
        <f t="shared" si="7"/>
        <v>0</v>
      </c>
      <c r="E55" s="6">
        <f t="shared" si="7"/>
        <v>0</v>
      </c>
      <c r="F55" s="6">
        <f t="shared" si="7"/>
        <v>0</v>
      </c>
      <c r="G55" s="6">
        <f t="shared" si="7"/>
        <v>0</v>
      </c>
      <c r="H55" s="6">
        <f t="shared" si="7"/>
        <v>0</v>
      </c>
      <c r="I55" s="6">
        <f t="shared" si="5"/>
        <v>0</v>
      </c>
      <c r="J55" s="6">
        <f t="shared" si="5"/>
        <v>0</v>
      </c>
      <c r="K55" s="6">
        <f t="shared" si="7"/>
        <v>0</v>
      </c>
      <c r="L55" s="6">
        <f t="shared" si="7"/>
        <v>0</v>
      </c>
      <c r="M55" s="6">
        <f t="shared" ref="M55" si="8">M38-M42</f>
        <v>0</v>
      </c>
    </row>
    <row r="56" spans="1:13" x14ac:dyDescent="0.2">
      <c r="A56" t="s">
        <v>45</v>
      </c>
      <c r="B56" s="6">
        <f t="shared" ref="B56:L56" si="9">B39-B43</f>
        <v>0</v>
      </c>
      <c r="C56" s="6">
        <f t="shared" si="9"/>
        <v>0</v>
      </c>
      <c r="D56" s="6">
        <f t="shared" si="9"/>
        <v>0</v>
      </c>
      <c r="E56" s="6">
        <f t="shared" si="9"/>
        <v>0</v>
      </c>
      <c r="F56" s="6">
        <f t="shared" si="9"/>
        <v>0</v>
      </c>
      <c r="G56" s="6">
        <f t="shared" si="9"/>
        <v>0</v>
      </c>
      <c r="H56" s="6">
        <f t="shared" si="9"/>
        <v>0</v>
      </c>
      <c r="I56" s="6">
        <f t="shared" si="5"/>
        <v>0</v>
      </c>
      <c r="J56" s="6">
        <f t="shared" si="5"/>
        <v>0</v>
      </c>
      <c r="K56" s="6">
        <f t="shared" si="9"/>
        <v>0</v>
      </c>
      <c r="L56" s="6">
        <f t="shared" si="9"/>
        <v>0</v>
      </c>
      <c r="M56" s="6">
        <f t="shared" ref="M56" si="10">M39-M43</f>
        <v>0</v>
      </c>
    </row>
  </sheetData>
  <phoneticPr fontId="0" type="noConversion"/>
  <pageMargins left="0.38" right="0.75" top="0.73" bottom="0.74" header="0.5" footer="0.5"/>
  <pageSetup scale="74" fitToHeight="2" orientation="landscape" r:id="rId1"/>
  <headerFooter alignWithMargins="0"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2F267-DA32-4ADE-BE6A-084B7A2AAE21}">
  <sheetPr>
    <tabColor rgb="FF00B0F0"/>
    <pageSetUpPr fitToPage="1"/>
  </sheetPr>
  <dimension ref="A2:X209"/>
  <sheetViews>
    <sheetView zoomScaleNormal="10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L129" sqref="L129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9" customWidth="1"/>
    <col min="7" max="7" width="13" style="1" customWidth="1"/>
    <col min="8" max="8" width="15.5703125" style="1" bestFit="1" customWidth="1"/>
    <col min="9" max="9" width="17.140625" style="1" customWidth="1"/>
    <col min="10" max="10" width="10.28515625" style="1" customWidth="1"/>
    <col min="11" max="11" width="10.140625" style="1" customWidth="1"/>
    <col min="12" max="12" width="20" style="1" bestFit="1" customWidth="1"/>
    <col min="13" max="13" width="17.7109375" style="1" bestFit="1" customWidth="1"/>
    <col min="14" max="14" width="19.7109375" style="1" customWidth="1"/>
    <col min="15" max="15" width="4.85546875" style="1" customWidth="1"/>
    <col min="16" max="16" width="44.42578125" customWidth="1"/>
    <col min="17" max="17" width="20.140625" customWidth="1"/>
    <col min="18" max="20" width="12.5703125" customWidth="1"/>
    <col min="21" max="21" width="15.5703125" bestFit="1" customWidth="1"/>
    <col min="22" max="23" width="14.5703125" bestFit="1" customWidth="1"/>
    <col min="24" max="24" width="19.28515625" bestFit="1" customWidth="1"/>
    <col min="25" max="25" width="19" bestFit="1" customWidth="1"/>
    <col min="26" max="26" width="18.85546875" bestFit="1" customWidth="1"/>
    <col min="27" max="27" width="13" bestFit="1" customWidth="1"/>
    <col min="28" max="28" width="14.28515625" bestFit="1" customWidth="1"/>
    <col min="29" max="29" width="19.42578125" bestFit="1" customWidth="1"/>
    <col min="30" max="30" width="6.140625" bestFit="1" customWidth="1"/>
  </cols>
  <sheetData>
    <row r="2" spans="1:21" ht="38.25" x14ac:dyDescent="0.2">
      <c r="A2" s="68"/>
      <c r="B2" s="69" t="s">
        <v>57</v>
      </c>
      <c r="C2" s="70" t="s">
        <v>2</v>
      </c>
      <c r="D2" s="70" t="s">
        <v>3</v>
      </c>
      <c r="E2" s="70" t="s">
        <v>68</v>
      </c>
      <c r="F2" s="71" t="s">
        <v>13</v>
      </c>
      <c r="G2" s="70" t="s">
        <v>80</v>
      </c>
      <c r="H2" s="70" t="s">
        <v>8</v>
      </c>
      <c r="I2" s="72" t="s">
        <v>100</v>
      </c>
      <c r="J2" s="70" t="s">
        <v>101</v>
      </c>
      <c r="K2" s="89" t="s">
        <v>102</v>
      </c>
      <c r="L2" s="88" t="s">
        <v>94</v>
      </c>
      <c r="M2" s="88" t="s">
        <v>96</v>
      </c>
      <c r="N2" s="88" t="s">
        <v>97</v>
      </c>
      <c r="O2"/>
      <c r="P2" t="s">
        <v>14</v>
      </c>
    </row>
    <row r="3" spans="1:21" ht="13.5" thickBot="1" x14ac:dyDescent="0.25">
      <c r="A3" s="49">
        <v>41670</v>
      </c>
      <c r="B3" s="50">
        <v>24988491</v>
      </c>
      <c r="C3" s="50">
        <v>980.29998779296875</v>
      </c>
      <c r="D3" s="50">
        <v>0</v>
      </c>
      <c r="E3" s="50">
        <v>31</v>
      </c>
      <c r="F3" s="79">
        <v>0</v>
      </c>
      <c r="G3" s="50">
        <v>11661</v>
      </c>
      <c r="H3" s="50">
        <f t="shared" ref="H3:H22" si="0">$Q$18+$Q$19*C3+$Q$20*D3+$Q$21*E3+$Q$22*F3+$Q$23*G3</f>
        <v>25110234.134058215</v>
      </c>
      <c r="I3" s="33">
        <f t="shared" ref="I3:I22" si="1">H3-B3</f>
        <v>121743.13405821472</v>
      </c>
      <c r="J3" s="42">
        <f t="shared" ref="J3:J22" si="2">I3/B3</f>
        <v>4.8719682216190937E-3</v>
      </c>
      <c r="K3" s="12">
        <f t="shared" ref="K3:K55" si="3">ABS(J3)</f>
        <v>4.8719682216190937E-3</v>
      </c>
      <c r="L3" s="10">
        <f t="shared" ref="L3:L55" si="4">I3*I3</f>
        <v>14821390690.316442</v>
      </c>
      <c r="M3" s="10"/>
      <c r="N3" s="10"/>
      <c r="O3" s="12"/>
    </row>
    <row r="4" spans="1:21" x14ac:dyDescent="0.2">
      <c r="A4" s="49">
        <v>41698</v>
      </c>
      <c r="B4" s="50">
        <v>22046480</v>
      </c>
      <c r="C4" s="50">
        <v>912</v>
      </c>
      <c r="D4" s="50">
        <v>0</v>
      </c>
      <c r="E4" s="50">
        <v>28</v>
      </c>
      <c r="F4" s="79">
        <v>0</v>
      </c>
      <c r="G4" s="50">
        <v>11654</v>
      </c>
      <c r="H4" s="50">
        <f t="shared" si="0"/>
        <v>22280980.869926572</v>
      </c>
      <c r="I4" s="33">
        <f t="shared" si="1"/>
        <v>234500.86992657185</v>
      </c>
      <c r="J4" s="42">
        <f t="shared" si="2"/>
        <v>1.0636658093562866E-2</v>
      </c>
      <c r="K4" s="12">
        <f t="shared" si="3"/>
        <v>1.0636658093562866E-2</v>
      </c>
      <c r="L4" s="10">
        <f t="shared" si="4"/>
        <v>54990657996.31897</v>
      </c>
      <c r="M4" s="10">
        <f t="shared" ref="M4:M56" si="5">I4-I3</f>
        <v>112757.73586835712</v>
      </c>
      <c r="N4" s="10">
        <f t="shared" ref="N4:N56" si="6">M4*M4</f>
        <v>12714306998.15819</v>
      </c>
      <c r="O4" s="12"/>
      <c r="P4" s="101" t="s">
        <v>15</v>
      </c>
      <c r="Q4" s="101"/>
    </row>
    <row r="5" spans="1:21" x14ac:dyDescent="0.2">
      <c r="A5" s="49">
        <v>41729</v>
      </c>
      <c r="B5" s="50">
        <v>23041535</v>
      </c>
      <c r="C5" s="50">
        <v>895</v>
      </c>
      <c r="D5" s="50">
        <v>0</v>
      </c>
      <c r="E5" s="50">
        <v>31</v>
      </c>
      <c r="F5" s="79">
        <v>1</v>
      </c>
      <c r="G5" s="50">
        <v>11654</v>
      </c>
      <c r="H5" s="50">
        <f t="shared" si="0"/>
        <v>23334709.718539439</v>
      </c>
      <c r="I5" s="33">
        <f t="shared" si="1"/>
        <v>293174.71853943914</v>
      </c>
      <c r="J5" s="42">
        <f t="shared" si="2"/>
        <v>1.272374946111182E-2</v>
      </c>
      <c r="K5" s="12">
        <f t="shared" si="3"/>
        <v>1.272374946111182E-2</v>
      </c>
      <c r="L5" s="10">
        <f t="shared" si="4"/>
        <v>85951415590.679367</v>
      </c>
      <c r="M5" s="10">
        <f t="shared" si="5"/>
        <v>58673.848612867296</v>
      </c>
      <c r="N5" s="10">
        <f t="shared" si="6"/>
        <v>3442620511.0456696</v>
      </c>
      <c r="O5" s="12"/>
      <c r="P5" t="s">
        <v>16</v>
      </c>
      <c r="Q5" s="102">
        <v>0.96882886912325639</v>
      </c>
    </row>
    <row r="6" spans="1:21" x14ac:dyDescent="0.2">
      <c r="A6" s="49">
        <v>41759</v>
      </c>
      <c r="B6" s="50">
        <v>18510176</v>
      </c>
      <c r="C6" s="50">
        <v>511.10000610351563</v>
      </c>
      <c r="D6" s="50">
        <v>0</v>
      </c>
      <c r="E6" s="50">
        <v>30</v>
      </c>
      <c r="F6" s="79">
        <v>1</v>
      </c>
      <c r="G6" s="50">
        <v>11646</v>
      </c>
      <c r="H6" s="50">
        <f t="shared" si="0"/>
        <v>18576988.438781947</v>
      </c>
      <c r="I6" s="33">
        <f t="shared" si="1"/>
        <v>66812.438781946898</v>
      </c>
      <c r="J6" s="42">
        <f t="shared" si="2"/>
        <v>3.6094977585273578E-3</v>
      </c>
      <c r="K6" s="12">
        <f t="shared" si="3"/>
        <v>3.6094977585273578E-3</v>
      </c>
      <c r="L6" s="10">
        <f t="shared" si="4"/>
        <v>4463901975.9914017</v>
      </c>
      <c r="M6" s="10">
        <f t="shared" si="5"/>
        <v>-226362.27975749224</v>
      </c>
      <c r="N6" s="10">
        <f t="shared" si="6"/>
        <v>51239881697.009186</v>
      </c>
      <c r="O6" s="12"/>
      <c r="P6" t="s">
        <v>17</v>
      </c>
      <c r="Q6" s="102">
        <v>0.93862937764664789</v>
      </c>
    </row>
    <row r="7" spans="1:21" x14ac:dyDescent="0.2">
      <c r="A7" s="49">
        <v>41790</v>
      </c>
      <c r="B7" s="50">
        <v>16410299</v>
      </c>
      <c r="C7" s="50">
        <v>267.89999389648438</v>
      </c>
      <c r="D7" s="50">
        <v>0.80000001192092896</v>
      </c>
      <c r="E7" s="50">
        <v>31</v>
      </c>
      <c r="F7" s="79">
        <v>1</v>
      </c>
      <c r="G7" s="50">
        <v>11637</v>
      </c>
      <c r="H7" s="50">
        <f t="shared" si="0"/>
        <v>16679337.035910152</v>
      </c>
      <c r="I7" s="33">
        <f t="shared" si="1"/>
        <v>269038.0359101519</v>
      </c>
      <c r="J7" s="42">
        <f t="shared" si="2"/>
        <v>1.6394462764520737E-2</v>
      </c>
      <c r="K7" s="12">
        <f t="shared" si="3"/>
        <v>1.6394462764520737E-2</v>
      </c>
      <c r="L7" s="10">
        <f t="shared" si="4"/>
        <v>72381464766.392181</v>
      </c>
      <c r="M7" s="10">
        <f t="shared" si="5"/>
        <v>202225.597128205</v>
      </c>
      <c r="N7" s="10">
        <f t="shared" si="6"/>
        <v>40895192133.859077</v>
      </c>
      <c r="O7" s="12"/>
      <c r="P7" t="s">
        <v>18</v>
      </c>
      <c r="Q7" s="102">
        <v>0.93593768368378161</v>
      </c>
    </row>
    <row r="8" spans="1:21" x14ac:dyDescent="0.2">
      <c r="A8" s="49">
        <v>41820</v>
      </c>
      <c r="B8" s="50">
        <v>13841155</v>
      </c>
      <c r="C8" s="50">
        <v>96.900001525878906</v>
      </c>
      <c r="D8" s="50">
        <v>12</v>
      </c>
      <c r="E8" s="50">
        <v>30</v>
      </c>
      <c r="F8" s="79">
        <v>0</v>
      </c>
      <c r="G8" s="50">
        <v>11645</v>
      </c>
      <c r="H8" s="50">
        <f t="shared" si="0"/>
        <v>15353332.058537126</v>
      </c>
      <c r="I8" s="33">
        <f t="shared" si="1"/>
        <v>1512177.0585371256</v>
      </c>
      <c r="J8" s="42">
        <f t="shared" si="2"/>
        <v>0.10925223065106385</v>
      </c>
      <c r="K8" s="12">
        <f t="shared" si="3"/>
        <v>0.10925223065106385</v>
      </c>
      <c r="L8" s="10">
        <f t="shared" si="4"/>
        <v>2286679456365.9932</v>
      </c>
      <c r="M8" s="10">
        <f t="shared" si="5"/>
        <v>1243139.0226269737</v>
      </c>
      <c r="N8" s="10">
        <f t="shared" si="6"/>
        <v>1545394629577.9475</v>
      </c>
      <c r="O8" s="12"/>
      <c r="P8" t="s">
        <v>19</v>
      </c>
      <c r="Q8" s="102">
        <v>934619.55490500247</v>
      </c>
    </row>
    <row r="9" spans="1:21" ht="13.5" thickBot="1" x14ac:dyDescent="0.25">
      <c r="A9" s="49">
        <v>41851</v>
      </c>
      <c r="B9" s="50">
        <v>15069489</v>
      </c>
      <c r="C9" s="50">
        <v>88.099998474121094</v>
      </c>
      <c r="D9" s="50">
        <v>6.4000000953674316</v>
      </c>
      <c r="E9" s="50">
        <v>31</v>
      </c>
      <c r="F9" s="79">
        <v>0</v>
      </c>
      <c r="G9" s="50">
        <v>11645</v>
      </c>
      <c r="H9" s="50">
        <f t="shared" si="0"/>
        <v>15820371.452393793</v>
      </c>
      <c r="I9" s="33">
        <f t="shared" si="1"/>
        <v>750882.45239379257</v>
      </c>
      <c r="J9" s="42">
        <f t="shared" si="2"/>
        <v>4.9827996980773046E-2</v>
      </c>
      <c r="K9" s="12">
        <f t="shared" si="3"/>
        <v>4.9827996980773046E-2</v>
      </c>
      <c r="L9" s="10">
        <f t="shared" si="4"/>
        <v>563824457312.91614</v>
      </c>
      <c r="M9" s="10">
        <f t="shared" si="5"/>
        <v>-761294.60614333302</v>
      </c>
      <c r="N9" s="10">
        <f t="shared" si="6"/>
        <v>579569477342.9325</v>
      </c>
      <c r="O9" s="12"/>
      <c r="P9" s="99" t="s">
        <v>20</v>
      </c>
      <c r="Q9" s="106">
        <v>120</v>
      </c>
    </row>
    <row r="10" spans="1:21" x14ac:dyDescent="0.2">
      <c r="A10" s="49">
        <v>41882</v>
      </c>
      <c r="B10" s="50">
        <v>15429842</v>
      </c>
      <c r="C10" s="50">
        <v>63.400001525878906</v>
      </c>
      <c r="D10" s="50">
        <v>13.5</v>
      </c>
      <c r="E10" s="50">
        <v>31</v>
      </c>
      <c r="F10" s="79">
        <v>0</v>
      </c>
      <c r="G10" s="50">
        <v>11655</v>
      </c>
      <c r="H10" s="50">
        <f t="shared" si="0"/>
        <v>15796407.546977766</v>
      </c>
      <c r="I10" s="33">
        <f t="shared" si="1"/>
        <v>366565.54697776586</v>
      </c>
      <c r="J10" s="42">
        <f t="shared" si="2"/>
        <v>2.3756921618365623E-2</v>
      </c>
      <c r="K10" s="12">
        <f t="shared" si="3"/>
        <v>2.3756921618365623E-2</v>
      </c>
      <c r="L10" s="10">
        <f t="shared" si="4"/>
        <v>134370300231.10867</v>
      </c>
      <c r="M10" s="10">
        <f t="shared" si="5"/>
        <v>-384316.90541602671</v>
      </c>
      <c r="N10" s="10">
        <f t="shared" si="6"/>
        <v>147699483788.55121</v>
      </c>
      <c r="O10" s="12"/>
    </row>
    <row r="11" spans="1:21" ht="13.5" thickBot="1" x14ac:dyDescent="0.25">
      <c r="A11" s="49">
        <v>41912</v>
      </c>
      <c r="B11" s="50">
        <v>14760249</v>
      </c>
      <c r="C11" s="50">
        <v>158.19999694824219</v>
      </c>
      <c r="D11" s="50">
        <v>1.3999999761581421</v>
      </c>
      <c r="E11" s="50">
        <v>30</v>
      </c>
      <c r="F11" s="79">
        <v>1</v>
      </c>
      <c r="G11" s="50">
        <v>11646</v>
      </c>
      <c r="H11" s="50">
        <f t="shared" si="0"/>
        <v>14920350.148623496</v>
      </c>
      <c r="I11" s="33">
        <f t="shared" si="1"/>
        <v>160101.14862349629</v>
      </c>
      <c r="J11" s="42">
        <f t="shared" si="2"/>
        <v>1.0846778304586616E-2</v>
      </c>
      <c r="K11" s="12">
        <f t="shared" si="3"/>
        <v>1.0846778304586616E-2</v>
      </c>
      <c r="L11" s="10">
        <f t="shared" si="4"/>
        <v>25632377790.562851</v>
      </c>
      <c r="M11" s="10">
        <f t="shared" si="5"/>
        <v>-206464.39835426956</v>
      </c>
      <c r="N11" s="10">
        <f t="shared" si="6"/>
        <v>42627547787.790512</v>
      </c>
      <c r="O11" s="12"/>
      <c r="P11" t="s">
        <v>21</v>
      </c>
    </row>
    <row r="12" spans="1:21" x14ac:dyDescent="0.2">
      <c r="A12" s="49">
        <v>41943</v>
      </c>
      <c r="B12" s="50">
        <v>17103906</v>
      </c>
      <c r="C12" s="50">
        <v>341</v>
      </c>
      <c r="D12" s="50">
        <v>0</v>
      </c>
      <c r="E12" s="50">
        <v>31</v>
      </c>
      <c r="F12" s="79">
        <v>1</v>
      </c>
      <c r="G12" s="50">
        <v>11659</v>
      </c>
      <c r="H12" s="50">
        <f t="shared" si="0"/>
        <v>17578229.641452201</v>
      </c>
      <c r="I12" s="33">
        <f t="shared" si="1"/>
        <v>474323.64145220071</v>
      </c>
      <c r="J12" s="42">
        <f t="shared" si="2"/>
        <v>2.7731890098799696E-2</v>
      </c>
      <c r="K12" s="12">
        <f t="shared" si="3"/>
        <v>2.7731890098799696E-2</v>
      </c>
      <c r="L12" s="10">
        <f t="shared" si="4"/>
        <v>224982916840.47586</v>
      </c>
      <c r="M12" s="10">
        <f t="shared" si="5"/>
        <v>314222.49282870442</v>
      </c>
      <c r="N12" s="10">
        <f t="shared" si="6"/>
        <v>98735774999.485199</v>
      </c>
      <c r="O12" s="12"/>
      <c r="P12" s="100"/>
      <c r="Q12" s="100" t="s">
        <v>25</v>
      </c>
      <c r="R12" s="100" t="s">
        <v>26</v>
      </c>
      <c r="S12" s="100" t="s">
        <v>27</v>
      </c>
      <c r="T12" s="100" t="s">
        <v>28</v>
      </c>
      <c r="U12" s="100" t="s">
        <v>29</v>
      </c>
    </row>
    <row r="13" spans="1:21" x14ac:dyDescent="0.2">
      <c r="A13" s="49">
        <v>41973</v>
      </c>
      <c r="B13" s="50">
        <v>19716721</v>
      </c>
      <c r="C13" s="50">
        <v>616.0999755859375</v>
      </c>
      <c r="D13" s="50">
        <v>0</v>
      </c>
      <c r="E13" s="50">
        <v>30</v>
      </c>
      <c r="F13" s="79">
        <v>0</v>
      </c>
      <c r="G13" s="50">
        <v>11657</v>
      </c>
      <c r="H13" s="50">
        <f t="shared" si="0"/>
        <v>20586317.468388647</v>
      </c>
      <c r="I13" s="33">
        <f t="shared" si="1"/>
        <v>869596.46838864684</v>
      </c>
      <c r="J13" s="42">
        <f t="shared" si="2"/>
        <v>4.4104517601514313E-2</v>
      </c>
      <c r="K13" s="12">
        <f t="shared" si="3"/>
        <v>4.4104517601514313E-2</v>
      </c>
      <c r="L13" s="10">
        <f t="shared" si="4"/>
        <v>756198017834.00684</v>
      </c>
      <c r="M13" s="10">
        <f t="shared" si="5"/>
        <v>395272.82693644613</v>
      </c>
      <c r="N13" s="10">
        <f t="shared" si="6"/>
        <v>156240607714.32968</v>
      </c>
      <c r="O13" s="12"/>
      <c r="P13" t="s">
        <v>22</v>
      </c>
      <c r="Q13">
        <v>5</v>
      </c>
      <c r="R13" s="102">
        <v>1523029073061647.8</v>
      </c>
      <c r="S13" s="102">
        <v>304605814612329.56</v>
      </c>
      <c r="T13" s="102">
        <v>348.71326034670136</v>
      </c>
      <c r="U13" s="102">
        <v>2.4976013929165399E-67</v>
      </c>
    </row>
    <row r="14" spans="1:21" x14ac:dyDescent="0.2">
      <c r="A14" s="49">
        <v>42004</v>
      </c>
      <c r="B14" s="50">
        <v>21926505</v>
      </c>
      <c r="C14" s="50">
        <v>691.4000244140625</v>
      </c>
      <c r="D14" s="50">
        <v>0</v>
      </c>
      <c r="E14" s="50">
        <v>31</v>
      </c>
      <c r="F14" s="79">
        <v>0</v>
      </c>
      <c r="G14" s="50">
        <v>11659</v>
      </c>
      <c r="H14" s="50">
        <f t="shared" si="0"/>
        <v>22076244.528511606</v>
      </c>
      <c r="I14" s="33">
        <f t="shared" si="1"/>
        <v>149739.52851160616</v>
      </c>
      <c r="J14" s="42">
        <f t="shared" si="2"/>
        <v>6.8291562431680814E-3</v>
      </c>
      <c r="K14" s="12">
        <f t="shared" si="3"/>
        <v>6.8291562431680814E-3</v>
      </c>
      <c r="L14" s="10">
        <f t="shared" si="4"/>
        <v>22421926398.878113</v>
      </c>
      <c r="M14" s="10">
        <f t="shared" si="5"/>
        <v>-719856.93987704068</v>
      </c>
      <c r="N14" s="10">
        <f t="shared" si="6"/>
        <v>518194013889.13739</v>
      </c>
      <c r="O14" s="12"/>
      <c r="P14" t="s">
        <v>23</v>
      </c>
      <c r="Q14">
        <v>114</v>
      </c>
      <c r="R14" s="102">
        <v>99580563214834.031</v>
      </c>
      <c r="S14" s="102">
        <v>873513712410.82483</v>
      </c>
      <c r="T14" s="102"/>
      <c r="U14" s="102"/>
    </row>
    <row r="15" spans="1:21" ht="13.5" thickBot="1" x14ac:dyDescent="0.25">
      <c r="A15" s="49">
        <v>42035</v>
      </c>
      <c r="B15" s="50">
        <v>24303546</v>
      </c>
      <c r="C15" s="50">
        <v>957.5</v>
      </c>
      <c r="D15" s="50">
        <v>0</v>
      </c>
      <c r="E15" s="50">
        <v>31</v>
      </c>
      <c r="F15" s="79">
        <v>0</v>
      </c>
      <c r="G15" s="50">
        <v>11659</v>
      </c>
      <c r="H15" s="50">
        <f t="shared" si="0"/>
        <v>24857957.251377113</v>
      </c>
      <c r="I15" s="33">
        <f t="shared" si="1"/>
        <v>554411.25137711316</v>
      </c>
      <c r="J15" s="42">
        <f t="shared" si="2"/>
        <v>2.2811948979672068E-2</v>
      </c>
      <c r="K15" s="12">
        <f t="shared" si="3"/>
        <v>2.2811948979672068E-2</v>
      </c>
      <c r="L15" s="10">
        <f t="shared" si="4"/>
        <v>307371835653.53656</v>
      </c>
      <c r="M15" s="10">
        <f t="shared" si="5"/>
        <v>404671.72286550701</v>
      </c>
      <c r="N15" s="10">
        <f t="shared" si="6"/>
        <v>163759203286.93771</v>
      </c>
      <c r="O15" s="12"/>
      <c r="P15" s="99" t="s">
        <v>7</v>
      </c>
      <c r="Q15" s="99">
        <v>119</v>
      </c>
      <c r="R15" s="106">
        <v>1622609636276481.8</v>
      </c>
      <c r="S15" s="106"/>
      <c r="T15" s="106"/>
      <c r="U15" s="106"/>
    </row>
    <row r="16" spans="1:21" ht="13.5" thickBot="1" x14ac:dyDescent="0.25">
      <c r="A16" s="49">
        <v>42063</v>
      </c>
      <c r="B16" s="50">
        <v>23231362</v>
      </c>
      <c r="C16" s="50">
        <v>1015.2000122070313</v>
      </c>
      <c r="D16" s="50">
        <v>0</v>
      </c>
      <c r="E16" s="50">
        <v>28</v>
      </c>
      <c r="F16" s="79">
        <v>0</v>
      </c>
      <c r="G16" s="50">
        <v>11653</v>
      </c>
      <c r="H16" s="50">
        <f t="shared" si="0"/>
        <v>23352829.366828591</v>
      </c>
      <c r="I16" s="33">
        <f t="shared" si="1"/>
        <v>121467.36682859063</v>
      </c>
      <c r="J16" s="42">
        <f t="shared" si="2"/>
        <v>5.2285942954438331E-3</v>
      </c>
      <c r="K16" s="12">
        <f t="shared" si="3"/>
        <v>5.2285942954438331E-3</v>
      </c>
      <c r="L16" s="10">
        <f t="shared" si="4"/>
        <v>14754321204.2714</v>
      </c>
      <c r="M16" s="10">
        <f t="shared" si="5"/>
        <v>-432943.88454852253</v>
      </c>
      <c r="N16" s="10">
        <f t="shared" si="6"/>
        <v>187440407167.96442</v>
      </c>
      <c r="O16" s="12"/>
    </row>
    <row r="17" spans="1:24" x14ac:dyDescent="0.2">
      <c r="A17" s="49">
        <v>42094</v>
      </c>
      <c r="B17" s="50">
        <v>21902978</v>
      </c>
      <c r="C17" s="50">
        <v>786.5999755859375</v>
      </c>
      <c r="D17" s="50">
        <v>0</v>
      </c>
      <c r="E17" s="50">
        <v>31</v>
      </c>
      <c r="F17" s="79">
        <v>1</v>
      </c>
      <c r="G17" s="50">
        <v>11642</v>
      </c>
      <c r="H17" s="50">
        <f t="shared" si="0"/>
        <v>22117930.710787527</v>
      </c>
      <c r="I17" s="33">
        <f t="shared" si="1"/>
        <v>214952.71078752726</v>
      </c>
      <c r="J17" s="42">
        <f t="shared" si="2"/>
        <v>9.8138577679951679E-3</v>
      </c>
      <c r="K17" s="12">
        <f t="shared" si="3"/>
        <v>9.8138577679951679E-3</v>
      </c>
      <c r="L17" s="10">
        <f t="shared" si="4"/>
        <v>46204667874.906342</v>
      </c>
      <c r="M17" s="10">
        <f t="shared" si="5"/>
        <v>93485.343958936632</v>
      </c>
      <c r="N17" s="10">
        <f t="shared" si="6"/>
        <v>8739509535.1206894</v>
      </c>
      <c r="O17" s="12"/>
      <c r="P17" s="100"/>
      <c r="Q17" s="100" t="s">
        <v>30</v>
      </c>
      <c r="R17" s="100" t="s">
        <v>19</v>
      </c>
      <c r="S17" s="100" t="s">
        <v>31</v>
      </c>
      <c r="T17" s="100" t="s">
        <v>32</v>
      </c>
      <c r="U17" s="100" t="s">
        <v>33</v>
      </c>
      <c r="V17" s="100" t="s">
        <v>34</v>
      </c>
      <c r="W17" s="100" t="s">
        <v>113</v>
      </c>
      <c r="X17" s="100" t="s">
        <v>114</v>
      </c>
    </row>
    <row r="18" spans="1:24" x14ac:dyDescent="0.2">
      <c r="A18" s="49">
        <v>42124</v>
      </c>
      <c r="B18" s="50">
        <v>17767380</v>
      </c>
      <c r="C18" s="50">
        <v>474.39999389648438</v>
      </c>
      <c r="D18" s="50">
        <v>0</v>
      </c>
      <c r="E18" s="50">
        <v>30</v>
      </c>
      <c r="F18" s="79">
        <v>1</v>
      </c>
      <c r="G18" s="50">
        <v>11632</v>
      </c>
      <c r="H18" s="50">
        <f t="shared" si="0"/>
        <v>18095801.306066632</v>
      </c>
      <c r="I18" s="33">
        <f t="shared" si="1"/>
        <v>328421.30606663227</v>
      </c>
      <c r="J18" s="42">
        <f t="shared" si="2"/>
        <v>1.8484509593796737E-2</v>
      </c>
      <c r="K18" s="12">
        <f t="shared" si="3"/>
        <v>1.8484509593796737E-2</v>
      </c>
      <c r="L18" s="10">
        <f t="shared" si="4"/>
        <v>107860554278.51256</v>
      </c>
      <c r="M18" s="10">
        <f t="shared" si="5"/>
        <v>113468.59527910501</v>
      </c>
      <c r="N18" s="10">
        <f t="shared" si="6"/>
        <v>12875122114.613331</v>
      </c>
      <c r="O18" s="12"/>
      <c r="P18" t="s">
        <v>24</v>
      </c>
      <c r="Q18" s="102">
        <v>-87733913.497822329</v>
      </c>
      <c r="R18" s="102">
        <v>5029212.7088617356</v>
      </c>
      <c r="S18" s="102">
        <v>-17.44486037411593</v>
      </c>
      <c r="T18" s="102">
        <v>5.7230853254875156E-34</v>
      </c>
      <c r="U18" s="102">
        <v>-97696745.138959736</v>
      </c>
      <c r="V18" s="102">
        <v>-77771081.856684923</v>
      </c>
      <c r="W18" s="102">
        <v>-97696745.138959736</v>
      </c>
      <c r="X18" s="102">
        <v>-77771081.856684923</v>
      </c>
    </row>
    <row r="19" spans="1:24" x14ac:dyDescent="0.2">
      <c r="A19" s="49">
        <v>42155</v>
      </c>
      <c r="B19" s="50">
        <v>15576646</v>
      </c>
      <c r="C19" s="50">
        <v>242.89999389648438</v>
      </c>
      <c r="D19" s="50">
        <v>1.1000000238418579</v>
      </c>
      <c r="E19" s="50">
        <v>31</v>
      </c>
      <c r="F19" s="79">
        <v>1</v>
      </c>
      <c r="G19" s="50">
        <v>11648</v>
      </c>
      <c r="H19" s="50">
        <f t="shared" si="0"/>
        <v>16501587.175976671</v>
      </c>
      <c r="I19" s="33">
        <f t="shared" si="1"/>
        <v>924941.17597667128</v>
      </c>
      <c r="J19" s="42">
        <f t="shared" si="2"/>
        <v>5.937999592317058E-2</v>
      </c>
      <c r="K19" s="12">
        <f t="shared" si="3"/>
        <v>5.937999592317058E-2</v>
      </c>
      <c r="L19" s="10">
        <f t="shared" si="4"/>
        <v>855516179017.10754</v>
      </c>
      <c r="M19" s="10">
        <f t="shared" si="5"/>
        <v>596519.86991003901</v>
      </c>
      <c r="N19" s="10">
        <f t="shared" si="6"/>
        <v>355835955197.48987</v>
      </c>
      <c r="O19" s="12"/>
      <c r="P19" t="s">
        <v>2</v>
      </c>
      <c r="Q19" s="102">
        <v>10453.637647806341</v>
      </c>
      <c r="R19" s="102">
        <v>347.84160385295445</v>
      </c>
      <c r="S19" s="102">
        <v>30.052867546647704</v>
      </c>
      <c r="T19" s="102">
        <v>5.2468957439300574E-56</v>
      </c>
      <c r="U19" s="102">
        <v>9764.5661096580679</v>
      </c>
      <c r="V19" s="102">
        <v>11142.709185954614</v>
      </c>
      <c r="W19" s="102">
        <v>9764.5661096580679</v>
      </c>
      <c r="X19" s="102">
        <v>11142.709185954614</v>
      </c>
    </row>
    <row r="20" spans="1:24" x14ac:dyDescent="0.2">
      <c r="A20" s="49">
        <v>42185</v>
      </c>
      <c r="B20" s="50">
        <v>14364571</v>
      </c>
      <c r="C20" s="50">
        <v>141.80000305175781</v>
      </c>
      <c r="D20" s="50">
        <v>0.40000000596046448</v>
      </c>
      <c r="E20" s="50">
        <v>30</v>
      </c>
      <c r="F20" s="79">
        <v>0</v>
      </c>
      <c r="G20" s="50">
        <v>11644</v>
      </c>
      <c r="H20" s="50">
        <f t="shared" si="0"/>
        <v>15546857.532391131</v>
      </c>
      <c r="I20" s="33">
        <f t="shared" si="1"/>
        <v>1182286.5323911309</v>
      </c>
      <c r="J20" s="42">
        <f t="shared" si="2"/>
        <v>8.2305732095384609E-2</v>
      </c>
      <c r="K20" s="12">
        <f t="shared" si="3"/>
        <v>8.2305732095384609E-2</v>
      </c>
      <c r="L20" s="10">
        <f t="shared" si="4"/>
        <v>1397801444673.4446</v>
      </c>
      <c r="M20" s="10">
        <f t="shared" si="5"/>
        <v>257345.35641445965</v>
      </c>
      <c r="N20" s="10">
        <f t="shared" si="6"/>
        <v>66226632468.085266</v>
      </c>
      <c r="O20" s="12"/>
      <c r="P20" t="s">
        <v>3</v>
      </c>
      <c r="Q20" s="102">
        <v>23178.951436392832</v>
      </c>
      <c r="R20" s="102">
        <v>9672.3082518916381</v>
      </c>
      <c r="S20" s="102">
        <v>2.3964239799594544</v>
      </c>
      <c r="T20" s="102">
        <v>1.8182708085800713E-2</v>
      </c>
      <c r="U20" s="102">
        <v>4018.1832857471454</v>
      </c>
      <c r="V20" s="102">
        <v>42339.719587038519</v>
      </c>
      <c r="W20" s="102">
        <v>4018.1832857471454</v>
      </c>
      <c r="X20" s="102">
        <v>42339.719587038519</v>
      </c>
    </row>
    <row r="21" spans="1:24" x14ac:dyDescent="0.2">
      <c r="A21" s="49">
        <v>42216</v>
      </c>
      <c r="B21" s="50">
        <v>15194721</v>
      </c>
      <c r="C21" s="50">
        <v>52.599998474121094</v>
      </c>
      <c r="D21" s="50">
        <v>29.200000762939453</v>
      </c>
      <c r="E21" s="50">
        <v>31</v>
      </c>
      <c r="F21" s="79">
        <v>0</v>
      </c>
      <c r="G21" s="50">
        <v>11652</v>
      </c>
      <c r="H21" s="50">
        <f t="shared" si="0"/>
        <v>16026516.675836511</v>
      </c>
      <c r="I21" s="33">
        <f t="shared" si="1"/>
        <v>831795.67583651096</v>
      </c>
      <c r="J21" s="42">
        <f t="shared" si="2"/>
        <v>5.4742411909801503E-2</v>
      </c>
      <c r="K21" s="12">
        <f t="shared" si="3"/>
        <v>5.4742411909801503E-2</v>
      </c>
      <c r="L21" s="10">
        <f t="shared" si="4"/>
        <v>691884046340.31799</v>
      </c>
      <c r="M21" s="10">
        <f t="shared" si="5"/>
        <v>-350490.85655461997</v>
      </c>
      <c r="N21" s="10">
        <f t="shared" si="6"/>
        <v>122843840528.39119</v>
      </c>
      <c r="O21" s="12"/>
      <c r="P21" t="s">
        <v>68</v>
      </c>
      <c r="Q21" s="102">
        <v>688833.56289262127</v>
      </c>
      <c r="R21" s="102">
        <v>107844.38868898196</v>
      </c>
      <c r="S21" s="102">
        <v>6.3872916455503699</v>
      </c>
      <c r="T21" s="102">
        <v>3.7951392223564742E-9</v>
      </c>
      <c r="U21" s="102">
        <v>475194.65951983311</v>
      </c>
      <c r="V21" s="102">
        <v>902472.46626540949</v>
      </c>
      <c r="W21" s="102">
        <v>475194.65951983311</v>
      </c>
      <c r="X21" s="102">
        <v>902472.46626540949</v>
      </c>
    </row>
    <row r="22" spans="1:24" x14ac:dyDescent="0.2">
      <c r="A22" s="49">
        <v>42247</v>
      </c>
      <c r="B22" s="50">
        <v>15927099</v>
      </c>
      <c r="C22" s="50">
        <v>37.5</v>
      </c>
      <c r="D22" s="50">
        <v>35.599998474121094</v>
      </c>
      <c r="E22" s="50">
        <v>31</v>
      </c>
      <c r="F22" s="79">
        <v>0</v>
      </c>
      <c r="G22" s="50">
        <v>11654</v>
      </c>
      <c r="H22" s="50">
        <f t="shared" si="0"/>
        <v>16030946.071365111</v>
      </c>
      <c r="I22" s="33">
        <f t="shared" si="1"/>
        <v>103847.07136511058</v>
      </c>
      <c r="J22" s="42">
        <f t="shared" si="2"/>
        <v>6.5201498003566484E-3</v>
      </c>
      <c r="K22" s="12">
        <f t="shared" si="3"/>
        <v>6.5201498003566484E-3</v>
      </c>
      <c r="L22" s="10">
        <f t="shared" si="4"/>
        <v>10784214231.110369</v>
      </c>
      <c r="M22" s="10">
        <f t="shared" si="5"/>
        <v>-727948.60447140038</v>
      </c>
      <c r="N22" s="10">
        <f t="shared" si="6"/>
        <v>529909170751.85931</v>
      </c>
      <c r="O22" s="12"/>
      <c r="P22" t="s">
        <v>13</v>
      </c>
      <c r="Q22" s="102">
        <v>-835060.00005230645</v>
      </c>
      <c r="R22" s="102">
        <v>182822.94264024793</v>
      </c>
      <c r="S22" s="102">
        <v>-4.5675886625209063</v>
      </c>
      <c r="T22" s="102">
        <v>1.2560331633788368E-5</v>
      </c>
      <c r="U22" s="102">
        <v>-1197230.84131592</v>
      </c>
      <c r="V22" s="102">
        <v>-472889.1587886929</v>
      </c>
      <c r="W22" s="102">
        <v>-1197230.84131592</v>
      </c>
      <c r="X22" s="102">
        <v>-472889.1587886929</v>
      </c>
    </row>
    <row r="23" spans="1:24" ht="13.5" thickBot="1" x14ac:dyDescent="0.25">
      <c r="A23" s="49">
        <v>42277</v>
      </c>
      <c r="B23" s="50">
        <v>15311739</v>
      </c>
      <c r="C23" s="50">
        <v>75.5</v>
      </c>
      <c r="D23" s="50">
        <v>31.399999618530273</v>
      </c>
      <c r="E23" s="50">
        <v>30</v>
      </c>
      <c r="F23" s="79">
        <v>1</v>
      </c>
      <c r="G23" s="50">
        <v>11658</v>
      </c>
      <c r="H23" s="50">
        <f t="shared" ref="H23:H54" si="7">$Q$18+$Q$19*C23+$Q$20*D23+$Q$21*E23+$Q$22*F23+$Q$23*G23</f>
        <v>14834807.313368171</v>
      </c>
      <c r="I23" s="33">
        <f t="shared" ref="I23:I54" si="8">H23-B23</f>
        <v>-476931.68663182855</v>
      </c>
      <c r="J23" s="42">
        <f t="shared" ref="J23:J54" si="9">I23/B23</f>
        <v>-3.1148107124333073E-2</v>
      </c>
      <c r="K23" s="12">
        <f t="shared" si="3"/>
        <v>3.1148107124333073E-2</v>
      </c>
      <c r="L23" s="10">
        <f t="shared" si="4"/>
        <v>227463833713.48071</v>
      </c>
      <c r="M23" s="10">
        <f t="shared" si="5"/>
        <v>-580778.75799693912</v>
      </c>
      <c r="N23" s="10">
        <f t="shared" si="6"/>
        <v>337303965740.46716</v>
      </c>
      <c r="O23" s="12"/>
      <c r="P23" s="99" t="s">
        <v>80</v>
      </c>
      <c r="Q23" s="106">
        <v>6967.0359594951206</v>
      </c>
      <c r="R23" s="106">
        <v>323.28785115556991</v>
      </c>
      <c r="S23" s="106">
        <v>21.55056533857346</v>
      </c>
      <c r="T23" s="106">
        <v>5.1844301540086765E-42</v>
      </c>
      <c r="U23" s="106">
        <v>6326.6052163267705</v>
      </c>
      <c r="V23" s="106">
        <v>7607.4667026634706</v>
      </c>
      <c r="W23" s="106">
        <v>6326.6052163267705</v>
      </c>
      <c r="X23" s="106">
        <v>7607.4667026634706</v>
      </c>
    </row>
    <row r="24" spans="1:24" x14ac:dyDescent="0.2">
      <c r="A24" s="49">
        <v>42308</v>
      </c>
      <c r="B24" s="50">
        <v>15644030</v>
      </c>
      <c r="C24" s="50">
        <v>331.20001220703125</v>
      </c>
      <c r="D24" s="50">
        <v>0</v>
      </c>
      <c r="E24" s="50">
        <v>31</v>
      </c>
      <c r="F24" s="79">
        <v>1</v>
      </c>
      <c r="G24" s="50">
        <v>11660</v>
      </c>
      <c r="H24" s="50">
        <f t="shared" si="7"/>
        <v>17482751.156071074</v>
      </c>
      <c r="I24" s="33">
        <f t="shared" si="8"/>
        <v>1838721.1560710743</v>
      </c>
      <c r="J24" s="42">
        <f t="shared" si="9"/>
        <v>0.11753500575434044</v>
      </c>
      <c r="K24" s="12">
        <f t="shared" si="3"/>
        <v>0.11753500575434044</v>
      </c>
      <c r="L24" s="10">
        <f t="shared" si="4"/>
        <v>3380895489783.3481</v>
      </c>
      <c r="M24" s="10">
        <f t="shared" si="5"/>
        <v>2315652.8427029029</v>
      </c>
      <c r="N24" s="10">
        <f t="shared" si="6"/>
        <v>5362248087918.0352</v>
      </c>
      <c r="O24" s="12"/>
    </row>
    <row r="25" spans="1:24" x14ac:dyDescent="0.2">
      <c r="A25" s="49">
        <v>42338</v>
      </c>
      <c r="B25" s="50">
        <v>17358760</v>
      </c>
      <c r="C25" s="50">
        <v>413</v>
      </c>
      <c r="D25" s="50">
        <v>0</v>
      </c>
      <c r="E25" s="50">
        <v>30</v>
      </c>
      <c r="F25" s="79">
        <v>0</v>
      </c>
      <c r="G25" s="50">
        <v>11660</v>
      </c>
      <c r="H25" s="50">
        <f t="shared" si="7"/>
        <v>18484085.025213435</v>
      </c>
      <c r="I25" s="33">
        <f t="shared" si="8"/>
        <v>1125325.0252134353</v>
      </c>
      <c r="J25" s="42">
        <f t="shared" si="9"/>
        <v>6.4827500651742129E-2</v>
      </c>
      <c r="K25" s="12">
        <f t="shared" si="3"/>
        <v>6.4827500651742129E-2</v>
      </c>
      <c r="L25" s="10">
        <f t="shared" si="4"/>
        <v>1266356412371.6189</v>
      </c>
      <c r="M25" s="10">
        <f t="shared" si="5"/>
        <v>-713396.13085763901</v>
      </c>
      <c r="N25" s="10">
        <f t="shared" si="6"/>
        <v>508934039522.6496</v>
      </c>
      <c r="O25" s="12"/>
    </row>
    <row r="26" spans="1:24" x14ac:dyDescent="0.2">
      <c r="A26" s="49">
        <v>42369</v>
      </c>
      <c r="B26" s="50">
        <v>19854052</v>
      </c>
      <c r="C26" s="50">
        <v>541.20001220703125</v>
      </c>
      <c r="D26" s="50">
        <v>0</v>
      </c>
      <c r="E26" s="50">
        <v>31</v>
      </c>
      <c r="F26" s="79">
        <v>0</v>
      </c>
      <c r="G26" s="50">
        <v>11660</v>
      </c>
      <c r="H26" s="50">
        <f t="shared" si="7"/>
        <v>20513075.06216272</v>
      </c>
      <c r="I26" s="33">
        <f t="shared" si="8"/>
        <v>659023.06216271967</v>
      </c>
      <c r="J26" s="42">
        <f t="shared" si="9"/>
        <v>3.3193378468169603E-2</v>
      </c>
      <c r="K26" s="12">
        <f t="shared" si="3"/>
        <v>3.3193378468169603E-2</v>
      </c>
      <c r="L26" s="10">
        <f t="shared" si="4"/>
        <v>434311396462.32788</v>
      </c>
      <c r="M26" s="10">
        <f t="shared" si="5"/>
        <v>-466301.96305071563</v>
      </c>
      <c r="N26" s="10">
        <f t="shared" si="6"/>
        <v>217437520744.95096</v>
      </c>
      <c r="O26" s="12"/>
    </row>
    <row r="27" spans="1:24" x14ac:dyDescent="0.2">
      <c r="A27" s="49">
        <v>42400</v>
      </c>
      <c r="B27" s="50">
        <v>22812626</v>
      </c>
      <c r="C27" s="50">
        <v>794.20001220703125</v>
      </c>
      <c r="D27" s="50">
        <v>0</v>
      </c>
      <c r="E27" s="50">
        <v>31</v>
      </c>
      <c r="F27" s="79">
        <v>0</v>
      </c>
      <c r="G27" s="50">
        <v>11673</v>
      </c>
      <c r="H27" s="50">
        <f t="shared" si="7"/>
        <v>23248416.854531147</v>
      </c>
      <c r="I27" s="33">
        <f t="shared" si="8"/>
        <v>435790.85453114659</v>
      </c>
      <c r="J27" s="42">
        <f t="shared" si="9"/>
        <v>1.9103055234901349E-2</v>
      </c>
      <c r="K27" s="12">
        <f t="shared" si="3"/>
        <v>1.9103055234901349E-2</v>
      </c>
      <c r="L27" s="10">
        <f t="shared" si="4"/>
        <v>189913668892.98697</v>
      </c>
      <c r="M27" s="10">
        <f t="shared" si="5"/>
        <v>-223232.20763157308</v>
      </c>
      <c r="N27" s="10">
        <f t="shared" si="6"/>
        <v>49832618524.065758</v>
      </c>
      <c r="P27" t="s">
        <v>98</v>
      </c>
      <c r="Q27" s="84">
        <f>N123</f>
        <v>68616464146952.438</v>
      </c>
    </row>
    <row r="28" spans="1:24" x14ac:dyDescent="0.2">
      <c r="A28" s="49">
        <v>42429</v>
      </c>
      <c r="B28" s="50">
        <v>20613292</v>
      </c>
      <c r="C28" s="50">
        <v>731.20001220703125</v>
      </c>
      <c r="D28" s="50">
        <v>0</v>
      </c>
      <c r="E28" s="50">
        <v>29</v>
      </c>
      <c r="F28" s="79">
        <v>0</v>
      </c>
      <c r="G28" s="50">
        <v>11668</v>
      </c>
      <c r="H28" s="50">
        <f t="shared" si="7"/>
        <v>21177335.377136648</v>
      </c>
      <c r="I28" s="33">
        <f t="shared" si="8"/>
        <v>564043.3771366477</v>
      </c>
      <c r="J28" s="42">
        <f t="shared" si="9"/>
        <v>2.7363090627962175E-2</v>
      </c>
      <c r="K28" s="12">
        <f t="shared" si="3"/>
        <v>2.7363090627962175E-2</v>
      </c>
      <c r="L28" s="10">
        <f t="shared" si="4"/>
        <v>318144931291.7146</v>
      </c>
      <c r="M28" s="10">
        <f t="shared" si="5"/>
        <v>128252.52260550112</v>
      </c>
      <c r="N28" s="10">
        <f t="shared" si="6"/>
        <v>16448709554.674574</v>
      </c>
      <c r="P28" t="s">
        <v>95</v>
      </c>
      <c r="Q28" s="84">
        <f>L123</f>
        <v>99580563214834.156</v>
      </c>
    </row>
    <row r="29" spans="1:24" x14ac:dyDescent="0.2">
      <c r="A29" s="49">
        <v>42460</v>
      </c>
      <c r="B29" s="50">
        <v>19595000</v>
      </c>
      <c r="C29" s="50">
        <v>588.79998779296875</v>
      </c>
      <c r="D29" s="50">
        <v>0</v>
      </c>
      <c r="E29" s="50">
        <v>31</v>
      </c>
      <c r="F29" s="79">
        <v>1</v>
      </c>
      <c r="G29" s="50">
        <v>11670</v>
      </c>
      <c r="H29" s="50">
        <f t="shared" si="7"/>
        <v>20245278.318525173</v>
      </c>
      <c r="I29" s="33">
        <f t="shared" si="8"/>
        <v>650278.31852517277</v>
      </c>
      <c r="J29" s="42">
        <f t="shared" si="9"/>
        <v>3.3185931029608207E-2</v>
      </c>
      <c r="K29" s="12">
        <f t="shared" si="3"/>
        <v>3.3185931029608207E-2</v>
      </c>
      <c r="L29" s="10">
        <f t="shared" si="4"/>
        <v>422861891543.92603</v>
      </c>
      <c r="M29" s="10">
        <f t="shared" si="5"/>
        <v>86234.941388525069</v>
      </c>
      <c r="N29" s="10">
        <f t="shared" si="6"/>
        <v>7436465116.2823544</v>
      </c>
    </row>
    <row r="30" spans="1:24" x14ac:dyDescent="0.2">
      <c r="A30" s="49">
        <v>42490</v>
      </c>
      <c r="B30" s="50">
        <v>17806355</v>
      </c>
      <c r="C30" s="50">
        <v>499.70001220703125</v>
      </c>
      <c r="D30" s="50">
        <v>0</v>
      </c>
      <c r="E30" s="50">
        <v>30</v>
      </c>
      <c r="F30" s="79">
        <v>1</v>
      </c>
      <c r="G30" s="50">
        <v>11669</v>
      </c>
      <c r="H30" s="50">
        <f t="shared" si="7"/>
        <v>18618058.860469267</v>
      </c>
      <c r="I30" s="33">
        <f t="shared" si="8"/>
        <v>811703.86046926677</v>
      </c>
      <c r="J30" s="42">
        <f t="shared" si="9"/>
        <v>4.5585065583004875E-2</v>
      </c>
      <c r="K30" s="12">
        <f t="shared" si="3"/>
        <v>4.5585065583004875E-2</v>
      </c>
      <c r="L30" s="10">
        <f t="shared" si="4"/>
        <v>658863157100.71094</v>
      </c>
      <c r="M30" s="10">
        <f t="shared" si="5"/>
        <v>161425.541944094</v>
      </c>
      <c r="N30" s="10">
        <f t="shared" si="6"/>
        <v>26058205591.94445</v>
      </c>
      <c r="P30" t="s">
        <v>99</v>
      </c>
      <c r="Q30" s="90">
        <f>Q27/Q28</f>
        <v>0.68905479073180109</v>
      </c>
    </row>
    <row r="31" spans="1:24" x14ac:dyDescent="0.2">
      <c r="A31" s="49">
        <v>42521</v>
      </c>
      <c r="B31" s="50">
        <v>15620269</v>
      </c>
      <c r="C31" s="50">
        <v>241.19999694824219</v>
      </c>
      <c r="D31" s="50">
        <v>3.5</v>
      </c>
      <c r="E31" s="50">
        <v>31</v>
      </c>
      <c r="F31" s="79">
        <v>1</v>
      </c>
      <c r="G31" s="50">
        <v>11671</v>
      </c>
      <c r="H31" s="50">
        <f t="shared" si="7"/>
        <v>16699687.333840467</v>
      </c>
      <c r="I31" s="33">
        <f t="shared" si="8"/>
        <v>1079418.333840467</v>
      </c>
      <c r="J31" s="42">
        <f t="shared" si="9"/>
        <v>6.9103696859539807E-2</v>
      </c>
      <c r="K31" s="12">
        <f t="shared" si="3"/>
        <v>6.9103696859539807E-2</v>
      </c>
      <c r="L31" s="10">
        <f t="shared" si="4"/>
        <v>1165143939430.9299</v>
      </c>
      <c r="M31" s="10">
        <f t="shared" si="5"/>
        <v>267714.47337120026</v>
      </c>
      <c r="N31" s="10">
        <f t="shared" si="6"/>
        <v>71671039252.419098</v>
      </c>
    </row>
    <row r="32" spans="1:24" x14ac:dyDescent="0.2">
      <c r="A32" s="49">
        <v>42551</v>
      </c>
      <c r="B32" s="50">
        <v>15053727</v>
      </c>
      <c r="C32" s="50">
        <v>116.80000305175781</v>
      </c>
      <c r="D32" s="50">
        <v>8.6000003814697266</v>
      </c>
      <c r="E32" s="50">
        <v>30</v>
      </c>
      <c r="F32" s="79">
        <v>0</v>
      </c>
      <c r="G32" s="50">
        <v>11665</v>
      </c>
      <c r="H32" s="50">
        <f t="shared" si="7"/>
        <v>15621891.756827697</v>
      </c>
      <c r="I32" s="33">
        <f t="shared" si="8"/>
        <v>568164.75682769716</v>
      </c>
      <c r="J32" s="42">
        <f t="shared" si="9"/>
        <v>3.7742464495848581E-2</v>
      </c>
      <c r="K32" s="12">
        <f t="shared" si="3"/>
        <v>3.7742464495848581E-2</v>
      </c>
      <c r="L32" s="10">
        <f t="shared" si="4"/>
        <v>322811190901.07623</v>
      </c>
      <c r="M32" s="10">
        <f t="shared" si="5"/>
        <v>-511253.57701276988</v>
      </c>
      <c r="N32" s="10">
        <f t="shared" si="6"/>
        <v>261380220008.35223</v>
      </c>
    </row>
    <row r="33" spans="1:15" x14ac:dyDescent="0.2">
      <c r="A33" s="49">
        <v>42582</v>
      </c>
      <c r="B33" s="50">
        <v>15175029</v>
      </c>
      <c r="C33" s="50">
        <v>27.200000762939453</v>
      </c>
      <c r="D33" s="50">
        <v>44.200000762939453</v>
      </c>
      <c r="E33" s="50">
        <v>31</v>
      </c>
      <c r="F33" s="79">
        <v>0</v>
      </c>
      <c r="G33" s="50">
        <v>11670</v>
      </c>
      <c r="H33" s="50">
        <f t="shared" si="7"/>
        <v>16234085.222325496</v>
      </c>
      <c r="I33" s="33">
        <f t="shared" si="8"/>
        <v>1059056.2223254964</v>
      </c>
      <c r="J33" s="42">
        <f t="shared" si="9"/>
        <v>6.9789403521106699E-2</v>
      </c>
      <c r="K33" s="12">
        <f t="shared" si="3"/>
        <v>6.9789403521106699E-2</v>
      </c>
      <c r="L33" s="10">
        <f t="shared" si="4"/>
        <v>1121600082046.3513</v>
      </c>
      <c r="M33" s="10">
        <f t="shared" si="5"/>
        <v>490891.46549779922</v>
      </c>
      <c r="N33" s="10">
        <f t="shared" si="6"/>
        <v>240974430898.577</v>
      </c>
      <c r="O33"/>
    </row>
    <row r="34" spans="1:15" x14ac:dyDescent="0.2">
      <c r="A34" s="49">
        <v>42613</v>
      </c>
      <c r="B34" s="50">
        <v>14040928</v>
      </c>
      <c r="C34" s="50">
        <v>17.100000381469727</v>
      </c>
      <c r="D34" s="50">
        <v>51.700000762939453</v>
      </c>
      <c r="E34" s="50">
        <v>31</v>
      </c>
      <c r="F34" s="79">
        <v>0</v>
      </c>
      <c r="G34" s="50">
        <v>11677</v>
      </c>
      <c r="H34" s="50">
        <f t="shared" si="7"/>
        <v>16351114.865584336</v>
      </c>
      <c r="I34" s="33">
        <f t="shared" si="8"/>
        <v>2310186.8655843362</v>
      </c>
      <c r="J34" s="42">
        <f t="shared" si="9"/>
        <v>0.16453234897182981</v>
      </c>
      <c r="K34" s="12">
        <f t="shared" si="3"/>
        <v>0.16453234897182981</v>
      </c>
      <c r="L34" s="10">
        <f t="shared" si="4"/>
        <v>5336963353918.3799</v>
      </c>
      <c r="M34" s="10">
        <f t="shared" si="5"/>
        <v>1251130.6432588398</v>
      </c>
      <c r="N34" s="10">
        <f t="shared" si="6"/>
        <v>1565327886501.2783</v>
      </c>
      <c r="O34"/>
    </row>
    <row r="35" spans="1:15" x14ac:dyDescent="0.2">
      <c r="A35" s="49">
        <v>42643</v>
      </c>
      <c r="B35" s="50">
        <v>14592632</v>
      </c>
      <c r="C35" s="50">
        <v>65.099998474121094</v>
      </c>
      <c r="D35" s="50">
        <v>12.800000190734863</v>
      </c>
      <c r="E35" s="50">
        <v>30</v>
      </c>
      <c r="F35" s="79">
        <v>1</v>
      </c>
      <c r="G35" s="50">
        <v>11679</v>
      </c>
      <c r="H35" s="50">
        <f t="shared" si="7"/>
        <v>14441268.737575576</v>
      </c>
      <c r="I35" s="33">
        <f t="shared" si="8"/>
        <v>-151363.26242442429</v>
      </c>
      <c r="J35" s="42">
        <f t="shared" si="9"/>
        <v>-1.0372581342723114E-2</v>
      </c>
      <c r="K35" s="12">
        <f t="shared" si="3"/>
        <v>1.0372581342723114E-2</v>
      </c>
      <c r="L35" s="10">
        <f t="shared" si="4"/>
        <v>22910837211.765133</v>
      </c>
      <c r="M35" s="10">
        <f t="shared" si="5"/>
        <v>-2461550.1280087605</v>
      </c>
      <c r="N35" s="10">
        <f t="shared" si="6"/>
        <v>6059229032699.9453</v>
      </c>
      <c r="O35"/>
    </row>
    <row r="36" spans="1:15" x14ac:dyDescent="0.2">
      <c r="A36" s="49">
        <v>42674</v>
      </c>
      <c r="B36" s="50">
        <v>16660127</v>
      </c>
      <c r="C36" s="50">
        <v>277.39999389648438</v>
      </c>
      <c r="D36" s="50">
        <v>0</v>
      </c>
      <c r="E36" s="50">
        <v>31</v>
      </c>
      <c r="F36" s="79">
        <v>1</v>
      </c>
      <c r="G36" s="50">
        <v>11680</v>
      </c>
      <c r="H36" s="50">
        <f t="shared" si="7"/>
        <v>17059685.978397168</v>
      </c>
      <c r="I36" s="33">
        <f t="shared" si="8"/>
        <v>399558.97839716822</v>
      </c>
      <c r="J36" s="42">
        <f t="shared" si="9"/>
        <v>2.398294913341106E-2</v>
      </c>
      <c r="K36" s="12">
        <f t="shared" si="3"/>
        <v>2.398294913341106E-2</v>
      </c>
      <c r="L36" s="10">
        <f t="shared" si="4"/>
        <v>159647377217.78873</v>
      </c>
      <c r="M36" s="10">
        <f t="shared" si="5"/>
        <v>550922.24082159251</v>
      </c>
      <c r="N36" s="10">
        <f t="shared" si="6"/>
        <v>303515315431.88477</v>
      </c>
      <c r="O36"/>
    </row>
    <row r="37" spans="1:15" x14ac:dyDescent="0.2">
      <c r="A37" s="49">
        <v>42704</v>
      </c>
      <c r="B37" s="50">
        <v>17571648</v>
      </c>
      <c r="C37" s="50">
        <v>391.5</v>
      </c>
      <c r="D37" s="50">
        <v>0</v>
      </c>
      <c r="E37" s="50">
        <v>30</v>
      </c>
      <c r="F37" s="79">
        <v>0</v>
      </c>
      <c r="G37" s="50">
        <v>11694</v>
      </c>
      <c r="H37" s="50">
        <f t="shared" si="7"/>
        <v>18496211.038408428</v>
      </c>
      <c r="I37" s="33">
        <f t="shared" si="8"/>
        <v>924563.03840842843</v>
      </c>
      <c r="J37" s="42">
        <f t="shared" si="9"/>
        <v>5.2616751622182989E-2</v>
      </c>
      <c r="K37" s="12">
        <f t="shared" si="3"/>
        <v>5.2616751622182989E-2</v>
      </c>
      <c r="L37" s="10">
        <f t="shared" si="4"/>
        <v>854816811991.02515</v>
      </c>
      <c r="M37" s="10">
        <f t="shared" si="5"/>
        <v>525004.06001126021</v>
      </c>
      <c r="N37" s="10">
        <f t="shared" si="6"/>
        <v>275629263028.30688</v>
      </c>
      <c r="O37"/>
    </row>
    <row r="38" spans="1:15" x14ac:dyDescent="0.2">
      <c r="A38" s="49">
        <v>42735</v>
      </c>
      <c r="B38" s="50">
        <v>21508613</v>
      </c>
      <c r="C38" s="50">
        <v>689.79998779296875</v>
      </c>
      <c r="D38" s="50">
        <v>0</v>
      </c>
      <c r="E38" s="50">
        <v>31</v>
      </c>
      <c r="F38" s="79">
        <v>0</v>
      </c>
      <c r="G38" s="50">
        <v>11707</v>
      </c>
      <c r="H38" s="50">
        <f t="shared" si="7"/>
        <v>22393936.051507227</v>
      </c>
      <c r="I38" s="33">
        <f t="shared" si="8"/>
        <v>885323.05150722712</v>
      </c>
      <c r="J38" s="42">
        <f t="shared" si="9"/>
        <v>4.1161326930157102E-2</v>
      </c>
      <c r="K38" s="12">
        <f t="shared" si="3"/>
        <v>4.1161326930157102E-2</v>
      </c>
      <c r="L38" s="10">
        <f t="shared" si="4"/>
        <v>783796905530.06836</v>
      </c>
      <c r="M38" s="10">
        <f t="shared" si="5"/>
        <v>-39239.986901201308</v>
      </c>
      <c r="N38" s="10">
        <f t="shared" si="6"/>
        <v>1539776572.0064502</v>
      </c>
      <c r="O38"/>
    </row>
    <row r="39" spans="1:15" x14ac:dyDescent="0.2">
      <c r="A39" s="49">
        <v>42766</v>
      </c>
      <c r="B39" s="50">
        <v>21467580.559999999</v>
      </c>
      <c r="C39" s="50">
        <v>710.9000244140625</v>
      </c>
      <c r="D39" s="50">
        <v>0</v>
      </c>
      <c r="E39" s="50">
        <v>31</v>
      </c>
      <c r="F39" s="79">
        <v>0</v>
      </c>
      <c r="G39" s="50">
        <v>11705</v>
      </c>
      <c r="H39" s="50">
        <f t="shared" si="7"/>
        <v>22600574.116780616</v>
      </c>
      <c r="I39" s="33">
        <f t="shared" si="8"/>
        <v>1132993.5567806177</v>
      </c>
      <c r="J39" s="42">
        <f t="shared" si="9"/>
        <v>5.2776956099640587E-2</v>
      </c>
      <c r="K39" s="12">
        <f t="shared" si="3"/>
        <v>5.2776956099640587E-2</v>
      </c>
      <c r="L39" s="10">
        <f t="shared" si="4"/>
        <v>1283674399706.3948</v>
      </c>
      <c r="M39" s="10">
        <f t="shared" si="5"/>
        <v>247670.50527339056</v>
      </c>
      <c r="N39" s="10">
        <f t="shared" si="6"/>
        <v>61340679182.376579</v>
      </c>
      <c r="O39"/>
    </row>
    <row r="40" spans="1:15" x14ac:dyDescent="0.2">
      <c r="A40" s="49">
        <v>42794</v>
      </c>
      <c r="B40" s="50">
        <v>19505516.77</v>
      </c>
      <c r="C40" s="50">
        <v>638.70001220703125</v>
      </c>
      <c r="D40" s="50">
        <v>0</v>
      </c>
      <c r="E40" s="50">
        <v>28</v>
      </c>
      <c r="F40" s="79">
        <v>0</v>
      </c>
      <c r="G40" s="50">
        <v>11705</v>
      </c>
      <c r="H40" s="50">
        <f t="shared" si="7"/>
        <v>19779320.662323251</v>
      </c>
      <c r="I40" s="33">
        <f t="shared" si="8"/>
        <v>273803.89232325181</v>
      </c>
      <c r="J40" s="42">
        <f t="shared" si="9"/>
        <v>1.403725394983482E-2</v>
      </c>
      <c r="K40" s="12">
        <f t="shared" si="3"/>
        <v>1.403725394983482E-2</v>
      </c>
      <c r="L40" s="10">
        <f t="shared" si="4"/>
        <v>74968571451.362869</v>
      </c>
      <c r="M40" s="10">
        <f t="shared" si="5"/>
        <v>-859189.66445736587</v>
      </c>
      <c r="N40" s="10">
        <f t="shared" si="6"/>
        <v>738206879510.36096</v>
      </c>
      <c r="O40"/>
    </row>
    <row r="41" spans="1:15" x14ac:dyDescent="0.2">
      <c r="A41" s="49">
        <v>42825</v>
      </c>
      <c r="B41" s="50">
        <v>21065920</v>
      </c>
      <c r="C41" s="50">
        <v>706.20001220703125</v>
      </c>
      <c r="D41" s="50">
        <v>0</v>
      </c>
      <c r="E41" s="50">
        <v>31</v>
      </c>
      <c r="F41" s="79">
        <v>1</v>
      </c>
      <c r="G41" s="50">
        <v>11705</v>
      </c>
      <c r="H41" s="50">
        <f t="shared" si="7"/>
        <v>21716381.892175741</v>
      </c>
      <c r="I41" s="33">
        <f t="shared" si="8"/>
        <v>650461.89217574149</v>
      </c>
      <c r="J41" s="42">
        <f t="shared" si="9"/>
        <v>3.0877450031887594E-2</v>
      </c>
      <c r="K41" s="12">
        <f t="shared" si="3"/>
        <v>3.0877450031887594E-2</v>
      </c>
      <c r="L41" s="10">
        <f t="shared" si="4"/>
        <v>423100673172.84595</v>
      </c>
      <c r="M41" s="10">
        <f t="shared" si="5"/>
        <v>376657.99985248968</v>
      </c>
      <c r="N41" s="10">
        <f t="shared" si="6"/>
        <v>141871248852.87811</v>
      </c>
      <c r="O41"/>
    </row>
    <row r="42" spans="1:15" x14ac:dyDescent="0.2">
      <c r="A42" s="49">
        <v>42855</v>
      </c>
      <c r="B42" s="50">
        <v>17169201</v>
      </c>
      <c r="C42" s="50">
        <v>392.10000610351563</v>
      </c>
      <c r="D42" s="50">
        <v>0</v>
      </c>
      <c r="E42" s="50">
        <v>30</v>
      </c>
      <c r="F42" s="79">
        <v>1</v>
      </c>
      <c r="G42" s="50">
        <v>11706</v>
      </c>
      <c r="H42" s="50">
        <f t="shared" si="7"/>
        <v>17751027.716262698</v>
      </c>
      <c r="I42" s="33">
        <f t="shared" si="8"/>
        <v>581826.71626269817</v>
      </c>
      <c r="J42" s="42">
        <f t="shared" si="9"/>
        <v>3.3887815528672427E-2</v>
      </c>
      <c r="K42" s="12">
        <f t="shared" si="3"/>
        <v>3.3887815528672427E-2</v>
      </c>
      <c r="L42" s="10">
        <f t="shared" si="4"/>
        <v>338522327757.0343</v>
      </c>
      <c r="M42" s="10">
        <f t="shared" si="5"/>
        <v>-68635.17591304332</v>
      </c>
      <c r="N42" s="10">
        <f t="shared" si="6"/>
        <v>4710787372.6144018</v>
      </c>
      <c r="O42"/>
    </row>
    <row r="43" spans="1:15" x14ac:dyDescent="0.2">
      <c r="A43" s="49">
        <v>42886</v>
      </c>
      <c r="B43" s="50">
        <v>16857588.595495854</v>
      </c>
      <c r="C43" s="50">
        <v>273.79998779296875</v>
      </c>
      <c r="D43" s="50">
        <v>0</v>
      </c>
      <c r="E43" s="50">
        <v>31</v>
      </c>
      <c r="F43" s="79">
        <v>1</v>
      </c>
      <c r="G43" s="50">
        <v>11687</v>
      </c>
      <c r="H43" s="50">
        <f t="shared" si="7"/>
        <v>17070822.070777602</v>
      </c>
      <c r="I43" s="33">
        <f t="shared" si="8"/>
        <v>213233.47528174892</v>
      </c>
      <c r="J43" s="42">
        <f t="shared" si="9"/>
        <v>1.2649108979840827E-2</v>
      </c>
      <c r="K43" s="12">
        <f t="shared" si="3"/>
        <v>1.2649108979840827E-2</v>
      </c>
      <c r="L43" s="10">
        <f t="shared" si="4"/>
        <v>45468514980.732231</v>
      </c>
      <c r="M43" s="10">
        <f t="shared" si="5"/>
        <v>-368593.24098094925</v>
      </c>
      <c r="N43" s="10">
        <f t="shared" si="6"/>
        <v>135860977296.84013</v>
      </c>
      <c r="O43"/>
    </row>
    <row r="44" spans="1:15" x14ac:dyDescent="0.2">
      <c r="A44" s="49">
        <v>42916</v>
      </c>
      <c r="B44" s="50">
        <v>15263333.301115217</v>
      </c>
      <c r="C44" s="50">
        <v>104.09999847412109</v>
      </c>
      <c r="D44" s="50">
        <v>3.5</v>
      </c>
      <c r="E44" s="50">
        <v>30</v>
      </c>
      <c r="F44" s="79">
        <v>0</v>
      </c>
      <c r="G44" s="50">
        <v>11681</v>
      </c>
      <c r="H44" s="50">
        <f t="shared" si="7"/>
        <v>15482390.425031841</v>
      </c>
      <c r="I44" s="33">
        <f t="shared" si="8"/>
        <v>219057.12391662411</v>
      </c>
      <c r="J44" s="42">
        <f t="shared" si="9"/>
        <v>1.4351853529963779E-2</v>
      </c>
      <c r="K44" s="12">
        <f t="shared" si="3"/>
        <v>1.4351853529963779E-2</v>
      </c>
      <c r="L44" s="10">
        <f t="shared" si="4"/>
        <v>47986023538.623215</v>
      </c>
      <c r="M44" s="10">
        <f t="shared" si="5"/>
        <v>5823.6486348751932</v>
      </c>
      <c r="N44" s="10">
        <f t="shared" si="6"/>
        <v>33914883.422483705</v>
      </c>
      <c r="O44"/>
    </row>
    <row r="45" spans="1:15" x14ac:dyDescent="0.2">
      <c r="A45" s="49">
        <v>42947</v>
      </c>
      <c r="B45" s="50">
        <v>15899251.466712737</v>
      </c>
      <c r="C45" s="50">
        <v>42</v>
      </c>
      <c r="D45" s="50">
        <v>13.800000190734863</v>
      </c>
      <c r="E45" s="50">
        <v>31</v>
      </c>
      <c r="F45" s="79">
        <v>0</v>
      </c>
      <c r="G45" s="50">
        <v>11698</v>
      </c>
      <c r="H45" s="50">
        <f t="shared" si="7"/>
        <v>15879235.921473972</v>
      </c>
      <c r="I45" s="33">
        <f t="shared" si="8"/>
        <v>-20015.545238764957</v>
      </c>
      <c r="J45" s="42">
        <f t="shared" si="9"/>
        <v>-1.258898589073218E-3</v>
      </c>
      <c r="K45" s="12">
        <f t="shared" si="3"/>
        <v>1.258898589073218E-3</v>
      </c>
      <c r="L45" s="10">
        <f t="shared" si="4"/>
        <v>400622051.20504653</v>
      </c>
      <c r="M45" s="10">
        <f t="shared" si="5"/>
        <v>-239072.66915538907</v>
      </c>
      <c r="N45" s="10">
        <f t="shared" si="6"/>
        <v>57155741137.082123</v>
      </c>
      <c r="O45"/>
    </row>
    <row r="46" spans="1:15" x14ac:dyDescent="0.2">
      <c r="A46" s="49">
        <v>42978</v>
      </c>
      <c r="B46" s="50">
        <v>15367347.487313259</v>
      </c>
      <c r="C46" s="50">
        <v>55.5</v>
      </c>
      <c r="D46" s="50">
        <v>9.1999998092651367</v>
      </c>
      <c r="E46" s="50">
        <v>31</v>
      </c>
      <c r="F46" s="79">
        <v>0</v>
      </c>
      <c r="G46" s="50">
        <v>11698</v>
      </c>
      <c r="H46" s="50">
        <f t="shared" si="7"/>
        <v>15913736.844269879</v>
      </c>
      <c r="I46" s="33">
        <f t="shared" si="8"/>
        <v>546389.35695661977</v>
      </c>
      <c r="J46" s="42">
        <f t="shared" si="9"/>
        <v>3.5555215850210944E-2</v>
      </c>
      <c r="K46" s="12">
        <f t="shared" si="3"/>
        <v>3.5555215850210944E-2</v>
      </c>
      <c r="L46" s="10">
        <f>I46*I46</f>
        <v>298541329395.46844</v>
      </c>
      <c r="M46" s="10">
        <f t="shared" si="5"/>
        <v>566404.90219538473</v>
      </c>
      <c r="N46" s="10">
        <f t="shared" si="6"/>
        <v>320814513230.96332</v>
      </c>
      <c r="O46"/>
    </row>
    <row r="47" spans="1:15" x14ac:dyDescent="0.2">
      <c r="A47" s="49">
        <v>43008</v>
      </c>
      <c r="B47" s="50">
        <v>14966550.43</v>
      </c>
      <c r="C47" s="50">
        <v>112.69999694824219</v>
      </c>
      <c r="D47" s="50">
        <v>33.299999237060547</v>
      </c>
      <c r="E47" s="50">
        <v>30</v>
      </c>
      <c r="F47" s="79">
        <v>1</v>
      </c>
      <c r="G47" s="50">
        <v>11707</v>
      </c>
      <c r="H47" s="50">
        <f t="shared" si="7"/>
        <v>15609107.362866923</v>
      </c>
      <c r="I47" s="33">
        <f t="shared" si="8"/>
        <v>642556.93286692351</v>
      </c>
      <c r="J47" s="42">
        <f t="shared" si="9"/>
        <v>4.2932867922519907E-2</v>
      </c>
      <c r="K47" s="12">
        <f t="shared" si="3"/>
        <v>4.2932867922519907E-2</v>
      </c>
      <c r="L47" s="10">
        <f t="shared" si="4"/>
        <v>412879411975.34802</v>
      </c>
      <c r="M47" s="10">
        <f t="shared" si="5"/>
        <v>96167.575910303742</v>
      </c>
      <c r="N47" s="10">
        <f t="shared" si="6"/>
        <v>9248202656.4640331</v>
      </c>
      <c r="O47"/>
    </row>
    <row r="48" spans="1:15" x14ac:dyDescent="0.2">
      <c r="A48" s="49">
        <v>43039</v>
      </c>
      <c r="B48" s="50">
        <v>16411903.51</v>
      </c>
      <c r="C48" s="50">
        <v>266.29998779296875</v>
      </c>
      <c r="D48" s="50">
        <v>1.8999999761581421</v>
      </c>
      <c r="E48" s="50">
        <v>31</v>
      </c>
      <c r="F48" s="79">
        <v>1</v>
      </c>
      <c r="G48" s="50">
        <v>11712</v>
      </c>
      <c r="H48" s="50">
        <f t="shared" si="7"/>
        <v>17210635.694582947</v>
      </c>
      <c r="I48" s="33">
        <f t="shared" si="8"/>
        <v>798732.18458294682</v>
      </c>
      <c r="J48" s="42">
        <f t="shared" si="9"/>
        <v>4.8667857698302223E-2</v>
      </c>
      <c r="K48" s="12">
        <f t="shared" si="3"/>
        <v>4.8667857698302223E-2</v>
      </c>
      <c r="L48" s="10">
        <f t="shared" si="4"/>
        <v>637973102688.64661</v>
      </c>
      <c r="M48" s="10">
        <f t="shared" si="5"/>
        <v>156175.25171602331</v>
      </c>
      <c r="N48" s="10">
        <f t="shared" si="6"/>
        <v>24390709248.563244</v>
      </c>
      <c r="O48"/>
    </row>
    <row r="49" spans="1:15" x14ac:dyDescent="0.2">
      <c r="A49" s="49">
        <v>43069</v>
      </c>
      <c r="B49" s="50">
        <v>19237914.300000001</v>
      </c>
      <c r="C49" s="50">
        <v>497.39999389648438</v>
      </c>
      <c r="D49" s="50">
        <v>0</v>
      </c>
      <c r="E49" s="50">
        <v>30</v>
      </c>
      <c r="F49" s="79">
        <v>0</v>
      </c>
      <c r="G49" s="50">
        <v>11718</v>
      </c>
      <c r="H49" s="50">
        <f t="shared" si="7"/>
        <v>19770460.064535066</v>
      </c>
      <c r="I49" s="33">
        <f t="shared" si="8"/>
        <v>532545.76453506574</v>
      </c>
      <c r="J49" s="42">
        <f t="shared" si="9"/>
        <v>2.7682094650721349E-2</v>
      </c>
      <c r="K49" s="12">
        <f t="shared" si="3"/>
        <v>2.7682094650721349E-2</v>
      </c>
      <c r="L49" s="10">
        <f t="shared" si="4"/>
        <v>283604991324.23767</v>
      </c>
      <c r="M49" s="10">
        <f t="shared" si="5"/>
        <v>-266186.42004788108</v>
      </c>
      <c r="N49" s="10">
        <f t="shared" si="6"/>
        <v>70855210217.906982</v>
      </c>
      <c r="O49"/>
    </row>
    <row r="50" spans="1:15" x14ac:dyDescent="0.2">
      <c r="A50" s="49">
        <v>43100</v>
      </c>
      <c r="B50" s="50">
        <v>24068887.60324087</v>
      </c>
      <c r="C50" s="50">
        <v>849.9000244140625</v>
      </c>
      <c r="D50" s="50">
        <v>0</v>
      </c>
      <c r="E50" s="50">
        <v>31</v>
      </c>
      <c r="F50" s="79">
        <v>0</v>
      </c>
      <c r="G50" s="50">
        <v>11724</v>
      </c>
      <c r="H50" s="50">
        <f t="shared" si="7"/>
        <v>24186003.433056094</v>
      </c>
      <c r="I50" s="33">
        <f t="shared" si="8"/>
        <v>117115.82981522381</v>
      </c>
      <c r="J50" s="42">
        <f t="shared" si="9"/>
        <v>4.8658596834967229E-3</v>
      </c>
      <c r="K50" s="12">
        <f t="shared" si="3"/>
        <v>4.8658596834967229E-3</v>
      </c>
      <c r="L50" s="10">
        <f t="shared" si="4"/>
        <v>13716117593.308468</v>
      </c>
      <c r="M50" s="10">
        <f t="shared" si="5"/>
        <v>-415429.93471984193</v>
      </c>
      <c r="N50" s="10">
        <f t="shared" si="6"/>
        <v>172582030661.33212</v>
      </c>
      <c r="O50"/>
    </row>
    <row r="51" spans="1:15" x14ac:dyDescent="0.2">
      <c r="A51" s="49">
        <v>43131</v>
      </c>
      <c r="B51" s="50">
        <v>24569279.800000001</v>
      </c>
      <c r="C51" s="50">
        <v>860.4000244140625</v>
      </c>
      <c r="D51" s="50">
        <v>0</v>
      </c>
      <c r="E51" s="50">
        <v>31</v>
      </c>
      <c r="F51" s="79">
        <v>0</v>
      </c>
      <c r="G51" s="50">
        <v>11725</v>
      </c>
      <c r="H51" s="50">
        <f t="shared" si="7"/>
        <v>24302733.664317556</v>
      </c>
      <c r="I51" s="33">
        <f t="shared" si="8"/>
        <v>-266546.13568244502</v>
      </c>
      <c r="J51" s="42">
        <f t="shared" si="9"/>
        <v>-1.0848756571303526E-2</v>
      </c>
      <c r="K51" s="12">
        <f t="shared" si="3"/>
        <v>1.0848756571303526E-2</v>
      </c>
      <c r="L51" s="10">
        <f t="shared" si="4"/>
        <v>71046842447.244385</v>
      </c>
      <c r="M51" s="10">
        <f t="shared" si="5"/>
        <v>-383661.96549766883</v>
      </c>
      <c r="N51" s="10">
        <f t="shared" si="6"/>
        <v>147196503769.53442</v>
      </c>
      <c r="O51"/>
    </row>
    <row r="52" spans="1:15" x14ac:dyDescent="0.2">
      <c r="A52" s="49">
        <v>43159</v>
      </c>
      <c r="B52" s="50">
        <v>21339233.539999999</v>
      </c>
      <c r="C52" s="50">
        <v>769</v>
      </c>
      <c r="D52" s="50">
        <v>0</v>
      </c>
      <c r="E52" s="50">
        <v>28</v>
      </c>
      <c r="F52" s="79">
        <v>0</v>
      </c>
      <c r="G52" s="50">
        <v>11725</v>
      </c>
      <c r="H52" s="50">
        <f t="shared" si="7"/>
        <v>21280770.239414424</v>
      </c>
      <c r="I52" s="33">
        <f t="shared" si="8"/>
        <v>-58463.300585575402</v>
      </c>
      <c r="J52" s="42">
        <f t="shared" si="9"/>
        <v>-2.7397094875027737E-3</v>
      </c>
      <c r="K52" s="12">
        <f t="shared" si="3"/>
        <v>2.7397094875027737E-3</v>
      </c>
      <c r="L52" s="10">
        <f t="shared" si="4"/>
        <v>3417957515.3593411</v>
      </c>
      <c r="M52" s="10">
        <f t="shared" si="5"/>
        <v>208082.83509686962</v>
      </c>
      <c r="N52" s="10">
        <f t="shared" si="6"/>
        <v>43298466261.951035</v>
      </c>
      <c r="O52"/>
    </row>
    <row r="53" spans="1:15" x14ac:dyDescent="0.2">
      <c r="A53" s="49">
        <v>43190</v>
      </c>
      <c r="B53" s="50">
        <v>21499910.469999999</v>
      </c>
      <c r="C53" s="50">
        <v>737.70001220703125</v>
      </c>
      <c r="D53" s="50">
        <v>0</v>
      </c>
      <c r="E53" s="50">
        <v>31</v>
      </c>
      <c r="F53" s="79">
        <v>1</v>
      </c>
      <c r="G53" s="50">
        <v>11721</v>
      </c>
      <c r="H53" s="50">
        <f t="shared" si="7"/>
        <v>22157144.05343356</v>
      </c>
      <c r="I53" s="33">
        <f t="shared" si="8"/>
        <v>657233.58343356103</v>
      </c>
      <c r="J53" s="42">
        <f t="shared" si="9"/>
        <v>3.0569131176180243E-2</v>
      </c>
      <c r="K53" s="12">
        <f t="shared" si="3"/>
        <v>3.0569131176180243E-2</v>
      </c>
      <c r="L53" s="10">
        <f t="shared" si="4"/>
        <v>431955983192.91962</v>
      </c>
      <c r="M53" s="10">
        <f t="shared" si="5"/>
        <v>715696.88401913643</v>
      </c>
      <c r="N53" s="10">
        <f t="shared" si="6"/>
        <v>512222029794.70123</v>
      </c>
      <c r="O53"/>
    </row>
    <row r="54" spans="1:15" x14ac:dyDescent="0.2">
      <c r="A54" s="49">
        <v>43220</v>
      </c>
      <c r="B54" s="50">
        <v>19888070.98</v>
      </c>
      <c r="C54" s="50">
        <v>585.9000244140625</v>
      </c>
      <c r="D54" s="50">
        <v>0</v>
      </c>
      <c r="E54" s="50">
        <v>30</v>
      </c>
      <c r="F54" s="79">
        <v>1</v>
      </c>
      <c r="G54" s="50">
        <v>11721</v>
      </c>
      <c r="H54" s="50">
        <f t="shared" si="7"/>
        <v>19881448.423211813</v>
      </c>
      <c r="I54" s="33">
        <f t="shared" si="8"/>
        <v>-6622.556788187474</v>
      </c>
      <c r="J54" s="42">
        <f t="shared" si="9"/>
        <v>-3.3299140951615177E-4</v>
      </c>
      <c r="K54" s="12">
        <f t="shared" si="3"/>
        <v>3.3299140951615177E-4</v>
      </c>
      <c r="L54" s="10">
        <f t="shared" si="4"/>
        <v>43858258.412767991</v>
      </c>
      <c r="M54" s="10">
        <f t="shared" si="5"/>
        <v>-663856.1402217485</v>
      </c>
      <c r="N54" s="10">
        <f t="shared" si="6"/>
        <v>440704974910.1178</v>
      </c>
      <c r="O54"/>
    </row>
    <row r="55" spans="1:15" x14ac:dyDescent="0.2">
      <c r="A55" s="49">
        <v>43251</v>
      </c>
      <c r="B55" s="50">
        <v>16896990.010000002</v>
      </c>
      <c r="C55" s="50">
        <v>214</v>
      </c>
      <c r="D55" s="50">
        <v>5.5999999046325684</v>
      </c>
      <c r="E55" s="50">
        <v>31</v>
      </c>
      <c r="F55" s="79">
        <v>1</v>
      </c>
      <c r="G55" s="50">
        <v>11697</v>
      </c>
      <c r="H55" s="50">
        <f t="shared" ref="H55:H86" si="10">$Q$18+$Q$19*C55+$Q$20*D55+$Q$21*E55+$Q$22*F55+$Q$23*G55</f>
        <v>16645167.152474903</v>
      </c>
      <c r="I55" s="33">
        <f t="shared" ref="I55:I86" si="11">H55-B55</f>
        <v>-251822.85752509907</v>
      </c>
      <c r="J55" s="42">
        <f t="shared" ref="J55:J86" si="12">I55/B55</f>
        <v>-1.4903415186732364E-2</v>
      </c>
      <c r="K55" s="12">
        <f t="shared" si="3"/>
        <v>1.4903415186732364E-2</v>
      </c>
      <c r="L55" s="10">
        <f t="shared" si="4"/>
        <v>63414751572.106346</v>
      </c>
      <c r="M55" s="10">
        <f t="shared" si="5"/>
        <v>-245200.30073691159</v>
      </c>
      <c r="N55" s="10">
        <f t="shared" si="6"/>
        <v>60123187481.471886</v>
      </c>
      <c r="O55"/>
    </row>
    <row r="56" spans="1:15" x14ac:dyDescent="0.2">
      <c r="A56" s="49">
        <v>43281</v>
      </c>
      <c r="B56" s="50">
        <v>16335114.92</v>
      </c>
      <c r="C56" s="50">
        <v>104.5</v>
      </c>
      <c r="D56" s="50">
        <v>17.100000381469727</v>
      </c>
      <c r="E56" s="50">
        <v>30</v>
      </c>
      <c r="F56" s="79">
        <v>0</v>
      </c>
      <c r="G56" s="50">
        <v>11711</v>
      </c>
      <c r="H56" s="50">
        <f t="shared" si="10"/>
        <v>16010816.723203808</v>
      </c>
      <c r="I56" s="33">
        <f t="shared" si="11"/>
        <v>-324298.19679619186</v>
      </c>
      <c r="J56" s="42">
        <f t="shared" si="12"/>
        <v>-1.9852826159131292E-2</v>
      </c>
      <c r="K56" s="12">
        <f t="shared" ref="K56:K119" si="13">ABS(J56)</f>
        <v>1.9852826159131292E-2</v>
      </c>
      <c r="L56" s="10">
        <f t="shared" ref="L56:L119" si="14">I56*I56</f>
        <v>105169320445.26158</v>
      </c>
      <c r="M56" s="10">
        <f t="shared" si="5"/>
        <v>-72475.339271092787</v>
      </c>
      <c r="N56" s="10">
        <f t="shared" si="6"/>
        <v>5252674802.4600048</v>
      </c>
      <c r="O56"/>
    </row>
    <row r="57" spans="1:15" x14ac:dyDescent="0.2">
      <c r="A57" s="49">
        <v>43312</v>
      </c>
      <c r="B57" s="50">
        <v>17644004.329999998</v>
      </c>
      <c r="C57" s="50">
        <v>19.600000381469727</v>
      </c>
      <c r="D57" s="50">
        <v>59.599998474121094</v>
      </c>
      <c r="E57" s="50">
        <v>31</v>
      </c>
      <c r="F57" s="79">
        <v>0</v>
      </c>
      <c r="G57" s="50">
        <v>11710</v>
      </c>
      <c r="H57" s="50">
        <f t="shared" si="10"/>
        <v>16790274.80966229</v>
      </c>
      <c r="I57" s="33">
        <f t="shared" si="11"/>
        <v>-853729.52033770829</v>
      </c>
      <c r="J57" s="42">
        <f t="shared" si="12"/>
        <v>-4.8386381252815552E-2</v>
      </c>
      <c r="K57" s="12">
        <f t="shared" si="13"/>
        <v>4.8386381252815552E-2</v>
      </c>
      <c r="L57" s="10">
        <f t="shared" si="14"/>
        <v>728854093896.05347</v>
      </c>
      <c r="M57" s="10">
        <f t="shared" ref="M57:M120" si="15">I57-I56</f>
        <v>-529431.32354151644</v>
      </c>
      <c r="N57" s="10">
        <f t="shared" ref="N57:N120" si="16">M57*M57</f>
        <v>280297526346.92188</v>
      </c>
      <c r="O57"/>
    </row>
    <row r="58" spans="1:15" x14ac:dyDescent="0.2">
      <c r="A58" s="49">
        <v>43343</v>
      </c>
      <c r="B58" s="50">
        <v>18345159.469999999</v>
      </c>
      <c r="C58" s="50">
        <v>24.600000381469727</v>
      </c>
      <c r="D58" s="50">
        <v>45.5</v>
      </c>
      <c r="E58" s="50">
        <v>31</v>
      </c>
      <c r="F58" s="79">
        <v>0</v>
      </c>
      <c r="G58" s="50">
        <v>11708</v>
      </c>
      <c r="H58" s="50">
        <f t="shared" si="10"/>
        <v>16501785.746097453</v>
      </c>
      <c r="I58" s="33">
        <f t="shared" si="11"/>
        <v>-1843373.7239025459</v>
      </c>
      <c r="J58" s="42">
        <f t="shared" si="12"/>
        <v>-0.10048284000567186</v>
      </c>
      <c r="K58" s="12">
        <f t="shared" si="13"/>
        <v>0.10048284000567186</v>
      </c>
      <c r="L58" s="10">
        <f t="shared" si="14"/>
        <v>3398026685974.3394</v>
      </c>
      <c r="M58" s="10">
        <f t="shared" si="15"/>
        <v>-989644.20356483757</v>
      </c>
      <c r="N58" s="10">
        <f t="shared" si="16"/>
        <v>979395649649.48169</v>
      </c>
      <c r="O58"/>
    </row>
    <row r="59" spans="1:15" x14ac:dyDescent="0.2">
      <c r="A59" s="49">
        <v>43373</v>
      </c>
      <c r="B59" s="50">
        <v>17579532.199999999</v>
      </c>
      <c r="C59" s="50">
        <v>135</v>
      </c>
      <c r="D59" s="50">
        <v>22.5</v>
      </c>
      <c r="E59" s="50">
        <v>30</v>
      </c>
      <c r="F59" s="79">
        <v>1</v>
      </c>
      <c r="G59" s="50">
        <v>11719</v>
      </c>
      <c r="H59" s="50">
        <f t="shared" si="10"/>
        <v>15675495.288000032</v>
      </c>
      <c r="I59" s="33">
        <f t="shared" si="11"/>
        <v>-1904036.9119999669</v>
      </c>
      <c r="J59" s="42">
        <f t="shared" si="12"/>
        <v>-0.1083098736836676</v>
      </c>
      <c r="K59" s="12">
        <f t="shared" si="13"/>
        <v>0.1083098736836676</v>
      </c>
      <c r="L59" s="10">
        <f t="shared" si="14"/>
        <v>3625356562258.3701</v>
      </c>
      <c r="M59" s="10">
        <f t="shared" si="15"/>
        <v>-60663.18809742108</v>
      </c>
      <c r="N59" s="10">
        <f t="shared" si="16"/>
        <v>3680022390.1430907</v>
      </c>
      <c r="O59"/>
    </row>
    <row r="60" spans="1:15" x14ac:dyDescent="0.2">
      <c r="A60" s="49">
        <v>43404</v>
      </c>
      <c r="B60" s="50">
        <v>20524533.829999998</v>
      </c>
      <c r="C60" s="50">
        <v>376.39999389648438</v>
      </c>
      <c r="D60" s="50">
        <v>0</v>
      </c>
      <c r="E60" s="50">
        <v>31</v>
      </c>
      <c r="F60" s="79">
        <v>1</v>
      </c>
      <c r="G60" s="50">
        <v>11716</v>
      </c>
      <c r="H60" s="50">
        <f t="shared" si="10"/>
        <v>18345409.400071822</v>
      </c>
      <c r="I60" s="33">
        <f t="shared" si="11"/>
        <v>-2179124.4299281761</v>
      </c>
      <c r="J60" s="42">
        <f t="shared" si="12"/>
        <v>-0.1061716893536956</v>
      </c>
      <c r="K60" s="12">
        <f t="shared" si="13"/>
        <v>0.1061716893536956</v>
      </c>
      <c r="L60" s="10">
        <f t="shared" si="14"/>
        <v>4748583281109.7988</v>
      </c>
      <c r="M60" s="10">
        <f t="shared" si="15"/>
        <v>-275087.51792820916</v>
      </c>
      <c r="N60" s="10">
        <f t="shared" si="16"/>
        <v>75673142519.902786</v>
      </c>
      <c r="O60"/>
    </row>
    <row r="61" spans="1:15" x14ac:dyDescent="0.2">
      <c r="A61" s="49">
        <v>43434</v>
      </c>
      <c r="B61" s="50">
        <v>22392942.079999998</v>
      </c>
      <c r="C61" s="50">
        <v>604.0999755859375</v>
      </c>
      <c r="D61" s="50">
        <v>0</v>
      </c>
      <c r="E61" s="50">
        <v>30</v>
      </c>
      <c r="F61" s="79">
        <v>0</v>
      </c>
      <c r="G61" s="50">
        <v>11726</v>
      </c>
      <c r="H61" s="50">
        <f t="shared" si="10"/>
        <v>20941599.297820136</v>
      </c>
      <c r="I61" s="33">
        <f t="shared" si="11"/>
        <v>-1451342.7821798623</v>
      </c>
      <c r="J61" s="42">
        <f t="shared" si="12"/>
        <v>-6.4812509986176076E-2</v>
      </c>
      <c r="K61" s="12">
        <f t="shared" si="13"/>
        <v>6.4812509986176076E-2</v>
      </c>
      <c r="L61" s="10">
        <f t="shared" si="14"/>
        <v>2106395871385.583</v>
      </c>
      <c r="M61" s="10">
        <f t="shared" si="15"/>
        <v>727781.64774831384</v>
      </c>
      <c r="N61" s="10">
        <f t="shared" si="16"/>
        <v>529666126799.25079</v>
      </c>
      <c r="O61"/>
    </row>
    <row r="62" spans="1:15" x14ac:dyDescent="0.2">
      <c r="A62" s="49">
        <v>43465</v>
      </c>
      <c r="B62" s="50">
        <v>24072379.5</v>
      </c>
      <c r="C62" s="50">
        <v>686.5999755859375</v>
      </c>
      <c r="D62" s="50">
        <v>0</v>
      </c>
      <c r="E62" s="50">
        <v>31</v>
      </c>
      <c r="F62" s="79">
        <v>0</v>
      </c>
      <c r="G62" s="50">
        <v>11723</v>
      </c>
      <c r="H62" s="50">
        <f t="shared" si="10"/>
        <v>22471956.85877829</v>
      </c>
      <c r="I62" s="33">
        <f t="shared" si="11"/>
        <v>-1600422.6412217095</v>
      </c>
      <c r="J62" s="42">
        <f t="shared" si="12"/>
        <v>-6.6483774120531358E-2</v>
      </c>
      <c r="K62" s="12">
        <f t="shared" si="13"/>
        <v>6.6483774120531358E-2</v>
      </c>
      <c r="L62" s="10">
        <f t="shared" si="14"/>
        <v>2561352630535.0728</v>
      </c>
      <c r="M62" s="10">
        <f t="shared" si="15"/>
        <v>-149079.85904184729</v>
      </c>
      <c r="N62" s="10">
        <f t="shared" si="16"/>
        <v>22224804371.937057</v>
      </c>
      <c r="O62"/>
    </row>
    <row r="63" spans="1:15" x14ac:dyDescent="0.2">
      <c r="A63" s="49">
        <v>43496</v>
      </c>
      <c r="B63" s="111">
        <v>27236231</v>
      </c>
      <c r="C63" s="50">
        <v>1069.6000000000001</v>
      </c>
      <c r="D63" s="50">
        <v>0</v>
      </c>
      <c r="E63" s="50">
        <v>31</v>
      </c>
      <c r="F63" s="79">
        <v>0</v>
      </c>
      <c r="G63" s="50">
        <f>'Rate Class Customer Model'!N3</f>
        <v>11723.666672897911</v>
      </c>
      <c r="H63" s="50">
        <f t="shared" si="10"/>
        <v>26480345.067156859</v>
      </c>
      <c r="I63" s="33">
        <f t="shared" si="11"/>
        <v>-755885.93284314126</v>
      </c>
      <c r="J63" s="42">
        <f t="shared" si="12"/>
        <v>-2.775295645139525E-2</v>
      </c>
      <c r="K63" s="12">
        <f t="shared" si="13"/>
        <v>2.775295645139525E-2</v>
      </c>
      <c r="L63" s="10">
        <f t="shared" si="14"/>
        <v>571363543470.14587</v>
      </c>
      <c r="M63" s="10">
        <f t="shared" si="15"/>
        <v>844536.70837856829</v>
      </c>
      <c r="N63" s="10">
        <f t="shared" si="16"/>
        <v>713242251798.90686</v>
      </c>
      <c r="O63"/>
    </row>
    <row r="64" spans="1:15" x14ac:dyDescent="0.2">
      <c r="A64" s="49">
        <v>43524</v>
      </c>
      <c r="B64" s="111">
        <v>23330992</v>
      </c>
      <c r="C64" s="50">
        <v>889.29999999999984</v>
      </c>
      <c r="D64" s="50">
        <v>0</v>
      </c>
      <c r="E64" s="50">
        <v>28</v>
      </c>
      <c r="F64" s="79">
        <v>0</v>
      </c>
      <c r="G64" s="50">
        <f>'Rate Class Customer Model'!N4</f>
        <v>11724.333383708708</v>
      </c>
      <c r="H64" s="50">
        <f t="shared" si="10"/>
        <v>22533698.508772925</v>
      </c>
      <c r="I64" s="33">
        <f t="shared" si="11"/>
        <v>-797293.49122707546</v>
      </c>
      <c r="J64" s="42">
        <f t="shared" si="12"/>
        <v>-3.4173150084105958E-2</v>
      </c>
      <c r="K64" s="12">
        <f t="shared" si="13"/>
        <v>3.4173150084105958E-2</v>
      </c>
      <c r="L64" s="10">
        <f t="shared" si="14"/>
        <v>635676911153.05859</v>
      </c>
      <c r="M64" s="10">
        <f t="shared" si="15"/>
        <v>-41407.5583839342</v>
      </c>
      <c r="N64" s="10">
        <f t="shared" si="16"/>
        <v>1714585891.3189194</v>
      </c>
      <c r="O64"/>
    </row>
    <row r="65" spans="1:15" x14ac:dyDescent="0.2">
      <c r="A65" s="49">
        <v>43555</v>
      </c>
      <c r="B65" s="111">
        <v>23887898</v>
      </c>
      <c r="C65" s="50">
        <v>804.70000000000016</v>
      </c>
      <c r="D65" s="50">
        <v>0</v>
      </c>
      <c r="E65" s="50">
        <v>31</v>
      </c>
      <c r="F65" s="79">
        <v>1</v>
      </c>
      <c r="G65" s="50">
        <f>'Rate Class Customer Model'!N5</f>
        <v>11725.000132434547</v>
      </c>
      <c r="H65" s="50">
        <f t="shared" si="10"/>
        <v>22885406.714742936</v>
      </c>
      <c r="I65" s="33">
        <f t="shared" si="11"/>
        <v>-1002491.2852570638</v>
      </c>
      <c r="J65" s="42">
        <f t="shared" si="12"/>
        <v>-4.1966492206935234E-2</v>
      </c>
      <c r="K65" s="12">
        <f t="shared" si="13"/>
        <v>4.1966492206935234E-2</v>
      </c>
      <c r="L65" s="10">
        <f t="shared" si="14"/>
        <v>1004988777016.3596</v>
      </c>
      <c r="M65" s="10">
        <f t="shared" si="15"/>
        <v>-205197.79402998835</v>
      </c>
      <c r="N65" s="10">
        <f t="shared" si="16"/>
        <v>42106134674.773521</v>
      </c>
    </row>
    <row r="66" spans="1:15" x14ac:dyDescent="0.2">
      <c r="A66" s="49">
        <v>43585</v>
      </c>
      <c r="B66" s="111">
        <v>20911395</v>
      </c>
      <c r="C66" s="50">
        <v>501.4</v>
      </c>
      <c r="D66" s="50">
        <v>0</v>
      </c>
      <c r="E66" s="50">
        <v>30</v>
      </c>
      <c r="F66" s="79">
        <v>1</v>
      </c>
      <c r="G66" s="50">
        <f>'Rate Class Customer Model'!N6</f>
        <v>11725.666919077583</v>
      </c>
      <c r="H66" s="50">
        <f t="shared" si="10"/>
        <v>19030630.379789993</v>
      </c>
      <c r="I66" s="33">
        <f t="shared" si="11"/>
        <v>-1880764.6202100068</v>
      </c>
      <c r="J66" s="42">
        <f t="shared" si="12"/>
        <v>-8.9939701306871539E-2</v>
      </c>
      <c r="K66" s="12">
        <f t="shared" si="13"/>
        <v>8.9939701306871539E-2</v>
      </c>
      <c r="L66" s="10">
        <f t="shared" si="14"/>
        <v>3537275556633.6914</v>
      </c>
      <c r="M66" s="10">
        <f t="shared" si="15"/>
        <v>-878273.33495294303</v>
      </c>
      <c r="N66" s="10">
        <f t="shared" si="16"/>
        <v>771364050889.3645</v>
      </c>
    </row>
    <row r="67" spans="1:15" x14ac:dyDescent="0.2">
      <c r="A67" s="49">
        <v>43616</v>
      </c>
      <c r="B67" s="111">
        <v>20082531</v>
      </c>
      <c r="C67" s="50">
        <v>377.40000000000003</v>
      </c>
      <c r="D67" s="50">
        <v>0</v>
      </c>
      <c r="E67" s="50">
        <v>31</v>
      </c>
      <c r="F67" s="79">
        <v>1</v>
      </c>
      <c r="G67" s="50">
        <f>'Rate Class Customer Model'!N7</f>
        <v>11726.333743639972</v>
      </c>
      <c r="H67" s="50">
        <f t="shared" si="10"/>
        <v>18427858.66505947</v>
      </c>
      <c r="I67" s="33">
        <f t="shared" si="11"/>
        <v>-1654672.3349405304</v>
      </c>
      <c r="J67" s="42">
        <f t="shared" si="12"/>
        <v>-8.2393615373506979E-2</v>
      </c>
      <c r="K67" s="12">
        <f t="shared" si="13"/>
        <v>8.2393615373506979E-2</v>
      </c>
      <c r="L67" s="10">
        <f t="shared" si="14"/>
        <v>2737940536017.5469</v>
      </c>
      <c r="M67" s="10">
        <f t="shared" si="15"/>
        <v>226092.28526947647</v>
      </c>
      <c r="N67" s="10">
        <f t="shared" si="16"/>
        <v>51117721458.374329</v>
      </c>
    </row>
    <row r="68" spans="1:15" x14ac:dyDescent="0.2">
      <c r="A68" s="49">
        <v>43646</v>
      </c>
      <c r="B68" s="111">
        <v>17847356</v>
      </c>
      <c r="C68" s="50">
        <v>172.10000000000002</v>
      </c>
      <c r="D68" s="50">
        <v>0</v>
      </c>
      <c r="E68" s="50">
        <v>30</v>
      </c>
      <c r="F68" s="79">
        <v>0</v>
      </c>
      <c r="G68" s="50">
        <f>'Rate Class Customer Model'!N8</f>
        <v>11727.000606123871</v>
      </c>
      <c r="H68" s="50">
        <f t="shared" si="10"/>
        <v>16432599.348029867</v>
      </c>
      <c r="I68" s="33">
        <f t="shared" si="11"/>
        <v>-1414756.6519701332</v>
      </c>
      <c r="J68" s="42">
        <f t="shared" si="12"/>
        <v>-7.9269817443554838E-2</v>
      </c>
      <c r="K68" s="12">
        <f t="shared" si="13"/>
        <v>7.9269817443554838E-2</v>
      </c>
      <c r="L68" s="10">
        <f t="shared" si="14"/>
        <v>2001536384293.7405</v>
      </c>
      <c r="M68" s="10">
        <f t="shared" si="15"/>
        <v>239915.68297039717</v>
      </c>
      <c r="N68" s="10">
        <f t="shared" si="16"/>
        <v>57559534935.152122</v>
      </c>
    </row>
    <row r="69" spans="1:15" x14ac:dyDescent="0.2">
      <c r="A69" s="49">
        <v>43677</v>
      </c>
      <c r="B69" s="111">
        <v>18330977</v>
      </c>
      <c r="C69" s="50">
        <v>81.800000000000011</v>
      </c>
      <c r="D69" s="50">
        <v>4</v>
      </c>
      <c r="E69" s="50">
        <v>31</v>
      </c>
      <c r="F69" s="79">
        <v>0</v>
      </c>
      <c r="G69" s="50">
        <f>'Rate Class Customer Model'!N9</f>
        <v>11727.667506531438</v>
      </c>
      <c r="H69" s="50">
        <f t="shared" si="10"/>
        <v>16274831.556192063</v>
      </c>
      <c r="I69" s="33">
        <f t="shared" si="11"/>
        <v>-2056145.4438079372</v>
      </c>
      <c r="J69" s="42">
        <f t="shared" si="12"/>
        <v>-0.11216780446606513</v>
      </c>
      <c r="K69" s="12">
        <f t="shared" si="13"/>
        <v>0.11216780446606513</v>
      </c>
      <c r="L69" s="10">
        <f t="shared" si="14"/>
        <v>4227734086092.1392</v>
      </c>
      <c r="M69" s="10">
        <f t="shared" si="15"/>
        <v>-641388.79183780402</v>
      </c>
      <c r="N69" s="10">
        <f t="shared" si="16"/>
        <v>411379582295.1579</v>
      </c>
    </row>
    <row r="70" spans="1:15" x14ac:dyDescent="0.2">
      <c r="A70" s="49">
        <v>43708</v>
      </c>
      <c r="B70" s="111">
        <v>18072676</v>
      </c>
      <c r="C70" s="50">
        <v>101.39999999999998</v>
      </c>
      <c r="D70" s="50">
        <v>0.1</v>
      </c>
      <c r="E70" s="50">
        <v>31</v>
      </c>
      <c r="F70" s="79">
        <v>0</v>
      </c>
      <c r="G70" s="50">
        <f>'Rate Class Customer Model'!N10</f>
        <v>11728.334444864828</v>
      </c>
      <c r="H70" s="50">
        <f t="shared" si="10"/>
        <v>16393971.526838638</v>
      </c>
      <c r="I70" s="33">
        <f t="shared" si="11"/>
        <v>-1678704.4731613621</v>
      </c>
      <c r="J70" s="42">
        <f t="shared" si="12"/>
        <v>-9.2886325918826965E-2</v>
      </c>
      <c r="K70" s="12">
        <f t="shared" si="13"/>
        <v>9.2886325918826965E-2</v>
      </c>
      <c r="L70" s="10">
        <f t="shared" si="14"/>
        <v>2818048708211.9663</v>
      </c>
      <c r="M70" s="10">
        <f t="shared" si="15"/>
        <v>377440.97064657509</v>
      </c>
      <c r="N70" s="10">
        <f t="shared" si="16"/>
        <v>142461686322.62875</v>
      </c>
    </row>
    <row r="71" spans="1:15" x14ac:dyDescent="0.2">
      <c r="A71" s="49">
        <v>43738</v>
      </c>
      <c r="B71" s="111">
        <v>17504594</v>
      </c>
      <c r="C71" s="50">
        <v>165.10000000000002</v>
      </c>
      <c r="D71" s="50">
        <v>3.6</v>
      </c>
      <c r="E71" s="50">
        <v>30</v>
      </c>
      <c r="F71" s="79">
        <v>1</v>
      </c>
      <c r="G71" s="50">
        <f>'Rate Class Customer Model'!N11</f>
        <v>11729.001421126197</v>
      </c>
      <c r="H71" s="50">
        <f t="shared" si="10"/>
        <v>15621747.859683424</v>
      </c>
      <c r="I71" s="33">
        <f t="shared" si="11"/>
        <v>-1882846.1403165758</v>
      </c>
      <c r="J71" s="42">
        <f t="shared" si="12"/>
        <v>-0.10756297120153577</v>
      </c>
      <c r="K71" s="12">
        <f t="shared" si="13"/>
        <v>0.10756297120153577</v>
      </c>
      <c r="L71" s="10">
        <f t="shared" si="14"/>
        <v>3545109588105.0264</v>
      </c>
      <c r="M71" s="10">
        <f t="shared" si="15"/>
        <v>-204141.66715521365</v>
      </c>
      <c r="N71" s="10">
        <f t="shared" si="16"/>
        <v>41673820268.910034</v>
      </c>
    </row>
    <row r="72" spans="1:15" x14ac:dyDescent="0.2">
      <c r="A72" s="49">
        <v>43769</v>
      </c>
      <c r="B72" s="111">
        <v>20050972</v>
      </c>
      <c r="C72" s="50">
        <v>378.6</v>
      </c>
      <c r="D72" s="50">
        <v>0</v>
      </c>
      <c r="E72" s="50">
        <v>31</v>
      </c>
      <c r="F72" s="79">
        <v>1</v>
      </c>
      <c r="G72" s="50">
        <f>'Rate Class Customer Model'!N12</f>
        <v>11729.668435317704</v>
      </c>
      <c r="H72" s="50">
        <f t="shared" si="10"/>
        <v>18463635.947069414</v>
      </c>
      <c r="I72" s="33">
        <f t="shared" si="11"/>
        <v>-1587336.052930586</v>
      </c>
      <c r="J72" s="42">
        <f t="shared" si="12"/>
        <v>-7.9165042618910747E-2</v>
      </c>
      <c r="K72" s="12">
        <f t="shared" si="13"/>
        <v>7.9165042618910747E-2</v>
      </c>
      <c r="L72" s="10">
        <f t="shared" si="14"/>
        <v>2519635744933.2524</v>
      </c>
      <c r="M72" s="10">
        <f t="shared" si="15"/>
        <v>295510.08738598973</v>
      </c>
      <c r="N72" s="10">
        <f t="shared" si="16"/>
        <v>87326211746.87529</v>
      </c>
    </row>
    <row r="73" spans="1:15" x14ac:dyDescent="0.2">
      <c r="A73" s="49">
        <v>43799</v>
      </c>
      <c r="B73" s="111">
        <v>22892474</v>
      </c>
      <c r="C73" s="50">
        <v>701.19999999999982</v>
      </c>
      <c r="D73" s="50">
        <v>0</v>
      </c>
      <c r="E73" s="50">
        <v>30</v>
      </c>
      <c r="F73" s="79">
        <v>0</v>
      </c>
      <c r="G73" s="50">
        <f>'Rate Class Customer Model'!N13</f>
        <v>11730.335487441505</v>
      </c>
      <c r="H73" s="50">
        <f t="shared" si="10"/>
        <v>21986853.265544802</v>
      </c>
      <c r="I73" s="33">
        <f t="shared" si="11"/>
        <v>-905620.73445519805</v>
      </c>
      <c r="J73" s="42">
        <f t="shared" si="12"/>
        <v>-3.9559758130781233E-2</v>
      </c>
      <c r="K73" s="12">
        <f t="shared" si="13"/>
        <v>3.9559758130781233E-2</v>
      </c>
      <c r="L73" s="10">
        <f t="shared" si="14"/>
        <v>820148914675.17236</v>
      </c>
      <c r="M73" s="10">
        <f t="shared" si="15"/>
        <v>681715.31847538799</v>
      </c>
      <c r="N73" s="10">
        <f t="shared" si="16"/>
        <v>464735775443.99969</v>
      </c>
    </row>
    <row r="74" spans="1:15" x14ac:dyDescent="0.2">
      <c r="A74" s="49">
        <v>43830</v>
      </c>
      <c r="B74" s="111">
        <v>25775115</v>
      </c>
      <c r="C74" s="50">
        <v>839.2</v>
      </c>
      <c r="D74" s="50">
        <v>0</v>
      </c>
      <c r="E74" s="50">
        <v>31</v>
      </c>
      <c r="F74" s="79">
        <v>0</v>
      </c>
      <c r="G74" s="50">
        <f>'Rate Class Customer Model'!N14</f>
        <v>11731.002577499758</v>
      </c>
      <c r="H74" s="50">
        <f t="shared" si="10"/>
        <v>24122936.464258768</v>
      </c>
      <c r="I74" s="33">
        <f t="shared" si="11"/>
        <v>-1652178.5357412323</v>
      </c>
      <c r="J74" s="42">
        <f t="shared" si="12"/>
        <v>-6.4099754190863251E-2</v>
      </c>
      <c r="K74" s="12">
        <f t="shared" si="13"/>
        <v>6.4099754190863251E-2</v>
      </c>
      <c r="L74" s="10">
        <f t="shared" si="14"/>
        <v>2729693913964.0425</v>
      </c>
      <c r="M74" s="10">
        <f t="shared" si="15"/>
        <v>-746557.80128603429</v>
      </c>
      <c r="N74" s="10">
        <f t="shared" si="16"/>
        <v>557348550661.03784</v>
      </c>
    </row>
    <row r="75" spans="1:15" x14ac:dyDescent="0.2">
      <c r="A75" s="49">
        <v>43861</v>
      </c>
      <c r="B75" s="111">
        <v>25237277</v>
      </c>
      <c r="C75" s="50">
        <v>839.8000000000003</v>
      </c>
      <c r="D75" s="50">
        <v>0</v>
      </c>
      <c r="E75" s="50">
        <v>31</v>
      </c>
      <c r="F75" s="79">
        <v>0</v>
      </c>
      <c r="G75" s="50">
        <f>'Rate Class Customer Model'!O3</f>
        <v>11732.005266549859</v>
      </c>
      <c r="H75" s="50">
        <f t="shared" si="10"/>
        <v>24136194.417515703</v>
      </c>
      <c r="I75" s="33">
        <f t="shared" si="11"/>
        <v>-1101082.5824842975</v>
      </c>
      <c r="J75" s="42">
        <f t="shared" si="12"/>
        <v>-4.3629214930132811E-2</v>
      </c>
      <c r="K75" s="12">
        <f t="shared" si="13"/>
        <v>4.3629214930132811E-2</v>
      </c>
      <c r="L75" s="10">
        <f t="shared" si="14"/>
        <v>1212382853450.2898</v>
      </c>
      <c r="M75" s="10">
        <f t="shared" si="15"/>
        <v>551095.95325693488</v>
      </c>
      <c r="N75" s="10">
        <f t="shared" si="16"/>
        <v>303706749696.16974</v>
      </c>
      <c r="O75" s="43"/>
    </row>
    <row r="76" spans="1:15" x14ac:dyDescent="0.2">
      <c r="A76" s="49">
        <v>43890</v>
      </c>
      <c r="B76" s="111">
        <v>24410849</v>
      </c>
      <c r="C76" s="50">
        <v>827.59999999999991</v>
      </c>
      <c r="D76" s="50">
        <v>0</v>
      </c>
      <c r="E76" s="50">
        <v>29</v>
      </c>
      <c r="F76" s="79">
        <v>0</v>
      </c>
      <c r="G76" s="50">
        <f>'Rate Class Customer Model'!O4</f>
        <v>11763.553216502387</v>
      </c>
      <c r="H76" s="50">
        <f t="shared" si="10"/>
        <v>22850788.61419484</v>
      </c>
      <c r="I76" s="33">
        <f t="shared" si="11"/>
        <v>-1560060.3858051598</v>
      </c>
      <c r="J76" s="42">
        <f t="shared" si="12"/>
        <v>-6.3908485354407782E-2</v>
      </c>
      <c r="K76" s="12">
        <f t="shared" si="13"/>
        <v>6.3908485354407782E-2</v>
      </c>
      <c r="L76" s="10">
        <f t="shared" si="14"/>
        <v>2433788407358.5439</v>
      </c>
      <c r="M76" s="10">
        <f t="shared" si="15"/>
        <v>-458977.80332086235</v>
      </c>
      <c r="N76" s="10">
        <f t="shared" si="16"/>
        <v>210660623941.2442</v>
      </c>
    </row>
    <row r="77" spans="1:15" x14ac:dyDescent="0.2">
      <c r="A77" s="49">
        <v>43921</v>
      </c>
      <c r="B77" s="111">
        <v>22196265</v>
      </c>
      <c r="C77" s="50">
        <v>691.29999999999984</v>
      </c>
      <c r="D77" s="50">
        <v>0</v>
      </c>
      <c r="E77" s="50">
        <v>31</v>
      </c>
      <c r="F77" s="79">
        <v>1</v>
      </c>
      <c r="G77" s="50">
        <f>'Rate Class Customer Model'!O5</f>
        <v>11795.186000472935</v>
      </c>
      <c r="H77" s="50">
        <f t="shared" si="10"/>
        <v>22188951.671953522</v>
      </c>
      <c r="I77" s="33">
        <f t="shared" si="11"/>
        <v>-7313.3280464783311</v>
      </c>
      <c r="J77" s="42">
        <f t="shared" si="12"/>
        <v>-3.2948462484469037E-4</v>
      </c>
      <c r="K77" s="12">
        <f t="shared" si="13"/>
        <v>3.2948462484469037E-4</v>
      </c>
      <c r="L77" s="10">
        <f t="shared" si="14"/>
        <v>53484767.115406565</v>
      </c>
      <c r="M77" s="10">
        <f t="shared" si="15"/>
        <v>1552747.0577586815</v>
      </c>
      <c r="N77" s="10">
        <f t="shared" si="16"/>
        <v>2411023425378.2422</v>
      </c>
    </row>
    <row r="78" spans="1:15" x14ac:dyDescent="0.2">
      <c r="A78" s="49">
        <v>43951</v>
      </c>
      <c r="B78" s="111">
        <v>17675708</v>
      </c>
      <c r="C78" s="50">
        <v>557.99999999999977</v>
      </c>
      <c r="D78" s="50">
        <v>0</v>
      </c>
      <c r="E78" s="50">
        <v>30</v>
      </c>
      <c r="F78" s="79">
        <v>1</v>
      </c>
      <c r="G78" s="50">
        <f>'Rate Class Customer Model'!O6</f>
        <v>11826.90384658443</v>
      </c>
      <c r="H78" s="50">
        <f t="shared" si="10"/>
        <v>20327627.585024834</v>
      </c>
      <c r="I78" s="33">
        <f t="shared" si="11"/>
        <v>2651919.5850248337</v>
      </c>
      <c r="J78" s="42">
        <f t="shared" si="12"/>
        <v>0.15003187340641935</v>
      </c>
      <c r="K78" s="12">
        <f t="shared" si="13"/>
        <v>0.15003187340641935</v>
      </c>
      <c r="L78" s="10">
        <f t="shared" si="14"/>
        <v>7032677485438.2861</v>
      </c>
      <c r="M78" s="10">
        <f t="shared" si="15"/>
        <v>2659232.913071312</v>
      </c>
      <c r="N78" s="10">
        <f t="shared" si="16"/>
        <v>7071519685961.7363</v>
      </c>
    </row>
    <row r="79" spans="1:15" x14ac:dyDescent="0.2">
      <c r="A79" s="49">
        <v>43982</v>
      </c>
      <c r="B79" s="111">
        <v>20080301</v>
      </c>
      <c r="C79" s="50">
        <v>332.00000000000011</v>
      </c>
      <c r="D79" s="50">
        <v>3.8000000000000003</v>
      </c>
      <c r="E79" s="50">
        <v>31</v>
      </c>
      <c r="F79" s="79">
        <v>1</v>
      </c>
      <c r="G79" s="50">
        <f>'Rate Class Customer Model'!O7</f>
        <v>11858.706983573229</v>
      </c>
      <c r="H79" s="50">
        <f t="shared" si="10"/>
        <v>18963592.65399722</v>
      </c>
      <c r="I79" s="33">
        <f t="shared" si="11"/>
        <v>-1116708.3460027799</v>
      </c>
      <c r="J79" s="42">
        <f t="shared" si="12"/>
        <v>-5.5612131810313992E-2</v>
      </c>
      <c r="K79" s="12">
        <f t="shared" si="13"/>
        <v>5.5612131810313992E-2</v>
      </c>
      <c r="L79" s="10">
        <f t="shared" si="14"/>
        <v>1247037530032.2644</v>
      </c>
      <c r="M79" s="10">
        <f t="shared" si="15"/>
        <v>-3768627.9310276136</v>
      </c>
      <c r="N79" s="10">
        <f t="shared" si="16"/>
        <v>14202556482521.471</v>
      </c>
    </row>
    <row r="80" spans="1:15" x14ac:dyDescent="0.2">
      <c r="A80" s="49">
        <v>44012</v>
      </c>
      <c r="B80" s="111">
        <v>18177041</v>
      </c>
      <c r="C80" s="50">
        <v>148.19999999999999</v>
      </c>
      <c r="D80" s="50">
        <v>6.7</v>
      </c>
      <c r="E80" s="50">
        <v>30</v>
      </c>
      <c r="F80" s="79">
        <v>0</v>
      </c>
      <c r="G80" s="50">
        <f>'Rate Class Customer Model'!O8</f>
        <v>11890.595640790776</v>
      </c>
      <c r="H80" s="50">
        <f t="shared" si="10"/>
        <v>17477828.872190297</v>
      </c>
      <c r="I80" s="33">
        <f t="shared" si="11"/>
        <v>-699212.12780970335</v>
      </c>
      <c r="J80" s="42">
        <f t="shared" si="12"/>
        <v>-3.84667739820636E-2</v>
      </c>
      <c r="K80" s="12">
        <f t="shared" si="13"/>
        <v>3.84667739820636E-2</v>
      </c>
      <c r="L80" s="10">
        <f t="shared" si="14"/>
        <v>488897599676.17291</v>
      </c>
      <c r="M80" s="10">
        <f t="shared" si="15"/>
        <v>417496.21819307655</v>
      </c>
      <c r="N80" s="10">
        <f t="shared" si="16"/>
        <v>174303092205.521</v>
      </c>
    </row>
    <row r="81" spans="1:15" x14ac:dyDescent="0.2">
      <c r="A81" s="49">
        <v>44043</v>
      </c>
      <c r="B81" s="111">
        <v>18679871</v>
      </c>
      <c r="C81" s="50">
        <v>33.200000000000003</v>
      </c>
      <c r="D81" s="50">
        <v>21.599999999999998</v>
      </c>
      <c r="E81" s="50">
        <v>31</v>
      </c>
      <c r="F81" s="79">
        <v>0</v>
      </c>
      <c r="G81" s="50">
        <f>'Rate Class Customer Model'!O9</f>
        <v>11922.570048205249</v>
      </c>
      <c r="H81" s="50">
        <f t="shared" si="10"/>
        <v>17532627.328227632</v>
      </c>
      <c r="I81" s="33">
        <f t="shared" si="11"/>
        <v>-1147243.6717723683</v>
      </c>
      <c r="J81" s="42">
        <f t="shared" si="12"/>
        <v>-6.1416038246322378E-2</v>
      </c>
      <c r="K81" s="12">
        <f t="shared" si="13"/>
        <v>6.1416038246322378E-2</v>
      </c>
      <c r="L81" s="10">
        <f t="shared" si="14"/>
        <v>1316168042421.7454</v>
      </c>
      <c r="M81" s="10">
        <f t="shared" si="15"/>
        <v>-448031.5439626649</v>
      </c>
      <c r="N81" s="10">
        <f t="shared" si="16"/>
        <v>200732264385.56934</v>
      </c>
      <c r="O81"/>
    </row>
    <row r="82" spans="1:15" x14ac:dyDescent="0.2">
      <c r="A82" s="49">
        <v>44074</v>
      </c>
      <c r="B82" s="111">
        <v>18377276</v>
      </c>
      <c r="C82" s="50">
        <v>69.599999999999994</v>
      </c>
      <c r="D82" s="50">
        <v>11.600000000000001</v>
      </c>
      <c r="E82" s="50">
        <v>31</v>
      </c>
      <c r="F82" s="79">
        <v>0</v>
      </c>
      <c r="G82" s="50">
        <f>'Rate Class Customer Model'!O10</f>
        <v>11954.630436403226</v>
      </c>
      <c r="H82" s="50">
        <f t="shared" si="10"/>
        <v>17904716.101694532</v>
      </c>
      <c r="I82" s="33">
        <f t="shared" si="11"/>
        <v>-472559.89830546826</v>
      </c>
      <c r="J82" s="42">
        <f t="shared" si="12"/>
        <v>-2.5714360403874235E-2</v>
      </c>
      <c r="K82" s="12">
        <f t="shared" si="13"/>
        <v>2.5714360403874235E-2</v>
      </c>
      <c r="L82" s="10">
        <f t="shared" si="14"/>
        <v>223312857486.47452</v>
      </c>
      <c r="M82" s="10">
        <f t="shared" si="15"/>
        <v>674683.77346689999</v>
      </c>
      <c r="N82" s="10">
        <f t="shared" si="16"/>
        <v>455198194179.53522</v>
      </c>
      <c r="O82"/>
    </row>
    <row r="83" spans="1:15" x14ac:dyDescent="0.2">
      <c r="A83" s="49">
        <v>44104</v>
      </c>
      <c r="B83" s="111">
        <v>18090098</v>
      </c>
      <c r="C83" s="50">
        <v>222.5</v>
      </c>
      <c r="D83" s="50">
        <v>0</v>
      </c>
      <c r="E83" s="50">
        <v>30</v>
      </c>
      <c r="F83" s="79">
        <v>1</v>
      </c>
      <c r="G83" s="50">
        <f>'Rate Class Customer Model'!O11</f>
        <v>11986.777036591338</v>
      </c>
      <c r="H83" s="50">
        <f t="shared" si="10"/>
        <v>17934274.417923123</v>
      </c>
      <c r="I83" s="33">
        <f t="shared" si="11"/>
        <v>-155823.58207687736</v>
      </c>
      <c r="J83" s="42">
        <f t="shared" si="12"/>
        <v>-8.6137500237354909E-3</v>
      </c>
      <c r="K83" s="12">
        <f t="shared" si="13"/>
        <v>8.6137500237354909E-3</v>
      </c>
      <c r="L83" s="10">
        <f t="shared" si="14"/>
        <v>24280988731.269333</v>
      </c>
      <c r="M83" s="10">
        <f t="shared" si="15"/>
        <v>316736.31622859091</v>
      </c>
      <c r="N83" s="10">
        <f t="shared" si="16"/>
        <v>100321894018.05794</v>
      </c>
      <c r="O83"/>
    </row>
    <row r="84" spans="1:15" x14ac:dyDescent="0.2">
      <c r="A84" s="49">
        <v>44135</v>
      </c>
      <c r="B84" s="111">
        <v>21983764</v>
      </c>
      <c r="C84" s="50">
        <v>484.19999999999993</v>
      </c>
      <c r="D84" s="50">
        <v>0</v>
      </c>
      <c r="E84" s="50">
        <v>31</v>
      </c>
      <c r="F84" s="79">
        <v>1</v>
      </c>
      <c r="G84" s="50">
        <f>'Rate Class Customer Model'!O12</f>
        <v>12019.010080597949</v>
      </c>
      <c r="H84" s="50">
        <f t="shared" si="10"/>
        <v>21583393.729924716</v>
      </c>
      <c r="I84" s="33">
        <f t="shared" si="11"/>
        <v>-400370.27007528394</v>
      </c>
      <c r="J84" s="42">
        <f t="shared" si="12"/>
        <v>-1.8212089161586884E-2</v>
      </c>
      <c r="K84" s="12">
        <f t="shared" si="13"/>
        <v>1.8212089161586884E-2</v>
      </c>
      <c r="L84" s="10">
        <f t="shared" si="14"/>
        <v>160296353160.15579</v>
      </c>
      <c r="M84" s="10">
        <f t="shared" si="15"/>
        <v>-244546.68799840659</v>
      </c>
      <c r="N84" s="10">
        <f t="shared" si="16"/>
        <v>59803082610.990021</v>
      </c>
      <c r="O84"/>
    </row>
    <row r="85" spans="1:15" x14ac:dyDescent="0.2">
      <c r="A85" s="49">
        <v>44165</v>
      </c>
      <c r="B85" s="111">
        <v>22215383</v>
      </c>
      <c r="C85" s="50">
        <v>516.6</v>
      </c>
      <c r="D85" s="50">
        <v>0</v>
      </c>
      <c r="E85" s="50">
        <v>30</v>
      </c>
      <c r="F85" s="79">
        <v>0</v>
      </c>
      <c r="G85" s="50">
        <f>'Rate Class Customer Model'!O13</f>
        <v>12051.329800874817</v>
      </c>
      <c r="H85" s="50">
        <f t="shared" si="10"/>
        <v>22293490.68024309</v>
      </c>
      <c r="I85" s="33">
        <f t="shared" si="11"/>
        <v>78107.680243089795</v>
      </c>
      <c r="J85" s="42">
        <f t="shared" si="12"/>
        <v>3.5159276904246843E-3</v>
      </c>
      <c r="K85" s="12">
        <f t="shared" si="13"/>
        <v>3.5159276904246843E-3</v>
      </c>
      <c r="L85" s="10">
        <f t="shared" si="14"/>
        <v>6100809712.9567595</v>
      </c>
      <c r="M85" s="10">
        <f t="shared" si="15"/>
        <v>478477.95031837374</v>
      </c>
      <c r="N85" s="10">
        <f t="shared" si="16"/>
        <v>228941148940.87213</v>
      </c>
      <c r="O85"/>
    </row>
    <row r="86" spans="1:15" x14ac:dyDescent="0.2">
      <c r="A86" s="49">
        <v>44196</v>
      </c>
      <c r="B86" s="111">
        <v>25416770</v>
      </c>
      <c r="C86" s="50">
        <v>740.80000000000007</v>
      </c>
      <c r="D86" s="50">
        <v>0</v>
      </c>
      <c r="E86" s="50">
        <v>31</v>
      </c>
      <c r="F86" s="79">
        <v>0</v>
      </c>
      <c r="G86" s="50">
        <f>'Rate Class Customer Model'!O14</f>
        <v>12083.736430498775</v>
      </c>
      <c r="H86" s="50">
        <f t="shared" si="10"/>
        <v>25551807.957690038</v>
      </c>
      <c r="I86" s="33">
        <f t="shared" si="11"/>
        <v>135037.95769003779</v>
      </c>
      <c r="J86" s="42">
        <f t="shared" si="12"/>
        <v>5.3129472269701373E-3</v>
      </c>
      <c r="K86" s="12">
        <f t="shared" si="13"/>
        <v>5.3129472269701373E-3</v>
      </c>
      <c r="L86" s="10">
        <f t="shared" si="14"/>
        <v>18235250017.096436</v>
      </c>
      <c r="M86" s="10">
        <f t="shared" si="15"/>
        <v>56930.277446947992</v>
      </c>
      <c r="N86" s="10">
        <f t="shared" si="16"/>
        <v>3241056490.1864753</v>
      </c>
      <c r="O86"/>
    </row>
    <row r="87" spans="1:15" x14ac:dyDescent="0.2">
      <c r="A87" s="49">
        <v>44227</v>
      </c>
      <c r="B87" s="111">
        <v>25867118</v>
      </c>
      <c r="C87" s="50">
        <v>833.7</v>
      </c>
      <c r="D87" s="50">
        <v>0</v>
      </c>
      <c r="E87" s="50">
        <v>31</v>
      </c>
      <c r="F87" s="79">
        <v>0</v>
      </c>
      <c r="G87" s="50">
        <f>'Rate Class Customer Model'!P3</f>
        <v>12084.73761549323</v>
      </c>
      <c r="H87" s="50">
        <f t="shared" ref="H87:H118" si="17">$Q$18+$Q$19*C87+$Q$20*D87+$Q$21*E87+$Q$22*F87+$Q$23*G87</f>
        <v>26529926.187029727</v>
      </c>
      <c r="I87" s="33">
        <f t="shared" ref="I87:I122" si="18">H87-B87</f>
        <v>662808.1870297268</v>
      </c>
      <c r="J87" s="42">
        <f t="shared" ref="J87:J122" si="19">I87/B87</f>
        <v>2.5623580757227257E-2</v>
      </c>
      <c r="K87" s="12">
        <f t="shared" si="13"/>
        <v>2.5623580757227257E-2</v>
      </c>
      <c r="L87" s="10">
        <f t="shared" si="14"/>
        <v>439314692793.6333</v>
      </c>
      <c r="M87" s="10">
        <f t="shared" si="15"/>
        <v>527770.22933968902</v>
      </c>
      <c r="N87" s="10">
        <f t="shared" si="16"/>
        <v>278541414977.26794</v>
      </c>
      <c r="O87"/>
    </row>
    <row r="88" spans="1:15" x14ac:dyDescent="0.2">
      <c r="A88" s="49">
        <v>44255</v>
      </c>
      <c r="B88" s="111">
        <v>24827388</v>
      </c>
      <c r="C88" s="50">
        <v>854.7</v>
      </c>
      <c r="D88" s="50">
        <v>0</v>
      </c>
      <c r="E88" s="50">
        <v>28</v>
      </c>
      <c r="F88" s="79">
        <v>0</v>
      </c>
      <c r="G88" s="50">
        <f>'Rate Class Customer Model'!P4</f>
        <v>12099.057962546922</v>
      </c>
      <c r="H88" s="50">
        <f t="shared" si="17"/>
        <v>24782722.261831313</v>
      </c>
      <c r="I88" s="33">
        <f t="shared" si="18"/>
        <v>-44665.738168686628</v>
      </c>
      <c r="J88" s="42">
        <f t="shared" si="19"/>
        <v>-1.7990510386628922E-3</v>
      </c>
      <c r="K88" s="12">
        <f t="shared" si="13"/>
        <v>1.7990510386628922E-3</v>
      </c>
      <c r="L88" s="10">
        <f t="shared" si="14"/>
        <v>1995028166.1536696</v>
      </c>
      <c r="M88" s="10">
        <f t="shared" si="15"/>
        <v>-707473.92519841343</v>
      </c>
      <c r="N88" s="10">
        <f t="shared" si="16"/>
        <v>500519354835.65027</v>
      </c>
      <c r="O88"/>
    </row>
    <row r="89" spans="1:15" x14ac:dyDescent="0.2">
      <c r="A89" s="49">
        <v>44286</v>
      </c>
      <c r="B89" s="111">
        <v>24583551</v>
      </c>
      <c r="C89" s="50">
        <v>665.09999999999991</v>
      </c>
      <c r="D89" s="50">
        <v>0</v>
      </c>
      <c r="E89" s="50">
        <v>31</v>
      </c>
      <c r="F89" s="79">
        <v>1</v>
      </c>
      <c r="G89" s="50">
        <f>'Rate Class Customer Model'!P5</f>
        <v>12113.395279132452</v>
      </c>
      <c r="H89" s="50">
        <f t="shared" si="17"/>
        <v>24132041.85264685</v>
      </c>
      <c r="I89" s="33">
        <f t="shared" si="18"/>
        <v>-451509.14735314995</v>
      </c>
      <c r="J89" s="42">
        <f t="shared" si="19"/>
        <v>-1.8366311170959392E-2</v>
      </c>
      <c r="K89" s="12">
        <f t="shared" si="13"/>
        <v>1.8366311170959392E-2</v>
      </c>
      <c r="L89" s="10">
        <f t="shared" si="14"/>
        <v>203860510143.56848</v>
      </c>
      <c r="M89" s="10">
        <f t="shared" si="15"/>
        <v>-406843.40918446332</v>
      </c>
      <c r="N89" s="10">
        <f t="shared" si="16"/>
        <v>165521559596.83667</v>
      </c>
      <c r="O89"/>
    </row>
    <row r="90" spans="1:15" x14ac:dyDescent="0.2">
      <c r="A90" s="49">
        <v>44316</v>
      </c>
      <c r="B90" s="111">
        <v>21537012</v>
      </c>
      <c r="C90" s="50">
        <v>441.40000000000009</v>
      </c>
      <c r="D90" s="50">
        <v>0</v>
      </c>
      <c r="E90" s="50">
        <v>30</v>
      </c>
      <c r="F90" s="79">
        <v>1</v>
      </c>
      <c r="G90" s="50">
        <f>'Rate Class Customer Model'!P6</f>
        <v>12127.749585358622</v>
      </c>
      <c r="H90" s="50">
        <f t="shared" si="17"/>
        <v>21204736.515591294</v>
      </c>
      <c r="I90" s="33">
        <f t="shared" si="18"/>
        <v>-332275.48440870643</v>
      </c>
      <c r="J90" s="42">
        <f t="shared" si="19"/>
        <v>-1.5428114373930164E-2</v>
      </c>
      <c r="K90" s="12">
        <f t="shared" si="13"/>
        <v>1.5428114373930164E-2</v>
      </c>
      <c r="L90" s="10">
        <f t="shared" si="14"/>
        <v>110406997539.04051</v>
      </c>
      <c r="M90" s="10">
        <f t="shared" si="15"/>
        <v>119233.66294444352</v>
      </c>
      <c r="N90" s="10">
        <f t="shared" si="16"/>
        <v>14216666379.149164</v>
      </c>
      <c r="O90"/>
    </row>
    <row r="91" spans="1:15" x14ac:dyDescent="0.2">
      <c r="A91" s="49">
        <v>44347</v>
      </c>
      <c r="B91" s="111">
        <v>20574453</v>
      </c>
      <c r="C91" s="50">
        <v>318.59999999999991</v>
      </c>
      <c r="D91" s="50">
        <v>0</v>
      </c>
      <c r="E91" s="50">
        <v>31</v>
      </c>
      <c r="F91" s="79">
        <v>1</v>
      </c>
      <c r="G91" s="50">
        <f>'Rate Class Customer Model'!P7</f>
        <v>12142.120901358065</v>
      </c>
      <c r="H91" s="50">
        <f t="shared" si="17"/>
        <v>20709988.850686662</v>
      </c>
      <c r="I91" s="33">
        <f t="shared" si="18"/>
        <v>135535.8506866619</v>
      </c>
      <c r="J91" s="42">
        <f t="shared" si="19"/>
        <v>6.5875797857985292E-3</v>
      </c>
      <c r="K91" s="12">
        <f t="shared" si="13"/>
        <v>6.5875797857985292E-3</v>
      </c>
      <c r="L91" s="10">
        <f t="shared" si="14"/>
        <v>18369966821.357109</v>
      </c>
      <c r="M91" s="10">
        <f t="shared" si="15"/>
        <v>467811.33509536833</v>
      </c>
      <c r="N91" s="10">
        <f t="shared" si="16"/>
        <v>218847445243.711</v>
      </c>
      <c r="O91"/>
    </row>
    <row r="92" spans="1:15" x14ac:dyDescent="0.2">
      <c r="A92" s="49">
        <v>44377</v>
      </c>
      <c r="B92" s="111">
        <v>19092218</v>
      </c>
      <c r="C92" s="50">
        <v>110.70000000000002</v>
      </c>
      <c r="D92" s="50">
        <v>8.3000000000000007</v>
      </c>
      <c r="E92" s="50">
        <v>30</v>
      </c>
      <c r="F92" s="79">
        <v>0</v>
      </c>
      <c r="G92" s="50">
        <f>'Rate Class Customer Model'!P8</f>
        <v>12156.509247287264</v>
      </c>
      <c r="H92" s="50">
        <f t="shared" si="17"/>
        <v>18975533.44127585</v>
      </c>
      <c r="I92" s="33">
        <f t="shared" si="18"/>
        <v>-116684.55872415006</v>
      </c>
      <c r="J92" s="42">
        <f t="shared" si="19"/>
        <v>-6.1116292891768816E-3</v>
      </c>
      <c r="K92" s="12">
        <f t="shared" si="13"/>
        <v>6.1116292891768816E-3</v>
      </c>
      <c r="L92" s="10">
        <f t="shared" si="14"/>
        <v>13615286244.649624</v>
      </c>
      <c r="M92" s="10">
        <f t="shared" si="15"/>
        <v>-252220.40941081196</v>
      </c>
      <c r="N92" s="10">
        <f t="shared" si="16"/>
        <v>63615134923.357605</v>
      </c>
      <c r="O92"/>
    </row>
    <row r="93" spans="1:15" x14ac:dyDescent="0.2">
      <c r="A93" s="49">
        <v>44408</v>
      </c>
      <c r="B93" s="111">
        <v>19443490</v>
      </c>
      <c r="C93" s="50">
        <v>52.1</v>
      </c>
      <c r="D93" s="50">
        <v>4.2</v>
      </c>
      <c r="E93" s="50">
        <v>31</v>
      </c>
      <c r="F93" s="79">
        <v>0</v>
      </c>
      <c r="G93" s="50">
        <f>'Rate Class Customer Model'!P9</f>
        <v>12170.914643326594</v>
      </c>
      <c r="H93" s="50">
        <f t="shared" si="17"/>
        <v>19057113.049334593</v>
      </c>
      <c r="I93" s="33">
        <f t="shared" si="18"/>
        <v>-386376.95066540688</v>
      </c>
      <c r="J93" s="42">
        <f t="shared" si="19"/>
        <v>-1.987179002665709E-2</v>
      </c>
      <c r="K93" s="12">
        <f t="shared" si="13"/>
        <v>1.987179002665709E-2</v>
      </c>
      <c r="L93" s="10">
        <f t="shared" si="14"/>
        <v>149287148005.49826</v>
      </c>
      <c r="M93" s="10">
        <f t="shared" si="15"/>
        <v>-269692.39194125682</v>
      </c>
      <c r="N93" s="10">
        <f t="shared" si="16"/>
        <v>72733986270.99649</v>
      </c>
      <c r="O93"/>
    </row>
    <row r="94" spans="1:15" x14ac:dyDescent="0.2">
      <c r="A94" s="49">
        <v>44439</v>
      </c>
      <c r="B94" s="111">
        <v>20406933</v>
      </c>
      <c r="C94" s="50">
        <v>35.699999999999996</v>
      </c>
      <c r="D94" s="50">
        <v>25.599999999999998</v>
      </c>
      <c r="E94" s="50">
        <v>31</v>
      </c>
      <c r="F94" s="79">
        <v>0</v>
      </c>
      <c r="G94" s="50">
        <f>'Rate Class Customer Model'!P10</f>
        <v>12185.33710968034</v>
      </c>
      <c r="H94" s="50">
        <f t="shared" si="17"/>
        <v>19482184.794360541</v>
      </c>
      <c r="I94" s="33">
        <f t="shared" si="18"/>
        <v>-924748.20563945919</v>
      </c>
      <c r="J94" s="42">
        <f t="shared" si="19"/>
        <v>-4.5315393824219403E-2</v>
      </c>
      <c r="K94" s="12">
        <f t="shared" si="13"/>
        <v>4.5315393824219403E-2</v>
      </c>
      <c r="L94" s="10">
        <f t="shared" si="14"/>
        <v>855159243833.39954</v>
      </c>
      <c r="M94" s="10">
        <f t="shared" si="15"/>
        <v>-538371.25497405231</v>
      </c>
      <c r="N94" s="10">
        <f t="shared" si="16"/>
        <v>289843608182.33606</v>
      </c>
      <c r="O94"/>
    </row>
    <row r="95" spans="1:15" x14ac:dyDescent="0.2">
      <c r="A95" s="49">
        <v>44469</v>
      </c>
      <c r="B95" s="111">
        <v>19210633</v>
      </c>
      <c r="C95" s="50">
        <v>171.4</v>
      </c>
      <c r="D95" s="50">
        <v>3.1</v>
      </c>
      <c r="E95" s="50">
        <v>30</v>
      </c>
      <c r="F95" s="79">
        <v>1</v>
      </c>
      <c r="G95" s="50">
        <f>'Rate Class Customer Model'!P11</f>
        <v>12199.776666576729</v>
      </c>
      <c r="H95" s="50">
        <f t="shared" si="17"/>
        <v>18955924.365040407</v>
      </c>
      <c r="I95" s="33">
        <f t="shared" si="18"/>
        <v>-254708.63495959342</v>
      </c>
      <c r="J95" s="42">
        <f t="shared" si="19"/>
        <v>-1.325873202406154E-2</v>
      </c>
      <c r="K95" s="12">
        <f t="shared" si="13"/>
        <v>1.325873202406154E-2</v>
      </c>
      <c r="L95" s="10">
        <f t="shared" si="14"/>
        <v>64876488722.979416</v>
      </c>
      <c r="M95" s="10">
        <f t="shared" si="15"/>
        <v>670039.57067986578</v>
      </c>
      <c r="N95" s="10">
        <f t="shared" si="16"/>
        <v>448953026276.85883</v>
      </c>
      <c r="O95"/>
    </row>
    <row r="96" spans="1:15" x14ac:dyDescent="0.2">
      <c r="A96" s="49">
        <v>44500</v>
      </c>
      <c r="B96" s="111">
        <v>20195668</v>
      </c>
      <c r="C96" s="50">
        <v>267.60000000000008</v>
      </c>
      <c r="D96" s="50">
        <v>0.7</v>
      </c>
      <c r="E96" s="50">
        <v>31</v>
      </c>
      <c r="F96" s="79">
        <v>1</v>
      </c>
      <c r="G96" s="50">
        <f>'Rate Class Customer Model'!P12</f>
        <v>12214.233334267959</v>
      </c>
      <c r="H96" s="50">
        <f t="shared" si="17"/>
        <v>20695488.509863935</v>
      </c>
      <c r="I96" s="33">
        <f t="shared" si="18"/>
        <v>499820.50986393541</v>
      </c>
      <c r="J96" s="42">
        <f t="shared" si="19"/>
        <v>2.4748897132985916E-2</v>
      </c>
      <c r="K96" s="12">
        <f t="shared" si="13"/>
        <v>2.4748897132985916E-2</v>
      </c>
      <c r="L96" s="10">
        <f t="shared" si="14"/>
        <v>249820542080.64435</v>
      </c>
      <c r="M96" s="10">
        <f t="shared" si="15"/>
        <v>754529.14482352883</v>
      </c>
      <c r="N96" s="10">
        <f t="shared" si="16"/>
        <v>569314230388.12573</v>
      </c>
      <c r="O96"/>
    </row>
    <row r="97" spans="1:15" x14ac:dyDescent="0.2">
      <c r="A97" s="49">
        <v>44530</v>
      </c>
      <c r="B97" s="111">
        <v>23051852</v>
      </c>
      <c r="C97" s="50">
        <v>561.70000000000016</v>
      </c>
      <c r="D97" s="50">
        <v>0</v>
      </c>
      <c r="E97" s="50">
        <v>30</v>
      </c>
      <c r="F97" s="79">
        <v>0</v>
      </c>
      <c r="G97" s="50">
        <f>'Rate Class Customer Model'!P13</f>
        <v>12228.70713303023</v>
      </c>
      <c r="H97" s="50">
        <f t="shared" si="17"/>
        <v>24000743.989685223</v>
      </c>
      <c r="I97" s="33">
        <f t="shared" si="18"/>
        <v>948891.98968522251</v>
      </c>
      <c r="J97" s="42">
        <f t="shared" si="19"/>
        <v>4.1163373323983794E-2</v>
      </c>
      <c r="K97" s="12">
        <f t="shared" si="13"/>
        <v>4.1163373323983794E-2</v>
      </c>
      <c r="L97" s="10">
        <f t="shared" si="14"/>
        <v>900396008088.7804</v>
      </c>
      <c r="M97" s="10">
        <f t="shared" si="15"/>
        <v>449071.4798212871</v>
      </c>
      <c r="N97" s="10">
        <f t="shared" si="16"/>
        <v>201665193988.88068</v>
      </c>
      <c r="O97"/>
    </row>
    <row r="98" spans="1:15" x14ac:dyDescent="0.2">
      <c r="A98" s="49">
        <v>44561</v>
      </c>
      <c r="B98" s="111">
        <v>26436572</v>
      </c>
      <c r="C98" s="50">
        <v>786.10000000000036</v>
      </c>
      <c r="D98" s="50">
        <v>0</v>
      </c>
      <c r="E98" s="50">
        <v>31</v>
      </c>
      <c r="F98" s="79">
        <v>0</v>
      </c>
      <c r="G98" s="50">
        <f>'Rate Class Customer Model'!P14</f>
        <v>12243.198083163763</v>
      </c>
      <c r="H98" s="50">
        <f t="shared" si="17"/>
        <v>27136332.811413161</v>
      </c>
      <c r="I98" s="33">
        <f t="shared" si="18"/>
        <v>699760.81141316146</v>
      </c>
      <c r="J98" s="42">
        <f t="shared" si="19"/>
        <v>2.6469423169280852E-2</v>
      </c>
      <c r="K98" s="12">
        <f t="shared" si="13"/>
        <v>2.6469423169280852E-2</v>
      </c>
      <c r="L98" s="10">
        <f t="shared" si="14"/>
        <v>489665193189.60614</v>
      </c>
      <c r="M98" s="10">
        <f t="shared" si="15"/>
        <v>-249131.17827206105</v>
      </c>
      <c r="N98" s="10">
        <f t="shared" si="16"/>
        <v>62066343987.225464</v>
      </c>
      <c r="O98"/>
    </row>
    <row r="99" spans="1:15" x14ac:dyDescent="0.2">
      <c r="A99" s="49">
        <v>44592</v>
      </c>
      <c r="B99" s="112">
        <v>30320977</v>
      </c>
      <c r="C99" s="50">
        <v>1077.8</v>
      </c>
      <c r="D99" s="50">
        <v>0</v>
      </c>
      <c r="E99" s="50">
        <v>31</v>
      </c>
      <c r="F99" s="79">
        <v>0</v>
      </c>
      <c r="G99" s="50">
        <f>'Rate Class Customer Model'!Q3</f>
        <v>12244.198569699198</v>
      </c>
      <c r="H99" s="50">
        <f t="shared" si="17"/>
        <v>30192629.338947646</v>
      </c>
      <c r="I99" s="33">
        <f t="shared" si="18"/>
        <v>-128347.66105235368</v>
      </c>
      <c r="J99" s="42">
        <f t="shared" si="19"/>
        <v>-4.2329658787826551E-3</v>
      </c>
      <c r="K99" s="12">
        <f t="shared" si="13"/>
        <v>4.2329658787826551E-3</v>
      </c>
      <c r="L99" s="10">
        <f t="shared" si="14"/>
        <v>16473122097.609865</v>
      </c>
      <c r="M99" s="10">
        <f t="shared" si="15"/>
        <v>-828108.47246551514</v>
      </c>
      <c r="N99" s="10">
        <f t="shared" si="16"/>
        <v>685763642169.16882</v>
      </c>
      <c r="O99"/>
    </row>
    <row r="100" spans="1:15" x14ac:dyDescent="0.2">
      <c r="A100" s="49">
        <v>44620</v>
      </c>
      <c r="B100" s="112">
        <v>26652765</v>
      </c>
      <c r="C100" s="50">
        <v>936.7</v>
      </c>
      <c r="D100" s="50">
        <v>0</v>
      </c>
      <c r="E100" s="50">
        <v>28</v>
      </c>
      <c r="F100" s="79">
        <v>0</v>
      </c>
      <c r="G100" s="50">
        <f>'Rate Class Customer Model'!Q4</f>
        <v>12250.15580617966</v>
      </c>
      <c r="H100" s="50">
        <f t="shared" si="17"/>
        <v>26692624.658942893</v>
      </c>
      <c r="I100" s="33">
        <f t="shared" si="18"/>
        <v>39859.658942893147</v>
      </c>
      <c r="J100" s="42">
        <f t="shared" si="19"/>
        <v>1.4955168419821788E-3</v>
      </c>
      <c r="K100" s="12">
        <f t="shared" si="13"/>
        <v>1.4955168419821788E-3</v>
      </c>
      <c r="L100" s="10">
        <f t="shared" si="14"/>
        <v>1588792411.0437617</v>
      </c>
      <c r="M100" s="10">
        <f t="shared" si="15"/>
        <v>168207.31999524683</v>
      </c>
      <c r="N100" s="10">
        <f t="shared" si="16"/>
        <v>28293702499.983364</v>
      </c>
      <c r="O100"/>
    </row>
    <row r="101" spans="1:15" x14ac:dyDescent="0.2">
      <c r="A101" s="49">
        <v>44651</v>
      </c>
      <c r="B101" s="112">
        <v>25914442</v>
      </c>
      <c r="C101" s="50">
        <v>746.3</v>
      </c>
      <c r="D101" s="50">
        <v>0</v>
      </c>
      <c r="E101" s="50">
        <v>31</v>
      </c>
      <c r="F101" s="79">
        <v>1</v>
      </c>
      <c r="G101" s="50">
        <f>'Rate Class Customer Model'!Q5</f>
        <v>12256.115941066768</v>
      </c>
      <c r="H101" s="50">
        <f t="shared" si="17"/>
        <v>25975217.213508062</v>
      </c>
      <c r="I101" s="33">
        <f t="shared" si="18"/>
        <v>60775.213508062065</v>
      </c>
      <c r="J101" s="42">
        <f t="shared" si="19"/>
        <v>2.345225627781685E-3</v>
      </c>
      <c r="K101" s="12">
        <f t="shared" si="13"/>
        <v>2.345225627781685E-3</v>
      </c>
      <c r="L101" s="10">
        <f t="shared" si="14"/>
        <v>3693626576.9505296</v>
      </c>
      <c r="M101" s="10">
        <f t="shared" si="15"/>
        <v>20915.554565168917</v>
      </c>
      <c r="N101" s="10">
        <f t="shared" si="16"/>
        <v>437460422.76855832</v>
      </c>
      <c r="O101"/>
    </row>
    <row r="102" spans="1:15" x14ac:dyDescent="0.2">
      <c r="A102" s="49">
        <v>44681</v>
      </c>
      <c r="B102" s="112">
        <v>22945031</v>
      </c>
      <c r="C102" s="50">
        <v>520.50000000000011</v>
      </c>
      <c r="D102" s="50">
        <v>0</v>
      </c>
      <c r="E102" s="50">
        <v>30</v>
      </c>
      <c r="F102" s="79">
        <v>1</v>
      </c>
      <c r="G102" s="50">
        <f>'Rate Class Customer Model'!Q6</f>
        <v>12262.078975770695</v>
      </c>
      <c r="H102" s="50">
        <f t="shared" si="17"/>
        <v>22967496.946950734</v>
      </c>
      <c r="I102" s="33">
        <f t="shared" si="18"/>
        <v>22465.946950733662</v>
      </c>
      <c r="J102" s="42">
        <f t="shared" si="19"/>
        <v>9.7912035728928235E-4</v>
      </c>
      <c r="K102" s="12">
        <f t="shared" si="13"/>
        <v>9.7912035728928235E-4</v>
      </c>
      <c r="L102" s="10">
        <f t="shared" si="14"/>
        <v>504718772.39317912</v>
      </c>
      <c r="M102" s="10">
        <f t="shared" si="15"/>
        <v>-38309.266557328403</v>
      </c>
      <c r="N102" s="10">
        <f t="shared" si="16"/>
        <v>1467599904.1604404</v>
      </c>
      <c r="O102"/>
    </row>
    <row r="103" spans="1:15" x14ac:dyDescent="0.2">
      <c r="A103" s="49">
        <v>44712</v>
      </c>
      <c r="B103" s="112">
        <v>19916599</v>
      </c>
      <c r="C103" s="50">
        <v>261.8</v>
      </c>
      <c r="D103" s="50">
        <v>4.0999999999999996</v>
      </c>
      <c r="E103" s="50">
        <v>31</v>
      </c>
      <c r="F103" s="79">
        <v>1</v>
      </c>
      <c r="G103" s="50">
        <f>'Rate Class Customer Model'!Q7</f>
        <v>12268.044911702309</v>
      </c>
      <c r="H103" s="50">
        <f t="shared" si="17"/>
        <v>21088573.041412674</v>
      </c>
      <c r="I103" s="33">
        <f t="shared" si="18"/>
        <v>1171974.0414126739</v>
      </c>
      <c r="J103" s="42">
        <f t="shared" si="19"/>
        <v>5.8844084846648458E-2</v>
      </c>
      <c r="K103" s="12">
        <f t="shared" si="13"/>
        <v>5.8844084846648458E-2</v>
      </c>
      <c r="L103" s="10">
        <f t="shared" si="14"/>
        <v>1373523153745.1558</v>
      </c>
      <c r="M103" s="10">
        <f t="shared" si="15"/>
        <v>1149508.0944619402</v>
      </c>
      <c r="N103" s="10">
        <f t="shared" si="16"/>
        <v>1321368859233.521</v>
      </c>
      <c r="O103"/>
    </row>
    <row r="104" spans="1:15" x14ac:dyDescent="0.2">
      <c r="A104" s="49">
        <v>44742</v>
      </c>
      <c r="B104" s="112">
        <v>18916028</v>
      </c>
      <c r="C104" s="50">
        <v>187.39999999999995</v>
      </c>
      <c r="D104" s="50">
        <v>9.5</v>
      </c>
      <c r="E104" s="50">
        <v>30</v>
      </c>
      <c r="F104" s="79">
        <v>0</v>
      </c>
      <c r="G104" s="50">
        <f>'Rate Class Customer Model'!Q8</f>
        <v>12274.013750273158</v>
      </c>
      <c r="H104" s="50">
        <f t="shared" si="17"/>
        <v>20623800.288291603</v>
      </c>
      <c r="I104" s="33">
        <f t="shared" si="18"/>
        <v>1707772.2882916033</v>
      </c>
      <c r="J104" s="42">
        <f t="shared" si="19"/>
        <v>9.028175937842782E-2</v>
      </c>
      <c r="K104" s="12">
        <f t="shared" si="13"/>
        <v>9.028175937842782E-2</v>
      </c>
      <c r="L104" s="10">
        <f t="shared" si="14"/>
        <v>2916486188656.7393</v>
      </c>
      <c r="M104" s="10">
        <f t="shared" si="15"/>
        <v>535798.24687892944</v>
      </c>
      <c r="N104" s="10">
        <f t="shared" si="16"/>
        <v>287079761358.53424</v>
      </c>
      <c r="O104"/>
    </row>
    <row r="105" spans="1:15" x14ac:dyDescent="0.2">
      <c r="A105" s="49">
        <v>44773</v>
      </c>
      <c r="B105" s="112">
        <v>19884843</v>
      </c>
      <c r="C105" s="50">
        <v>122.49999999999999</v>
      </c>
      <c r="D105" s="50">
        <v>0.3</v>
      </c>
      <c r="E105" s="50">
        <v>31</v>
      </c>
      <c r="F105" s="79">
        <v>0</v>
      </c>
      <c r="G105" s="50">
        <f>'Rate Class Customer Model'!Q9</f>
        <v>12279.985492895479</v>
      </c>
      <c r="H105" s="50">
        <f t="shared" si="17"/>
        <v>20462551.760217346</v>
      </c>
      <c r="I105" s="33">
        <f t="shared" si="18"/>
        <v>577708.76021734625</v>
      </c>
      <c r="J105" s="42">
        <f t="shared" si="19"/>
        <v>2.90527192101716E-2</v>
      </c>
      <c r="K105" s="12">
        <f t="shared" si="13"/>
        <v>2.90527192101716E-2</v>
      </c>
      <c r="L105" s="10">
        <f t="shared" si="14"/>
        <v>333747411631.86328</v>
      </c>
      <c r="M105" s="10">
        <f t="shared" si="15"/>
        <v>-1130063.5280742571</v>
      </c>
      <c r="N105" s="10">
        <f t="shared" si="16"/>
        <v>1277043577483.6372</v>
      </c>
      <c r="O105"/>
    </row>
    <row r="106" spans="1:15" x14ac:dyDescent="0.2">
      <c r="A106" s="49">
        <v>44804</v>
      </c>
      <c r="B106" s="112">
        <v>20536450</v>
      </c>
      <c r="C106" s="50">
        <v>59.2</v>
      </c>
      <c r="D106" s="50">
        <v>5.9</v>
      </c>
      <c r="E106" s="50">
        <v>31</v>
      </c>
      <c r="F106" s="79">
        <v>0</v>
      </c>
      <c r="G106" s="50">
        <f>'Rate Class Customer Model'!Q10</f>
        <v>12285.960140982195</v>
      </c>
      <c r="H106" s="50">
        <f t="shared" si="17"/>
        <v>19972264.21322047</v>
      </c>
      <c r="I106" s="33">
        <f t="shared" si="18"/>
        <v>-564185.78677953035</v>
      </c>
      <c r="J106" s="42">
        <f t="shared" si="19"/>
        <v>-2.7472410605510221E-2</v>
      </c>
      <c r="K106" s="12">
        <f t="shared" si="13"/>
        <v>2.7472410605510221E-2</v>
      </c>
      <c r="L106" s="10">
        <f t="shared" si="14"/>
        <v>318305602004.03766</v>
      </c>
      <c r="M106" s="10">
        <f t="shared" si="15"/>
        <v>-1141894.5469968766</v>
      </c>
      <c r="N106" s="10">
        <f t="shared" si="16"/>
        <v>1303923156461.2019</v>
      </c>
      <c r="O106"/>
    </row>
    <row r="107" spans="1:15" x14ac:dyDescent="0.2">
      <c r="A107" s="49">
        <v>44834</v>
      </c>
      <c r="B107" s="112">
        <v>20139133</v>
      </c>
      <c r="C107" s="50">
        <v>165.39999999999998</v>
      </c>
      <c r="D107" s="50">
        <v>4.5</v>
      </c>
      <c r="E107" s="50">
        <v>30</v>
      </c>
      <c r="F107" s="79">
        <v>1</v>
      </c>
      <c r="G107" s="50">
        <f>'Rate Class Customer Model'!Q11</f>
        <v>12291.937695946919</v>
      </c>
      <c r="H107" s="50">
        <f t="shared" si="17"/>
        <v>19567742.27685073</v>
      </c>
      <c r="I107" s="33">
        <f t="shared" si="18"/>
        <v>-571390.72314926982</v>
      </c>
      <c r="J107" s="42">
        <f t="shared" si="19"/>
        <v>-2.8372160963894017E-2</v>
      </c>
      <c r="K107" s="12">
        <f t="shared" si="13"/>
        <v>2.8372160963894017E-2</v>
      </c>
      <c r="L107" s="10">
        <f t="shared" si="14"/>
        <v>326487358501.04553</v>
      </c>
      <c r="M107" s="10">
        <f t="shared" si="15"/>
        <v>-7204.9363697394729</v>
      </c>
      <c r="N107" s="10">
        <f t="shared" si="16"/>
        <v>51911108.091994613</v>
      </c>
      <c r="O107"/>
    </row>
    <row r="108" spans="1:15" x14ac:dyDescent="0.2">
      <c r="A108" s="49">
        <v>44865</v>
      </c>
      <c r="B108" s="112">
        <v>22313356</v>
      </c>
      <c r="C108" s="50">
        <v>327.30000000000007</v>
      </c>
      <c r="D108" s="50">
        <v>0</v>
      </c>
      <c r="E108" s="50">
        <v>31</v>
      </c>
      <c r="F108" s="79">
        <v>1</v>
      </c>
      <c r="G108" s="50">
        <f>'Rate Class Customer Model'!Q12</f>
        <v>12297.918159203949</v>
      </c>
      <c r="H108" s="50">
        <f t="shared" si="17"/>
        <v>21886380.596025594</v>
      </c>
      <c r="I108" s="33">
        <f t="shared" si="18"/>
        <v>-426975.40397440642</v>
      </c>
      <c r="J108" s="42">
        <f t="shared" si="19"/>
        <v>-1.9135418445096579E-2</v>
      </c>
      <c r="K108" s="12">
        <f t="shared" si="13"/>
        <v>1.9135418445096579E-2</v>
      </c>
      <c r="L108" s="10">
        <f t="shared" si="14"/>
        <v>182307995599.10754</v>
      </c>
      <c r="M108" s="10">
        <f t="shared" si="15"/>
        <v>144415.3191748634</v>
      </c>
      <c r="N108" s="10">
        <f t="shared" si="16"/>
        <v>20855784412.377666</v>
      </c>
      <c r="O108"/>
    </row>
    <row r="109" spans="1:15" x14ac:dyDescent="0.2">
      <c r="A109" s="49">
        <v>44895</v>
      </c>
      <c r="B109" s="112">
        <v>23932631</v>
      </c>
      <c r="C109" s="50">
        <v>521.30000000000007</v>
      </c>
      <c r="D109" s="50">
        <v>0</v>
      </c>
      <c r="E109" s="50">
        <v>30</v>
      </c>
      <c r="F109" s="79">
        <v>0</v>
      </c>
      <c r="G109" s="50">
        <f>'Rate Class Customer Model'!Q13</f>
        <v>12303.901532168275</v>
      </c>
      <c r="H109" s="50">
        <f t="shared" si="17"/>
        <v>24102299.111461237</v>
      </c>
      <c r="I109" s="33">
        <f t="shared" si="18"/>
        <v>169668.11146123707</v>
      </c>
      <c r="J109" s="42">
        <f t="shared" si="19"/>
        <v>7.0894048991620301E-3</v>
      </c>
      <c r="K109" s="12">
        <f t="shared" si="13"/>
        <v>7.0894048991620301E-3</v>
      </c>
      <c r="L109" s="10">
        <f t="shared" si="14"/>
        <v>28787268046.822765</v>
      </c>
      <c r="M109" s="10">
        <f t="shared" si="15"/>
        <v>596643.51543564349</v>
      </c>
      <c r="N109" s="10">
        <f t="shared" si="16"/>
        <v>355983484511.40295</v>
      </c>
      <c r="O109"/>
    </row>
    <row r="110" spans="1:15" x14ac:dyDescent="0.2">
      <c r="A110" s="49">
        <v>44926</v>
      </c>
      <c r="B110" s="112">
        <v>28100635</v>
      </c>
      <c r="C110" s="50">
        <v>775.0999999999998</v>
      </c>
      <c r="D110" s="50">
        <v>0</v>
      </c>
      <c r="E110" s="50">
        <v>31</v>
      </c>
      <c r="F110" s="79">
        <v>0</v>
      </c>
      <c r="G110" s="50">
        <f>'Rate Class Customer Model'!Q14</f>
        <v>12309.887816255568</v>
      </c>
      <c r="H110" s="50">
        <f t="shared" si="17"/>
        <v>27485972.565867044</v>
      </c>
      <c r="I110" s="33">
        <f t="shared" si="18"/>
        <v>-614662.43413295597</v>
      </c>
      <c r="J110" s="42">
        <f t="shared" si="19"/>
        <v>-2.1873613679297851E-2</v>
      </c>
      <c r="K110" s="12">
        <f t="shared" si="13"/>
        <v>2.1873613679297851E-2</v>
      </c>
      <c r="L110" s="10">
        <f t="shared" si="14"/>
        <v>377809907934.25043</v>
      </c>
      <c r="M110" s="10">
        <f t="shared" si="15"/>
        <v>-784330.54559419304</v>
      </c>
      <c r="N110" s="10">
        <f t="shared" si="16"/>
        <v>615174404752.08447</v>
      </c>
      <c r="O110"/>
    </row>
    <row r="111" spans="1:15" x14ac:dyDescent="0.2">
      <c r="A111" s="49">
        <v>44957</v>
      </c>
      <c r="B111" s="111">
        <v>27608826</v>
      </c>
      <c r="C111" s="50">
        <v>832.80000000000007</v>
      </c>
      <c r="D111" s="50">
        <v>0</v>
      </c>
      <c r="E111" s="64">
        <v>31</v>
      </c>
      <c r="F111" s="80">
        <v>0</v>
      </c>
      <c r="G111" s="50">
        <f>'Rate Class Customer Model'!R3</f>
        <v>12310.888748987967</v>
      </c>
      <c r="H111" s="50">
        <f t="shared" si="17"/>
        <v>28096120.992485113</v>
      </c>
      <c r="I111" s="33">
        <f t="shared" si="18"/>
        <v>487294.99248511344</v>
      </c>
      <c r="J111" s="42">
        <f t="shared" si="19"/>
        <v>1.7649971515815755E-2</v>
      </c>
      <c r="K111" s="12">
        <f t="shared" si="13"/>
        <v>1.7649971515815755E-2</v>
      </c>
      <c r="L111" s="10">
        <f t="shared" si="14"/>
        <v>237456409701.06677</v>
      </c>
      <c r="M111" s="10">
        <f t="shared" si="15"/>
        <v>1101957.4266180694</v>
      </c>
      <c r="N111" s="10">
        <f t="shared" si="16"/>
        <v>1214310170078.7178</v>
      </c>
      <c r="O111"/>
    </row>
    <row r="112" spans="1:15" x14ac:dyDescent="0.2">
      <c r="A112" s="49">
        <v>44985</v>
      </c>
      <c r="B112" s="111">
        <v>25460858</v>
      </c>
      <c r="C112" s="50">
        <v>795.6</v>
      </c>
      <c r="D112" s="50">
        <v>0</v>
      </c>
      <c r="E112" s="64">
        <v>28</v>
      </c>
      <c r="F112" s="80">
        <v>0</v>
      </c>
      <c r="G112" s="50">
        <f>'Rate Class Customer Model'!R4</f>
        <v>12322.371513770477</v>
      </c>
      <c r="H112" s="50">
        <f t="shared" si="17"/>
        <v>25720745.818463013</v>
      </c>
      <c r="I112" s="33">
        <f t="shared" si="18"/>
        <v>259887.81846301258</v>
      </c>
      <c r="J112" s="42">
        <f t="shared" si="19"/>
        <v>1.0207347233271265E-2</v>
      </c>
      <c r="K112" s="12">
        <f t="shared" si="13"/>
        <v>1.0207347233271265E-2</v>
      </c>
      <c r="L112" s="10">
        <f t="shared" si="14"/>
        <v>67541678185.463783</v>
      </c>
      <c r="M112" s="10">
        <f t="shared" si="15"/>
        <v>-227407.17402210087</v>
      </c>
      <c r="N112" s="10">
        <f t="shared" si="16"/>
        <v>51714022796.718063</v>
      </c>
      <c r="O112"/>
    </row>
    <row r="113" spans="1:15" x14ac:dyDescent="0.2">
      <c r="A113" s="49">
        <v>45016</v>
      </c>
      <c r="B113" s="111">
        <v>26814114</v>
      </c>
      <c r="C113" s="50">
        <v>766.4000000000002</v>
      </c>
      <c r="D113" s="50">
        <v>0</v>
      </c>
      <c r="E113" s="64">
        <v>31</v>
      </c>
      <c r="F113" s="80">
        <v>1</v>
      </c>
      <c r="G113" s="50">
        <f>'Rate Class Customer Model'!R5</f>
        <v>12333.864988899715</v>
      </c>
      <c r="H113" s="50">
        <f t="shared" si="17"/>
        <v>26727015.742297612</v>
      </c>
      <c r="I113" s="33">
        <f t="shared" si="18"/>
        <v>-87098.257702387869</v>
      </c>
      <c r="J113" s="42">
        <f t="shared" si="19"/>
        <v>-3.2482243382118787E-3</v>
      </c>
      <c r="K113" s="12">
        <f t="shared" si="13"/>
        <v>3.2482243382118787E-3</v>
      </c>
      <c r="L113" s="10">
        <f t="shared" si="14"/>
        <v>7586106494.7915678</v>
      </c>
      <c r="M113" s="10">
        <f t="shared" si="15"/>
        <v>-346986.07616540045</v>
      </c>
      <c r="N113" s="10">
        <f t="shared" si="16"/>
        <v>120399337052.66107</v>
      </c>
      <c r="O113"/>
    </row>
    <row r="114" spans="1:15" x14ac:dyDescent="0.2">
      <c r="A114" s="49">
        <v>45046</v>
      </c>
      <c r="B114" s="111">
        <v>24148903</v>
      </c>
      <c r="C114" s="50">
        <v>504.49999999999994</v>
      </c>
      <c r="D114" s="50">
        <v>0</v>
      </c>
      <c r="E114" s="64">
        <v>30</v>
      </c>
      <c r="F114" s="80">
        <v>1</v>
      </c>
      <c r="G114" s="50">
        <f>'Rate Class Customer Model'!R6</f>
        <v>12345.369184365571</v>
      </c>
      <c r="H114" s="50">
        <f t="shared" si="17"/>
        <v>23380524.622940168</v>
      </c>
      <c r="I114" s="33">
        <f t="shared" si="18"/>
        <v>-768378.37705983222</v>
      </c>
      <c r="J114" s="42">
        <f t="shared" si="19"/>
        <v>-3.1818355353857367E-2</v>
      </c>
      <c r="K114" s="12">
        <f t="shared" si="13"/>
        <v>3.1818355353857367E-2</v>
      </c>
      <c r="L114" s="10">
        <f t="shared" si="14"/>
        <v>590405330333.10168</v>
      </c>
      <c r="M114" s="10">
        <f t="shared" si="15"/>
        <v>-681280.11935744435</v>
      </c>
      <c r="N114" s="10">
        <f t="shared" si="16"/>
        <v>464142601031.6936</v>
      </c>
      <c r="O114"/>
    </row>
    <row r="115" spans="1:15" x14ac:dyDescent="0.2">
      <c r="A115" s="49">
        <v>45077</v>
      </c>
      <c r="B115" s="111">
        <v>21453893</v>
      </c>
      <c r="C115" s="50">
        <v>289.2</v>
      </c>
      <c r="D115" s="50">
        <v>0.6</v>
      </c>
      <c r="E115" s="64">
        <v>31</v>
      </c>
      <c r="F115" s="80">
        <v>1</v>
      </c>
      <c r="G115" s="50">
        <f>'Rate Class Customer Model'!R7</f>
        <v>12356.884110167248</v>
      </c>
      <c r="H115" s="50">
        <f t="shared" si="17"/>
        <v>21912822.273253135</v>
      </c>
      <c r="I115" s="33">
        <f t="shared" si="18"/>
        <v>458929.27325313538</v>
      </c>
      <c r="J115" s="42">
        <f t="shared" si="19"/>
        <v>2.1391421745840505E-2</v>
      </c>
      <c r="K115" s="12">
        <f t="shared" si="13"/>
        <v>2.1391421745840505E-2</v>
      </c>
      <c r="L115" s="10">
        <f t="shared" si="14"/>
        <v>210616077848.651</v>
      </c>
      <c r="M115" s="10">
        <f t="shared" si="15"/>
        <v>1227307.6503129676</v>
      </c>
      <c r="N115" s="10">
        <f t="shared" si="16"/>
        <v>1506284068516.7375</v>
      </c>
      <c r="O115"/>
    </row>
    <row r="116" spans="1:15" x14ac:dyDescent="0.2">
      <c r="A116" s="49">
        <v>45107</v>
      </c>
      <c r="B116" s="111">
        <v>20524157</v>
      </c>
      <c r="C116" s="50">
        <v>86.800000000000011</v>
      </c>
      <c r="D116" s="50">
        <v>6.8000000000000007</v>
      </c>
      <c r="E116" s="64">
        <v>30</v>
      </c>
      <c r="F116" s="80">
        <v>0</v>
      </c>
      <c r="G116" s="50">
        <f>'Rate Class Customer Model'!R8</f>
        <v>12368.40977631328</v>
      </c>
      <c r="H116" s="50">
        <f t="shared" si="17"/>
        <v>20167241.679898992</v>
      </c>
      <c r="I116" s="33">
        <f t="shared" si="18"/>
        <v>-356915.32010100782</v>
      </c>
      <c r="J116" s="42">
        <f t="shared" si="19"/>
        <v>-1.7390011200021899E-2</v>
      </c>
      <c r="K116" s="12">
        <f t="shared" si="13"/>
        <v>1.7390011200021899E-2</v>
      </c>
      <c r="L116" s="10">
        <f t="shared" si="14"/>
        <v>127388545722.80487</v>
      </c>
      <c r="M116" s="10">
        <f t="shared" si="15"/>
        <v>-815844.5933541432</v>
      </c>
      <c r="N116" s="10">
        <f t="shared" si="16"/>
        <v>665602400505.18726</v>
      </c>
      <c r="O116"/>
    </row>
    <row r="117" spans="1:15" x14ac:dyDescent="0.2">
      <c r="A117" s="49">
        <v>45138</v>
      </c>
      <c r="B117" s="111">
        <v>20651596</v>
      </c>
      <c r="C117" s="50">
        <v>79.2</v>
      </c>
      <c r="D117" s="50">
        <v>2.4000000000000004</v>
      </c>
      <c r="E117" s="64">
        <v>31</v>
      </c>
      <c r="F117" s="80">
        <v>0</v>
      </c>
      <c r="G117" s="50">
        <f>'Rate Class Customer Model'!R9</f>
        <v>12379.946192821533</v>
      </c>
      <c r="H117" s="50">
        <f t="shared" si="17"/>
        <v>20755014.839004882</v>
      </c>
      <c r="I117" s="33">
        <f t="shared" si="18"/>
        <v>103418.83900488168</v>
      </c>
      <c r="J117" s="42">
        <f t="shared" si="19"/>
        <v>5.0077891803075019E-3</v>
      </c>
      <c r="K117" s="12">
        <f t="shared" si="13"/>
        <v>5.0077891803075019E-3</v>
      </c>
      <c r="L117" s="10">
        <f t="shared" si="14"/>
        <v>10695456261.117636</v>
      </c>
      <c r="M117" s="10">
        <f t="shared" si="15"/>
        <v>460334.1591058895</v>
      </c>
      <c r="N117" s="10">
        <f t="shared" si="16"/>
        <v>211907538039.72638</v>
      </c>
      <c r="O117"/>
    </row>
    <row r="118" spans="1:15" x14ac:dyDescent="0.2">
      <c r="A118" s="49">
        <v>45169</v>
      </c>
      <c r="B118" s="111">
        <v>20850815</v>
      </c>
      <c r="C118" s="50">
        <v>82.1</v>
      </c>
      <c r="D118" s="50">
        <v>3.6</v>
      </c>
      <c r="E118" s="64">
        <v>31</v>
      </c>
      <c r="F118" s="80">
        <v>0</v>
      </c>
      <c r="G118" s="50">
        <f>'Rate Class Customer Model'!R10</f>
        <v>12391.493369719219</v>
      </c>
      <c r="H118" s="50">
        <f t="shared" si="17"/>
        <v>20893594.72658401</v>
      </c>
      <c r="I118" s="33">
        <f t="shared" si="18"/>
        <v>42779.726584009826</v>
      </c>
      <c r="J118" s="42">
        <f t="shared" si="19"/>
        <v>2.0517052491238271E-3</v>
      </c>
      <c r="K118" s="12">
        <f t="shared" si="13"/>
        <v>2.0517052491238271E-3</v>
      </c>
      <c r="L118" s="10">
        <f t="shared" si="14"/>
        <v>1830105006.6026371</v>
      </c>
      <c r="M118" s="10">
        <f t="shared" si="15"/>
        <v>-60639.112420871854</v>
      </c>
      <c r="N118" s="10">
        <f t="shared" si="16"/>
        <v>3677101955.1911349</v>
      </c>
      <c r="O118"/>
    </row>
    <row r="119" spans="1:15" x14ac:dyDescent="0.2">
      <c r="A119" s="49">
        <v>45199</v>
      </c>
      <c r="B119" s="111">
        <v>19577976.720000003</v>
      </c>
      <c r="C119" s="50">
        <v>112.7</v>
      </c>
      <c r="D119" s="50">
        <v>10.3</v>
      </c>
      <c r="E119" s="50">
        <v>30</v>
      </c>
      <c r="F119" s="79">
        <v>1</v>
      </c>
      <c r="G119" s="92">
        <f>'Rate Class Customer Model'!R11</f>
        <v>12403.0513170429</v>
      </c>
      <c r="H119" s="92">
        <f>$Q$18+$Q$19*C119+$Q$20*D119+$Q$21*E119+$Q$22*F119+$Q$23*G119</f>
        <v>19925406.08490783</v>
      </c>
      <c r="I119" s="33">
        <f t="shared" si="18"/>
        <v>347429.36490782723</v>
      </c>
      <c r="J119" s="42">
        <f t="shared" si="19"/>
        <v>1.7745927982073275E-2</v>
      </c>
      <c r="K119" s="12">
        <f t="shared" si="13"/>
        <v>1.7745927982073275E-2</v>
      </c>
      <c r="L119" s="10">
        <f t="shared" si="14"/>
        <v>120707163600.25616</v>
      </c>
      <c r="M119" s="10">
        <f t="shared" si="15"/>
        <v>304649.6383238174</v>
      </c>
      <c r="N119" s="10">
        <f t="shared" si="16"/>
        <v>92811402130.832748</v>
      </c>
      <c r="O119"/>
    </row>
    <row r="120" spans="1:15" x14ac:dyDescent="0.2">
      <c r="A120" s="49">
        <v>45230</v>
      </c>
      <c r="B120" s="111">
        <v>21816697.489999998</v>
      </c>
      <c r="C120" s="50">
        <v>344.3</v>
      </c>
      <c r="D120" s="50">
        <v>3.7</v>
      </c>
      <c r="E120" s="50">
        <v>31</v>
      </c>
      <c r="F120" s="79">
        <v>1</v>
      </c>
      <c r="G120" s="92">
        <f>'Rate Class Customer Model'!R12</f>
        <v>12414.620044838503</v>
      </c>
      <c r="H120" s="92">
        <f t="shared" ref="H120:H146" si="20">$Q$18+$Q$19*C120+$Q$20*D120+$Q$21*E120+$Q$22*F120+$Q$23*G120</f>
        <v>22962920.790109791</v>
      </c>
      <c r="I120" s="33">
        <f t="shared" si="18"/>
        <v>1146223.3001097925</v>
      </c>
      <c r="J120" s="42">
        <f t="shared" si="19"/>
        <v>5.2538808893288304E-2</v>
      </c>
      <c r="K120" s="12">
        <f t="shared" ref="K120:K122" si="21">ABS(J120)</f>
        <v>5.2538808893288304E-2</v>
      </c>
      <c r="L120" s="10">
        <f t="shared" ref="L120:L122" si="22">I120*I120</f>
        <v>1313827853714.5835</v>
      </c>
      <c r="M120" s="10">
        <f t="shared" si="15"/>
        <v>798793.93520196527</v>
      </c>
      <c r="N120" s="10">
        <f t="shared" si="16"/>
        <v>638071750915.44153</v>
      </c>
      <c r="O120"/>
    </row>
    <row r="121" spans="1:15" x14ac:dyDescent="0.2">
      <c r="A121" s="49">
        <v>45260</v>
      </c>
      <c r="B121" s="111">
        <v>25527563.699999999</v>
      </c>
      <c r="C121" s="50">
        <v>586.4</v>
      </c>
      <c r="D121" s="50">
        <v>0</v>
      </c>
      <c r="E121" s="50">
        <v>30</v>
      </c>
      <c r="F121" s="79">
        <v>0</v>
      </c>
      <c r="G121" s="92">
        <f>'Rate Class Customer Model'!R13</f>
        <v>12426.199563161323</v>
      </c>
      <c r="H121" s="92">
        <f t="shared" si="20"/>
        <v>25634885.702037439</v>
      </c>
      <c r="I121" s="33">
        <f t="shared" si="18"/>
        <v>107322.0020374395</v>
      </c>
      <c r="J121" s="42">
        <f t="shared" si="19"/>
        <v>4.2041615603701146E-3</v>
      </c>
      <c r="K121" s="12">
        <f t="shared" si="21"/>
        <v>4.2041615603701146E-3</v>
      </c>
      <c r="L121" s="10">
        <f t="shared" si="22"/>
        <v>11518012121.324167</v>
      </c>
      <c r="M121" s="10">
        <f t="shared" ref="M121:M122" si="23">I121-I120</f>
        <v>-1038901.298072353</v>
      </c>
      <c r="N121" s="10">
        <f t="shared" ref="N121:N122" si="24">M121*M121</f>
        <v>1079315907136.42</v>
      </c>
      <c r="O121"/>
    </row>
    <row r="122" spans="1:15" x14ac:dyDescent="0.2">
      <c r="A122" s="49">
        <v>45291</v>
      </c>
      <c r="B122" s="111">
        <v>26964599.219999999</v>
      </c>
      <c r="C122" s="50">
        <v>603.9</v>
      </c>
      <c r="D122" s="50">
        <v>0</v>
      </c>
      <c r="E122" s="50">
        <v>31</v>
      </c>
      <c r="F122" s="79">
        <v>0</v>
      </c>
      <c r="G122" s="92">
        <f>'Rate Class Customer Model'!R14</f>
        <v>12437.789882076033</v>
      </c>
      <c r="H122" s="92">
        <f t="shared" si="20"/>
        <v>26587408.092427485</v>
      </c>
      <c r="I122" s="33">
        <f t="shared" si="18"/>
        <v>-377191.12757251412</v>
      </c>
      <c r="J122" s="42">
        <f t="shared" si="19"/>
        <v>-1.3988382489762596E-2</v>
      </c>
      <c r="K122" s="12">
        <f t="shared" si="21"/>
        <v>1.3988382489762596E-2</v>
      </c>
      <c r="L122" s="10">
        <f t="shared" si="22"/>
        <v>142273146719.42462</v>
      </c>
      <c r="M122" s="10">
        <f t="shared" si="23"/>
        <v>-484513.12960995361</v>
      </c>
      <c r="N122" s="10">
        <f t="shared" si="24"/>
        <v>234752972764.4317</v>
      </c>
      <c r="O122"/>
    </row>
    <row r="123" spans="1:15" x14ac:dyDescent="0.2">
      <c r="A123" s="49">
        <v>45322</v>
      </c>
      <c r="B123" s="110"/>
      <c r="C123" s="58">
        <f t="shared" ref="C123:D130" si="25">(C3+C15+C27+C39+C51+C63+C75+C87+C99+C111)/10</f>
        <v>895.70000488281255</v>
      </c>
      <c r="D123" s="58">
        <f t="shared" si="25"/>
        <v>0</v>
      </c>
      <c r="E123" s="64">
        <v>31</v>
      </c>
      <c r="F123" s="80">
        <v>0</v>
      </c>
      <c r="G123" s="50">
        <f>'Rate Class Customer Model'!S3</f>
        <v>12449.391011656697</v>
      </c>
      <c r="H123" s="50">
        <f t="shared" si="20"/>
        <v>29718605.096059777</v>
      </c>
      <c r="I123" s="33"/>
      <c r="J123"/>
      <c r="K123" s="12">
        <f>AVERAGE(K3:K122)</f>
        <v>3.6445113883904715E-2</v>
      </c>
      <c r="L123" s="84">
        <f>SUM(L3:L122)</f>
        <v>99580563214834.156</v>
      </c>
      <c r="M123" s="10"/>
      <c r="N123" s="10">
        <f>SUM(N3:N122)</f>
        <v>68616464146952.438</v>
      </c>
    </row>
    <row r="124" spans="1:15" x14ac:dyDescent="0.2">
      <c r="A124" s="49">
        <v>45351</v>
      </c>
      <c r="B124" s="110"/>
      <c r="C124" s="58">
        <f t="shared" si="25"/>
        <v>837.00000366210929</v>
      </c>
      <c r="D124" s="58">
        <f t="shared" si="25"/>
        <v>0</v>
      </c>
      <c r="E124" s="64">
        <v>29</v>
      </c>
      <c r="F124" s="80">
        <v>0</v>
      </c>
      <c r="G124" s="50">
        <f>'Rate Class Customer Model'!S4</f>
        <v>12442.479792421394</v>
      </c>
      <c r="H124" s="50">
        <f t="shared" si="20"/>
        <v>27679158.714651197</v>
      </c>
      <c r="I124" s="33"/>
      <c r="J124"/>
      <c r="K124"/>
      <c r="L124"/>
      <c r="M124" s="10"/>
      <c r="N124" s="10"/>
      <c r="O124"/>
    </row>
    <row r="125" spans="1:15" x14ac:dyDescent="0.2">
      <c r="A125" s="49">
        <v>45382</v>
      </c>
      <c r="B125" s="110"/>
      <c r="C125" s="58">
        <f t="shared" si="25"/>
        <v>738.80999877929696</v>
      </c>
      <c r="D125" s="58">
        <f t="shared" si="25"/>
        <v>0</v>
      </c>
      <c r="E125" s="64">
        <v>31</v>
      </c>
      <c r="F125" s="80">
        <v>1</v>
      </c>
      <c r="G125" s="50">
        <f>'Rate Class Customer Model'!S5</f>
        <v>12435.572409916038</v>
      </c>
      <c r="H125" s="50">
        <f t="shared" si="20"/>
        <v>27147199.126402073</v>
      </c>
      <c r="I125" s="33"/>
      <c r="J125"/>
      <c r="K125"/>
      <c r="L125"/>
      <c r="M125" s="10"/>
      <c r="N125" s="10"/>
      <c r="O125"/>
    </row>
    <row r="126" spans="1:15" x14ac:dyDescent="0.2">
      <c r="A126" s="49">
        <v>45412</v>
      </c>
      <c r="B126" s="110"/>
      <c r="C126" s="58">
        <f t="shared" si="25"/>
        <v>498.90000427246093</v>
      </c>
      <c r="D126" s="58">
        <f t="shared" si="25"/>
        <v>0</v>
      </c>
      <c r="E126" s="64">
        <v>30</v>
      </c>
      <c r="F126" s="80">
        <v>1</v>
      </c>
      <c r="G126" s="50">
        <f>'Rate Class Customer Model'!S6</f>
        <v>12428.668862010687</v>
      </c>
      <c r="H126" s="50">
        <f t="shared" si="20"/>
        <v>23902336.146343112</v>
      </c>
      <c r="I126" s="33"/>
      <c r="J126"/>
      <c r="K126"/>
      <c r="L126"/>
      <c r="M126" s="10"/>
      <c r="N126" s="10"/>
      <c r="O126"/>
    </row>
    <row r="127" spans="1:15" x14ac:dyDescent="0.2">
      <c r="A127" s="49">
        <v>45443</v>
      </c>
      <c r="B127" s="50"/>
      <c r="C127" s="58">
        <f t="shared" si="25"/>
        <v>281.87999725341797</v>
      </c>
      <c r="D127" s="58">
        <f t="shared" si="25"/>
        <v>1.9499999940395356</v>
      </c>
      <c r="E127" s="64">
        <v>31</v>
      </c>
      <c r="F127" s="80">
        <v>1</v>
      </c>
      <c r="G127" s="50">
        <f>'Rate Class Customer Model'!S7</f>
        <v>12421.769146576582</v>
      </c>
      <c r="H127" s="50">
        <f t="shared" si="20"/>
        <v>22319649.583157368</v>
      </c>
      <c r="I127" s="33"/>
      <c r="J127"/>
      <c r="K127"/>
      <c r="L127"/>
      <c r="M127" s="10"/>
      <c r="N127" s="10"/>
      <c r="O127"/>
    </row>
    <row r="128" spans="1:15" x14ac:dyDescent="0.2">
      <c r="A128" s="49">
        <v>45473</v>
      </c>
      <c r="B128" s="50"/>
      <c r="C128" s="58">
        <f t="shared" si="25"/>
        <v>126.93000061035154</v>
      </c>
      <c r="D128" s="58">
        <f t="shared" si="25"/>
        <v>7.2900000768899913</v>
      </c>
      <c r="E128" s="64">
        <v>30</v>
      </c>
      <c r="F128" s="80">
        <v>0</v>
      </c>
      <c r="G128" s="50">
        <f>'Rate Class Customer Model'!S8</f>
        <v>12414.873261486144</v>
      </c>
      <c r="H128" s="50">
        <f t="shared" si="20"/>
        <v>20921816.625074714</v>
      </c>
      <c r="I128" s="33"/>
      <c r="J128"/>
      <c r="K128"/>
      <c r="L128"/>
      <c r="M128" s="10"/>
      <c r="N128" s="10"/>
      <c r="O128"/>
    </row>
    <row r="129" spans="1:15" x14ac:dyDescent="0.2">
      <c r="A129" s="49">
        <v>45504</v>
      </c>
      <c r="B129" s="50"/>
      <c r="C129" s="58">
        <f t="shared" si="25"/>
        <v>59.829999809265146</v>
      </c>
      <c r="D129" s="58">
        <f t="shared" si="25"/>
        <v>18.570000028610231</v>
      </c>
      <c r="E129" s="64">
        <v>31</v>
      </c>
      <c r="F129" s="80">
        <v>0</v>
      </c>
      <c r="G129" s="50">
        <f>'Rate Class Customer Model'!S9</f>
        <v>12407.981204612977</v>
      </c>
      <c r="H129" s="50">
        <f t="shared" si="20"/>
        <v>21122652.456438474</v>
      </c>
      <c r="I129" s="33"/>
      <c r="J129"/>
      <c r="K129"/>
      <c r="L129"/>
      <c r="M129" s="10"/>
      <c r="N129" s="10"/>
      <c r="O129"/>
    </row>
    <row r="130" spans="1:15" x14ac:dyDescent="0.2">
      <c r="A130" s="49">
        <v>45535</v>
      </c>
      <c r="B130" s="50"/>
      <c r="C130" s="58">
        <f t="shared" si="25"/>
        <v>54.610000228881837</v>
      </c>
      <c r="D130" s="58">
        <f t="shared" si="25"/>
        <v>20.229999904632567</v>
      </c>
      <c r="E130" s="64">
        <v>31</v>
      </c>
      <c r="F130" s="80">
        <v>0</v>
      </c>
      <c r="G130" s="50">
        <f>'Rate Class Customer Model'!S10</f>
        <v>12401.092973831865</v>
      </c>
      <c r="H130" s="50">
        <f t="shared" si="20"/>
        <v>21058570.977264874</v>
      </c>
      <c r="I130" s="33"/>
      <c r="J130"/>
      <c r="K130"/>
      <c r="L130"/>
      <c r="M130" s="10"/>
      <c r="N130" s="10"/>
      <c r="O130"/>
    </row>
    <row r="131" spans="1:15" x14ac:dyDescent="0.2">
      <c r="A131" s="49">
        <v>45565</v>
      </c>
      <c r="B131" s="50"/>
      <c r="C131" s="58">
        <f>C119</f>
        <v>112.7</v>
      </c>
      <c r="D131" s="58">
        <f>D119</f>
        <v>10.3</v>
      </c>
      <c r="E131" s="64">
        <v>30</v>
      </c>
      <c r="F131" s="80">
        <v>1</v>
      </c>
      <c r="G131" s="50">
        <f>'Rate Class Customer Model'!S11</f>
        <v>12394.20856701877</v>
      </c>
      <c r="H131" s="50">
        <f t="shared" si="20"/>
        <v>19863798.327508882</v>
      </c>
      <c r="I131" s="33"/>
      <c r="J131"/>
      <c r="K131"/>
      <c r="L131"/>
      <c r="M131" s="10"/>
      <c r="N131" s="10"/>
    </row>
    <row r="132" spans="1:15" x14ac:dyDescent="0.2">
      <c r="A132" s="49">
        <v>45596</v>
      </c>
      <c r="B132" s="50"/>
      <c r="C132" s="58">
        <f t="shared" ref="C132:D146" si="26">C120</f>
        <v>344.3</v>
      </c>
      <c r="D132" s="58">
        <f t="shared" si="26"/>
        <v>3.7</v>
      </c>
      <c r="E132" s="64">
        <v>31</v>
      </c>
      <c r="F132" s="80">
        <v>1</v>
      </c>
      <c r="G132" s="50">
        <f>'Rate Class Customer Model'!S12</f>
        <v>12387.327982050836</v>
      </c>
      <c r="H132" s="50">
        <f t="shared" si="20"/>
        <v>22772776.007259317</v>
      </c>
      <c r="I132" s="33"/>
      <c r="J132"/>
      <c r="K132"/>
      <c r="L132"/>
      <c r="M132" s="10"/>
      <c r="N132" s="10"/>
      <c r="O132"/>
    </row>
    <row r="133" spans="1:15" x14ac:dyDescent="0.2">
      <c r="A133" s="49">
        <v>45626</v>
      </c>
      <c r="B133" s="50"/>
      <c r="C133" s="58">
        <f t="shared" si="26"/>
        <v>586.4</v>
      </c>
      <c r="D133" s="58">
        <f t="shared" si="26"/>
        <v>0</v>
      </c>
      <c r="E133" s="64">
        <v>30</v>
      </c>
      <c r="F133" s="80">
        <v>0</v>
      </c>
      <c r="G133" s="50">
        <f>'Rate Class Customer Model'!S13</f>
        <v>12380.451216806383</v>
      </c>
      <c r="H133" s="50">
        <f t="shared" si="20"/>
        <v>25316155.327895135</v>
      </c>
      <c r="I133" s="33"/>
      <c r="L133"/>
      <c r="M133" s="10"/>
      <c r="N133" s="10"/>
      <c r="O133"/>
    </row>
    <row r="134" spans="1:15" x14ac:dyDescent="0.2">
      <c r="A134" s="49">
        <v>45657</v>
      </c>
      <c r="B134" s="50"/>
      <c r="C134" s="58">
        <f t="shared" si="26"/>
        <v>603.9</v>
      </c>
      <c r="D134" s="58">
        <f t="shared" si="26"/>
        <v>0</v>
      </c>
      <c r="E134" s="64">
        <v>31</v>
      </c>
      <c r="F134" s="80">
        <v>0</v>
      </c>
      <c r="G134" s="50">
        <f>'Rate Class Customer Model'!S14</f>
        <v>12373.578269164911</v>
      </c>
      <c r="H134" s="50">
        <f t="shared" si="20"/>
        <v>26140043.476258509</v>
      </c>
      <c r="I134" s="33"/>
      <c r="L134"/>
      <c r="M134" s="10"/>
      <c r="N134" s="10"/>
      <c r="O134"/>
    </row>
    <row r="135" spans="1:15" x14ac:dyDescent="0.2">
      <c r="A135" s="49">
        <v>45688</v>
      </c>
      <c r="B135" s="10"/>
      <c r="C135" s="58">
        <f t="shared" si="26"/>
        <v>895.70000488281255</v>
      </c>
      <c r="D135" s="58">
        <f t="shared" si="26"/>
        <v>0</v>
      </c>
      <c r="E135" s="64">
        <v>31</v>
      </c>
      <c r="F135" s="80">
        <v>0</v>
      </c>
      <c r="G135" s="50">
        <f>'Rate Class Customer Model'!T3</f>
        <v>12366.709137007096</v>
      </c>
      <c r="H135" s="50">
        <f t="shared" si="20"/>
        <v>29142557.502177529</v>
      </c>
      <c r="I135" s="33"/>
      <c r="L135"/>
      <c r="M135" s="10"/>
      <c r="N135" s="10"/>
      <c r="O135"/>
    </row>
    <row r="136" spans="1:15" x14ac:dyDescent="0.2">
      <c r="A136" s="49">
        <v>45716</v>
      </c>
      <c r="B136" s="10"/>
      <c r="C136" s="58">
        <f t="shared" si="26"/>
        <v>837.00000366210929</v>
      </c>
      <c r="D136" s="58">
        <f t="shared" si="26"/>
        <v>0</v>
      </c>
      <c r="E136" s="64">
        <v>28</v>
      </c>
      <c r="F136" s="80">
        <v>0</v>
      </c>
      <c r="G136" s="50">
        <f>'Rate Class Customer Model'!T4</f>
        <v>12378.221904210748</v>
      </c>
      <c r="H136" s="50">
        <f t="shared" si="20"/>
        <v>26542638.13391377</v>
      </c>
      <c r="I136" s="33"/>
      <c r="L136"/>
      <c r="M136" s="10"/>
      <c r="N136" s="10"/>
      <c r="O136"/>
    </row>
    <row r="137" spans="1:15" x14ac:dyDescent="0.2">
      <c r="A137" s="49">
        <v>45747</v>
      </c>
      <c r="B137" s="10"/>
      <c r="C137" s="58">
        <f t="shared" si="26"/>
        <v>738.80999877929696</v>
      </c>
      <c r="D137" s="58">
        <f t="shared" si="26"/>
        <v>0</v>
      </c>
      <c r="E137" s="64">
        <v>31</v>
      </c>
      <c r="F137" s="80">
        <v>1</v>
      </c>
      <c r="G137" s="50">
        <f>'Rate Class Customer Model'!T5</f>
        <v>12389.745389205789</v>
      </c>
      <c r="H137" s="50">
        <f t="shared" si="20"/>
        <v>26827920.625197239</v>
      </c>
      <c r="I137" s="33"/>
      <c r="L137"/>
      <c r="M137" s="10"/>
      <c r="N137" s="10"/>
      <c r="O137"/>
    </row>
    <row r="138" spans="1:15" x14ac:dyDescent="0.2">
      <c r="A138" s="49">
        <v>45777</v>
      </c>
      <c r="B138" s="10"/>
      <c r="C138" s="58">
        <f t="shared" si="26"/>
        <v>498.90000427246093</v>
      </c>
      <c r="D138" s="58">
        <f t="shared" si="26"/>
        <v>0</v>
      </c>
      <c r="E138" s="64">
        <v>30</v>
      </c>
      <c r="F138" s="80">
        <v>1</v>
      </c>
      <c r="G138" s="50">
        <f>'Rate Class Customer Model'!T6</f>
        <v>12401.279601969927</v>
      </c>
      <c r="H138" s="50">
        <f t="shared" si="20"/>
        <v>23711514.186735168</v>
      </c>
      <c r="I138" s="33"/>
      <c r="L138"/>
      <c r="M138" s="10"/>
      <c r="N138" s="10"/>
      <c r="O138"/>
    </row>
    <row r="139" spans="1:15" x14ac:dyDescent="0.2">
      <c r="A139" s="49">
        <v>45808</v>
      </c>
      <c r="B139" s="10"/>
      <c r="C139" s="58">
        <f t="shared" si="26"/>
        <v>281.87999725341797</v>
      </c>
      <c r="D139" s="58">
        <f t="shared" si="26"/>
        <v>1.9499999940395356</v>
      </c>
      <c r="E139" s="64">
        <v>31</v>
      </c>
      <c r="F139" s="80">
        <v>1</v>
      </c>
      <c r="G139" s="50">
        <f>'Rate Class Customer Model'!T7</f>
        <v>12412.824552490161</v>
      </c>
      <c r="H139" s="50">
        <f t="shared" si="20"/>
        <v>22257332.274514191</v>
      </c>
      <c r="I139" s="33"/>
      <c r="L139"/>
      <c r="M139" s="10"/>
      <c r="N139" s="10"/>
      <c r="O139"/>
    </row>
    <row r="140" spans="1:15" x14ac:dyDescent="0.2">
      <c r="A140" s="49">
        <v>45838</v>
      </c>
      <c r="B140" s="10"/>
      <c r="C140" s="58">
        <f t="shared" si="26"/>
        <v>126.93000061035154</v>
      </c>
      <c r="D140" s="58">
        <f t="shared" si="26"/>
        <v>7.2900000768899913</v>
      </c>
      <c r="E140" s="64">
        <v>30</v>
      </c>
      <c r="F140" s="80">
        <v>0</v>
      </c>
      <c r="G140" s="50">
        <f>'Rate Class Customer Model'!T8</f>
        <v>12424.380250762788</v>
      </c>
      <c r="H140" s="50">
        <f t="shared" si="20"/>
        <v>20988052.161231637</v>
      </c>
      <c r="I140" s="33"/>
      <c r="L140"/>
      <c r="M140" s="10"/>
      <c r="N140" s="10"/>
      <c r="O140"/>
    </row>
    <row r="141" spans="1:15" x14ac:dyDescent="0.2">
      <c r="A141" s="49">
        <v>45869</v>
      </c>
      <c r="B141" s="10"/>
      <c r="C141" s="58">
        <f t="shared" si="26"/>
        <v>59.829999809265146</v>
      </c>
      <c r="D141" s="58">
        <f t="shared" si="26"/>
        <v>18.570000028610231</v>
      </c>
      <c r="E141" s="64">
        <v>31</v>
      </c>
      <c r="F141" s="80">
        <v>0</v>
      </c>
      <c r="G141" s="50">
        <f>'Rate Class Customer Model'!T9</f>
        <v>12435.946706793411</v>
      </c>
      <c r="H141" s="50">
        <f t="shared" si="20"/>
        <v>21317489.115754895</v>
      </c>
      <c r="I141" s="33"/>
      <c r="L141"/>
      <c r="M141" s="10"/>
      <c r="N141" s="10"/>
      <c r="O141"/>
    </row>
    <row r="142" spans="1:15" x14ac:dyDescent="0.2">
      <c r="A142" s="49">
        <v>45900</v>
      </c>
      <c r="B142" s="10"/>
      <c r="C142" s="58">
        <f t="shared" si="26"/>
        <v>54.610000228881837</v>
      </c>
      <c r="D142" s="58">
        <f t="shared" si="26"/>
        <v>20.229999904632567</v>
      </c>
      <c r="E142" s="64">
        <v>31</v>
      </c>
      <c r="F142" s="80">
        <v>0</v>
      </c>
      <c r="G142" s="50">
        <f>'Rate Class Customer Model'!T10</f>
        <v>12447.523930596944</v>
      </c>
      <c r="H142" s="50">
        <f t="shared" si="20"/>
        <v>21382057.122680955</v>
      </c>
      <c r="I142" s="33"/>
      <c r="L142"/>
      <c r="M142" s="10"/>
      <c r="N142" s="10"/>
      <c r="O142"/>
    </row>
    <row r="143" spans="1:15" x14ac:dyDescent="0.2">
      <c r="A143" s="49">
        <v>45930</v>
      </c>
      <c r="B143" s="10"/>
      <c r="C143" s="58">
        <f t="shared" si="26"/>
        <v>112.7</v>
      </c>
      <c r="D143" s="58">
        <f t="shared" si="26"/>
        <v>10.3</v>
      </c>
      <c r="E143" s="64">
        <v>30</v>
      </c>
      <c r="F143" s="80">
        <v>1</v>
      </c>
      <c r="G143" s="50">
        <f>'Rate Class Customer Model'!T11</f>
        <v>12459.111932197629</v>
      </c>
      <c r="H143" s="50">
        <f t="shared" si="20"/>
        <v>20315982.406602249</v>
      </c>
      <c r="I143" s="33"/>
      <c r="L143"/>
      <c r="M143" s="10"/>
      <c r="N143" s="10"/>
      <c r="O143"/>
    </row>
    <row r="144" spans="1:15" x14ac:dyDescent="0.2">
      <c r="A144" s="49">
        <v>45961</v>
      </c>
      <c r="B144" s="10"/>
      <c r="C144" s="58">
        <f t="shared" si="26"/>
        <v>344.3</v>
      </c>
      <c r="D144" s="58">
        <f t="shared" si="26"/>
        <v>3.7</v>
      </c>
      <c r="E144" s="64">
        <v>31</v>
      </c>
      <c r="F144" s="80">
        <v>1</v>
      </c>
      <c r="G144" s="50">
        <f>'Rate Class Customer Model'!T12</f>
        <v>12470.710721629039</v>
      </c>
      <c r="H144" s="50">
        <f t="shared" si="20"/>
        <v>23353706.552301876</v>
      </c>
      <c r="I144" s="33"/>
      <c r="L144"/>
      <c r="M144" s="10"/>
      <c r="N144" s="10"/>
      <c r="O144"/>
    </row>
    <row r="145" spans="1:15" x14ac:dyDescent="0.2">
      <c r="A145" s="49">
        <v>45991</v>
      </c>
      <c r="B145" s="10"/>
      <c r="C145" s="58">
        <f t="shared" si="26"/>
        <v>586.4</v>
      </c>
      <c r="D145" s="58">
        <f t="shared" si="26"/>
        <v>0</v>
      </c>
      <c r="E145" s="64">
        <v>30</v>
      </c>
      <c r="F145" s="80">
        <v>0</v>
      </c>
      <c r="G145" s="50">
        <f>'Rate Class Customer Model'!T13</f>
        <v>12482.320308934086</v>
      </c>
      <c r="H145" s="50">
        <f t="shared" si="20"/>
        <v>26025880.955909967</v>
      </c>
      <c r="I145" s="33"/>
      <c r="L145"/>
      <c r="M145" s="10"/>
      <c r="N145" s="10"/>
      <c r="O145"/>
    </row>
    <row r="146" spans="1:15" x14ac:dyDescent="0.2">
      <c r="A146" s="49">
        <v>46022</v>
      </c>
      <c r="B146" s="10"/>
      <c r="C146" s="58">
        <f t="shared" si="26"/>
        <v>603.9</v>
      </c>
      <c r="D146" s="58">
        <f t="shared" si="26"/>
        <v>0</v>
      </c>
      <c r="E146" s="64">
        <v>31</v>
      </c>
      <c r="F146" s="80">
        <v>0</v>
      </c>
      <c r="G146" s="50">
        <f>'Rate Class Customer Model'!T14</f>
        <v>12493.940704165032</v>
      </c>
      <c r="H146" s="50">
        <f t="shared" si="20"/>
        <v>26978612.889076747</v>
      </c>
      <c r="I146" s="33"/>
      <c r="L146"/>
      <c r="M146" s="10"/>
      <c r="N146" s="10"/>
      <c r="O146"/>
    </row>
    <row r="147" spans="1:15" x14ac:dyDescent="0.2">
      <c r="A147" s="34"/>
      <c r="E147" s="10"/>
      <c r="F147" s="60"/>
      <c r="L147"/>
      <c r="O147"/>
    </row>
    <row r="148" spans="1:15" x14ac:dyDescent="0.2">
      <c r="A148" s="34"/>
      <c r="E148" s="10"/>
      <c r="F148" s="60"/>
      <c r="O148"/>
    </row>
    <row r="149" spans="1:15" x14ac:dyDescent="0.2">
      <c r="A149" s="34"/>
      <c r="C149" s="67" t="s">
        <v>67</v>
      </c>
      <c r="D149" s="66"/>
      <c r="E149" s="10"/>
      <c r="F149" s="60"/>
      <c r="O149"/>
    </row>
    <row r="150" spans="1:15" x14ac:dyDescent="0.2">
      <c r="A150" s="34"/>
      <c r="C150"/>
      <c r="D150"/>
      <c r="E150" s="10"/>
      <c r="F150" s="60"/>
      <c r="H150" s="33">
        <f>SUM(H2:H146)</f>
        <v>3020170221.0742908</v>
      </c>
      <c r="O150"/>
    </row>
    <row r="151" spans="1:15" x14ac:dyDescent="0.2">
      <c r="A151" s="34"/>
      <c r="E151" s="10"/>
      <c r="F151" s="60"/>
      <c r="O151"/>
    </row>
    <row r="152" spans="1:15" x14ac:dyDescent="0.2">
      <c r="H152" s="6"/>
      <c r="I152" t="s">
        <v>106</v>
      </c>
      <c r="J152" t="s">
        <v>107</v>
      </c>
      <c r="K152" s="5" t="s">
        <v>108</v>
      </c>
      <c r="L152" s="5" t="s">
        <v>109</v>
      </c>
      <c r="M152" s="5" t="s">
        <v>83</v>
      </c>
      <c r="N152" s="5" t="s">
        <v>110</v>
      </c>
      <c r="O152"/>
    </row>
    <row r="153" spans="1:15" x14ac:dyDescent="0.2">
      <c r="A153" s="25">
        <v>2014</v>
      </c>
      <c r="B153" s="6">
        <f>SUM(B3:B14)</f>
        <v>222844848</v>
      </c>
      <c r="C153" s="42"/>
      <c r="H153" s="6">
        <f>SUM(H3:H14)</f>
        <v>228113503.04210097</v>
      </c>
      <c r="I153" s="37">
        <f>H153-B153</f>
        <v>5268655.042100966</v>
      </c>
      <c r="J153" s="98">
        <f>I153/B153</f>
        <v>2.3642705179798305E-2</v>
      </c>
      <c r="K153" s="13">
        <f>ABS(J153)</f>
        <v>2.3642705179798305E-2</v>
      </c>
      <c r="L153" s="36">
        <f>'Power Purchased Model_WN'!H153</f>
        <v>223738777.51473796</v>
      </c>
      <c r="M153" s="17">
        <f>L153/H153</f>
        <v>0.98082215445810061</v>
      </c>
      <c r="N153" s="35">
        <f>B153*M153</f>
        <v>218571163.92524797</v>
      </c>
      <c r="O153"/>
    </row>
    <row r="154" spans="1:15" x14ac:dyDescent="0.2">
      <c r="A154" s="25">
        <v>2015</v>
      </c>
      <c r="B154" s="6">
        <f>SUM(B15:B26)</f>
        <v>216436884</v>
      </c>
      <c r="C154" s="42">
        <f t="shared" ref="C154:C160" si="27">B154/B153-1</f>
        <v>-2.8755271021567386E-2</v>
      </c>
      <c r="H154" s="6">
        <f>SUM(H15:H26)</f>
        <v>223845144.6474447</v>
      </c>
      <c r="I154" s="37">
        <f t="shared" ref="I154:I162" si="28">H154-B154</f>
        <v>7408260.6474446952</v>
      </c>
      <c r="J154" s="98">
        <f t="shared" ref="J154:J162" si="29">I154/B154</f>
        <v>3.4228272513129952E-2</v>
      </c>
      <c r="K154" s="13">
        <f t="shared" ref="K154:K162" si="30">ABS(J154)</f>
        <v>3.4228272513129952E-2</v>
      </c>
      <c r="L154" s="36">
        <f>'Power Purchased Model_WN'!H154</f>
        <v>223766645.65857595</v>
      </c>
      <c r="M154" s="17">
        <f t="shared" ref="M154:M162" si="31">L154/H154</f>
        <v>0.99964931565081572</v>
      </c>
      <c r="N154" s="35">
        <f t="shared" ref="N154:N162" si="32">B154*M154</f>
        <v>216360982.972195</v>
      </c>
      <c r="O154"/>
    </row>
    <row r="155" spans="1:15" x14ac:dyDescent="0.2">
      <c r="A155" s="25">
        <v>2016</v>
      </c>
      <c r="B155" s="6">
        <f>SUM(B27:B38)</f>
        <v>211050246</v>
      </c>
      <c r="C155" s="42">
        <f t="shared" si="27"/>
        <v>-2.4887800546971484E-2</v>
      </c>
      <c r="H155" s="6">
        <f>SUM(H27:H38)</f>
        <v>220586970.39512861</v>
      </c>
      <c r="I155" s="37">
        <f t="shared" si="28"/>
        <v>9536724.3951286077</v>
      </c>
      <c r="J155" s="98">
        <f t="shared" si="29"/>
        <v>4.5186985449562601E-2</v>
      </c>
      <c r="K155" s="13">
        <f t="shared" si="30"/>
        <v>4.5186985449562601E-2</v>
      </c>
      <c r="L155" s="36">
        <f>'Power Purchased Model_WN'!H155</f>
        <v>226552557.04527655</v>
      </c>
      <c r="M155" s="17">
        <f t="shared" si="31"/>
        <v>1.0270441478907935</v>
      </c>
      <c r="N155" s="35">
        <f t="shared" si="32"/>
        <v>216757920.06521234</v>
      </c>
      <c r="O155"/>
    </row>
    <row r="156" spans="1:15" x14ac:dyDescent="0.2">
      <c r="A156" s="25">
        <v>2017</v>
      </c>
      <c r="B156" s="6">
        <f>SUM(B39:B50)</f>
        <v>217280995.02387795</v>
      </c>
      <c r="C156" s="42">
        <f t="shared" si="27"/>
        <v>2.9522585933768442E-2</v>
      </c>
      <c r="H156" s="6">
        <f>SUM(H39:H50)</f>
        <v>222969696.20413664</v>
      </c>
      <c r="I156" s="37">
        <f t="shared" si="28"/>
        <v>5688701.1802586913</v>
      </c>
      <c r="J156" s="98">
        <f t="shared" si="29"/>
        <v>2.6181310425394247E-2</v>
      </c>
      <c r="K156" s="13">
        <f t="shared" si="30"/>
        <v>2.6181310425394247E-2</v>
      </c>
      <c r="L156" s="36">
        <f>'Power Purchased Model_WN'!H156</f>
        <v>228114076.09730089</v>
      </c>
      <c r="M156" s="17">
        <f t="shared" si="31"/>
        <v>1.0230721034326313</v>
      </c>
      <c r="N156" s="35">
        <f t="shared" si="32"/>
        <v>222294124.61501393</v>
      </c>
      <c r="O156"/>
    </row>
    <row r="157" spans="1:15" x14ac:dyDescent="0.2">
      <c r="A157" s="25">
        <v>2018</v>
      </c>
      <c r="B157" s="6">
        <f>SUM(B51:B62)</f>
        <v>241087151.13</v>
      </c>
      <c r="C157" s="42">
        <f t="shared" si="27"/>
        <v>0.10956391332571846</v>
      </c>
      <c r="H157" s="6">
        <f>SUM(H51:H62)</f>
        <v>231004601.65648609</v>
      </c>
      <c r="I157" s="37">
        <f t="shared" si="28"/>
        <v>-10082549.473513901</v>
      </c>
      <c r="J157" s="98">
        <f t="shared" si="29"/>
        <v>-4.1821181370537447E-2</v>
      </c>
      <c r="K157" s="13">
        <f t="shared" si="30"/>
        <v>4.1821181370537447E-2</v>
      </c>
      <c r="L157" s="36">
        <f>'Power Purchased Model_WN'!H157</f>
        <v>229200933.70698214</v>
      </c>
      <c r="M157" s="17">
        <f t="shared" si="31"/>
        <v>0.99219206917710634</v>
      </c>
      <c r="N157" s="35">
        <f t="shared" si="32"/>
        <v>239204759.33168843</v>
      </c>
      <c r="O157"/>
    </row>
    <row r="158" spans="1:15" x14ac:dyDescent="0.2">
      <c r="A158" s="25">
        <v>2019</v>
      </c>
      <c r="B158" s="6">
        <f>SUM(B63:B74)</f>
        <v>255923211</v>
      </c>
      <c r="C158" s="42">
        <f t="shared" si="27"/>
        <v>6.1538160787341312E-2</v>
      </c>
      <c r="H158" s="6">
        <f>SUM(H63:H74)</f>
        <v>238654515.30313912</v>
      </c>
      <c r="I158" s="37">
        <f t="shared" si="28"/>
        <v>-17268695.69686088</v>
      </c>
      <c r="J158" s="98">
        <f t="shared" si="29"/>
        <v>-6.7476082491247272E-2</v>
      </c>
      <c r="K158" s="13">
        <f t="shared" si="30"/>
        <v>6.7476082491247272E-2</v>
      </c>
      <c r="L158" s="36">
        <f>'Power Purchased Model_WN'!H158</f>
        <v>230078859.17902216</v>
      </c>
      <c r="M158" s="17">
        <f t="shared" si="31"/>
        <v>0.96406665043305739</v>
      </c>
      <c r="N158" s="35">
        <f t="shared" si="32"/>
        <v>246727032.79684258</v>
      </c>
      <c r="O158"/>
    </row>
    <row r="159" spans="1:15" x14ac:dyDescent="0.2">
      <c r="A159" s="25">
        <v>2020</v>
      </c>
      <c r="B159" s="6">
        <f>SUM(B75:B86)</f>
        <v>252540603</v>
      </c>
      <c r="C159" s="42">
        <f t="shared" si="27"/>
        <v>-1.3217277115204706E-2</v>
      </c>
      <c r="H159" s="6">
        <f>SUM(H75:H86)</f>
        <v>248745294.03057954</v>
      </c>
      <c r="I159" s="37">
        <f t="shared" si="28"/>
        <v>-3795308.9694204628</v>
      </c>
      <c r="J159" s="98">
        <f t="shared" si="29"/>
        <v>-1.5028509967644542E-2</v>
      </c>
      <c r="K159" s="13">
        <f t="shared" si="30"/>
        <v>1.5028509967644542E-2</v>
      </c>
      <c r="L159" s="36">
        <f>'Power Purchased Model_WN'!H159</f>
        <v>245795543.72109681</v>
      </c>
      <c r="M159" s="17">
        <f t="shared" si="31"/>
        <v>0.98814148295356252</v>
      </c>
      <c r="N159" s="35">
        <f t="shared" si="32"/>
        <v>249545845.95440689</v>
      </c>
      <c r="O159"/>
    </row>
    <row r="160" spans="1:15" x14ac:dyDescent="0.2">
      <c r="A160" s="25">
        <v>2021</v>
      </c>
      <c r="B160" s="6">
        <f>SUM(B87:B98)</f>
        <v>265226888</v>
      </c>
      <c r="C160" s="42">
        <f t="shared" si="27"/>
        <v>5.0234634943039147E-2</v>
      </c>
      <c r="D160" s="54" t="s">
        <v>9</v>
      </c>
      <c r="H160" s="6">
        <f>SUM(H87:H98)</f>
        <v>265662736.62875956</v>
      </c>
      <c r="I160" s="37">
        <f t="shared" si="28"/>
        <v>435848.62875956297</v>
      </c>
      <c r="J160" s="98">
        <f t="shared" si="29"/>
        <v>1.6433048400415684E-3</v>
      </c>
      <c r="K160" s="13">
        <f t="shared" si="30"/>
        <v>1.6433048400415684E-3</v>
      </c>
      <c r="L160" s="36">
        <f>'Power Purchased Model_WN'!H160</f>
        <v>266570286.17331159</v>
      </c>
      <c r="M160" s="17">
        <f t="shared" si="31"/>
        <v>1.003416171782572</v>
      </c>
      <c r="N160" s="35">
        <f t="shared" si="32"/>
        <v>266132948.61076498</v>
      </c>
      <c r="O160"/>
    </row>
    <row r="161" spans="1:17" x14ac:dyDescent="0.2">
      <c r="A161" s="25">
        <v>2022</v>
      </c>
      <c r="B161" s="6">
        <f>SUM(B99:B110)</f>
        <v>279572890</v>
      </c>
      <c r="C161" s="42">
        <f>B161/B160-1</f>
        <v>5.4089546154913126E-2</v>
      </c>
      <c r="D161" s="5">
        <f>AVERAGE(C154:C162)</f>
        <v>2.7180427911175239E-2</v>
      </c>
      <c r="H161" s="6">
        <f>SUM(H99:H110)</f>
        <v>281017552.01169604</v>
      </c>
      <c r="I161" s="37">
        <f t="shared" si="28"/>
        <v>1444662.0116960406</v>
      </c>
      <c r="J161" s="98">
        <f t="shared" si="29"/>
        <v>5.1673894836371317E-3</v>
      </c>
      <c r="K161" s="13">
        <f t="shared" si="30"/>
        <v>5.1673894836371317E-3</v>
      </c>
      <c r="L161" s="36">
        <f>'Power Purchased Model_WN'!H161</f>
        <v>276034734.41872531</v>
      </c>
      <c r="M161" s="17">
        <f t="shared" si="31"/>
        <v>0.98226866059681806</v>
      </c>
      <c r="N161" s="35">
        <f t="shared" si="32"/>
        <v>274615688.19948155</v>
      </c>
      <c r="O161"/>
    </row>
    <row r="162" spans="1:17" x14ac:dyDescent="0.2">
      <c r="A162" s="25">
        <v>2023</v>
      </c>
      <c r="B162" s="6">
        <f>SUM(B111:B122)</f>
        <v>281399999.13</v>
      </c>
      <c r="C162" s="42">
        <f>B162/B161-1</f>
        <v>6.5353587395402535E-3</v>
      </c>
      <c r="F162" s="1"/>
      <c r="G162" s="42"/>
      <c r="H162" s="6">
        <f>SUM(H111:H122)</f>
        <v>282763701.36440945</v>
      </c>
      <c r="I162" s="37">
        <f t="shared" si="28"/>
        <v>1363702.2344094515</v>
      </c>
      <c r="J162" s="98">
        <f t="shared" si="29"/>
        <v>4.8461344656204278E-3</v>
      </c>
      <c r="K162" s="13">
        <f t="shared" si="30"/>
        <v>4.8461344656204278E-3</v>
      </c>
      <c r="L162" s="36">
        <f>'Power Purchased Model_WN'!H162</f>
        <v>284163104.90574157</v>
      </c>
      <c r="M162" s="17">
        <f t="shared" si="31"/>
        <v>1.0049490211599992</v>
      </c>
      <c r="N162" s="35">
        <f t="shared" si="32"/>
        <v>282792653.68011814</v>
      </c>
      <c r="O162"/>
    </row>
    <row r="163" spans="1:17" x14ac:dyDescent="0.2">
      <c r="A163" s="25">
        <v>2024</v>
      </c>
      <c r="F163" s="54" t="s">
        <v>9</v>
      </c>
      <c r="G163" s="42">
        <f>H163/H162-1</f>
        <v>1.8386590905470346E-2</v>
      </c>
      <c r="H163" s="15">
        <f>SUM(H123:H134)</f>
        <v>287962761.86431342</v>
      </c>
      <c r="I163" s="24"/>
      <c r="J163" s="5"/>
      <c r="K163" s="5"/>
      <c r="L163" s="36">
        <f>'Power Purchased Model_WN'!H163</f>
        <v>287962761.86431342</v>
      </c>
      <c r="M163" s="5"/>
      <c r="N163" s="5"/>
      <c r="O163"/>
    </row>
    <row r="164" spans="1:17" x14ac:dyDescent="0.2">
      <c r="A164" s="25">
        <v>2025</v>
      </c>
      <c r="F164" s="5">
        <f>AVERAGE(G162:G164)</f>
        <v>1.072297598517491E-2</v>
      </c>
      <c r="G164" s="42">
        <f>H164/H163-1</f>
        <v>3.0593610648794733E-3</v>
      </c>
      <c r="H164" s="15">
        <f>SUM(H135:H146)</f>
        <v>288843743.92609626</v>
      </c>
      <c r="I164" s="24"/>
      <c r="J164" s="5"/>
      <c r="K164" s="5"/>
      <c r="L164" s="36">
        <f>'Power Purchased Model_WN'!H164</f>
        <v>288843743.92609626</v>
      </c>
      <c r="M164" s="5"/>
      <c r="N164" s="5"/>
      <c r="O164"/>
    </row>
    <row r="165" spans="1:17" x14ac:dyDescent="0.2">
      <c r="H165" s="6"/>
      <c r="O165"/>
    </row>
    <row r="166" spans="1:17" x14ac:dyDescent="0.2">
      <c r="A166" s="43" t="s">
        <v>7</v>
      </c>
      <c r="B166" s="6">
        <f>SUM(B153:B162)</f>
        <v>2443363715.2838783</v>
      </c>
      <c r="H166" s="6">
        <f>SUM(H153:H162)</f>
        <v>2443363715.2838807</v>
      </c>
      <c r="I166" s="33">
        <f>H166-B166</f>
        <v>0</v>
      </c>
      <c r="J166" s="54" t="s">
        <v>62</v>
      </c>
      <c r="O166"/>
    </row>
    <row r="167" spans="1:17" x14ac:dyDescent="0.2">
      <c r="O167"/>
    </row>
    <row r="168" spans="1:17" x14ac:dyDescent="0.2">
      <c r="H168" s="6">
        <f>SUM(H153:H164)</f>
        <v>3020170221.0742908</v>
      </c>
      <c r="I168" s="33">
        <f>H150-H168</f>
        <v>0</v>
      </c>
      <c r="O168"/>
    </row>
    <row r="169" spans="1:17" x14ac:dyDescent="0.2">
      <c r="H169" s="113"/>
      <c r="I169" s="113"/>
      <c r="J169"/>
      <c r="K169"/>
      <c r="L169"/>
      <c r="M169"/>
      <c r="N169"/>
      <c r="O169"/>
    </row>
    <row r="170" spans="1:17" x14ac:dyDescent="0.2">
      <c r="O170"/>
    </row>
    <row r="171" spans="1:17" x14ac:dyDescent="0.2">
      <c r="O171"/>
    </row>
    <row r="172" spans="1:17" x14ac:dyDescent="0.2">
      <c r="A172"/>
      <c r="B172"/>
      <c r="C172"/>
      <c r="D172"/>
      <c r="E172"/>
      <c r="G172"/>
      <c r="H172"/>
      <c r="I172"/>
      <c r="O172"/>
    </row>
    <row r="173" spans="1:17" x14ac:dyDescent="0.2">
      <c r="A173"/>
      <c r="B173"/>
      <c r="C173"/>
      <c r="D173"/>
      <c r="E173"/>
      <c r="G173"/>
      <c r="H173"/>
      <c r="I173"/>
      <c r="O173"/>
    </row>
    <row r="174" spans="1:17" x14ac:dyDescent="0.2">
      <c r="A174"/>
      <c r="B174"/>
      <c r="C174"/>
      <c r="D174"/>
      <c r="E174"/>
      <c r="G174"/>
      <c r="H174"/>
      <c r="I174"/>
      <c r="O174"/>
    </row>
    <row r="175" spans="1:17" x14ac:dyDescent="0.2">
      <c r="A175"/>
      <c r="B175"/>
      <c r="C175"/>
      <c r="D175"/>
      <c r="E175"/>
      <c r="G175"/>
      <c r="H175"/>
      <c r="I175"/>
      <c r="O175"/>
      <c r="P175" s="6"/>
      <c r="Q175" s="37"/>
    </row>
    <row r="176" spans="1:17" x14ac:dyDescent="0.2">
      <c r="A176"/>
      <c r="B176"/>
      <c r="C176"/>
      <c r="D176"/>
      <c r="E176"/>
      <c r="G176"/>
      <c r="H176"/>
      <c r="I176"/>
      <c r="O176"/>
      <c r="P176" s="6"/>
      <c r="Q176" s="37"/>
    </row>
    <row r="177" spans="1:17" x14ac:dyDescent="0.2">
      <c r="A177"/>
      <c r="B177"/>
      <c r="C177"/>
      <c r="D177"/>
      <c r="E177"/>
      <c r="G177"/>
      <c r="H177"/>
      <c r="I177"/>
      <c r="O177"/>
      <c r="P177" s="6"/>
      <c r="Q177" s="37"/>
    </row>
    <row r="178" spans="1:17" x14ac:dyDescent="0.2">
      <c r="A178"/>
      <c r="B178"/>
      <c r="C178"/>
      <c r="D178"/>
      <c r="E178"/>
      <c r="G178"/>
      <c r="H178"/>
      <c r="I178"/>
      <c r="O178" s="5"/>
      <c r="P178" s="6"/>
      <c r="Q178" s="37"/>
    </row>
    <row r="179" spans="1:17" x14ac:dyDescent="0.2">
      <c r="A179"/>
      <c r="B179"/>
      <c r="C179"/>
      <c r="D179"/>
      <c r="E179"/>
      <c r="G179"/>
      <c r="H179"/>
      <c r="I179"/>
      <c r="O179" s="5"/>
      <c r="P179" s="6"/>
      <c r="Q179" s="37"/>
    </row>
    <row r="180" spans="1:17" x14ac:dyDescent="0.2">
      <c r="A180"/>
      <c r="B180"/>
      <c r="C180"/>
      <c r="D180"/>
      <c r="E180"/>
      <c r="G180"/>
      <c r="H180"/>
      <c r="I180"/>
      <c r="J180"/>
      <c r="K180"/>
      <c r="L180"/>
      <c r="M180"/>
      <c r="N180"/>
      <c r="O180" s="5"/>
      <c r="P180" s="6"/>
      <c r="Q180" s="37"/>
    </row>
    <row r="181" spans="1:17" x14ac:dyDescent="0.2">
      <c r="A181"/>
      <c r="B181"/>
      <c r="C181"/>
      <c r="D181"/>
      <c r="E181"/>
      <c r="G181"/>
      <c r="H181"/>
      <c r="I181"/>
      <c r="J181"/>
      <c r="K181"/>
      <c r="L181"/>
      <c r="M181"/>
      <c r="N181"/>
      <c r="O181" s="5"/>
      <c r="P181" s="6"/>
      <c r="Q181" s="37"/>
    </row>
    <row r="182" spans="1:17" x14ac:dyDescent="0.2">
      <c r="A182"/>
      <c r="B182"/>
      <c r="C182"/>
      <c r="D182"/>
      <c r="E182"/>
      <c r="G182"/>
      <c r="H182"/>
      <c r="I182"/>
      <c r="J182"/>
      <c r="K182"/>
      <c r="L182"/>
      <c r="M182"/>
      <c r="N182"/>
      <c r="O182" s="6"/>
      <c r="P182" s="6"/>
      <c r="Q182" s="37"/>
    </row>
    <row r="183" spans="1:17" x14ac:dyDescent="0.2">
      <c r="A183"/>
      <c r="B183"/>
      <c r="C183"/>
      <c r="D183"/>
      <c r="E183"/>
      <c r="G183"/>
      <c r="H183"/>
      <c r="I183"/>
      <c r="J183"/>
      <c r="K183"/>
      <c r="L183"/>
      <c r="M183"/>
      <c r="N183"/>
      <c r="O183" s="6"/>
      <c r="P183" s="6"/>
      <c r="Q183" s="37"/>
    </row>
    <row r="184" spans="1:17" x14ac:dyDescent="0.2">
      <c r="A184"/>
      <c r="B184"/>
      <c r="C184"/>
      <c r="D184"/>
      <c r="E184"/>
      <c r="G184"/>
      <c r="H184"/>
      <c r="I184"/>
      <c r="J184"/>
      <c r="K184"/>
      <c r="L184"/>
      <c r="M184"/>
      <c r="N184"/>
    </row>
    <row r="185" spans="1:17" x14ac:dyDescent="0.2">
      <c r="A185"/>
      <c r="J185"/>
      <c r="K185"/>
      <c r="L185"/>
      <c r="M185"/>
      <c r="N185"/>
    </row>
    <row r="186" spans="1:17" x14ac:dyDescent="0.2">
      <c r="A186"/>
      <c r="J186"/>
      <c r="K186"/>
      <c r="L186"/>
      <c r="M186"/>
      <c r="N186"/>
    </row>
    <row r="187" spans="1:17" x14ac:dyDescent="0.2">
      <c r="A187"/>
      <c r="J187"/>
      <c r="K187"/>
      <c r="L187"/>
      <c r="M187"/>
      <c r="N187"/>
    </row>
    <row r="188" spans="1:17" x14ac:dyDescent="0.2">
      <c r="A188"/>
      <c r="J188"/>
      <c r="K188"/>
      <c r="L188"/>
      <c r="M188"/>
      <c r="N188"/>
    </row>
    <row r="189" spans="1:17" x14ac:dyDescent="0.2">
      <c r="A189"/>
      <c r="J189"/>
      <c r="K189"/>
      <c r="L189"/>
      <c r="M189"/>
      <c r="N189"/>
    </row>
    <row r="190" spans="1:17" x14ac:dyDescent="0.2">
      <c r="A190"/>
      <c r="J190"/>
      <c r="K190"/>
      <c r="L190"/>
      <c r="M190"/>
      <c r="N190"/>
    </row>
    <row r="191" spans="1:17" x14ac:dyDescent="0.2">
      <c r="A191"/>
      <c r="J191"/>
      <c r="K191"/>
      <c r="L191"/>
      <c r="M191"/>
      <c r="N191"/>
    </row>
    <row r="192" spans="1:17" x14ac:dyDescent="0.2">
      <c r="A192"/>
      <c r="J192"/>
      <c r="K192"/>
      <c r="L192"/>
      <c r="M192"/>
      <c r="N192"/>
      <c r="O192"/>
    </row>
    <row r="193" spans="1:15" x14ac:dyDescent="0.2">
      <c r="A193"/>
      <c r="J193"/>
      <c r="K193"/>
      <c r="L193"/>
      <c r="M193"/>
      <c r="N193"/>
      <c r="O193"/>
    </row>
    <row r="194" spans="1:15" x14ac:dyDescent="0.2">
      <c r="A194"/>
      <c r="J194"/>
      <c r="K194"/>
      <c r="L194"/>
      <c r="M194"/>
      <c r="N194"/>
      <c r="O194"/>
    </row>
    <row r="195" spans="1:15" x14ac:dyDescent="0.2">
      <c r="A195"/>
      <c r="J195"/>
      <c r="K195"/>
      <c r="L195"/>
      <c r="M195"/>
      <c r="N195"/>
      <c r="O195"/>
    </row>
    <row r="196" spans="1:15" x14ac:dyDescent="0.2">
      <c r="A196"/>
      <c r="B196"/>
      <c r="C196"/>
      <c r="D196"/>
      <c r="E196"/>
      <c r="G196"/>
      <c r="H196"/>
      <c r="I196"/>
      <c r="J196"/>
      <c r="K196"/>
      <c r="L196"/>
      <c r="M196"/>
      <c r="N196"/>
      <c r="O196"/>
    </row>
    <row r="197" spans="1:15" x14ac:dyDescent="0.2">
      <c r="A197"/>
      <c r="B197"/>
      <c r="C197"/>
      <c r="D197"/>
      <c r="E197"/>
      <c r="G197"/>
      <c r="H197"/>
      <c r="I197"/>
      <c r="J197"/>
      <c r="K197"/>
      <c r="L197"/>
      <c r="M197"/>
      <c r="N197"/>
      <c r="O197"/>
    </row>
    <row r="198" spans="1:15" x14ac:dyDescent="0.2">
      <c r="O198"/>
    </row>
    <row r="199" spans="1:15" x14ac:dyDescent="0.2">
      <c r="O199"/>
    </row>
    <row r="200" spans="1:15" x14ac:dyDescent="0.2">
      <c r="O200"/>
    </row>
    <row r="201" spans="1:15" x14ac:dyDescent="0.2">
      <c r="O201"/>
    </row>
    <row r="202" spans="1:15" x14ac:dyDescent="0.2">
      <c r="O202"/>
    </row>
    <row r="203" spans="1:15" x14ac:dyDescent="0.2">
      <c r="O203"/>
    </row>
    <row r="204" spans="1:15" x14ac:dyDescent="0.2">
      <c r="O204"/>
    </row>
    <row r="205" spans="1:15" x14ac:dyDescent="0.2">
      <c r="O205"/>
    </row>
    <row r="206" spans="1:15" x14ac:dyDescent="0.2">
      <c r="O206"/>
    </row>
    <row r="207" spans="1:15" x14ac:dyDescent="0.2">
      <c r="O207"/>
    </row>
    <row r="208" spans="1:15" x14ac:dyDescent="0.2">
      <c r="O208"/>
    </row>
    <row r="209" spans="1:14" customFormat="1" x14ac:dyDescent="0.2">
      <c r="A209" s="25"/>
      <c r="B209" s="6"/>
      <c r="C209" s="1"/>
      <c r="D209" s="1"/>
      <c r="E209" s="1"/>
      <c r="F209" s="59"/>
      <c r="G209" s="1"/>
      <c r="H209" s="1"/>
      <c r="I209" s="1"/>
      <c r="J209" s="1"/>
      <c r="K209" s="1"/>
      <c r="L209" s="1"/>
      <c r="M209" s="1"/>
      <c r="N209" s="1"/>
    </row>
  </sheetData>
  <mergeCells count="1">
    <mergeCell ref="H169:I169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CD33-B7FF-48F1-97F3-DD31B9E4EBC5}">
  <sheetPr>
    <tabColor rgb="FF00B0F0"/>
    <pageSetUpPr fitToPage="1"/>
  </sheetPr>
  <dimension ref="A2:X209"/>
  <sheetViews>
    <sheetView zoomScale="110" zoomScaleNormal="110" workbookViewId="0">
      <pane xSplit="1" ySplit="2" topLeftCell="B149" activePane="bottomRight" state="frozen"/>
      <selection pane="topRight" activeCell="C1" sqref="C1"/>
      <selection pane="bottomLeft" activeCell="A3" sqref="A3"/>
      <selection pane="bottomRight" activeCell="H153" sqref="H153"/>
    </sheetView>
  </sheetViews>
  <sheetFormatPr defaultRowHeight="12.75" x14ac:dyDescent="0.2"/>
  <cols>
    <col min="1" max="1" width="11.85546875" style="25" customWidth="1"/>
    <col min="2" max="2" width="16.85546875" style="6" customWidth="1"/>
    <col min="3" max="3" width="11.5703125" style="1" customWidth="1"/>
    <col min="4" max="4" width="13.42578125" style="1" customWidth="1"/>
    <col min="5" max="5" width="10.140625" style="1" customWidth="1"/>
    <col min="6" max="6" width="10.28515625" style="59" customWidth="1"/>
    <col min="7" max="7" width="13" style="1" customWidth="1"/>
    <col min="8" max="8" width="15.5703125" style="1" bestFit="1" customWidth="1"/>
    <col min="9" max="9" width="17.140625" style="1" customWidth="1"/>
    <col min="10" max="10" width="10.28515625" style="1" customWidth="1"/>
    <col min="11" max="11" width="10.140625" style="1" customWidth="1"/>
    <col min="12" max="12" width="20" style="1" bestFit="1" customWidth="1"/>
    <col min="13" max="13" width="17.7109375" style="1" bestFit="1" customWidth="1"/>
    <col min="14" max="14" width="19.7109375" style="1" customWidth="1"/>
    <col min="15" max="15" width="4.85546875" style="1" customWidth="1"/>
    <col min="16" max="16" width="44.42578125" customWidth="1"/>
    <col min="17" max="17" width="20.140625" customWidth="1"/>
    <col min="18" max="20" width="12.5703125" customWidth="1"/>
    <col min="21" max="21" width="15.42578125" bestFit="1" customWidth="1"/>
    <col min="22" max="22" width="14.42578125" bestFit="1" customWidth="1"/>
    <col min="23" max="23" width="13.85546875" bestFit="1" customWidth="1"/>
    <col min="24" max="24" width="19.140625" bestFit="1" customWidth="1"/>
    <col min="25" max="25" width="19" bestFit="1" customWidth="1"/>
    <col min="26" max="26" width="18.85546875" bestFit="1" customWidth="1"/>
    <col min="27" max="27" width="13" bestFit="1" customWidth="1"/>
    <col min="28" max="28" width="14.28515625" bestFit="1" customWidth="1"/>
    <col min="29" max="29" width="19.42578125" bestFit="1" customWidth="1"/>
    <col min="30" max="30" width="6.140625" bestFit="1" customWidth="1"/>
  </cols>
  <sheetData>
    <row r="2" spans="1:21" ht="38.25" x14ac:dyDescent="0.2">
      <c r="A2" s="68"/>
      <c r="B2" s="69" t="s">
        <v>57</v>
      </c>
      <c r="C2" s="70" t="s">
        <v>2</v>
      </c>
      <c r="D2" s="70" t="s">
        <v>3</v>
      </c>
      <c r="E2" s="70" t="s">
        <v>68</v>
      </c>
      <c r="F2" s="71" t="s">
        <v>13</v>
      </c>
      <c r="G2" s="70" t="s">
        <v>80</v>
      </c>
      <c r="H2" s="70" t="s">
        <v>8</v>
      </c>
      <c r="I2" s="72" t="s">
        <v>100</v>
      </c>
      <c r="J2" s="70" t="s">
        <v>101</v>
      </c>
      <c r="K2" s="89" t="s">
        <v>102</v>
      </c>
      <c r="L2" s="88" t="s">
        <v>94</v>
      </c>
      <c r="M2" s="88" t="s">
        <v>96</v>
      </c>
      <c r="N2" s="88" t="s">
        <v>97</v>
      </c>
      <c r="O2"/>
      <c r="P2" s="44" t="s">
        <v>14</v>
      </c>
    </row>
    <row r="3" spans="1:21" ht="13.5" thickBot="1" x14ac:dyDescent="0.25">
      <c r="A3" s="49">
        <v>41670</v>
      </c>
      <c r="B3" s="50">
        <v>24988491</v>
      </c>
      <c r="C3" s="50">
        <f>'Power Purchased Model'!C123</f>
        <v>895.70000488281255</v>
      </c>
      <c r="D3" s="50">
        <f>'Power Purchased Model'!D123</f>
        <v>0</v>
      </c>
      <c r="E3" s="50">
        <v>31</v>
      </c>
      <c r="F3" s="79">
        <v>0</v>
      </c>
      <c r="G3" s="50">
        <v>11661</v>
      </c>
      <c r="H3" s="50">
        <f t="shared" ref="H3:H66" si="0">$Q$18+$Q$19*C3+$Q$20*D3+$Q$21*E3+$Q$22*F3+$Q$23*G3</f>
        <v>24225856.567704834</v>
      </c>
      <c r="I3" s="33">
        <f t="shared" ref="I3:I66" si="1">H3-B3</f>
        <v>-762634.43229516596</v>
      </c>
      <c r="J3" s="42">
        <f t="shared" ref="J3:J66" si="2">I3/B3</f>
        <v>-3.0519427215319483E-2</v>
      </c>
      <c r="K3" s="12">
        <f t="shared" ref="K3:K66" si="3">ABS(J3)</f>
        <v>3.0519427215319483E-2</v>
      </c>
      <c r="L3" s="10">
        <f t="shared" ref="L3:L66" si="4">I3*I3</f>
        <v>581611277322.17004</v>
      </c>
      <c r="M3" s="10"/>
      <c r="N3" s="10"/>
      <c r="O3" s="12"/>
    </row>
    <row r="4" spans="1:21" x14ac:dyDescent="0.2">
      <c r="A4" s="49">
        <v>41698</v>
      </c>
      <c r="B4" s="50">
        <v>22046480</v>
      </c>
      <c r="C4" s="50">
        <f>'Power Purchased Model'!C124</f>
        <v>837.00000366210929</v>
      </c>
      <c r="D4" s="50">
        <f>'Power Purchased Model'!D124</f>
        <v>0</v>
      </c>
      <c r="E4" s="50">
        <v>28</v>
      </c>
      <c r="F4" s="79">
        <v>0</v>
      </c>
      <c r="G4" s="50">
        <v>11654</v>
      </c>
      <c r="H4" s="50">
        <f t="shared" si="0"/>
        <v>21496958.084623456</v>
      </c>
      <c r="I4" s="33">
        <f t="shared" si="1"/>
        <v>-549521.915376544</v>
      </c>
      <c r="J4" s="42">
        <f t="shared" si="2"/>
        <v>-2.4925607869217398E-2</v>
      </c>
      <c r="K4" s="12">
        <f t="shared" si="3"/>
        <v>2.4925607869217398E-2</v>
      </c>
      <c r="L4" s="10">
        <f t="shared" si="4"/>
        <v>301974335479.10559</v>
      </c>
      <c r="M4" s="10">
        <f t="shared" ref="M4:M67" si="5">I4-I3</f>
        <v>213112.51691862196</v>
      </c>
      <c r="N4" s="10">
        <f t="shared" ref="N4:N67" si="6">M4*M4</f>
        <v>45416944867.389931</v>
      </c>
      <c r="O4" s="12"/>
      <c r="P4" s="101" t="s">
        <v>15</v>
      </c>
      <c r="Q4" s="101"/>
    </row>
    <row r="5" spans="1:21" x14ac:dyDescent="0.2">
      <c r="A5" s="49">
        <v>41729</v>
      </c>
      <c r="B5" s="50">
        <v>23041535</v>
      </c>
      <c r="C5" s="50">
        <f>'Power Purchased Model'!C125</f>
        <v>738.80999877929696</v>
      </c>
      <c r="D5" s="50">
        <f>'Power Purchased Model'!D125</f>
        <v>0</v>
      </c>
      <c r="E5" s="50">
        <v>31</v>
      </c>
      <c r="F5" s="79">
        <v>1</v>
      </c>
      <c r="G5" s="50">
        <v>11654</v>
      </c>
      <c r="H5" s="50">
        <f t="shared" si="0"/>
        <v>21701956.041567765</v>
      </c>
      <c r="I5" s="33">
        <f t="shared" si="1"/>
        <v>-1339578.9584322348</v>
      </c>
      <c r="J5" s="42">
        <f t="shared" si="2"/>
        <v>-5.8137574533651287E-2</v>
      </c>
      <c r="K5" s="12">
        <f t="shared" si="3"/>
        <v>5.8137574533651287E-2</v>
      </c>
      <c r="L5" s="10">
        <f t="shared" si="4"/>
        <v>1794471785874.3911</v>
      </c>
      <c r="M5" s="10">
        <f t="shared" si="5"/>
        <v>-790057.04305569082</v>
      </c>
      <c r="N5" s="10">
        <f t="shared" si="6"/>
        <v>624190131281.90173</v>
      </c>
      <c r="O5" s="12"/>
      <c r="P5" t="s">
        <v>16</v>
      </c>
      <c r="Q5" s="104">
        <v>0.96882886912325639</v>
      </c>
    </row>
    <row r="6" spans="1:21" x14ac:dyDescent="0.2">
      <c r="A6" s="49">
        <v>41759</v>
      </c>
      <c r="B6" s="50">
        <v>18510176</v>
      </c>
      <c r="C6" s="50">
        <f>'Power Purchased Model'!C126</f>
        <v>498.90000427246093</v>
      </c>
      <c r="D6" s="50">
        <f>'Power Purchased Model'!D126</f>
        <v>0</v>
      </c>
      <c r="E6" s="50">
        <v>30</v>
      </c>
      <c r="F6" s="79">
        <v>1</v>
      </c>
      <c r="G6" s="50">
        <v>11646</v>
      </c>
      <c r="H6" s="50">
        <f t="shared" si="0"/>
        <v>18449454.040337533</v>
      </c>
      <c r="I6" s="33">
        <f t="shared" si="1"/>
        <v>-60721.959662467241</v>
      </c>
      <c r="J6" s="42">
        <f t="shared" si="2"/>
        <v>-3.2804636575290932E-3</v>
      </c>
      <c r="K6" s="12">
        <f t="shared" si="3"/>
        <v>3.2804636575290932E-3</v>
      </c>
      <c r="L6" s="10">
        <f t="shared" si="4"/>
        <v>3687156385.250299</v>
      </c>
      <c r="M6" s="10">
        <f t="shared" si="5"/>
        <v>1278856.9987697676</v>
      </c>
      <c r="N6" s="10">
        <f t="shared" si="6"/>
        <v>1635475223302.4172</v>
      </c>
      <c r="O6" s="12"/>
      <c r="P6" t="s">
        <v>17</v>
      </c>
      <c r="Q6" s="104">
        <v>0.93862937764664789</v>
      </c>
    </row>
    <row r="7" spans="1:21" x14ac:dyDescent="0.2">
      <c r="A7" s="49">
        <v>41790</v>
      </c>
      <c r="B7" s="50">
        <v>16410299</v>
      </c>
      <c r="C7" s="50">
        <f>'Power Purchased Model'!C127</f>
        <v>281.87999725341797</v>
      </c>
      <c r="D7" s="50">
        <f>'Power Purchased Model'!D127</f>
        <v>1.9499999940395356</v>
      </c>
      <c r="E7" s="50">
        <v>31</v>
      </c>
      <c r="F7" s="79">
        <v>1</v>
      </c>
      <c r="G7" s="50">
        <v>11637</v>
      </c>
      <c r="H7" s="50">
        <f t="shared" si="0"/>
        <v>16852134.719056033</v>
      </c>
      <c r="I7" s="33">
        <f t="shared" si="1"/>
        <v>441835.7190560326</v>
      </c>
      <c r="J7" s="42">
        <f t="shared" si="2"/>
        <v>2.6924294253019558E-2</v>
      </c>
      <c r="K7" s="12">
        <f t="shared" si="3"/>
        <v>2.6924294253019558E-2</v>
      </c>
      <c r="L7" s="10">
        <f t="shared" si="4"/>
        <v>195218802633.76135</v>
      </c>
      <c r="M7" s="10">
        <f t="shared" si="5"/>
        <v>502557.67871849984</v>
      </c>
      <c r="N7" s="10">
        <f t="shared" si="6"/>
        <v>252564220438.92691</v>
      </c>
      <c r="O7" s="12"/>
      <c r="P7" t="s">
        <v>18</v>
      </c>
      <c r="Q7" s="104">
        <v>0.93593768368378161</v>
      </c>
    </row>
    <row r="8" spans="1:21" x14ac:dyDescent="0.2">
      <c r="A8" s="49">
        <v>41820</v>
      </c>
      <c r="B8" s="50">
        <v>13841155</v>
      </c>
      <c r="C8" s="50">
        <f>'Power Purchased Model'!C128</f>
        <v>126.93000061035154</v>
      </c>
      <c r="D8" s="50">
        <f>'Power Purchased Model'!D128</f>
        <v>7.2900000768899913</v>
      </c>
      <c r="E8" s="50">
        <v>30</v>
      </c>
      <c r="F8" s="79">
        <v>0</v>
      </c>
      <c r="G8" s="50">
        <v>11645</v>
      </c>
      <c r="H8" s="50">
        <f t="shared" si="0"/>
        <v>15558081.928046972</v>
      </c>
      <c r="I8" s="33">
        <f t="shared" si="1"/>
        <v>1716926.9280469716</v>
      </c>
      <c r="J8" s="42">
        <f t="shared" si="2"/>
        <v>0.12404506184974964</v>
      </c>
      <c r="K8" s="12">
        <f t="shared" si="3"/>
        <v>0.12404506184974964</v>
      </c>
      <c r="L8" s="10">
        <f t="shared" si="4"/>
        <v>2947838076252.8105</v>
      </c>
      <c r="M8" s="10">
        <f t="shared" si="5"/>
        <v>1275091.208990939</v>
      </c>
      <c r="N8" s="10">
        <f t="shared" si="6"/>
        <v>1625857591245.9744</v>
      </c>
      <c r="O8" s="12"/>
      <c r="P8" t="s">
        <v>19</v>
      </c>
      <c r="Q8" s="105">
        <v>934619.55490500247</v>
      </c>
    </row>
    <row r="9" spans="1:21" ht="13.5" thickBot="1" x14ac:dyDescent="0.25">
      <c r="A9" s="49">
        <v>41851</v>
      </c>
      <c r="B9" s="50">
        <v>15069489</v>
      </c>
      <c r="C9" s="50">
        <f>'Power Purchased Model'!C129</f>
        <v>59.829999809265146</v>
      </c>
      <c r="D9" s="50">
        <f>'Power Purchased Model'!D129</f>
        <v>18.570000028610231</v>
      </c>
      <c r="E9" s="50">
        <v>31</v>
      </c>
      <c r="F9" s="79">
        <v>0</v>
      </c>
      <c r="G9" s="50">
        <v>11645</v>
      </c>
      <c r="H9" s="50">
        <f t="shared" si="0"/>
        <v>15806934.967480965</v>
      </c>
      <c r="I9" s="33">
        <f t="shared" si="1"/>
        <v>737445.96748096496</v>
      </c>
      <c r="J9" s="42">
        <f t="shared" si="2"/>
        <v>4.8936361908553432E-2</v>
      </c>
      <c r="K9" s="12">
        <f t="shared" si="3"/>
        <v>4.8936361908553432E-2</v>
      </c>
      <c r="L9" s="10">
        <f t="shared" si="4"/>
        <v>543826554953.9364</v>
      </c>
      <c r="M9" s="10">
        <f t="shared" si="5"/>
        <v>-979480.9605660066</v>
      </c>
      <c r="N9" s="10">
        <f t="shared" si="6"/>
        <v>959382952111.30701</v>
      </c>
      <c r="O9" s="12"/>
      <c r="P9" s="99" t="s">
        <v>20</v>
      </c>
      <c r="Q9" s="99">
        <v>120</v>
      </c>
    </row>
    <row r="10" spans="1:21" x14ac:dyDescent="0.2">
      <c r="A10" s="49">
        <v>41882</v>
      </c>
      <c r="B10" s="50">
        <v>15429842</v>
      </c>
      <c r="C10" s="50">
        <f>'Power Purchased Model'!C130</f>
        <v>54.610000228881837</v>
      </c>
      <c r="D10" s="50">
        <f>'Power Purchased Model'!D130</f>
        <v>20.229999904632567</v>
      </c>
      <c r="E10" s="50">
        <v>31</v>
      </c>
      <c r="F10" s="79">
        <v>0</v>
      </c>
      <c r="G10" s="50">
        <v>11655</v>
      </c>
      <c r="H10" s="50">
        <f t="shared" si="0"/>
        <v>15860514.399451621</v>
      </c>
      <c r="I10" s="33">
        <f t="shared" si="1"/>
        <v>430672.39945162088</v>
      </c>
      <c r="J10" s="42">
        <f t="shared" si="2"/>
        <v>2.79116532399762E-2</v>
      </c>
      <c r="K10" s="12">
        <f t="shared" si="3"/>
        <v>2.79116532399762E-2</v>
      </c>
      <c r="L10" s="10">
        <f t="shared" si="4"/>
        <v>185478715649.4165</v>
      </c>
      <c r="M10" s="10">
        <f t="shared" si="5"/>
        <v>-306773.56802934408</v>
      </c>
      <c r="N10" s="10">
        <f t="shared" si="6"/>
        <v>94110022041.454605</v>
      </c>
      <c r="O10" s="12"/>
    </row>
    <row r="11" spans="1:21" ht="13.5" thickBot="1" x14ac:dyDescent="0.25">
      <c r="A11" s="49">
        <v>41912</v>
      </c>
      <c r="B11" s="50">
        <v>14760249</v>
      </c>
      <c r="C11" s="50">
        <f>'Power Purchased Model'!C131</f>
        <v>112.7</v>
      </c>
      <c r="D11" s="50">
        <f>'Power Purchased Model'!D131</f>
        <v>10.3</v>
      </c>
      <c r="E11" s="50">
        <v>30</v>
      </c>
      <c r="F11" s="79">
        <v>1</v>
      </c>
      <c r="G11" s="50">
        <v>11646</v>
      </c>
      <c r="H11" s="50">
        <f t="shared" si="0"/>
        <v>14651002.335886806</v>
      </c>
      <c r="I11" s="33">
        <f t="shared" si="1"/>
        <v>-109246.66411319375</v>
      </c>
      <c r="J11" s="42">
        <f t="shared" si="2"/>
        <v>-7.4014106478280783E-3</v>
      </c>
      <c r="K11" s="12">
        <f t="shared" si="3"/>
        <v>7.4014106478280783E-3</v>
      </c>
      <c r="L11" s="10">
        <f t="shared" si="4"/>
        <v>11934833619.860975</v>
      </c>
      <c r="M11" s="10">
        <f t="shared" si="5"/>
        <v>-539919.06356481463</v>
      </c>
      <c r="N11" s="10">
        <f t="shared" si="6"/>
        <v>291512595200.70636</v>
      </c>
      <c r="O11" s="12"/>
      <c r="P11" t="s">
        <v>21</v>
      </c>
    </row>
    <row r="12" spans="1:21" x14ac:dyDescent="0.2">
      <c r="A12" s="49">
        <v>41943</v>
      </c>
      <c r="B12" s="50">
        <v>17103906</v>
      </c>
      <c r="C12" s="50">
        <f>'Power Purchased Model'!C132</f>
        <v>344.3</v>
      </c>
      <c r="D12" s="50">
        <f>'Power Purchased Model'!D132</f>
        <v>3.7</v>
      </c>
      <c r="E12" s="50">
        <v>31</v>
      </c>
      <c r="F12" s="79">
        <v>1</v>
      </c>
      <c r="G12" s="50">
        <v>11659</v>
      </c>
      <c r="H12" s="50">
        <f t="shared" si="0"/>
        <v>17698488.766004629</v>
      </c>
      <c r="I12" s="33">
        <f t="shared" si="1"/>
        <v>594582.76600462943</v>
      </c>
      <c r="J12" s="42">
        <f t="shared" si="2"/>
        <v>3.4762981391772703E-2</v>
      </c>
      <c r="K12" s="12">
        <f t="shared" si="3"/>
        <v>3.4762981391772703E-2</v>
      </c>
      <c r="L12" s="10">
        <f t="shared" si="4"/>
        <v>353528665629.71594</v>
      </c>
      <c r="M12" s="10">
        <f t="shared" si="5"/>
        <v>703829.43011782318</v>
      </c>
      <c r="N12" s="10">
        <f t="shared" si="6"/>
        <v>495375866699.97974</v>
      </c>
      <c r="O12" s="12"/>
      <c r="P12" s="100"/>
      <c r="Q12" s="100" t="s">
        <v>25</v>
      </c>
      <c r="R12" s="100" t="s">
        <v>26</v>
      </c>
      <c r="S12" s="100" t="s">
        <v>27</v>
      </c>
      <c r="T12" s="100" t="s">
        <v>28</v>
      </c>
      <c r="U12" s="100" t="s">
        <v>29</v>
      </c>
    </row>
    <row r="13" spans="1:21" x14ac:dyDescent="0.2">
      <c r="A13" s="49">
        <v>41973</v>
      </c>
      <c r="B13" s="50">
        <v>19716721</v>
      </c>
      <c r="C13" s="50">
        <f>'Power Purchased Model'!C133</f>
        <v>586.4</v>
      </c>
      <c r="D13" s="50">
        <f>'Power Purchased Model'!D133</f>
        <v>0</v>
      </c>
      <c r="E13" s="50">
        <v>30</v>
      </c>
      <c r="F13" s="79">
        <v>0</v>
      </c>
      <c r="G13" s="50">
        <v>11657</v>
      </c>
      <c r="H13" s="50">
        <f t="shared" si="0"/>
        <v>20275844.685464561</v>
      </c>
      <c r="I13" s="33">
        <f t="shared" si="1"/>
        <v>559123.68546456099</v>
      </c>
      <c r="J13" s="42">
        <f t="shared" si="2"/>
        <v>2.835784334852438E-2</v>
      </c>
      <c r="K13" s="12">
        <f t="shared" si="3"/>
        <v>2.835784334852438E-2</v>
      </c>
      <c r="L13" s="10">
        <f t="shared" si="4"/>
        <v>312619295647.47333</v>
      </c>
      <c r="M13" s="10">
        <f t="shared" si="5"/>
        <v>-35459.080540068448</v>
      </c>
      <c r="N13" s="10">
        <f t="shared" si="6"/>
        <v>1257346392.7470608</v>
      </c>
      <c r="O13" s="12"/>
      <c r="P13" t="s">
        <v>22</v>
      </c>
      <c r="Q13">
        <v>5</v>
      </c>
      <c r="R13">
        <v>1523029073061647.8</v>
      </c>
      <c r="S13">
        <v>304605814612329.56</v>
      </c>
      <c r="T13" s="102">
        <v>348.71326034670136</v>
      </c>
      <c r="U13">
        <v>2.4976013929165399E-67</v>
      </c>
    </row>
    <row r="14" spans="1:21" x14ac:dyDescent="0.2">
      <c r="A14" s="49">
        <v>42004</v>
      </c>
      <c r="B14" s="50">
        <v>21926505</v>
      </c>
      <c r="C14" s="50">
        <f>'Power Purchased Model'!C134</f>
        <v>603.9</v>
      </c>
      <c r="D14" s="50">
        <f>'Power Purchased Model'!D134</f>
        <v>0</v>
      </c>
      <c r="E14" s="50">
        <v>31</v>
      </c>
      <c r="F14" s="79">
        <v>0</v>
      </c>
      <c r="G14" s="50">
        <v>11659</v>
      </c>
      <c r="H14" s="50">
        <f t="shared" si="0"/>
        <v>21161550.979112796</v>
      </c>
      <c r="I14" s="33">
        <f t="shared" si="1"/>
        <v>-764954.02088720351</v>
      </c>
      <c r="J14" s="42">
        <f t="shared" si="2"/>
        <v>-3.4887184295317633E-2</v>
      </c>
      <c r="K14" s="12">
        <f t="shared" si="3"/>
        <v>3.4887184295317633E-2</v>
      </c>
      <c r="L14" s="10">
        <f t="shared" si="4"/>
        <v>585154654071.50024</v>
      </c>
      <c r="M14" s="10">
        <f t="shared" si="5"/>
        <v>-1324077.7063517645</v>
      </c>
      <c r="N14" s="10">
        <f t="shared" si="6"/>
        <v>1753181772457.7495</v>
      </c>
      <c r="O14" s="12"/>
      <c r="P14" t="s">
        <v>23</v>
      </c>
      <c r="Q14">
        <v>114</v>
      </c>
      <c r="R14">
        <v>99580563214834.031</v>
      </c>
      <c r="S14">
        <v>873513712410.82483</v>
      </c>
      <c r="T14" s="102"/>
      <c r="U14" s="102"/>
    </row>
    <row r="15" spans="1:21" ht="13.5" thickBot="1" x14ac:dyDescent="0.25">
      <c r="A15" s="49">
        <v>42035</v>
      </c>
      <c r="B15" s="50">
        <v>24303546</v>
      </c>
      <c r="C15" s="50">
        <f>C3</f>
        <v>895.70000488281255</v>
      </c>
      <c r="D15" s="50">
        <f>D3</f>
        <v>0</v>
      </c>
      <c r="E15" s="50">
        <v>31</v>
      </c>
      <c r="F15" s="79">
        <v>0</v>
      </c>
      <c r="G15" s="50">
        <v>11659</v>
      </c>
      <c r="H15" s="50">
        <f t="shared" si="0"/>
        <v>24211922.49578584</v>
      </c>
      <c r="I15" s="33">
        <f t="shared" si="1"/>
        <v>-91623.504214160144</v>
      </c>
      <c r="J15" s="42">
        <f t="shared" si="2"/>
        <v>-3.7699644411626249E-3</v>
      </c>
      <c r="K15" s="12">
        <f t="shared" si="3"/>
        <v>3.7699644411626249E-3</v>
      </c>
      <c r="L15" s="10">
        <f t="shared" si="4"/>
        <v>8394866524.4822216</v>
      </c>
      <c r="M15" s="10">
        <f t="shared" si="5"/>
        <v>673330.51667304337</v>
      </c>
      <c r="N15" s="10">
        <f t="shared" si="6"/>
        <v>453373984683.18756</v>
      </c>
      <c r="O15" s="12"/>
      <c r="P15" s="99" t="s">
        <v>7</v>
      </c>
      <c r="Q15" s="99">
        <v>119</v>
      </c>
      <c r="R15" s="99">
        <v>1622609636276481.8</v>
      </c>
      <c r="S15" s="99"/>
      <c r="T15" s="106"/>
      <c r="U15" s="106"/>
    </row>
    <row r="16" spans="1:21" ht="13.5" thickBot="1" x14ac:dyDescent="0.25">
      <c r="A16" s="49">
        <v>42063</v>
      </c>
      <c r="B16" s="50">
        <v>23231362</v>
      </c>
      <c r="C16" s="50">
        <f t="shared" ref="C16:D79" si="7">C4</f>
        <v>837.00000366210929</v>
      </c>
      <c r="D16" s="50">
        <f t="shared" si="7"/>
        <v>0</v>
      </c>
      <c r="E16" s="50">
        <v>28</v>
      </c>
      <c r="F16" s="79">
        <v>0</v>
      </c>
      <c r="G16" s="50">
        <v>11653</v>
      </c>
      <c r="H16" s="50">
        <f t="shared" si="0"/>
        <v>21489991.048663974</v>
      </c>
      <c r="I16" s="33">
        <f t="shared" si="1"/>
        <v>-1741370.9513360262</v>
      </c>
      <c r="J16" s="42">
        <f t="shared" si="2"/>
        <v>-7.4957764049134359E-2</v>
      </c>
      <c r="K16" s="12">
        <f t="shared" si="3"/>
        <v>7.4957764049134359E-2</v>
      </c>
      <c r="L16" s="10">
        <f t="shared" si="4"/>
        <v>3032372790156.937</v>
      </c>
      <c r="M16" s="10">
        <f t="shared" si="5"/>
        <v>-1649747.447121866</v>
      </c>
      <c r="N16" s="10">
        <f t="shared" si="6"/>
        <v>2721666639285.1143</v>
      </c>
      <c r="O16" s="12"/>
    </row>
    <row r="17" spans="1:24" x14ac:dyDescent="0.2">
      <c r="A17" s="49">
        <v>42094</v>
      </c>
      <c r="B17" s="50">
        <v>21902978</v>
      </c>
      <c r="C17" s="50">
        <f t="shared" si="7"/>
        <v>738.80999877929696</v>
      </c>
      <c r="D17" s="50">
        <f t="shared" si="7"/>
        <v>0</v>
      </c>
      <c r="E17" s="50">
        <v>31</v>
      </c>
      <c r="F17" s="79">
        <v>1</v>
      </c>
      <c r="G17" s="50">
        <v>11642</v>
      </c>
      <c r="H17" s="50">
        <f t="shared" si="0"/>
        <v>21618351.61005383</v>
      </c>
      <c r="I17" s="33">
        <f t="shared" si="1"/>
        <v>-284626.38994617015</v>
      </c>
      <c r="J17" s="42">
        <f t="shared" si="2"/>
        <v>-1.2994871745119324E-2</v>
      </c>
      <c r="K17" s="12">
        <f t="shared" si="3"/>
        <v>1.2994871745119324E-2</v>
      </c>
      <c r="L17" s="10">
        <f t="shared" si="4"/>
        <v>81012181853.789307</v>
      </c>
      <c r="M17" s="10">
        <f t="shared" si="5"/>
        <v>1456744.561389856</v>
      </c>
      <c r="N17" s="10">
        <f t="shared" si="6"/>
        <v>2122104717138.9241</v>
      </c>
      <c r="O17" s="12"/>
      <c r="P17" s="100"/>
      <c r="Q17" s="100" t="s">
        <v>30</v>
      </c>
      <c r="R17" s="100" t="s">
        <v>19</v>
      </c>
      <c r="S17" s="100" t="s">
        <v>31</v>
      </c>
      <c r="T17" s="100" t="s">
        <v>32</v>
      </c>
      <c r="U17" s="100" t="s">
        <v>33</v>
      </c>
      <c r="V17" s="100" t="s">
        <v>34</v>
      </c>
      <c r="W17" t="s">
        <v>113</v>
      </c>
      <c r="X17" t="s">
        <v>114</v>
      </c>
    </row>
    <row r="18" spans="1:24" x14ac:dyDescent="0.2">
      <c r="A18" s="49">
        <v>42124</v>
      </c>
      <c r="B18" s="50">
        <v>17767380</v>
      </c>
      <c r="C18" s="50">
        <f t="shared" si="7"/>
        <v>498.90000427246093</v>
      </c>
      <c r="D18" s="50">
        <f t="shared" si="7"/>
        <v>0</v>
      </c>
      <c r="E18" s="50">
        <v>30</v>
      </c>
      <c r="F18" s="79">
        <v>1</v>
      </c>
      <c r="G18" s="50">
        <v>11632</v>
      </c>
      <c r="H18" s="50">
        <f t="shared" si="0"/>
        <v>18351915.536904588</v>
      </c>
      <c r="I18" s="33">
        <f t="shared" si="1"/>
        <v>584535.53690458834</v>
      </c>
      <c r="J18" s="42">
        <f t="shared" si="2"/>
        <v>3.2899365967553364E-2</v>
      </c>
      <c r="K18" s="12">
        <f t="shared" si="3"/>
        <v>3.2899365967553364E-2</v>
      </c>
      <c r="L18" s="10">
        <f t="shared" si="4"/>
        <v>341681793904.33539</v>
      </c>
      <c r="M18" s="10">
        <f t="shared" si="5"/>
        <v>869161.92685075849</v>
      </c>
      <c r="N18" s="10">
        <f t="shared" si="6"/>
        <v>755442455086.92322</v>
      </c>
      <c r="O18" s="12"/>
      <c r="P18" t="s">
        <v>24</v>
      </c>
      <c r="Q18" s="105">
        <v>-87733913.497822329</v>
      </c>
      <c r="R18" s="105">
        <v>5029212.7088617356</v>
      </c>
      <c r="S18" s="102">
        <v>-17.44486037411593</v>
      </c>
      <c r="T18" s="102">
        <v>5.7230853254875156E-34</v>
      </c>
      <c r="U18" s="105">
        <v>-97696745.138959736</v>
      </c>
      <c r="V18" s="105">
        <v>-77771081.856684923</v>
      </c>
      <c r="W18">
        <v>-97696745.138959736</v>
      </c>
      <c r="X18">
        <v>-77771081.856684923</v>
      </c>
    </row>
    <row r="19" spans="1:24" x14ac:dyDescent="0.2">
      <c r="A19" s="49">
        <v>42155</v>
      </c>
      <c r="B19" s="50">
        <v>15576646</v>
      </c>
      <c r="C19" s="50">
        <f t="shared" si="7"/>
        <v>281.87999725341797</v>
      </c>
      <c r="D19" s="50">
        <f t="shared" si="7"/>
        <v>1.9499999940395356</v>
      </c>
      <c r="E19" s="50">
        <v>31</v>
      </c>
      <c r="F19" s="79">
        <v>1</v>
      </c>
      <c r="G19" s="50">
        <v>11648</v>
      </c>
      <c r="H19" s="50">
        <f t="shared" si="0"/>
        <v>16928772.114610471</v>
      </c>
      <c r="I19" s="33">
        <f t="shared" si="1"/>
        <v>1352126.1146104708</v>
      </c>
      <c r="J19" s="42">
        <f t="shared" si="2"/>
        <v>8.6804702027026281E-2</v>
      </c>
      <c r="K19" s="12">
        <f t="shared" si="3"/>
        <v>8.6804702027026281E-2</v>
      </c>
      <c r="L19" s="10">
        <f t="shared" si="4"/>
        <v>1828245029811.6082</v>
      </c>
      <c r="M19" s="10">
        <f t="shared" si="5"/>
        <v>767590.57770588249</v>
      </c>
      <c r="N19" s="10">
        <f t="shared" si="6"/>
        <v>589195294982.85046</v>
      </c>
      <c r="O19" s="12"/>
      <c r="P19" t="s">
        <v>2</v>
      </c>
      <c r="Q19" s="105">
        <v>10453.637647806341</v>
      </c>
      <c r="R19" s="105">
        <v>347.84160385295445</v>
      </c>
      <c r="S19" s="102">
        <v>30.052867546647704</v>
      </c>
      <c r="T19" s="102">
        <v>5.2468957439300574E-56</v>
      </c>
      <c r="U19" s="105">
        <v>9764.5661096580679</v>
      </c>
      <c r="V19" s="105">
        <v>11142.709185954614</v>
      </c>
      <c r="W19">
        <v>9764.5661096580679</v>
      </c>
      <c r="X19">
        <v>11142.709185954614</v>
      </c>
    </row>
    <row r="20" spans="1:24" x14ac:dyDescent="0.2">
      <c r="A20" s="49">
        <v>42185</v>
      </c>
      <c r="B20" s="50">
        <v>14364571</v>
      </c>
      <c r="C20" s="50">
        <f t="shared" si="7"/>
        <v>126.93000061035154</v>
      </c>
      <c r="D20" s="50">
        <f t="shared" si="7"/>
        <v>7.2900000768899913</v>
      </c>
      <c r="E20" s="50">
        <v>30</v>
      </c>
      <c r="F20" s="79">
        <v>0</v>
      </c>
      <c r="G20" s="50">
        <v>11644</v>
      </c>
      <c r="H20" s="50">
        <f t="shared" si="0"/>
        <v>15551114.892087474</v>
      </c>
      <c r="I20" s="33">
        <f t="shared" si="1"/>
        <v>1186543.8920874745</v>
      </c>
      <c r="J20" s="42">
        <f t="shared" si="2"/>
        <v>8.2602111269976283E-2</v>
      </c>
      <c r="K20" s="12">
        <f t="shared" si="3"/>
        <v>8.2602111269976283E-2</v>
      </c>
      <c r="L20" s="10">
        <f t="shared" si="4"/>
        <v>1407886407850.0923</v>
      </c>
      <c r="M20" s="10">
        <f t="shared" si="5"/>
        <v>-165582.22252299637</v>
      </c>
      <c r="N20" s="10">
        <f t="shared" si="6"/>
        <v>27417472415.655087</v>
      </c>
      <c r="O20" s="12"/>
      <c r="P20" t="s">
        <v>3</v>
      </c>
      <c r="Q20" s="105">
        <v>23178.951436392832</v>
      </c>
      <c r="R20" s="105">
        <v>9672.3082518916381</v>
      </c>
      <c r="S20" s="102">
        <v>2.3964239799594544</v>
      </c>
      <c r="T20" s="102">
        <v>1.8182708085800713E-2</v>
      </c>
      <c r="U20" s="105">
        <v>4018.1832857471454</v>
      </c>
      <c r="V20" s="105">
        <v>42339.719587038519</v>
      </c>
      <c r="W20">
        <v>4018.1832857471454</v>
      </c>
      <c r="X20">
        <v>42339.719587038519</v>
      </c>
    </row>
    <row r="21" spans="1:24" x14ac:dyDescent="0.2">
      <c r="A21" s="49">
        <v>42216</v>
      </c>
      <c r="B21" s="50">
        <v>15194721</v>
      </c>
      <c r="C21" s="50">
        <f t="shared" si="7"/>
        <v>59.829999809265146</v>
      </c>
      <c r="D21" s="50">
        <f t="shared" si="7"/>
        <v>18.570000028610231</v>
      </c>
      <c r="E21" s="50">
        <v>31</v>
      </c>
      <c r="F21" s="79">
        <v>0</v>
      </c>
      <c r="G21" s="50">
        <v>11652</v>
      </c>
      <c r="H21" s="50">
        <f t="shared" si="0"/>
        <v>15855704.21919743</v>
      </c>
      <c r="I21" s="33">
        <f t="shared" si="1"/>
        <v>660983.21919742972</v>
      </c>
      <c r="J21" s="42">
        <f t="shared" si="2"/>
        <v>4.3500846063407796E-2</v>
      </c>
      <c r="K21" s="12">
        <f t="shared" si="3"/>
        <v>4.3500846063407796E-2</v>
      </c>
      <c r="L21" s="10">
        <f t="shared" si="4"/>
        <v>436898816060.59741</v>
      </c>
      <c r="M21" s="10">
        <f t="shared" si="5"/>
        <v>-525560.67289004475</v>
      </c>
      <c r="N21" s="10">
        <f t="shared" si="6"/>
        <v>276214020888.6366</v>
      </c>
      <c r="O21" s="12"/>
      <c r="P21" t="s">
        <v>68</v>
      </c>
      <c r="Q21" s="105">
        <v>688833.56289262127</v>
      </c>
      <c r="R21" s="105">
        <v>107844.38868898196</v>
      </c>
      <c r="S21" s="102">
        <v>6.3872916455503699</v>
      </c>
      <c r="T21" s="102">
        <v>3.7951392223564742E-9</v>
      </c>
      <c r="U21" s="105">
        <v>475194.65951983311</v>
      </c>
      <c r="V21" s="105">
        <v>902472.46626540949</v>
      </c>
      <c r="W21">
        <v>475194.65951983311</v>
      </c>
      <c r="X21">
        <v>902472.46626540949</v>
      </c>
    </row>
    <row r="22" spans="1:24" x14ac:dyDescent="0.2">
      <c r="A22" s="49">
        <v>42247</v>
      </c>
      <c r="B22" s="50">
        <v>15927099</v>
      </c>
      <c r="C22" s="50">
        <f t="shared" si="7"/>
        <v>54.610000228881837</v>
      </c>
      <c r="D22" s="50">
        <f t="shared" si="7"/>
        <v>20.229999904632567</v>
      </c>
      <c r="E22" s="50">
        <v>31</v>
      </c>
      <c r="F22" s="79">
        <v>0</v>
      </c>
      <c r="G22" s="50">
        <v>11654</v>
      </c>
      <c r="H22" s="50">
        <f t="shared" si="0"/>
        <v>15853547.363492124</v>
      </c>
      <c r="I22" s="33">
        <f t="shared" si="1"/>
        <v>-73551.636507876217</v>
      </c>
      <c r="J22" s="42">
        <f t="shared" si="2"/>
        <v>-4.6180184167798682E-3</v>
      </c>
      <c r="K22" s="12">
        <f t="shared" si="3"/>
        <v>4.6180184167798682E-3</v>
      </c>
      <c r="L22" s="10">
        <f t="shared" si="4"/>
        <v>5409843232.9867496</v>
      </c>
      <c r="M22" s="10">
        <f t="shared" si="5"/>
        <v>-734534.85570530593</v>
      </c>
      <c r="N22" s="10">
        <f t="shared" si="6"/>
        <v>539541454246.01459</v>
      </c>
      <c r="O22" s="12"/>
      <c r="P22" t="s">
        <v>13</v>
      </c>
      <c r="Q22" s="105">
        <v>-835060.00005230645</v>
      </c>
      <c r="R22" s="105">
        <v>182822.94264024793</v>
      </c>
      <c r="S22" s="102">
        <v>-4.5675886625209063</v>
      </c>
      <c r="T22" s="102">
        <v>1.2560331633788368E-5</v>
      </c>
      <c r="U22" s="105">
        <v>-1197230.84131592</v>
      </c>
      <c r="V22" s="105">
        <v>-472889.1587886929</v>
      </c>
      <c r="W22">
        <v>-1197230.84131592</v>
      </c>
      <c r="X22">
        <v>-472889.1587886929</v>
      </c>
    </row>
    <row r="23" spans="1:24" ht="13.5" thickBot="1" x14ac:dyDescent="0.25">
      <c r="A23" s="49">
        <v>42277</v>
      </c>
      <c r="B23" s="50">
        <v>15311739</v>
      </c>
      <c r="C23" s="50">
        <f t="shared" si="7"/>
        <v>112.7</v>
      </c>
      <c r="D23" s="50">
        <f t="shared" si="7"/>
        <v>10.3</v>
      </c>
      <c r="E23" s="50">
        <v>30</v>
      </c>
      <c r="F23" s="79">
        <v>1</v>
      </c>
      <c r="G23" s="50">
        <v>11658</v>
      </c>
      <c r="H23" s="50">
        <f t="shared" si="0"/>
        <v>14734606.767400742</v>
      </c>
      <c r="I23" s="33">
        <f t="shared" si="1"/>
        <v>-577132.23259925842</v>
      </c>
      <c r="J23" s="42">
        <f t="shared" si="2"/>
        <v>-3.7692141473888656E-2</v>
      </c>
      <c r="K23" s="12">
        <f t="shared" si="3"/>
        <v>3.7692141473888656E-2</v>
      </c>
      <c r="L23" s="10">
        <f t="shared" si="4"/>
        <v>333081613905.00452</v>
      </c>
      <c r="M23" s="10">
        <f t="shared" si="5"/>
        <v>-503580.59609138221</v>
      </c>
      <c r="N23" s="10">
        <f t="shared" si="6"/>
        <v>253593416759.75183</v>
      </c>
      <c r="O23" s="12"/>
      <c r="P23" s="99" t="s">
        <v>80</v>
      </c>
      <c r="Q23" s="107">
        <v>6967.0359594951206</v>
      </c>
      <c r="R23" s="107">
        <v>323.28785115556991</v>
      </c>
      <c r="S23" s="106">
        <v>21.55056533857346</v>
      </c>
      <c r="T23" s="106">
        <v>5.1844301540086765E-42</v>
      </c>
      <c r="U23" s="107">
        <v>6326.6052163267705</v>
      </c>
      <c r="V23" s="107">
        <v>7607.4667026634706</v>
      </c>
      <c r="W23">
        <v>6326.6052163267705</v>
      </c>
      <c r="X23">
        <v>7607.4667026634706</v>
      </c>
    </row>
    <row r="24" spans="1:24" x14ac:dyDescent="0.2">
      <c r="A24" s="49">
        <v>42308</v>
      </c>
      <c r="B24" s="50">
        <v>15644030</v>
      </c>
      <c r="C24" s="50">
        <f t="shared" si="7"/>
        <v>344.3</v>
      </c>
      <c r="D24" s="50">
        <f t="shared" si="7"/>
        <v>3.7</v>
      </c>
      <c r="E24" s="50">
        <v>31</v>
      </c>
      <c r="F24" s="79">
        <v>1</v>
      </c>
      <c r="G24" s="50">
        <v>11660</v>
      </c>
      <c r="H24" s="50">
        <f t="shared" si="0"/>
        <v>17705455.801964127</v>
      </c>
      <c r="I24" s="33">
        <f t="shared" si="1"/>
        <v>2061425.8019641265</v>
      </c>
      <c r="J24" s="42">
        <f t="shared" si="2"/>
        <v>0.13177076507550334</v>
      </c>
      <c r="K24" s="12">
        <f t="shared" si="3"/>
        <v>0.13177076507550334</v>
      </c>
      <c r="L24" s="10">
        <f t="shared" si="4"/>
        <v>4249476337003.4424</v>
      </c>
      <c r="M24" s="10">
        <f t="shared" si="5"/>
        <v>2638558.034563385</v>
      </c>
      <c r="N24" s="10">
        <f t="shared" si="6"/>
        <v>6961988501758.9932</v>
      </c>
      <c r="O24" s="12"/>
      <c r="P24" s="44"/>
    </row>
    <row r="25" spans="1:24" x14ac:dyDescent="0.2">
      <c r="A25" s="49">
        <v>42338</v>
      </c>
      <c r="B25" s="50">
        <v>17358760</v>
      </c>
      <c r="C25" s="50">
        <f t="shared" si="7"/>
        <v>586.4</v>
      </c>
      <c r="D25" s="50">
        <f t="shared" si="7"/>
        <v>0</v>
      </c>
      <c r="E25" s="50">
        <v>30</v>
      </c>
      <c r="F25" s="79">
        <v>0</v>
      </c>
      <c r="G25" s="50">
        <v>11660</v>
      </c>
      <c r="H25" s="50">
        <f t="shared" si="0"/>
        <v>20296745.793343052</v>
      </c>
      <c r="I25" s="33">
        <f t="shared" si="1"/>
        <v>2937985.7933430523</v>
      </c>
      <c r="J25" s="42">
        <f t="shared" si="2"/>
        <v>0.16925090233075704</v>
      </c>
      <c r="K25" s="12">
        <f t="shared" si="3"/>
        <v>0.16925090233075704</v>
      </c>
      <c r="L25" s="10">
        <f t="shared" si="4"/>
        <v>8631760521885.6045</v>
      </c>
      <c r="M25" s="10">
        <f t="shared" si="5"/>
        <v>876559.99137892574</v>
      </c>
      <c r="N25" s="10">
        <f t="shared" si="6"/>
        <v>768357418486.22241</v>
      </c>
      <c r="O25" s="12"/>
      <c r="P25" s="44"/>
      <c r="Q25" s="91"/>
    </row>
    <row r="26" spans="1:24" x14ac:dyDescent="0.2">
      <c r="A26" s="49">
        <v>42369</v>
      </c>
      <c r="B26" s="50">
        <v>19854052</v>
      </c>
      <c r="C26" s="50">
        <f t="shared" si="7"/>
        <v>603.9</v>
      </c>
      <c r="D26" s="50">
        <f t="shared" si="7"/>
        <v>0</v>
      </c>
      <c r="E26" s="50">
        <v>31</v>
      </c>
      <c r="F26" s="79">
        <v>0</v>
      </c>
      <c r="G26" s="50">
        <v>11660</v>
      </c>
      <c r="H26" s="50">
        <f t="shared" si="0"/>
        <v>21168518.015072294</v>
      </c>
      <c r="I26" s="33">
        <f t="shared" si="1"/>
        <v>1314466.0150722936</v>
      </c>
      <c r="J26" s="42">
        <f t="shared" si="2"/>
        <v>6.6206435596738319E-2</v>
      </c>
      <c r="K26" s="12">
        <f t="shared" si="3"/>
        <v>6.6206435596738319E-2</v>
      </c>
      <c r="L26" s="10">
        <f t="shared" si="4"/>
        <v>1727820904780.0352</v>
      </c>
      <c r="M26" s="10">
        <f t="shared" si="5"/>
        <v>-1623519.7782707587</v>
      </c>
      <c r="N26" s="10">
        <f t="shared" si="6"/>
        <v>2635816470436.3335</v>
      </c>
      <c r="O26" s="12"/>
    </row>
    <row r="27" spans="1:24" x14ac:dyDescent="0.2">
      <c r="A27" s="49">
        <v>42400</v>
      </c>
      <c r="B27" s="50">
        <v>22812626</v>
      </c>
      <c r="C27" s="50">
        <f t="shared" si="7"/>
        <v>895.70000488281255</v>
      </c>
      <c r="D27" s="50">
        <f t="shared" si="7"/>
        <v>0</v>
      </c>
      <c r="E27" s="50">
        <v>31</v>
      </c>
      <c r="F27" s="79">
        <v>0</v>
      </c>
      <c r="G27" s="50">
        <v>11673</v>
      </c>
      <c r="H27" s="50">
        <f t="shared" si="0"/>
        <v>24309460.999218769</v>
      </c>
      <c r="I27" s="33">
        <f t="shared" si="1"/>
        <v>1496834.9992187694</v>
      </c>
      <c r="J27" s="42">
        <f t="shared" si="2"/>
        <v>6.5614322490482657E-2</v>
      </c>
      <c r="K27" s="12">
        <f t="shared" si="3"/>
        <v>6.5614322490482657E-2</v>
      </c>
      <c r="L27" s="10">
        <f t="shared" si="4"/>
        <v>2240515014886.2534</v>
      </c>
      <c r="M27" s="10">
        <f t="shared" si="5"/>
        <v>182368.98414647579</v>
      </c>
      <c r="N27" s="10">
        <f t="shared" si="6"/>
        <v>33258446378.617538</v>
      </c>
      <c r="Q27" s="84"/>
    </row>
    <row r="28" spans="1:24" x14ac:dyDescent="0.2">
      <c r="A28" s="49">
        <v>42429</v>
      </c>
      <c r="B28" s="50">
        <v>20613292</v>
      </c>
      <c r="C28" s="50">
        <f t="shared" si="7"/>
        <v>837.00000366210929</v>
      </c>
      <c r="D28" s="50">
        <f t="shared" si="7"/>
        <v>0</v>
      </c>
      <c r="E28" s="50">
        <v>29</v>
      </c>
      <c r="F28" s="79">
        <v>0</v>
      </c>
      <c r="G28" s="50">
        <v>11668</v>
      </c>
      <c r="H28" s="50">
        <f t="shared" si="0"/>
        <v>22283330.150949031</v>
      </c>
      <c r="I28" s="33">
        <f t="shared" si="1"/>
        <v>1670038.1509490311</v>
      </c>
      <c r="J28" s="42">
        <f t="shared" si="2"/>
        <v>8.1017537176935689E-2</v>
      </c>
      <c r="K28" s="12">
        <f t="shared" si="3"/>
        <v>8.1017537176935689E-2</v>
      </c>
      <c r="L28" s="10">
        <f t="shared" si="4"/>
        <v>2789027425625.2588</v>
      </c>
      <c r="M28" s="10">
        <f t="shared" si="5"/>
        <v>173203.15173026174</v>
      </c>
      <c r="N28" s="10">
        <f t="shared" si="6"/>
        <v>29999331769.29607</v>
      </c>
      <c r="Q28" s="84"/>
    </row>
    <row r="29" spans="1:24" x14ac:dyDescent="0.2">
      <c r="A29" s="49">
        <v>42460</v>
      </c>
      <c r="B29" s="50">
        <v>19595000</v>
      </c>
      <c r="C29" s="50">
        <f t="shared" si="7"/>
        <v>738.80999877929696</v>
      </c>
      <c r="D29" s="50">
        <f t="shared" si="7"/>
        <v>0</v>
      </c>
      <c r="E29" s="50">
        <v>31</v>
      </c>
      <c r="F29" s="79">
        <v>1</v>
      </c>
      <c r="G29" s="50">
        <v>11670</v>
      </c>
      <c r="H29" s="50">
        <f t="shared" si="0"/>
        <v>21813428.616919689</v>
      </c>
      <c r="I29" s="33">
        <f t="shared" si="1"/>
        <v>2218428.6169196889</v>
      </c>
      <c r="J29" s="42">
        <f t="shared" si="2"/>
        <v>0.11321401464249496</v>
      </c>
      <c r="K29" s="12">
        <f t="shared" si="3"/>
        <v>0.11321401464249496</v>
      </c>
      <c r="L29" s="10">
        <f t="shared" si="4"/>
        <v>4921425528368.2041</v>
      </c>
      <c r="M29" s="10">
        <f t="shared" si="5"/>
        <v>548390.46597065777</v>
      </c>
      <c r="N29" s="10">
        <f t="shared" si="6"/>
        <v>300732103167.51514</v>
      </c>
    </row>
    <row r="30" spans="1:24" x14ac:dyDescent="0.2">
      <c r="A30" s="49">
        <v>42490</v>
      </c>
      <c r="B30" s="50">
        <v>17806355</v>
      </c>
      <c r="C30" s="50">
        <f t="shared" si="7"/>
        <v>498.90000427246093</v>
      </c>
      <c r="D30" s="50">
        <f t="shared" si="7"/>
        <v>0</v>
      </c>
      <c r="E30" s="50">
        <v>30</v>
      </c>
      <c r="F30" s="79">
        <v>1</v>
      </c>
      <c r="G30" s="50">
        <v>11669</v>
      </c>
      <c r="H30" s="50">
        <f t="shared" si="0"/>
        <v>18609695.867405906</v>
      </c>
      <c r="I30" s="33">
        <f t="shared" si="1"/>
        <v>803340.86740590632</v>
      </c>
      <c r="J30" s="42">
        <f t="shared" si="2"/>
        <v>4.5115402192414243E-2</v>
      </c>
      <c r="K30" s="12">
        <f t="shared" si="3"/>
        <v>4.5115402192414243E-2</v>
      </c>
      <c r="L30" s="10">
        <f t="shared" si="4"/>
        <v>645356549244.474</v>
      </c>
      <c r="M30" s="10">
        <f t="shared" si="5"/>
        <v>-1415087.7495137826</v>
      </c>
      <c r="N30" s="10">
        <f t="shared" si="6"/>
        <v>2002473338823.9819</v>
      </c>
      <c r="Q30" s="90"/>
    </row>
    <row r="31" spans="1:24" x14ac:dyDescent="0.2">
      <c r="A31" s="49">
        <v>42521</v>
      </c>
      <c r="B31" s="50">
        <v>15620269</v>
      </c>
      <c r="C31" s="50">
        <f t="shared" si="7"/>
        <v>281.87999725341797</v>
      </c>
      <c r="D31" s="50">
        <f t="shared" si="7"/>
        <v>1.9499999940395356</v>
      </c>
      <c r="E31" s="50">
        <v>31</v>
      </c>
      <c r="F31" s="79">
        <v>1</v>
      </c>
      <c r="G31" s="50">
        <v>11671</v>
      </c>
      <c r="H31" s="50">
        <f t="shared" si="0"/>
        <v>17089013.941678859</v>
      </c>
      <c r="I31" s="33">
        <f t="shared" si="1"/>
        <v>1468744.9416788593</v>
      </c>
      <c r="J31" s="42">
        <f t="shared" si="2"/>
        <v>9.4028146485752542E-2</v>
      </c>
      <c r="K31" s="12">
        <f t="shared" si="3"/>
        <v>9.4028146485752542E-2</v>
      </c>
      <c r="L31" s="10">
        <f t="shared" si="4"/>
        <v>2157211703707.2358</v>
      </c>
      <c r="M31" s="10">
        <f t="shared" si="5"/>
        <v>665404.07427295297</v>
      </c>
      <c r="N31" s="10">
        <f t="shared" si="6"/>
        <v>442762582059.04553</v>
      </c>
    </row>
    <row r="32" spans="1:24" x14ac:dyDescent="0.2">
      <c r="A32" s="49">
        <v>42551</v>
      </c>
      <c r="B32" s="50">
        <v>15053727</v>
      </c>
      <c r="C32" s="50">
        <f t="shared" si="7"/>
        <v>126.93000061035154</v>
      </c>
      <c r="D32" s="50">
        <f t="shared" si="7"/>
        <v>7.2900000768899913</v>
      </c>
      <c r="E32" s="50">
        <v>30</v>
      </c>
      <c r="F32" s="79">
        <v>0</v>
      </c>
      <c r="G32" s="50">
        <v>11665</v>
      </c>
      <c r="H32" s="50">
        <f t="shared" si="0"/>
        <v>15697422.647236869</v>
      </c>
      <c r="I32" s="33">
        <f t="shared" si="1"/>
        <v>643695.64723686874</v>
      </c>
      <c r="J32" s="42">
        <f t="shared" si="2"/>
        <v>4.2759885790201242E-2</v>
      </c>
      <c r="K32" s="12">
        <f t="shared" si="3"/>
        <v>4.2759885790201242E-2</v>
      </c>
      <c r="L32" s="10">
        <f t="shared" si="4"/>
        <v>414344086271.69135</v>
      </c>
      <c r="M32" s="10">
        <f t="shared" si="5"/>
        <v>-825049.29444199055</v>
      </c>
      <c r="N32" s="10">
        <f t="shared" si="6"/>
        <v>680706338259.22644</v>
      </c>
    </row>
    <row r="33" spans="1:15" x14ac:dyDescent="0.2">
      <c r="A33" s="49">
        <v>42582</v>
      </c>
      <c r="B33" s="50">
        <v>15175029</v>
      </c>
      <c r="C33" s="50">
        <f t="shared" si="7"/>
        <v>59.829999809265146</v>
      </c>
      <c r="D33" s="50">
        <f t="shared" si="7"/>
        <v>18.570000028610231</v>
      </c>
      <c r="E33" s="50">
        <v>31</v>
      </c>
      <c r="F33" s="79">
        <v>0</v>
      </c>
      <c r="G33" s="50">
        <v>11670</v>
      </c>
      <c r="H33" s="50">
        <f t="shared" si="0"/>
        <v>15981110.866468333</v>
      </c>
      <c r="I33" s="33">
        <f t="shared" si="1"/>
        <v>806081.86646833271</v>
      </c>
      <c r="J33" s="42">
        <f t="shared" si="2"/>
        <v>5.3118967118173724E-2</v>
      </c>
      <c r="K33" s="12">
        <f t="shared" si="3"/>
        <v>5.3118967118173724E-2</v>
      </c>
      <c r="L33" s="10">
        <f t="shared" si="4"/>
        <v>649767975449.07092</v>
      </c>
      <c r="M33" s="10">
        <f t="shared" si="5"/>
        <v>162386.21923146397</v>
      </c>
      <c r="N33" s="10">
        <f t="shared" si="6"/>
        <v>26369284196.289078</v>
      </c>
      <c r="O33"/>
    </row>
    <row r="34" spans="1:15" x14ac:dyDescent="0.2">
      <c r="A34" s="49">
        <v>42613</v>
      </c>
      <c r="B34" s="50">
        <v>14040928</v>
      </c>
      <c r="C34" s="50">
        <f t="shared" si="7"/>
        <v>54.610000228881837</v>
      </c>
      <c r="D34" s="50">
        <f t="shared" si="7"/>
        <v>20.229999904632567</v>
      </c>
      <c r="E34" s="50">
        <v>31</v>
      </c>
      <c r="F34" s="79">
        <v>0</v>
      </c>
      <c r="G34" s="50">
        <v>11677</v>
      </c>
      <c r="H34" s="50">
        <f t="shared" si="0"/>
        <v>16013789.190560512</v>
      </c>
      <c r="I34" s="33">
        <f t="shared" si="1"/>
        <v>1972861.1905605122</v>
      </c>
      <c r="J34" s="42">
        <f t="shared" si="2"/>
        <v>0.14050789168354913</v>
      </c>
      <c r="K34" s="12">
        <f t="shared" si="3"/>
        <v>0.14050789168354913</v>
      </c>
      <c r="L34" s="10">
        <f t="shared" si="4"/>
        <v>3892181277219.8418</v>
      </c>
      <c r="M34" s="10">
        <f t="shared" si="5"/>
        <v>1166779.3240921795</v>
      </c>
      <c r="N34" s="10">
        <f t="shared" si="6"/>
        <v>1361373991129.0034</v>
      </c>
      <c r="O34"/>
    </row>
    <row r="35" spans="1:15" x14ac:dyDescent="0.2">
      <c r="A35" s="49">
        <v>42643</v>
      </c>
      <c r="B35" s="50">
        <v>14592632</v>
      </c>
      <c r="C35" s="50">
        <f t="shared" si="7"/>
        <v>112.7</v>
      </c>
      <c r="D35" s="50">
        <f t="shared" si="7"/>
        <v>10.3</v>
      </c>
      <c r="E35" s="50">
        <v>30</v>
      </c>
      <c r="F35" s="79">
        <v>1</v>
      </c>
      <c r="G35" s="50">
        <v>11679</v>
      </c>
      <c r="H35" s="50">
        <f t="shared" si="0"/>
        <v>14880914.522550136</v>
      </c>
      <c r="I35" s="33">
        <f t="shared" si="1"/>
        <v>288282.52255013585</v>
      </c>
      <c r="J35" s="42">
        <f t="shared" si="2"/>
        <v>1.9755347942039234E-2</v>
      </c>
      <c r="K35" s="12">
        <f t="shared" si="3"/>
        <v>1.9755347942039234E-2</v>
      </c>
      <c r="L35" s="10">
        <f t="shared" si="4"/>
        <v>83106812807.869583</v>
      </c>
      <c r="M35" s="10">
        <f t="shared" si="5"/>
        <v>-1684578.6680103764</v>
      </c>
      <c r="N35" s="10">
        <f t="shared" si="6"/>
        <v>2837805288715.6138</v>
      </c>
      <c r="O35"/>
    </row>
    <row r="36" spans="1:15" x14ac:dyDescent="0.2">
      <c r="A36" s="49">
        <v>42674</v>
      </c>
      <c r="B36" s="50">
        <v>16660127</v>
      </c>
      <c r="C36" s="50">
        <f t="shared" si="7"/>
        <v>344.3</v>
      </c>
      <c r="D36" s="50">
        <f t="shared" si="7"/>
        <v>3.7</v>
      </c>
      <c r="E36" s="50">
        <v>31</v>
      </c>
      <c r="F36" s="79">
        <v>1</v>
      </c>
      <c r="G36" s="50">
        <v>11680</v>
      </c>
      <c r="H36" s="50">
        <f t="shared" si="0"/>
        <v>17844796.521154024</v>
      </c>
      <c r="I36" s="33">
        <f t="shared" si="1"/>
        <v>1184669.5211540237</v>
      </c>
      <c r="J36" s="42">
        <f t="shared" si="2"/>
        <v>7.1108072654789703E-2</v>
      </c>
      <c r="K36" s="12">
        <f t="shared" si="3"/>
        <v>7.1108072654789703E-2</v>
      </c>
      <c r="L36" s="10">
        <f t="shared" si="4"/>
        <v>1403441874351.3037</v>
      </c>
      <c r="M36" s="10">
        <f t="shared" si="5"/>
        <v>896386.99860388786</v>
      </c>
      <c r="N36" s="10">
        <f t="shared" si="6"/>
        <v>803509651266.08643</v>
      </c>
      <c r="O36"/>
    </row>
    <row r="37" spans="1:15" x14ac:dyDescent="0.2">
      <c r="A37" s="49">
        <v>42704</v>
      </c>
      <c r="B37" s="50">
        <v>17571648</v>
      </c>
      <c r="C37" s="50">
        <f t="shared" si="7"/>
        <v>586.4</v>
      </c>
      <c r="D37" s="50">
        <f t="shared" si="7"/>
        <v>0</v>
      </c>
      <c r="E37" s="50">
        <v>30</v>
      </c>
      <c r="F37" s="79">
        <v>0</v>
      </c>
      <c r="G37" s="50">
        <v>11694</v>
      </c>
      <c r="H37" s="50">
        <f t="shared" si="0"/>
        <v>20533625.015965879</v>
      </c>
      <c r="I37" s="33">
        <f t="shared" si="1"/>
        <v>2961977.015965879</v>
      </c>
      <c r="J37" s="42">
        <f t="shared" si="2"/>
        <v>0.1685656926411159</v>
      </c>
      <c r="K37" s="12">
        <f t="shared" si="3"/>
        <v>0.1685656926411159</v>
      </c>
      <c r="L37" s="10">
        <f t="shared" si="4"/>
        <v>8773307843110.1328</v>
      </c>
      <c r="M37" s="10">
        <f t="shared" si="5"/>
        <v>1777307.4948118553</v>
      </c>
      <c r="N37" s="10">
        <f t="shared" si="6"/>
        <v>3158821931114.3931</v>
      </c>
      <c r="O37"/>
    </row>
    <row r="38" spans="1:15" x14ac:dyDescent="0.2">
      <c r="A38" s="49">
        <v>42735</v>
      </c>
      <c r="B38" s="50">
        <v>21508613</v>
      </c>
      <c r="C38" s="50">
        <f t="shared" si="7"/>
        <v>603.9</v>
      </c>
      <c r="D38" s="50">
        <f t="shared" si="7"/>
        <v>0</v>
      </c>
      <c r="E38" s="50">
        <v>31</v>
      </c>
      <c r="F38" s="79">
        <v>0</v>
      </c>
      <c r="G38" s="50">
        <v>11707</v>
      </c>
      <c r="H38" s="50">
        <f t="shared" si="0"/>
        <v>21495968.705168553</v>
      </c>
      <c r="I38" s="33">
        <f t="shared" si="1"/>
        <v>-12644.294831447303</v>
      </c>
      <c r="J38" s="42">
        <f t="shared" si="2"/>
        <v>-5.8787123239640335E-4</v>
      </c>
      <c r="K38" s="12">
        <f t="shared" si="3"/>
        <v>5.8787123239640335E-4</v>
      </c>
      <c r="L38" s="10">
        <f t="shared" si="4"/>
        <v>159878191.784565</v>
      </c>
      <c r="M38" s="10">
        <f t="shared" si="5"/>
        <v>-2974621.3107973263</v>
      </c>
      <c r="N38" s="10">
        <f t="shared" si="6"/>
        <v>8848371942649.6035</v>
      </c>
      <c r="O38"/>
    </row>
    <row r="39" spans="1:15" x14ac:dyDescent="0.2">
      <c r="A39" s="49">
        <v>42766</v>
      </c>
      <c r="B39" s="50">
        <v>21467580.559999999</v>
      </c>
      <c r="C39" s="50">
        <f t="shared" si="7"/>
        <v>895.70000488281255</v>
      </c>
      <c r="D39" s="50">
        <f t="shared" si="7"/>
        <v>0</v>
      </c>
      <c r="E39" s="50">
        <v>31</v>
      </c>
      <c r="F39" s="79">
        <v>0</v>
      </c>
      <c r="G39" s="50">
        <v>11705</v>
      </c>
      <c r="H39" s="50">
        <f t="shared" si="0"/>
        <v>24532406.149922617</v>
      </c>
      <c r="I39" s="33">
        <f t="shared" si="1"/>
        <v>3064825.5899226181</v>
      </c>
      <c r="J39" s="42">
        <f t="shared" si="2"/>
        <v>0.14276530051240288</v>
      </c>
      <c r="K39" s="12">
        <f t="shared" si="3"/>
        <v>0.14276530051240288</v>
      </c>
      <c r="L39" s="10">
        <f t="shared" si="4"/>
        <v>9393155896644.5234</v>
      </c>
      <c r="M39" s="10">
        <f t="shared" si="5"/>
        <v>3077469.8847540654</v>
      </c>
      <c r="N39" s="10">
        <f t="shared" si="6"/>
        <v>9470820891568.2012</v>
      </c>
      <c r="O39"/>
    </row>
    <row r="40" spans="1:15" x14ac:dyDescent="0.2">
      <c r="A40" s="49">
        <v>42794</v>
      </c>
      <c r="B40" s="50">
        <v>19505516.77</v>
      </c>
      <c r="C40" s="50">
        <f t="shared" si="7"/>
        <v>837.00000366210929</v>
      </c>
      <c r="D40" s="50">
        <f t="shared" si="7"/>
        <v>0</v>
      </c>
      <c r="E40" s="50">
        <v>28</v>
      </c>
      <c r="F40" s="79">
        <v>0</v>
      </c>
      <c r="G40" s="50">
        <v>11705</v>
      </c>
      <c r="H40" s="50">
        <f t="shared" si="0"/>
        <v>21852276.918557718</v>
      </c>
      <c r="I40" s="33">
        <f t="shared" si="1"/>
        <v>2346760.1485577188</v>
      </c>
      <c r="J40" s="42">
        <f t="shared" si="2"/>
        <v>0.12031263648277692</v>
      </c>
      <c r="K40" s="12">
        <f t="shared" si="3"/>
        <v>0.12031263648277692</v>
      </c>
      <c r="L40" s="10">
        <f t="shared" si="4"/>
        <v>5507283194858.6465</v>
      </c>
      <c r="M40" s="10">
        <f t="shared" si="5"/>
        <v>-718065.44136489928</v>
      </c>
      <c r="N40" s="10">
        <f t="shared" si="6"/>
        <v>515617978082.56763</v>
      </c>
      <c r="O40"/>
    </row>
    <row r="41" spans="1:15" x14ac:dyDescent="0.2">
      <c r="A41" s="49">
        <v>42825</v>
      </c>
      <c r="B41" s="50">
        <v>21065920</v>
      </c>
      <c r="C41" s="50">
        <f t="shared" si="7"/>
        <v>738.80999877929696</v>
      </c>
      <c r="D41" s="50">
        <f t="shared" si="7"/>
        <v>0</v>
      </c>
      <c r="E41" s="50">
        <v>31</v>
      </c>
      <c r="F41" s="79">
        <v>1</v>
      </c>
      <c r="G41" s="50">
        <v>11705</v>
      </c>
      <c r="H41" s="50">
        <f t="shared" si="0"/>
        <v>22057274.875502028</v>
      </c>
      <c r="I41" s="33">
        <f t="shared" si="1"/>
        <v>991354.87550202757</v>
      </c>
      <c r="J41" s="42">
        <f t="shared" si="2"/>
        <v>4.7059652533667062E-2</v>
      </c>
      <c r="K41" s="12">
        <f t="shared" si="3"/>
        <v>4.7059652533667062E-2</v>
      </c>
      <c r="L41" s="10">
        <f t="shared" si="4"/>
        <v>982784489181.64063</v>
      </c>
      <c r="M41" s="10">
        <f t="shared" si="5"/>
        <v>-1355405.2730556913</v>
      </c>
      <c r="N41" s="10">
        <f t="shared" si="6"/>
        <v>1837123454227.1731</v>
      </c>
      <c r="O41"/>
    </row>
    <row r="42" spans="1:15" x14ac:dyDescent="0.2">
      <c r="A42" s="49">
        <v>42855</v>
      </c>
      <c r="B42" s="50">
        <v>17169201</v>
      </c>
      <c r="C42" s="50">
        <f t="shared" si="7"/>
        <v>498.90000427246093</v>
      </c>
      <c r="D42" s="50">
        <f t="shared" si="7"/>
        <v>0</v>
      </c>
      <c r="E42" s="50">
        <v>30</v>
      </c>
      <c r="F42" s="79">
        <v>1</v>
      </c>
      <c r="G42" s="50">
        <v>11706</v>
      </c>
      <c r="H42" s="50">
        <f t="shared" si="0"/>
        <v>18867476.197907239</v>
      </c>
      <c r="I42" s="33">
        <f t="shared" si="1"/>
        <v>1698275.1979072392</v>
      </c>
      <c r="J42" s="42">
        <f t="shared" si="2"/>
        <v>9.8914049518509295E-2</v>
      </c>
      <c r="K42" s="12">
        <f t="shared" si="3"/>
        <v>9.8914049518509295E-2</v>
      </c>
      <c r="L42" s="10">
        <f t="shared" si="4"/>
        <v>2884138647826.8726</v>
      </c>
      <c r="M42" s="10">
        <f t="shared" si="5"/>
        <v>706920.32240521163</v>
      </c>
      <c r="N42" s="10">
        <f t="shared" si="6"/>
        <v>499736342229.48834</v>
      </c>
      <c r="O42"/>
    </row>
    <row r="43" spans="1:15" x14ac:dyDescent="0.2">
      <c r="A43" s="49">
        <v>42886</v>
      </c>
      <c r="B43" s="50">
        <v>16857588.595495854</v>
      </c>
      <c r="C43" s="50">
        <f t="shared" si="7"/>
        <v>281.87999725341797</v>
      </c>
      <c r="D43" s="50">
        <f t="shared" si="7"/>
        <v>1.9499999940395356</v>
      </c>
      <c r="E43" s="50">
        <v>31</v>
      </c>
      <c r="F43" s="79">
        <v>1</v>
      </c>
      <c r="G43" s="50">
        <v>11687</v>
      </c>
      <c r="H43" s="50">
        <f t="shared" si="0"/>
        <v>17200486.517030783</v>
      </c>
      <c r="I43" s="33">
        <f t="shared" si="1"/>
        <v>342897.92153492942</v>
      </c>
      <c r="J43" s="42">
        <f t="shared" si="2"/>
        <v>2.0340864269670671E-2</v>
      </c>
      <c r="K43" s="12">
        <f t="shared" si="3"/>
        <v>2.0340864269670671E-2</v>
      </c>
      <c r="L43" s="10">
        <f t="shared" si="4"/>
        <v>117578984592.97461</v>
      </c>
      <c r="M43" s="10">
        <f t="shared" si="5"/>
        <v>-1355377.2763723098</v>
      </c>
      <c r="N43" s="10">
        <f t="shared" si="6"/>
        <v>1837047561306.4207</v>
      </c>
      <c r="O43"/>
    </row>
    <row r="44" spans="1:15" x14ac:dyDescent="0.2">
      <c r="A44" s="49">
        <v>42916</v>
      </c>
      <c r="B44" s="50">
        <v>15263333.301115217</v>
      </c>
      <c r="C44" s="50">
        <f t="shared" si="7"/>
        <v>126.93000061035154</v>
      </c>
      <c r="D44" s="50">
        <f t="shared" si="7"/>
        <v>7.2900000768899913</v>
      </c>
      <c r="E44" s="50">
        <v>30</v>
      </c>
      <c r="F44" s="79">
        <v>0</v>
      </c>
      <c r="G44" s="50">
        <v>11681</v>
      </c>
      <c r="H44" s="50">
        <f t="shared" si="0"/>
        <v>15808895.222588792</v>
      </c>
      <c r="I44" s="33">
        <f t="shared" si="1"/>
        <v>545561.92147357576</v>
      </c>
      <c r="J44" s="42">
        <f t="shared" si="2"/>
        <v>3.574330132944907E-2</v>
      </c>
      <c r="K44" s="12">
        <f t="shared" si="3"/>
        <v>3.574330132944907E-2</v>
      </c>
      <c r="L44" s="10">
        <f t="shared" si="4"/>
        <v>297637810161.94006</v>
      </c>
      <c r="M44" s="10">
        <f t="shared" si="5"/>
        <v>202663.99993864633</v>
      </c>
      <c r="N44" s="10">
        <f t="shared" si="6"/>
        <v>41072696871.131638</v>
      </c>
      <c r="O44"/>
    </row>
    <row r="45" spans="1:15" x14ac:dyDescent="0.2">
      <c r="A45" s="49">
        <v>42947</v>
      </c>
      <c r="B45" s="50">
        <v>15899251.466712737</v>
      </c>
      <c r="C45" s="50">
        <f t="shared" si="7"/>
        <v>59.829999809265146</v>
      </c>
      <c r="D45" s="50">
        <f t="shared" si="7"/>
        <v>18.570000028610231</v>
      </c>
      <c r="E45" s="50">
        <v>31</v>
      </c>
      <c r="F45" s="79">
        <v>0</v>
      </c>
      <c r="G45" s="50">
        <v>11698</v>
      </c>
      <c r="H45" s="50">
        <f t="shared" si="0"/>
        <v>16176187.873334207</v>
      </c>
      <c r="I45" s="33">
        <f t="shared" si="1"/>
        <v>276936.40662146918</v>
      </c>
      <c r="J45" s="42">
        <f t="shared" si="2"/>
        <v>1.7418204070881797E-2</v>
      </c>
      <c r="K45" s="12">
        <f t="shared" si="3"/>
        <v>1.7418204070881797E-2</v>
      </c>
      <c r="L45" s="10">
        <f t="shared" si="4"/>
        <v>76693773312.411728</v>
      </c>
      <c r="M45" s="10">
        <f t="shared" si="5"/>
        <v>-268625.51485210657</v>
      </c>
      <c r="N45" s="10">
        <f t="shared" si="6"/>
        <v>72159667229.559326</v>
      </c>
      <c r="O45"/>
    </row>
    <row r="46" spans="1:15" x14ac:dyDescent="0.2">
      <c r="A46" s="49">
        <v>42978</v>
      </c>
      <c r="B46" s="50">
        <v>15367347.487313259</v>
      </c>
      <c r="C46" s="50">
        <f t="shared" si="7"/>
        <v>54.610000228881837</v>
      </c>
      <c r="D46" s="50">
        <f t="shared" si="7"/>
        <v>20.229999904632567</v>
      </c>
      <c r="E46" s="50">
        <v>31</v>
      </c>
      <c r="F46" s="79">
        <v>0</v>
      </c>
      <c r="G46" s="50">
        <v>11698</v>
      </c>
      <c r="H46" s="50">
        <f t="shared" si="0"/>
        <v>16160096.945709921</v>
      </c>
      <c r="I46" s="33">
        <f t="shared" si="1"/>
        <v>792749.45839666203</v>
      </c>
      <c r="J46" s="42">
        <f t="shared" si="2"/>
        <v>5.1586616301292597E-2</v>
      </c>
      <c r="K46" s="12">
        <f t="shared" si="3"/>
        <v>5.1586616301292597E-2</v>
      </c>
      <c r="L46" s="10">
        <f>I46*I46</f>
        <v>628451703788.20093</v>
      </c>
      <c r="M46" s="10">
        <f t="shared" si="5"/>
        <v>515813.05177519284</v>
      </c>
      <c r="N46" s="10">
        <f t="shared" si="6"/>
        <v>266063104381.63776</v>
      </c>
      <c r="O46"/>
    </row>
    <row r="47" spans="1:15" x14ac:dyDescent="0.2">
      <c r="A47" s="49">
        <v>43008</v>
      </c>
      <c r="B47" s="50">
        <v>14966550.43</v>
      </c>
      <c r="C47" s="50">
        <f t="shared" si="7"/>
        <v>112.7</v>
      </c>
      <c r="D47" s="50">
        <f t="shared" si="7"/>
        <v>10.3</v>
      </c>
      <c r="E47" s="50">
        <v>30</v>
      </c>
      <c r="F47" s="79">
        <v>1</v>
      </c>
      <c r="G47" s="50">
        <v>11707</v>
      </c>
      <c r="H47" s="50">
        <f t="shared" si="0"/>
        <v>15075991.529415995</v>
      </c>
      <c r="I47" s="33">
        <f t="shared" si="1"/>
        <v>109441.09941599518</v>
      </c>
      <c r="J47" s="42">
        <f t="shared" si="2"/>
        <v>7.3123796914901507E-3</v>
      </c>
      <c r="K47" s="12">
        <f t="shared" si="3"/>
        <v>7.3123796914901507E-3</v>
      </c>
      <c r="L47" s="10">
        <f t="shared" si="4"/>
        <v>11977354241.381741</v>
      </c>
      <c r="M47" s="10">
        <f t="shared" si="5"/>
        <v>-683308.35898066685</v>
      </c>
      <c r="N47" s="10">
        <f t="shared" si="6"/>
        <v>466910313452.85187</v>
      </c>
      <c r="O47"/>
    </row>
    <row r="48" spans="1:15" x14ac:dyDescent="0.2">
      <c r="A48" s="49">
        <v>43039</v>
      </c>
      <c r="B48" s="50">
        <v>16411903.51</v>
      </c>
      <c r="C48" s="50">
        <f t="shared" si="7"/>
        <v>344.3</v>
      </c>
      <c r="D48" s="50">
        <f t="shared" si="7"/>
        <v>3.7</v>
      </c>
      <c r="E48" s="50">
        <v>31</v>
      </c>
      <c r="F48" s="79">
        <v>1</v>
      </c>
      <c r="G48" s="50">
        <v>11712</v>
      </c>
      <c r="H48" s="50">
        <f t="shared" si="0"/>
        <v>18067741.671857871</v>
      </c>
      <c r="I48" s="33">
        <f t="shared" si="1"/>
        <v>1655838.1618578713</v>
      </c>
      <c r="J48" s="42">
        <f t="shared" si="2"/>
        <v>0.10089251139265755</v>
      </c>
      <c r="K48" s="12">
        <f t="shared" si="3"/>
        <v>0.10089251139265755</v>
      </c>
      <c r="L48" s="10">
        <f t="shared" si="4"/>
        <v>2741800018264.854</v>
      </c>
      <c r="M48" s="10">
        <f t="shared" si="5"/>
        <v>1546397.0624418762</v>
      </c>
      <c r="N48" s="10">
        <f t="shared" si="6"/>
        <v>2391343874728.8638</v>
      </c>
      <c r="O48"/>
    </row>
    <row r="49" spans="1:15" x14ac:dyDescent="0.2">
      <c r="A49" s="49">
        <v>43069</v>
      </c>
      <c r="B49" s="50">
        <v>19237914.300000001</v>
      </c>
      <c r="C49" s="50">
        <f t="shared" si="7"/>
        <v>586.4</v>
      </c>
      <c r="D49" s="50">
        <f t="shared" si="7"/>
        <v>0</v>
      </c>
      <c r="E49" s="50">
        <v>30</v>
      </c>
      <c r="F49" s="79">
        <v>0</v>
      </c>
      <c r="G49" s="50">
        <v>11718</v>
      </c>
      <c r="H49" s="50">
        <f t="shared" si="0"/>
        <v>20700833.878993765</v>
      </c>
      <c r="I49" s="33">
        <f t="shared" si="1"/>
        <v>1462919.5789937638</v>
      </c>
      <c r="J49" s="42">
        <f t="shared" si="2"/>
        <v>7.6043564607924455E-2</v>
      </c>
      <c r="K49" s="12">
        <f t="shared" si="3"/>
        <v>7.6043564607924455E-2</v>
      </c>
      <c r="L49" s="10">
        <f t="shared" si="4"/>
        <v>2140133694603.291</v>
      </c>
      <c r="M49" s="10">
        <f t="shared" si="5"/>
        <v>-192918.58286410756</v>
      </c>
      <c r="N49" s="10">
        <f t="shared" si="6"/>
        <v>37217579614.29554</v>
      </c>
      <c r="O49"/>
    </row>
    <row r="50" spans="1:15" x14ac:dyDescent="0.2">
      <c r="A50" s="49">
        <v>43100</v>
      </c>
      <c r="B50" s="50">
        <v>24068887.60324087</v>
      </c>
      <c r="C50" s="50">
        <f t="shared" si="7"/>
        <v>603.9</v>
      </c>
      <c r="D50" s="50">
        <f t="shared" si="7"/>
        <v>0</v>
      </c>
      <c r="E50" s="50">
        <v>31</v>
      </c>
      <c r="F50" s="79">
        <v>0</v>
      </c>
      <c r="G50" s="50">
        <v>11724</v>
      </c>
      <c r="H50" s="50">
        <f t="shared" si="0"/>
        <v>21614408.316479973</v>
      </c>
      <c r="I50" s="33">
        <f t="shared" si="1"/>
        <v>-2454479.2867608964</v>
      </c>
      <c r="J50" s="42">
        <f t="shared" si="2"/>
        <v>-0.10197726322966423</v>
      </c>
      <c r="K50" s="12">
        <f t="shared" si="3"/>
        <v>0.10197726322966423</v>
      </c>
      <c r="L50" s="10">
        <f t="shared" si="4"/>
        <v>6024468569138.2793</v>
      </c>
      <c r="M50" s="10">
        <f t="shared" si="5"/>
        <v>-3917398.8657546602</v>
      </c>
      <c r="N50" s="10">
        <f t="shared" si="6"/>
        <v>15346013873415.898</v>
      </c>
      <c r="O50"/>
    </row>
    <row r="51" spans="1:15" x14ac:dyDescent="0.2">
      <c r="A51" s="49">
        <v>43131</v>
      </c>
      <c r="B51" s="50">
        <v>24569279.800000001</v>
      </c>
      <c r="C51" s="50">
        <f t="shared" si="7"/>
        <v>895.70000488281255</v>
      </c>
      <c r="D51" s="50">
        <f t="shared" si="7"/>
        <v>0</v>
      </c>
      <c r="E51" s="50">
        <v>31</v>
      </c>
      <c r="F51" s="79">
        <v>0</v>
      </c>
      <c r="G51" s="50">
        <v>11725</v>
      </c>
      <c r="H51" s="50">
        <f t="shared" si="0"/>
        <v>24671746.869112514</v>
      </c>
      <c r="I51" s="33">
        <f t="shared" si="1"/>
        <v>102467.06911251321</v>
      </c>
      <c r="J51" s="42">
        <f t="shared" si="2"/>
        <v>4.1705361307543586E-3</v>
      </c>
      <c r="K51" s="12">
        <f t="shared" si="3"/>
        <v>4.1705361307543586E-3</v>
      </c>
      <c r="L51" s="10">
        <f t="shared" si="4"/>
        <v>10499500252.50856</v>
      </c>
      <c r="M51" s="10">
        <f t="shared" si="5"/>
        <v>2556946.3558734097</v>
      </c>
      <c r="N51" s="10">
        <f t="shared" si="6"/>
        <v>6537974666814.3096</v>
      </c>
      <c r="O51"/>
    </row>
    <row r="52" spans="1:15" x14ac:dyDescent="0.2">
      <c r="A52" s="49">
        <v>43159</v>
      </c>
      <c r="B52" s="50">
        <v>21339233.539999999</v>
      </c>
      <c r="C52" s="50">
        <f t="shared" si="7"/>
        <v>837.00000366210929</v>
      </c>
      <c r="D52" s="50">
        <f t="shared" si="7"/>
        <v>0</v>
      </c>
      <c r="E52" s="50">
        <v>28</v>
      </c>
      <c r="F52" s="79">
        <v>0</v>
      </c>
      <c r="G52" s="50">
        <v>11725</v>
      </c>
      <c r="H52" s="50">
        <f t="shared" si="0"/>
        <v>21991617.637747616</v>
      </c>
      <c r="I52" s="33">
        <f t="shared" si="1"/>
        <v>652384.09774761647</v>
      </c>
      <c r="J52" s="42">
        <f t="shared" si="2"/>
        <v>3.0572049203394982E-2</v>
      </c>
      <c r="K52" s="12">
        <f t="shared" si="3"/>
        <v>3.0572049203394982E-2</v>
      </c>
      <c r="L52" s="10">
        <f t="shared" si="4"/>
        <v>425605010993.97162</v>
      </c>
      <c r="M52" s="10">
        <f t="shared" si="5"/>
        <v>549917.02863510326</v>
      </c>
      <c r="N52" s="10">
        <f t="shared" si="6"/>
        <v>302408738382.86096</v>
      </c>
      <c r="O52"/>
    </row>
    <row r="53" spans="1:15" x14ac:dyDescent="0.2">
      <c r="A53" s="49">
        <v>43190</v>
      </c>
      <c r="B53" s="50">
        <v>21499910.469999999</v>
      </c>
      <c r="C53" s="50">
        <f t="shared" si="7"/>
        <v>738.80999877929696</v>
      </c>
      <c r="D53" s="50">
        <f t="shared" si="7"/>
        <v>0</v>
      </c>
      <c r="E53" s="50">
        <v>31</v>
      </c>
      <c r="F53" s="79">
        <v>1</v>
      </c>
      <c r="G53" s="50">
        <v>11721</v>
      </c>
      <c r="H53" s="50">
        <f t="shared" si="0"/>
        <v>22168747.450853951</v>
      </c>
      <c r="I53" s="33">
        <f t="shared" si="1"/>
        <v>668836.98085395247</v>
      </c>
      <c r="J53" s="42">
        <f t="shared" si="2"/>
        <v>3.1108826326845283E-2</v>
      </c>
      <c r="K53" s="12">
        <f t="shared" si="3"/>
        <v>3.1108826326845283E-2</v>
      </c>
      <c r="L53" s="10">
        <f t="shared" si="4"/>
        <v>447342906957.83038</v>
      </c>
      <c r="M53" s="10">
        <f t="shared" si="5"/>
        <v>16452.883106335998</v>
      </c>
      <c r="N53" s="10">
        <f t="shared" si="6"/>
        <v>270697362.51075649</v>
      </c>
      <c r="O53"/>
    </row>
    <row r="54" spans="1:15" x14ac:dyDescent="0.2">
      <c r="A54" s="49">
        <v>43220</v>
      </c>
      <c r="B54" s="50">
        <v>19888070.98</v>
      </c>
      <c r="C54" s="50">
        <f t="shared" si="7"/>
        <v>498.90000427246093</v>
      </c>
      <c r="D54" s="50">
        <f t="shared" si="7"/>
        <v>0</v>
      </c>
      <c r="E54" s="50">
        <v>30</v>
      </c>
      <c r="F54" s="79">
        <v>1</v>
      </c>
      <c r="G54" s="50">
        <v>11721</v>
      </c>
      <c r="H54" s="50">
        <f t="shared" si="0"/>
        <v>18971981.737299666</v>
      </c>
      <c r="I54" s="33">
        <f t="shared" si="1"/>
        <v>-916089.24270033464</v>
      </c>
      <c r="J54" s="42">
        <f t="shared" si="2"/>
        <v>-4.6062247244671423E-2</v>
      </c>
      <c r="K54" s="12">
        <f t="shared" si="3"/>
        <v>4.6062247244671423E-2</v>
      </c>
      <c r="L54" s="10">
        <f t="shared" si="4"/>
        <v>839219500591.27258</v>
      </c>
      <c r="M54" s="10">
        <f t="shared" si="5"/>
        <v>-1584926.2235542871</v>
      </c>
      <c r="N54" s="10">
        <f t="shared" si="6"/>
        <v>2511991134110.0542</v>
      </c>
      <c r="O54"/>
    </row>
    <row r="55" spans="1:15" x14ac:dyDescent="0.2">
      <c r="A55" s="49">
        <v>43251</v>
      </c>
      <c r="B55" s="50">
        <v>16896990.010000002</v>
      </c>
      <c r="C55" s="50">
        <f t="shared" si="7"/>
        <v>281.87999725341797</v>
      </c>
      <c r="D55" s="50">
        <f t="shared" si="7"/>
        <v>1.9499999940395356</v>
      </c>
      <c r="E55" s="50">
        <v>31</v>
      </c>
      <c r="F55" s="79">
        <v>1</v>
      </c>
      <c r="G55" s="50">
        <v>11697</v>
      </c>
      <c r="H55" s="50">
        <f t="shared" si="0"/>
        <v>17270156.876625739</v>
      </c>
      <c r="I55" s="33">
        <f t="shared" si="1"/>
        <v>373166.8666257374</v>
      </c>
      <c r="J55" s="42">
        <f t="shared" si="2"/>
        <v>2.2084813117891958E-2</v>
      </c>
      <c r="K55" s="12">
        <f t="shared" si="3"/>
        <v>2.2084813117891958E-2</v>
      </c>
      <c r="L55" s="10">
        <f t="shared" si="4"/>
        <v>139253510347.27087</v>
      </c>
      <c r="M55" s="10">
        <f t="shared" si="5"/>
        <v>1289256.109326072</v>
      </c>
      <c r="N55" s="10">
        <f t="shared" si="6"/>
        <v>1662181315434.6006</v>
      </c>
      <c r="O55"/>
    </row>
    <row r="56" spans="1:15" x14ac:dyDescent="0.2">
      <c r="A56" s="49">
        <v>43281</v>
      </c>
      <c r="B56" s="50">
        <v>16335114.92</v>
      </c>
      <c r="C56" s="50">
        <f t="shared" si="7"/>
        <v>126.93000061035154</v>
      </c>
      <c r="D56" s="50">
        <f t="shared" si="7"/>
        <v>7.2900000768899913</v>
      </c>
      <c r="E56" s="50">
        <v>30</v>
      </c>
      <c r="F56" s="79">
        <v>0</v>
      </c>
      <c r="G56" s="50">
        <v>11711</v>
      </c>
      <c r="H56" s="50">
        <f t="shared" si="0"/>
        <v>16017906.301373646</v>
      </c>
      <c r="I56" s="33">
        <f t="shared" si="1"/>
        <v>-317208.61862635426</v>
      </c>
      <c r="J56" s="42">
        <f t="shared" si="2"/>
        <v>-1.9418817693041015E-2</v>
      </c>
      <c r="K56" s="12">
        <f t="shared" si="3"/>
        <v>1.9418817693041015E-2</v>
      </c>
      <c r="L56" s="10">
        <f t="shared" si="4"/>
        <v>100621307730.83986</v>
      </c>
      <c r="M56" s="10">
        <f t="shared" si="5"/>
        <v>-690375.48525209166</v>
      </c>
      <c r="N56" s="10">
        <f t="shared" si="6"/>
        <v>476618310637.06104</v>
      </c>
      <c r="O56"/>
    </row>
    <row r="57" spans="1:15" x14ac:dyDescent="0.2">
      <c r="A57" s="49">
        <v>43312</v>
      </c>
      <c r="B57" s="50">
        <v>17644004.329999998</v>
      </c>
      <c r="C57" s="50">
        <f t="shared" si="7"/>
        <v>59.829999809265146</v>
      </c>
      <c r="D57" s="50">
        <f t="shared" si="7"/>
        <v>18.570000028610231</v>
      </c>
      <c r="E57" s="50">
        <v>31</v>
      </c>
      <c r="F57" s="79">
        <v>0</v>
      </c>
      <c r="G57" s="50">
        <v>11710</v>
      </c>
      <c r="H57" s="50">
        <f t="shared" si="0"/>
        <v>16259792.304848142</v>
      </c>
      <c r="I57" s="33">
        <f t="shared" si="1"/>
        <v>-1384212.0251518562</v>
      </c>
      <c r="J57" s="42">
        <f t="shared" si="2"/>
        <v>-7.8452260567533905E-2</v>
      </c>
      <c r="K57" s="12">
        <f t="shared" si="3"/>
        <v>7.8452260567533905E-2</v>
      </c>
      <c r="L57" s="10">
        <f t="shared" si="4"/>
        <v>1916042930575.0032</v>
      </c>
      <c r="M57" s="10">
        <f t="shared" si="5"/>
        <v>-1067003.406525502</v>
      </c>
      <c r="N57" s="10">
        <f t="shared" si="6"/>
        <v>1138496269537.0256</v>
      </c>
      <c r="O57"/>
    </row>
    <row r="58" spans="1:15" x14ac:dyDescent="0.2">
      <c r="A58" s="49">
        <v>43343</v>
      </c>
      <c r="B58" s="50">
        <v>18345159.469999999</v>
      </c>
      <c r="C58" s="50">
        <f t="shared" si="7"/>
        <v>54.610000228881837</v>
      </c>
      <c r="D58" s="50">
        <f t="shared" si="7"/>
        <v>20.229999904632567</v>
      </c>
      <c r="E58" s="50">
        <v>31</v>
      </c>
      <c r="F58" s="79">
        <v>0</v>
      </c>
      <c r="G58" s="50">
        <v>11708</v>
      </c>
      <c r="H58" s="50">
        <f t="shared" si="0"/>
        <v>16229767.305304863</v>
      </c>
      <c r="I58" s="33">
        <f t="shared" si="1"/>
        <v>-2115392.1646951362</v>
      </c>
      <c r="J58" s="42">
        <f t="shared" si="2"/>
        <v>-0.11531064465012995</v>
      </c>
      <c r="K58" s="12">
        <f t="shared" si="3"/>
        <v>0.11531064465012995</v>
      </c>
      <c r="L58" s="10">
        <f t="shared" si="4"/>
        <v>4474884010453.5742</v>
      </c>
      <c r="M58" s="10">
        <f t="shared" si="5"/>
        <v>-731180.13954328001</v>
      </c>
      <c r="N58" s="10">
        <f t="shared" si="6"/>
        <v>534624396462.5304</v>
      </c>
      <c r="O58"/>
    </row>
    <row r="59" spans="1:15" x14ac:dyDescent="0.2">
      <c r="A59" s="49">
        <v>43373</v>
      </c>
      <c r="B59" s="50">
        <v>17579532.199999999</v>
      </c>
      <c r="C59" s="50">
        <f t="shared" si="7"/>
        <v>112.7</v>
      </c>
      <c r="D59" s="50">
        <f t="shared" si="7"/>
        <v>10.3</v>
      </c>
      <c r="E59" s="50">
        <v>30</v>
      </c>
      <c r="F59" s="79">
        <v>1</v>
      </c>
      <c r="G59" s="50">
        <v>11719</v>
      </c>
      <c r="H59" s="50">
        <f t="shared" si="0"/>
        <v>15159595.960929945</v>
      </c>
      <c r="I59" s="33">
        <f t="shared" si="1"/>
        <v>-2419936.2390700541</v>
      </c>
      <c r="J59" s="42">
        <f t="shared" si="2"/>
        <v>-0.13765646386597558</v>
      </c>
      <c r="K59" s="12">
        <f t="shared" si="3"/>
        <v>0.13765646386597558</v>
      </c>
      <c r="L59" s="10">
        <f t="shared" si="4"/>
        <v>5856091401164.5186</v>
      </c>
      <c r="M59" s="10">
        <f t="shared" si="5"/>
        <v>-304544.07437491789</v>
      </c>
      <c r="N59" s="10">
        <f t="shared" si="6"/>
        <v>92747093236.875519</v>
      </c>
      <c r="O59"/>
    </row>
    <row r="60" spans="1:15" x14ac:dyDescent="0.2">
      <c r="A60" s="49">
        <v>43404</v>
      </c>
      <c r="B60" s="50">
        <v>20524533.829999998</v>
      </c>
      <c r="C60" s="50">
        <f t="shared" si="7"/>
        <v>344.3</v>
      </c>
      <c r="D60" s="50">
        <f t="shared" si="7"/>
        <v>3.7</v>
      </c>
      <c r="E60" s="50">
        <v>31</v>
      </c>
      <c r="F60" s="79">
        <v>1</v>
      </c>
      <c r="G60" s="50">
        <v>11716</v>
      </c>
      <c r="H60" s="50">
        <f t="shared" si="0"/>
        <v>18095609.815695845</v>
      </c>
      <c r="I60" s="33">
        <f t="shared" si="1"/>
        <v>-2428924.0143041536</v>
      </c>
      <c r="J60" s="42">
        <f t="shared" si="2"/>
        <v>-0.11834246928200044</v>
      </c>
      <c r="K60" s="12">
        <f t="shared" si="3"/>
        <v>0.11834246928200044</v>
      </c>
      <c r="L60" s="10">
        <f t="shared" si="4"/>
        <v>5899671867263.4043</v>
      </c>
      <c r="M60" s="10">
        <f t="shared" si="5"/>
        <v>-8987.7752340994775</v>
      </c>
      <c r="N60" s="10">
        <f t="shared" si="6"/>
        <v>80780103.658691913</v>
      </c>
      <c r="O60"/>
    </row>
    <row r="61" spans="1:15" x14ac:dyDescent="0.2">
      <c r="A61" s="49">
        <v>43434</v>
      </c>
      <c r="B61" s="50">
        <v>22392942.079999998</v>
      </c>
      <c r="C61" s="50">
        <f t="shared" si="7"/>
        <v>586.4</v>
      </c>
      <c r="D61" s="50">
        <f t="shared" si="7"/>
        <v>0</v>
      </c>
      <c r="E61" s="50">
        <v>30</v>
      </c>
      <c r="F61" s="79">
        <v>0</v>
      </c>
      <c r="G61" s="50">
        <v>11726</v>
      </c>
      <c r="H61" s="50">
        <f t="shared" si="0"/>
        <v>20756570.166669726</v>
      </c>
      <c r="I61" s="33">
        <f t="shared" si="1"/>
        <v>-1636371.9133302718</v>
      </c>
      <c r="J61" s="42">
        <f t="shared" si="2"/>
        <v>-7.3075342555893041E-2</v>
      </c>
      <c r="K61" s="12">
        <f t="shared" si="3"/>
        <v>7.3075342555893041E-2</v>
      </c>
      <c r="L61" s="10">
        <f t="shared" si="4"/>
        <v>2677713038736.1748</v>
      </c>
      <c r="M61" s="10">
        <f t="shared" si="5"/>
        <v>792552.10097388178</v>
      </c>
      <c r="N61" s="10">
        <f t="shared" si="6"/>
        <v>628138832758.11414</v>
      </c>
      <c r="O61"/>
    </row>
    <row r="62" spans="1:15" x14ac:dyDescent="0.2">
      <c r="A62" s="49">
        <v>43465</v>
      </c>
      <c r="B62" s="50">
        <v>24072379.5</v>
      </c>
      <c r="C62" s="50">
        <f t="shared" si="7"/>
        <v>603.9</v>
      </c>
      <c r="D62" s="50">
        <f t="shared" si="7"/>
        <v>0</v>
      </c>
      <c r="E62" s="50">
        <v>31</v>
      </c>
      <c r="F62" s="79">
        <v>0</v>
      </c>
      <c r="G62" s="50">
        <v>11723</v>
      </c>
      <c r="H62" s="50">
        <f t="shared" si="0"/>
        <v>21607441.280520476</v>
      </c>
      <c r="I62" s="33">
        <f t="shared" si="1"/>
        <v>-2464938.2194795236</v>
      </c>
      <c r="J62" s="42">
        <f t="shared" si="2"/>
        <v>-0.10239694914578443</v>
      </c>
      <c r="K62" s="12">
        <f t="shared" si="3"/>
        <v>0.10239694914578443</v>
      </c>
      <c r="L62" s="10">
        <f t="shared" si="4"/>
        <v>6075920425850.8838</v>
      </c>
      <c r="M62" s="10">
        <f t="shared" si="5"/>
        <v>-828566.30614925176</v>
      </c>
      <c r="N62" s="10">
        <f t="shared" si="6"/>
        <v>686522123685.81555</v>
      </c>
      <c r="O62"/>
    </row>
    <row r="63" spans="1:15" x14ac:dyDescent="0.2">
      <c r="A63" s="49">
        <v>43496</v>
      </c>
      <c r="B63" s="50">
        <v>27236231</v>
      </c>
      <c r="C63" s="50">
        <f t="shared" si="7"/>
        <v>895.70000488281255</v>
      </c>
      <c r="D63" s="50">
        <f t="shared" si="7"/>
        <v>0</v>
      </c>
      <c r="E63" s="50">
        <v>31</v>
      </c>
      <c r="F63" s="79">
        <v>0</v>
      </c>
      <c r="G63" s="50">
        <f>'Rate Class Customer Model'!N3</f>
        <v>11723.666672897911</v>
      </c>
      <c r="H63" s="50">
        <f t="shared" si="0"/>
        <v>24662457.531246491</v>
      </c>
      <c r="I63" s="33">
        <f t="shared" si="1"/>
        <v>-2573773.4687535092</v>
      </c>
      <c r="J63" s="42">
        <f t="shared" si="2"/>
        <v>-9.4498150964922756E-2</v>
      </c>
      <c r="K63" s="12">
        <f t="shared" si="3"/>
        <v>9.4498150964922756E-2</v>
      </c>
      <c r="L63" s="10">
        <f t="shared" si="4"/>
        <v>6624309868459.4707</v>
      </c>
      <c r="M63" s="10">
        <f t="shared" si="5"/>
        <v>-108835.24927398562</v>
      </c>
      <c r="N63" s="10">
        <f t="shared" si="6"/>
        <v>11845111484.530588</v>
      </c>
      <c r="O63"/>
    </row>
    <row r="64" spans="1:15" x14ac:dyDescent="0.2">
      <c r="A64" s="49">
        <v>43524</v>
      </c>
      <c r="B64" s="50">
        <v>23330992</v>
      </c>
      <c r="C64" s="50">
        <f t="shared" si="7"/>
        <v>837.00000366210929</v>
      </c>
      <c r="D64" s="50">
        <f t="shared" si="7"/>
        <v>0</v>
      </c>
      <c r="E64" s="50">
        <v>28</v>
      </c>
      <c r="F64" s="79">
        <v>0</v>
      </c>
      <c r="G64" s="50">
        <f>'Rate Class Customer Model'!N4</f>
        <v>11724.333383708708</v>
      </c>
      <c r="H64" s="50">
        <f t="shared" si="0"/>
        <v>21986973.298075005</v>
      </c>
      <c r="I64" s="33">
        <f t="shared" si="1"/>
        <v>-1344018.7019249946</v>
      </c>
      <c r="J64" s="42">
        <f t="shared" si="2"/>
        <v>-5.7606581920091292E-2</v>
      </c>
      <c r="K64" s="12">
        <f t="shared" si="3"/>
        <v>5.7606581920091292E-2</v>
      </c>
      <c r="L64" s="10">
        <f t="shared" si="4"/>
        <v>1806386271124.1475</v>
      </c>
      <c r="M64" s="10">
        <f t="shared" si="5"/>
        <v>1229754.7668285146</v>
      </c>
      <c r="N64" s="10">
        <f t="shared" si="6"/>
        <v>1512296786537.4543</v>
      </c>
      <c r="O64"/>
    </row>
    <row r="65" spans="1:15" x14ac:dyDescent="0.2">
      <c r="A65" s="49">
        <v>43555</v>
      </c>
      <c r="B65" s="50">
        <v>23887898</v>
      </c>
      <c r="C65" s="50">
        <f t="shared" si="7"/>
        <v>738.80999877929696</v>
      </c>
      <c r="D65" s="50">
        <f t="shared" si="7"/>
        <v>0</v>
      </c>
      <c r="E65" s="50">
        <v>31</v>
      </c>
      <c r="F65" s="79">
        <v>1</v>
      </c>
      <c r="G65" s="50">
        <f>'Rate Class Customer Model'!N5</f>
        <v>11725.000132434547</v>
      </c>
      <c r="H65" s="50">
        <f t="shared" si="0"/>
        <v>22196616.517368175</v>
      </c>
      <c r="I65" s="33">
        <f t="shared" si="1"/>
        <v>-1691281.4826318249</v>
      </c>
      <c r="J65" s="42">
        <f t="shared" si="2"/>
        <v>-7.080076625544135E-2</v>
      </c>
      <c r="K65" s="12">
        <f t="shared" si="3"/>
        <v>7.080076625544135E-2</v>
      </c>
      <c r="L65" s="10">
        <f t="shared" si="4"/>
        <v>2860433053493.3037</v>
      </c>
      <c r="M65" s="10">
        <f t="shared" si="5"/>
        <v>-347262.78070683032</v>
      </c>
      <c r="N65" s="10">
        <f t="shared" si="6"/>
        <v>120591438864.24013</v>
      </c>
    </row>
    <row r="66" spans="1:15" x14ac:dyDescent="0.2">
      <c r="A66" s="49">
        <v>43585</v>
      </c>
      <c r="B66" s="50">
        <v>20911395</v>
      </c>
      <c r="C66" s="50">
        <f t="shared" si="7"/>
        <v>498.90000427246093</v>
      </c>
      <c r="D66" s="50">
        <f t="shared" si="7"/>
        <v>0</v>
      </c>
      <c r="E66" s="50">
        <v>30</v>
      </c>
      <c r="F66" s="79">
        <v>1</v>
      </c>
      <c r="G66" s="50">
        <f>'Rate Class Customer Model'!N6</f>
        <v>11725.666919077583</v>
      </c>
      <c r="H66" s="50">
        <f t="shared" si="0"/>
        <v>19004496.330333233</v>
      </c>
      <c r="I66" s="33">
        <f t="shared" si="1"/>
        <v>-1906898.6696667671</v>
      </c>
      <c r="J66" s="42">
        <f t="shared" si="2"/>
        <v>-9.1189452911523458E-2</v>
      </c>
      <c r="K66" s="12">
        <f t="shared" si="3"/>
        <v>9.1189452911523458E-2</v>
      </c>
      <c r="L66" s="10">
        <f t="shared" si="4"/>
        <v>3636262536376.8862</v>
      </c>
      <c r="M66" s="10">
        <f t="shared" si="5"/>
        <v>-215617.18703494221</v>
      </c>
      <c r="N66" s="10">
        <f t="shared" si="6"/>
        <v>46490771344.861252</v>
      </c>
    </row>
    <row r="67" spans="1:15" x14ac:dyDescent="0.2">
      <c r="A67" s="49">
        <v>43616</v>
      </c>
      <c r="B67" s="50">
        <v>20082531</v>
      </c>
      <c r="C67" s="50">
        <f t="shared" si="7"/>
        <v>281.87999725341797</v>
      </c>
      <c r="D67" s="50">
        <f t="shared" si="7"/>
        <v>1.9499999940395356</v>
      </c>
      <c r="E67" s="50">
        <v>31</v>
      </c>
      <c r="F67" s="79">
        <v>1</v>
      </c>
      <c r="G67" s="50">
        <f>'Rate Class Customer Model'!N7</f>
        <v>11726.333743639972</v>
      </c>
      <c r="H67" s="50">
        <f t="shared" ref="H67:H118" si="8">$Q$18+$Q$19*C67+$Q$20*D67+$Q$21*E67+$Q$22*F67+$Q$23*G67</f>
        <v>17474526.123392038</v>
      </c>
      <c r="I67" s="33">
        <f t="shared" ref="I67:I122" si="9">H67-B67</f>
        <v>-2608004.876607962</v>
      </c>
      <c r="J67" s="42">
        <f t="shared" ref="J67:J122" si="10">I67/B67</f>
        <v>-0.12986435208828817</v>
      </c>
      <c r="K67" s="12">
        <f t="shared" ref="K67:K122" si="11">ABS(J67)</f>
        <v>0.12986435208828817</v>
      </c>
      <c r="L67" s="10">
        <f t="shared" ref="L67:L122" si="12">I67*I67</f>
        <v>6801689436410.9111</v>
      </c>
      <c r="M67" s="10">
        <f t="shared" si="5"/>
        <v>-701106.20694119483</v>
      </c>
      <c r="N67" s="10">
        <f t="shared" si="6"/>
        <v>491549913411.46948</v>
      </c>
    </row>
    <row r="68" spans="1:15" x14ac:dyDescent="0.2">
      <c r="A68" s="49">
        <v>43646</v>
      </c>
      <c r="B68" s="50">
        <v>17847356</v>
      </c>
      <c r="C68" s="50">
        <f t="shared" si="7"/>
        <v>126.93000061035154</v>
      </c>
      <c r="D68" s="50">
        <f t="shared" si="7"/>
        <v>7.2900000768899913</v>
      </c>
      <c r="E68" s="50">
        <v>30</v>
      </c>
      <c r="F68" s="79">
        <v>0</v>
      </c>
      <c r="G68" s="50">
        <f>'Rate Class Customer Model'!N8</f>
        <v>11727.000606123871</v>
      </c>
      <c r="H68" s="50">
        <f t="shared" si="8"/>
        <v>16129383.09961237</v>
      </c>
      <c r="I68" s="33">
        <f t="shared" si="9"/>
        <v>-1717972.9003876299</v>
      </c>
      <c r="J68" s="42">
        <f t="shared" si="10"/>
        <v>-9.6259238645076045E-2</v>
      </c>
      <c r="K68" s="12">
        <f t="shared" si="11"/>
        <v>9.6259238645076045E-2</v>
      </c>
      <c r="L68" s="10">
        <f t="shared" si="12"/>
        <v>2951430886466.2852</v>
      </c>
      <c r="M68" s="10">
        <f t="shared" ref="M68:M122" si="13">I68-I67</f>
        <v>890031.97622033209</v>
      </c>
      <c r="N68" s="10">
        <f t="shared" ref="N68:N122" si="14">M68*M68</f>
        <v>792156918694.6698</v>
      </c>
    </row>
    <row r="69" spans="1:15" x14ac:dyDescent="0.2">
      <c r="A69" s="49">
        <v>43677</v>
      </c>
      <c r="B69" s="50">
        <v>18330977</v>
      </c>
      <c r="C69" s="50">
        <f t="shared" si="7"/>
        <v>59.829999809265146</v>
      </c>
      <c r="D69" s="50">
        <f t="shared" si="7"/>
        <v>18.570000028610231</v>
      </c>
      <c r="E69" s="50">
        <v>31</v>
      </c>
      <c r="F69" s="79">
        <v>0</v>
      </c>
      <c r="G69" s="50">
        <f>'Rate Class Customer Model'!N9</f>
        <v>11727.667506531438</v>
      </c>
      <c r="H69" s="50">
        <f t="shared" si="8"/>
        <v>16382882.458167277</v>
      </c>
      <c r="I69" s="33">
        <f t="shared" si="9"/>
        <v>-1948094.5418327227</v>
      </c>
      <c r="J69" s="42">
        <f t="shared" si="10"/>
        <v>-0.10627336130707724</v>
      </c>
      <c r="K69" s="12">
        <f t="shared" si="11"/>
        <v>0.10627336130707724</v>
      </c>
      <c r="L69" s="10">
        <f t="shared" si="12"/>
        <v>3795072343918.4458</v>
      </c>
      <c r="M69" s="10">
        <f t="shared" si="13"/>
        <v>-230121.64144509286</v>
      </c>
      <c r="N69" s="10">
        <f t="shared" si="14"/>
        <v>52955969861.383881</v>
      </c>
    </row>
    <row r="70" spans="1:15" x14ac:dyDescent="0.2">
      <c r="A70" s="49">
        <v>43708</v>
      </c>
      <c r="B70" s="50">
        <v>18072676</v>
      </c>
      <c r="C70" s="50">
        <f t="shared" si="7"/>
        <v>54.610000228881837</v>
      </c>
      <c r="D70" s="50">
        <f t="shared" si="7"/>
        <v>20.229999904632567</v>
      </c>
      <c r="E70" s="50">
        <v>31</v>
      </c>
      <c r="F70" s="79">
        <v>0</v>
      </c>
      <c r="G70" s="50">
        <f>'Rate Class Customer Model'!N10</f>
        <v>11728.334444864828</v>
      </c>
      <c r="H70" s="50">
        <f t="shared" si="8"/>
        <v>16371438.1138945</v>
      </c>
      <c r="I70" s="33">
        <f t="shared" si="9"/>
        <v>-1701237.8861055002</v>
      </c>
      <c r="J70" s="42">
        <f t="shared" si="10"/>
        <v>-9.4133148079758644E-2</v>
      </c>
      <c r="K70" s="12">
        <f t="shared" si="11"/>
        <v>9.4133148079758644E-2</v>
      </c>
      <c r="L70" s="10">
        <f t="shared" si="12"/>
        <v>2894210345120.7109</v>
      </c>
      <c r="M70" s="10">
        <f t="shared" si="13"/>
        <v>246856.65572722256</v>
      </c>
      <c r="N70" s="10">
        <f t="shared" si="14"/>
        <v>60938208476.828484</v>
      </c>
    </row>
    <row r="71" spans="1:15" x14ac:dyDescent="0.2">
      <c r="A71" s="49">
        <v>43738</v>
      </c>
      <c r="B71" s="50">
        <v>17504594</v>
      </c>
      <c r="C71" s="50">
        <f t="shared" si="7"/>
        <v>112.7</v>
      </c>
      <c r="D71" s="50">
        <f t="shared" si="7"/>
        <v>10.3</v>
      </c>
      <c r="E71" s="50">
        <v>30</v>
      </c>
      <c r="F71" s="79">
        <v>1</v>
      </c>
      <c r="G71" s="50">
        <f>'Rate Class Customer Model'!N11</f>
        <v>11729.001421126197</v>
      </c>
      <c r="H71" s="50">
        <f t="shared" si="8"/>
        <v>15229276.221562207</v>
      </c>
      <c r="I71" s="33">
        <f t="shared" si="9"/>
        <v>-2275317.7784377933</v>
      </c>
      <c r="J71" s="42">
        <f t="shared" si="10"/>
        <v>-0.12998403610148246</v>
      </c>
      <c r="K71" s="12">
        <f t="shared" si="11"/>
        <v>0.12998403610148246</v>
      </c>
      <c r="L71" s="10">
        <f t="shared" si="12"/>
        <v>5177070992875.0947</v>
      </c>
      <c r="M71" s="10">
        <f t="shared" si="13"/>
        <v>-574079.89233229309</v>
      </c>
      <c r="N71" s="10">
        <f t="shared" si="14"/>
        <v>329567722780.2572</v>
      </c>
    </row>
    <row r="72" spans="1:15" x14ac:dyDescent="0.2">
      <c r="A72" s="49">
        <v>43769</v>
      </c>
      <c r="B72" s="50">
        <v>20050972</v>
      </c>
      <c r="C72" s="50">
        <f t="shared" si="7"/>
        <v>344.3</v>
      </c>
      <c r="D72" s="50">
        <f t="shared" si="7"/>
        <v>3.7</v>
      </c>
      <c r="E72" s="50">
        <v>31</v>
      </c>
      <c r="F72" s="79">
        <v>1</v>
      </c>
      <c r="G72" s="50">
        <f>'Rate Class Customer Model'!N12</f>
        <v>11729.668435317704</v>
      </c>
      <c r="H72" s="50">
        <f t="shared" si="8"/>
        <v>18190838.296064325</v>
      </c>
      <c r="I72" s="33">
        <f t="shared" si="9"/>
        <v>-1860133.7039356753</v>
      </c>
      <c r="J72" s="42">
        <f t="shared" si="10"/>
        <v>-9.2770250935250181E-2</v>
      </c>
      <c r="K72" s="12">
        <f t="shared" si="11"/>
        <v>9.2770250935250181E-2</v>
      </c>
      <c r="L72" s="10">
        <f t="shared" si="12"/>
        <v>3460097396517.4546</v>
      </c>
      <c r="M72" s="10">
        <f t="shared" si="13"/>
        <v>415184.07450211793</v>
      </c>
      <c r="N72" s="10">
        <f t="shared" si="14"/>
        <v>172377815720.18021</v>
      </c>
    </row>
    <row r="73" spans="1:15" x14ac:dyDescent="0.2">
      <c r="A73" s="49">
        <v>43799</v>
      </c>
      <c r="B73" s="50">
        <v>22892474</v>
      </c>
      <c r="C73" s="50">
        <f t="shared" si="7"/>
        <v>586.4</v>
      </c>
      <c r="D73" s="50">
        <f t="shared" si="7"/>
        <v>0</v>
      </c>
      <c r="E73" s="50">
        <v>30</v>
      </c>
      <c r="F73" s="79">
        <v>0</v>
      </c>
      <c r="G73" s="50">
        <f>'Rate Class Customer Model'!N13</f>
        <v>11730.335487441505</v>
      </c>
      <c r="H73" s="50">
        <f t="shared" si="8"/>
        <v>20786775.663576633</v>
      </c>
      <c r="I73" s="33">
        <f t="shared" si="9"/>
        <v>-2105698.3364233673</v>
      </c>
      <c r="J73" s="42">
        <f t="shared" si="10"/>
        <v>-9.1982122003212374E-2</v>
      </c>
      <c r="K73" s="12">
        <f t="shared" si="11"/>
        <v>9.1982122003212374E-2</v>
      </c>
      <c r="L73" s="10">
        <f t="shared" si="12"/>
        <v>4433965484016.1367</v>
      </c>
      <c r="M73" s="10">
        <f t="shared" si="13"/>
        <v>-245564.63248769194</v>
      </c>
      <c r="N73" s="10">
        <f t="shared" si="14"/>
        <v>60301988728.815208</v>
      </c>
    </row>
    <row r="74" spans="1:15" x14ac:dyDescent="0.2">
      <c r="A74" s="49">
        <v>43830</v>
      </c>
      <c r="B74" s="50">
        <v>25775115</v>
      </c>
      <c r="C74" s="50">
        <f t="shared" si="7"/>
        <v>603.9</v>
      </c>
      <c r="D74" s="50">
        <f t="shared" si="7"/>
        <v>0</v>
      </c>
      <c r="E74" s="50">
        <v>31</v>
      </c>
      <c r="F74" s="79">
        <v>0</v>
      </c>
      <c r="G74" s="50">
        <f>'Rate Class Customer Model'!N14</f>
        <v>11731.002577499758</v>
      </c>
      <c r="H74" s="50">
        <f t="shared" si="8"/>
        <v>21663195.525729932</v>
      </c>
      <c r="I74" s="33">
        <f t="shared" si="9"/>
        <v>-4111919.4742700681</v>
      </c>
      <c r="J74" s="42">
        <f t="shared" si="10"/>
        <v>-0.15953059663439206</v>
      </c>
      <c r="K74" s="12">
        <f t="shared" si="11"/>
        <v>0.15953059663439206</v>
      </c>
      <c r="L74" s="10">
        <f t="shared" si="12"/>
        <v>16907881762881.434</v>
      </c>
      <c r="M74" s="10">
        <f t="shared" si="13"/>
        <v>-2006221.1378467008</v>
      </c>
      <c r="N74" s="10">
        <f t="shared" si="14"/>
        <v>4024923253942.9111</v>
      </c>
    </row>
    <row r="75" spans="1:15" x14ac:dyDescent="0.2">
      <c r="A75" s="49">
        <v>43861</v>
      </c>
      <c r="B75" s="50">
        <v>25237277</v>
      </c>
      <c r="C75" s="50">
        <f t="shared" si="7"/>
        <v>895.70000488281255</v>
      </c>
      <c r="D75" s="50">
        <f t="shared" si="7"/>
        <v>0</v>
      </c>
      <c r="E75" s="50">
        <v>31</v>
      </c>
      <c r="F75" s="79">
        <v>0</v>
      </c>
      <c r="G75" s="50">
        <f>'Rate Class Customer Model'!O3</f>
        <v>11732.005266549859</v>
      </c>
      <c r="H75" s="50">
        <f t="shared" si="8"/>
        <v>24720552.813071229</v>
      </c>
      <c r="I75" s="33">
        <f t="shared" si="9"/>
        <v>-516724.18692877144</v>
      </c>
      <c r="J75" s="42">
        <f t="shared" si="10"/>
        <v>-2.0474641021246923E-2</v>
      </c>
      <c r="K75" s="12">
        <f t="shared" si="11"/>
        <v>2.0474641021246923E-2</v>
      </c>
      <c r="L75" s="10">
        <f t="shared" si="12"/>
        <v>267003885357.19992</v>
      </c>
      <c r="M75" s="10">
        <f t="shared" si="13"/>
        <v>3595195.2873412967</v>
      </c>
      <c r="N75" s="10">
        <f t="shared" si="14"/>
        <v>12925429154121.068</v>
      </c>
      <c r="O75" s="43"/>
    </row>
    <row r="76" spans="1:15" x14ac:dyDescent="0.2">
      <c r="A76" s="49">
        <v>43890</v>
      </c>
      <c r="B76" s="50">
        <v>24410849</v>
      </c>
      <c r="C76" s="50">
        <f t="shared" si="7"/>
        <v>837.00000366210929</v>
      </c>
      <c r="D76" s="50">
        <f t="shared" si="7"/>
        <v>0</v>
      </c>
      <c r="E76" s="50">
        <v>29</v>
      </c>
      <c r="F76" s="79">
        <v>0</v>
      </c>
      <c r="G76" s="50">
        <f>'Rate Class Customer Model'!O4</f>
        <v>11763.553216502387</v>
      </c>
      <c r="H76" s="50">
        <f t="shared" si="8"/>
        <v>22949052.846366584</v>
      </c>
      <c r="I76" s="33">
        <f t="shared" si="9"/>
        <v>-1461796.1536334157</v>
      </c>
      <c r="J76" s="42">
        <f t="shared" si="10"/>
        <v>-5.9883052557222233E-2</v>
      </c>
      <c r="K76" s="12">
        <f t="shared" si="11"/>
        <v>5.9883052557222233E-2</v>
      </c>
      <c r="L76" s="10">
        <f t="shared" si="12"/>
        <v>2136847994777.4487</v>
      </c>
      <c r="M76" s="10">
        <f t="shared" si="13"/>
        <v>-945071.96670464426</v>
      </c>
      <c r="N76" s="10">
        <f t="shared" si="14"/>
        <v>893161022250.98425</v>
      </c>
    </row>
    <row r="77" spans="1:15" x14ac:dyDescent="0.2">
      <c r="A77" s="49">
        <v>43921</v>
      </c>
      <c r="B77" s="50">
        <v>22196265</v>
      </c>
      <c r="C77" s="50">
        <f t="shared" si="7"/>
        <v>738.80999877929696</v>
      </c>
      <c r="D77" s="50">
        <f t="shared" si="7"/>
        <v>0</v>
      </c>
      <c r="E77" s="50">
        <v>31</v>
      </c>
      <c r="F77" s="79">
        <v>1</v>
      </c>
      <c r="G77" s="50">
        <f>'Rate Class Customer Model'!O5</f>
        <v>11795.186000472935</v>
      </c>
      <c r="H77" s="50">
        <f t="shared" si="8"/>
        <v>22685603.983840011</v>
      </c>
      <c r="I77" s="33">
        <f t="shared" si="9"/>
        <v>489338.98384001106</v>
      </c>
      <c r="J77" s="42">
        <f t="shared" si="10"/>
        <v>2.2046005660862809E-2</v>
      </c>
      <c r="K77" s="12">
        <f t="shared" si="11"/>
        <v>2.2046005660862809E-2</v>
      </c>
      <c r="L77" s="10">
        <f t="shared" si="12"/>
        <v>239452641105.57462</v>
      </c>
      <c r="M77" s="10">
        <f t="shared" si="13"/>
        <v>1951135.1374734268</v>
      </c>
      <c r="N77" s="10">
        <f t="shared" si="14"/>
        <v>3806928324683.4478</v>
      </c>
    </row>
    <row r="78" spans="1:15" x14ac:dyDescent="0.2">
      <c r="A78" s="49">
        <v>43951</v>
      </c>
      <c r="B78" s="50">
        <v>17675708</v>
      </c>
      <c r="C78" s="50">
        <f t="shared" si="7"/>
        <v>498.90000427246093</v>
      </c>
      <c r="D78" s="50">
        <f t="shared" si="7"/>
        <v>0</v>
      </c>
      <c r="E78" s="50">
        <v>30</v>
      </c>
      <c r="F78" s="79">
        <v>1</v>
      </c>
      <c r="G78" s="50">
        <f>'Rate Class Customer Model'!O6</f>
        <v>11826.90384658443</v>
      </c>
      <c r="H78" s="50">
        <f t="shared" si="8"/>
        <v>19709817.644702241</v>
      </c>
      <c r="I78" s="33">
        <f t="shared" si="9"/>
        <v>2034109.6447022408</v>
      </c>
      <c r="J78" s="42">
        <f t="shared" si="10"/>
        <v>0.11507938718507009</v>
      </c>
      <c r="K78" s="12">
        <f t="shared" si="11"/>
        <v>0.11507938718507009</v>
      </c>
      <c r="L78" s="10">
        <f t="shared" si="12"/>
        <v>4137602046670.6763</v>
      </c>
      <c r="M78" s="10">
        <f t="shared" si="13"/>
        <v>1544770.6608622298</v>
      </c>
      <c r="N78" s="10">
        <f t="shared" si="14"/>
        <v>2386316394660.73</v>
      </c>
    </row>
    <row r="79" spans="1:15" x14ac:dyDescent="0.2">
      <c r="A79" s="49">
        <v>43982</v>
      </c>
      <c r="B79" s="50">
        <v>20080301</v>
      </c>
      <c r="C79" s="50">
        <f t="shared" si="7"/>
        <v>281.87999725341797</v>
      </c>
      <c r="D79" s="50">
        <f t="shared" si="7"/>
        <v>1.9499999940395356</v>
      </c>
      <c r="E79" s="50">
        <v>31</v>
      </c>
      <c r="F79" s="79">
        <v>1</v>
      </c>
      <c r="G79" s="50">
        <f>'Rate Class Customer Model'!O7</f>
        <v>11858.706983573229</v>
      </c>
      <c r="H79" s="50">
        <f t="shared" si="8"/>
        <v>18396775.246081911</v>
      </c>
      <c r="I79" s="33">
        <f t="shared" si="9"/>
        <v>-1683525.753918089</v>
      </c>
      <c r="J79" s="42">
        <f t="shared" si="10"/>
        <v>-8.3839667239952675E-2</v>
      </c>
      <c r="K79" s="12">
        <f t="shared" si="11"/>
        <v>8.3839667239952675E-2</v>
      </c>
      <c r="L79" s="10">
        <f t="shared" si="12"/>
        <v>2834258964105.4697</v>
      </c>
      <c r="M79" s="10">
        <f t="shared" si="13"/>
        <v>-3717635.3986203298</v>
      </c>
      <c r="N79" s="10">
        <f t="shared" si="14"/>
        <v>13820812957074.938</v>
      </c>
    </row>
    <row r="80" spans="1:15" x14ac:dyDescent="0.2">
      <c r="A80" s="49">
        <v>44012</v>
      </c>
      <c r="B80" s="50">
        <v>18177041</v>
      </c>
      <c r="C80" s="50">
        <f t="shared" ref="C80:D143" si="15">C68</f>
        <v>126.93000061035154</v>
      </c>
      <c r="D80" s="50">
        <f t="shared" si="15"/>
        <v>7.2900000768899913</v>
      </c>
      <c r="E80" s="50">
        <v>30</v>
      </c>
      <c r="F80" s="79">
        <v>0</v>
      </c>
      <c r="G80" s="50">
        <f>'Rate Class Customer Model'!O8</f>
        <v>11890.595640790776</v>
      </c>
      <c r="H80" s="50">
        <f t="shared" si="8"/>
        <v>17269155.588931546</v>
      </c>
      <c r="I80" s="33">
        <f t="shared" si="9"/>
        <v>-907885.41106845438</v>
      </c>
      <c r="J80" s="42">
        <f t="shared" si="10"/>
        <v>-4.994682088621874E-2</v>
      </c>
      <c r="K80" s="12">
        <f t="shared" si="11"/>
        <v>4.994682088621874E-2</v>
      </c>
      <c r="L80" s="10">
        <f t="shared" si="12"/>
        <v>824255919630.9364</v>
      </c>
      <c r="M80" s="10">
        <f t="shared" si="13"/>
        <v>775640.34284963459</v>
      </c>
      <c r="N80" s="10">
        <f t="shared" si="14"/>
        <v>601617941455.89868</v>
      </c>
    </row>
    <row r="81" spans="1:15" x14ac:dyDescent="0.2">
      <c r="A81" s="49">
        <v>44043</v>
      </c>
      <c r="B81" s="50">
        <v>18679871</v>
      </c>
      <c r="C81" s="50">
        <f t="shared" si="15"/>
        <v>59.829999809265146</v>
      </c>
      <c r="D81" s="50">
        <f t="shared" si="15"/>
        <v>18.570000028610231</v>
      </c>
      <c r="E81" s="50">
        <v>31</v>
      </c>
      <c r="F81" s="79">
        <v>0</v>
      </c>
      <c r="G81" s="50">
        <f>'Rate Class Customer Model'!O9</f>
        <v>11922.570048205249</v>
      </c>
      <c r="H81" s="50">
        <f t="shared" si="8"/>
        <v>17740775.474605717</v>
      </c>
      <c r="I81" s="33">
        <f t="shared" si="9"/>
        <v>-939095.52539428324</v>
      </c>
      <c r="J81" s="42">
        <f t="shared" si="10"/>
        <v>-5.0273126907262003E-2</v>
      </c>
      <c r="K81" s="12">
        <f t="shared" si="11"/>
        <v>5.0273126907262003E-2</v>
      </c>
      <c r="L81" s="10">
        <f t="shared" si="12"/>
        <v>881900405815.56482</v>
      </c>
      <c r="M81" s="10">
        <f t="shared" si="13"/>
        <v>-31210.11432582885</v>
      </c>
      <c r="N81" s="10">
        <f t="shared" si="14"/>
        <v>974071236.23130727</v>
      </c>
      <c r="O81"/>
    </row>
    <row r="82" spans="1:15" x14ac:dyDescent="0.2">
      <c r="A82" s="49">
        <v>44074</v>
      </c>
      <c r="B82" s="50">
        <v>18377276</v>
      </c>
      <c r="C82" s="50">
        <f t="shared" si="15"/>
        <v>54.610000228881837</v>
      </c>
      <c r="D82" s="50">
        <f t="shared" si="15"/>
        <v>20.229999904632567</v>
      </c>
      <c r="E82" s="50">
        <v>31</v>
      </c>
      <c r="F82" s="79">
        <v>0</v>
      </c>
      <c r="G82" s="50">
        <f>'Rate Class Customer Model'!O10</f>
        <v>11954.630436403226</v>
      </c>
      <c r="H82" s="50">
        <f t="shared" si="8"/>
        <v>17948050.424432121</v>
      </c>
      <c r="I82" s="33">
        <f t="shared" si="9"/>
        <v>-429225.57556787878</v>
      </c>
      <c r="J82" s="42">
        <f t="shared" si="10"/>
        <v>-2.33563219906954E-2</v>
      </c>
      <c r="K82" s="12">
        <f t="shared" si="11"/>
        <v>2.33563219906954E-2</v>
      </c>
      <c r="L82" s="10">
        <f t="shared" si="12"/>
        <v>184234594721.57681</v>
      </c>
      <c r="M82" s="10">
        <f t="shared" si="13"/>
        <v>509869.94982640445</v>
      </c>
      <c r="N82" s="10">
        <f t="shared" si="14"/>
        <v>259967365735.98019</v>
      </c>
      <c r="O82"/>
    </row>
    <row r="83" spans="1:15" x14ac:dyDescent="0.2">
      <c r="A83" s="49">
        <v>44104</v>
      </c>
      <c r="B83" s="50">
        <v>18090098</v>
      </c>
      <c r="C83" s="50">
        <f t="shared" si="15"/>
        <v>112.7</v>
      </c>
      <c r="D83" s="50">
        <f t="shared" si="15"/>
        <v>10.3</v>
      </c>
      <c r="E83" s="50">
        <v>30</v>
      </c>
      <c r="F83" s="79">
        <v>1</v>
      </c>
      <c r="G83" s="50">
        <f>'Rate Class Customer Model'!O11</f>
        <v>11986.777036591338</v>
      </c>
      <c r="H83" s="50">
        <f t="shared" si="8"/>
        <v>17025208.203988835</v>
      </c>
      <c r="I83" s="33">
        <f t="shared" si="9"/>
        <v>-1064889.7960111648</v>
      </c>
      <c r="J83" s="42">
        <f t="shared" si="10"/>
        <v>-5.8865894259454252E-2</v>
      </c>
      <c r="K83" s="12">
        <f t="shared" si="11"/>
        <v>5.8865894259454252E-2</v>
      </c>
      <c r="L83" s="10">
        <f t="shared" si="12"/>
        <v>1133990277648.7002</v>
      </c>
      <c r="M83" s="10">
        <f t="shared" si="13"/>
        <v>-635664.220443286</v>
      </c>
      <c r="N83" s="10">
        <f t="shared" si="14"/>
        <v>404069001151.77051</v>
      </c>
      <c r="O83"/>
    </row>
    <row r="84" spans="1:15" x14ac:dyDescent="0.2">
      <c r="A84" s="49">
        <v>44135</v>
      </c>
      <c r="B84" s="50">
        <v>21983764</v>
      </c>
      <c r="C84" s="50">
        <f t="shared" si="15"/>
        <v>344.3</v>
      </c>
      <c r="D84" s="50">
        <f t="shared" si="15"/>
        <v>3.7</v>
      </c>
      <c r="E84" s="50">
        <v>31</v>
      </c>
      <c r="F84" s="79">
        <v>1</v>
      </c>
      <c r="G84" s="50">
        <f>'Rate Class Customer Model'!O12</f>
        <v>12019.010080597949</v>
      </c>
      <c r="H84" s="50">
        <f t="shared" si="8"/>
        <v>20206691.943311282</v>
      </c>
      <c r="I84" s="33">
        <f t="shared" si="9"/>
        <v>-1777072.0566887185</v>
      </c>
      <c r="J84" s="42">
        <f t="shared" si="10"/>
        <v>-8.0835659293318401E-2</v>
      </c>
      <c r="K84" s="12">
        <f t="shared" si="11"/>
        <v>8.0835659293318401E-2</v>
      </c>
      <c r="L84" s="10">
        <f t="shared" si="12"/>
        <v>3157985094663.8721</v>
      </c>
      <c r="M84" s="10">
        <f t="shared" si="13"/>
        <v>-712182.26067755371</v>
      </c>
      <c r="N84" s="10">
        <f t="shared" si="14"/>
        <v>507203572423.79108</v>
      </c>
      <c r="O84"/>
    </row>
    <row r="85" spans="1:15" x14ac:dyDescent="0.2">
      <c r="A85" s="49">
        <v>44165</v>
      </c>
      <c r="B85" s="50">
        <v>22215383</v>
      </c>
      <c r="C85" s="50">
        <f t="shared" si="15"/>
        <v>586.4</v>
      </c>
      <c r="D85" s="50">
        <f t="shared" si="15"/>
        <v>0</v>
      </c>
      <c r="E85" s="50">
        <v>30</v>
      </c>
      <c r="F85" s="79">
        <v>0</v>
      </c>
      <c r="G85" s="50">
        <f>'Rate Class Customer Model'!O13</f>
        <v>12051.329800874817</v>
      </c>
      <c r="H85" s="50">
        <f t="shared" si="8"/>
        <v>23023154.588059962</v>
      </c>
      <c r="I85" s="33">
        <f t="shared" si="9"/>
        <v>807771.5880599618</v>
      </c>
      <c r="J85" s="42">
        <f t="shared" si="10"/>
        <v>3.6360912078804215E-2</v>
      </c>
      <c r="K85" s="12">
        <f t="shared" si="11"/>
        <v>3.6360912078804215E-2</v>
      </c>
      <c r="L85" s="10">
        <f t="shared" si="12"/>
        <v>652494938476.9126</v>
      </c>
      <c r="M85" s="10">
        <f t="shared" si="13"/>
        <v>2584843.6447486803</v>
      </c>
      <c r="N85" s="10">
        <f t="shared" si="14"/>
        <v>6681416667797.6416</v>
      </c>
      <c r="O85"/>
    </row>
    <row r="86" spans="1:15" x14ac:dyDescent="0.2">
      <c r="A86" s="49">
        <v>44196</v>
      </c>
      <c r="B86" s="50">
        <v>25416770</v>
      </c>
      <c r="C86" s="50">
        <f t="shared" si="15"/>
        <v>603.9</v>
      </c>
      <c r="D86" s="50">
        <f t="shared" si="15"/>
        <v>0</v>
      </c>
      <c r="E86" s="50">
        <v>31</v>
      </c>
      <c r="F86" s="79">
        <v>0</v>
      </c>
      <c r="G86" s="50">
        <f>'Rate Class Customer Model'!O14</f>
        <v>12083.736430498775</v>
      </c>
      <c r="H86" s="50">
        <f t="shared" si="8"/>
        <v>24120704.963705353</v>
      </c>
      <c r="I86" s="33">
        <f t="shared" si="9"/>
        <v>-1296065.0362946466</v>
      </c>
      <c r="J86" s="42">
        <f t="shared" si="10"/>
        <v>-5.0992515425628299E-2</v>
      </c>
      <c r="K86" s="12">
        <f t="shared" si="11"/>
        <v>5.0992515425628299E-2</v>
      </c>
      <c r="L86" s="10">
        <f t="shared" si="12"/>
        <v>1679784578305.4436</v>
      </c>
      <c r="M86" s="10">
        <f t="shared" si="13"/>
        <v>-2103836.6243546084</v>
      </c>
      <c r="N86" s="10">
        <f t="shared" si="14"/>
        <v>4426128541975.7939</v>
      </c>
      <c r="O86"/>
    </row>
    <row r="87" spans="1:15" x14ac:dyDescent="0.2">
      <c r="A87" s="49">
        <v>44227</v>
      </c>
      <c r="B87" s="50">
        <v>25867118</v>
      </c>
      <c r="C87" s="50">
        <f t="shared" si="15"/>
        <v>895.70000488281255</v>
      </c>
      <c r="D87" s="50">
        <f t="shared" si="15"/>
        <v>0</v>
      </c>
      <c r="E87" s="50">
        <v>31</v>
      </c>
      <c r="F87" s="79">
        <v>0</v>
      </c>
      <c r="G87" s="50">
        <f>'Rate Class Customer Model'!P3</f>
        <v>12084.73761549323</v>
      </c>
      <c r="H87" s="50">
        <f t="shared" si="8"/>
        <v>27178051.772236876</v>
      </c>
      <c r="I87" s="33">
        <f t="shared" si="9"/>
        <v>1310933.7722368762</v>
      </c>
      <c r="J87" s="42">
        <f t="shared" si="10"/>
        <v>5.0679545059363638E-2</v>
      </c>
      <c r="K87" s="12">
        <f t="shared" si="11"/>
        <v>5.0679545059363638E-2</v>
      </c>
      <c r="L87" s="10">
        <f t="shared" si="12"/>
        <v>1718547355191.2061</v>
      </c>
      <c r="M87" s="10">
        <f t="shared" si="13"/>
        <v>2606998.8085315228</v>
      </c>
      <c r="N87" s="10">
        <f t="shared" si="14"/>
        <v>6796442787684.7793</v>
      </c>
      <c r="O87"/>
    </row>
    <row r="88" spans="1:15" x14ac:dyDescent="0.2">
      <c r="A88" s="49">
        <v>44255</v>
      </c>
      <c r="B88" s="50">
        <v>24827388</v>
      </c>
      <c r="C88" s="50">
        <f t="shared" si="15"/>
        <v>837.00000366210929</v>
      </c>
      <c r="D88" s="50">
        <f t="shared" si="15"/>
        <v>0</v>
      </c>
      <c r="E88" s="50">
        <v>28</v>
      </c>
      <c r="F88" s="79">
        <v>0</v>
      </c>
      <c r="G88" s="50">
        <f>'Rate Class Customer Model'!P4</f>
        <v>12099.057962546922</v>
      </c>
      <c r="H88" s="50">
        <f t="shared" si="8"/>
        <v>24597692.913747504</v>
      </c>
      <c r="I88" s="33">
        <f t="shared" si="9"/>
        <v>-229695.08625249565</v>
      </c>
      <c r="J88" s="42">
        <f t="shared" si="10"/>
        <v>-9.2516814999828272E-3</v>
      </c>
      <c r="K88" s="12">
        <f t="shared" si="11"/>
        <v>9.2516814999828272E-3</v>
      </c>
      <c r="L88" s="10">
        <f t="shared" si="12"/>
        <v>52759832648.541412</v>
      </c>
      <c r="M88" s="10">
        <f t="shared" si="13"/>
        <v>-1540628.8584893718</v>
      </c>
      <c r="N88" s="10">
        <f t="shared" si="14"/>
        <v>2373537279610.2651</v>
      </c>
      <c r="O88"/>
    </row>
    <row r="89" spans="1:15" x14ac:dyDescent="0.2">
      <c r="A89" s="49">
        <v>44286</v>
      </c>
      <c r="B89" s="50">
        <v>24583551</v>
      </c>
      <c r="C89" s="50">
        <f t="shared" si="15"/>
        <v>738.80999877929696</v>
      </c>
      <c r="D89" s="50">
        <f t="shared" si="15"/>
        <v>0</v>
      </c>
      <c r="E89" s="50">
        <v>31</v>
      </c>
      <c r="F89" s="79">
        <v>1</v>
      </c>
      <c r="G89" s="50">
        <f>'Rate Class Customer Model'!P5</f>
        <v>12113.395279132452</v>
      </c>
      <c r="H89" s="50">
        <f t="shared" si="8"/>
        <v>24902579.470905863</v>
      </c>
      <c r="I89" s="33">
        <f t="shared" si="9"/>
        <v>319028.47090586275</v>
      </c>
      <c r="J89" s="42">
        <f t="shared" si="10"/>
        <v>1.2977314420763003E-2</v>
      </c>
      <c r="K89" s="12">
        <f t="shared" si="11"/>
        <v>1.2977314420763003E-2</v>
      </c>
      <c r="L89" s="10">
        <f t="shared" si="12"/>
        <v>101779165248.53291</v>
      </c>
      <c r="M89" s="10">
        <f t="shared" si="13"/>
        <v>548723.5571583584</v>
      </c>
      <c r="N89" s="10">
        <f t="shared" si="14"/>
        <v>301097542180.52222</v>
      </c>
      <c r="O89"/>
    </row>
    <row r="90" spans="1:15" x14ac:dyDescent="0.2">
      <c r="A90" s="49">
        <v>44316</v>
      </c>
      <c r="B90" s="50">
        <v>21537012</v>
      </c>
      <c r="C90" s="50">
        <f t="shared" si="15"/>
        <v>498.90000427246093</v>
      </c>
      <c r="D90" s="50">
        <f t="shared" si="15"/>
        <v>0</v>
      </c>
      <c r="E90" s="50">
        <v>30</v>
      </c>
      <c r="F90" s="79">
        <v>1</v>
      </c>
      <c r="G90" s="50">
        <f>'Rate Class Customer Model'!P6</f>
        <v>12127.749585358622</v>
      </c>
      <c r="H90" s="50">
        <f t="shared" si="8"/>
        <v>21805820.725002915</v>
      </c>
      <c r="I90" s="33">
        <f t="shared" si="9"/>
        <v>268808.72500291467</v>
      </c>
      <c r="J90" s="42">
        <f t="shared" si="10"/>
        <v>1.2481245077214735E-2</v>
      </c>
      <c r="K90" s="12">
        <f t="shared" si="11"/>
        <v>1.2481245077214735E-2</v>
      </c>
      <c r="L90" s="10">
        <f t="shared" si="12"/>
        <v>72258130637.692596</v>
      </c>
      <c r="M90" s="10">
        <f t="shared" si="13"/>
        <v>-50219.745902948081</v>
      </c>
      <c r="N90" s="10">
        <f t="shared" si="14"/>
        <v>2522022878.5566707</v>
      </c>
      <c r="O90"/>
    </row>
    <row r="91" spans="1:15" x14ac:dyDescent="0.2">
      <c r="A91" s="49">
        <v>44347</v>
      </c>
      <c r="B91" s="50">
        <v>20574453</v>
      </c>
      <c r="C91" s="50">
        <f t="shared" si="15"/>
        <v>281.87999725341797</v>
      </c>
      <c r="D91" s="50">
        <f t="shared" si="15"/>
        <v>1.9499999940395356</v>
      </c>
      <c r="E91" s="50">
        <v>31</v>
      </c>
      <c r="F91" s="79">
        <v>1</v>
      </c>
      <c r="G91" s="50">
        <f>'Rate Class Customer Model'!P7</f>
        <v>12142.120901358065</v>
      </c>
      <c r="H91" s="50">
        <f t="shared" si="8"/>
        <v>20371330.202710249</v>
      </c>
      <c r="I91" s="33">
        <f t="shared" si="9"/>
        <v>-203122.79728975147</v>
      </c>
      <c r="J91" s="42">
        <f t="shared" si="10"/>
        <v>-9.8725733942842363E-3</v>
      </c>
      <c r="K91" s="12">
        <f t="shared" si="11"/>
        <v>9.8725733942842363E-3</v>
      </c>
      <c r="L91" s="10">
        <f t="shared" si="12"/>
        <v>41258870778.813469</v>
      </c>
      <c r="M91" s="10">
        <f t="shared" si="13"/>
        <v>-471931.52229266614</v>
      </c>
      <c r="N91" s="10">
        <f t="shared" si="14"/>
        <v>222719361733.47324</v>
      </c>
      <c r="O91"/>
    </row>
    <row r="92" spans="1:15" x14ac:dyDescent="0.2">
      <c r="A92" s="49">
        <v>44377</v>
      </c>
      <c r="B92" s="50">
        <v>19092218</v>
      </c>
      <c r="C92" s="50">
        <f t="shared" si="15"/>
        <v>126.93000061035154</v>
      </c>
      <c r="D92" s="50">
        <f t="shared" si="15"/>
        <v>7.2900000768899913</v>
      </c>
      <c r="E92" s="50">
        <v>30</v>
      </c>
      <c r="F92" s="79">
        <v>0</v>
      </c>
      <c r="G92" s="50">
        <f>'Rate Class Customer Model'!P8</f>
        <v>12156.509247287264</v>
      </c>
      <c r="H92" s="50">
        <f t="shared" si="8"/>
        <v>19121785.24751161</v>
      </c>
      <c r="I92" s="33">
        <f t="shared" si="9"/>
        <v>29567.247511610389</v>
      </c>
      <c r="J92" s="42">
        <f t="shared" si="10"/>
        <v>1.548654405245655E-3</v>
      </c>
      <c r="K92" s="12">
        <f t="shared" si="11"/>
        <v>1.548654405245655E-3</v>
      </c>
      <c r="L92" s="10">
        <f t="shared" si="12"/>
        <v>874222125.41283071</v>
      </c>
      <c r="M92" s="10">
        <f t="shared" si="13"/>
        <v>232690.04480136186</v>
      </c>
      <c r="N92" s="10">
        <f t="shared" si="14"/>
        <v>54144656949.65979</v>
      </c>
      <c r="O92"/>
    </row>
    <row r="93" spans="1:15" x14ac:dyDescent="0.2">
      <c r="A93" s="49">
        <v>44408</v>
      </c>
      <c r="B93" s="50">
        <v>19443490</v>
      </c>
      <c r="C93" s="50">
        <f t="shared" si="15"/>
        <v>59.829999809265146</v>
      </c>
      <c r="D93" s="50">
        <f t="shared" si="15"/>
        <v>18.570000028610231</v>
      </c>
      <c r="E93" s="50">
        <v>31</v>
      </c>
      <c r="F93" s="79">
        <v>0</v>
      </c>
      <c r="G93" s="50">
        <f>'Rate Class Customer Model'!P9</f>
        <v>12170.914643326594</v>
      </c>
      <c r="H93" s="50">
        <f t="shared" si="8"/>
        <v>19471001.199162386</v>
      </c>
      <c r="I93" s="33">
        <f t="shared" si="9"/>
        <v>27511.199162386358</v>
      </c>
      <c r="J93" s="42">
        <f t="shared" si="10"/>
        <v>1.4149311241133335E-3</v>
      </c>
      <c r="K93" s="12">
        <f t="shared" si="11"/>
        <v>1.4149311241133335E-3</v>
      </c>
      <c r="L93" s="10">
        <f t="shared" si="12"/>
        <v>756866079.3524878</v>
      </c>
      <c r="M93" s="10">
        <f t="shared" si="13"/>
        <v>-2056.048349224031</v>
      </c>
      <c r="N93" s="10">
        <f t="shared" si="14"/>
        <v>4227334.814346863</v>
      </c>
      <c r="O93"/>
    </row>
    <row r="94" spans="1:15" x14ac:dyDescent="0.2">
      <c r="A94" s="49">
        <v>44439</v>
      </c>
      <c r="B94" s="50">
        <v>20406933</v>
      </c>
      <c r="C94" s="50">
        <f t="shared" si="15"/>
        <v>54.610000228881837</v>
      </c>
      <c r="D94" s="50">
        <f t="shared" si="15"/>
        <v>20.229999904632567</v>
      </c>
      <c r="E94" s="50">
        <v>31</v>
      </c>
      <c r="F94" s="79">
        <v>0</v>
      </c>
      <c r="G94" s="50">
        <f>'Rate Class Customer Model'!P10</f>
        <v>12185.33710968034</v>
      </c>
      <c r="H94" s="50">
        <f t="shared" si="8"/>
        <v>19555392.113249265</v>
      </c>
      <c r="I94" s="33">
        <f t="shared" si="9"/>
        <v>-851540.88675073534</v>
      </c>
      <c r="J94" s="42">
        <f t="shared" si="10"/>
        <v>-4.172801894095185E-2</v>
      </c>
      <c r="K94" s="12">
        <f t="shared" si="11"/>
        <v>4.172801894095185E-2</v>
      </c>
      <c r="L94" s="10">
        <f t="shared" si="12"/>
        <v>725121881808.22864</v>
      </c>
      <c r="M94" s="10">
        <f t="shared" si="13"/>
        <v>-879052.0859131217</v>
      </c>
      <c r="N94" s="10">
        <f t="shared" si="14"/>
        <v>772732569748.21033</v>
      </c>
      <c r="O94"/>
    </row>
    <row r="95" spans="1:15" x14ac:dyDescent="0.2">
      <c r="A95" s="49">
        <v>44469</v>
      </c>
      <c r="B95" s="50">
        <v>19210633</v>
      </c>
      <c r="C95" s="50">
        <f t="shared" si="15"/>
        <v>112.7</v>
      </c>
      <c r="D95" s="50">
        <f t="shared" si="15"/>
        <v>10.3</v>
      </c>
      <c r="E95" s="50">
        <v>30</v>
      </c>
      <c r="F95" s="79">
        <v>1</v>
      </c>
      <c r="G95" s="50">
        <f>'Rate Class Customer Model'!P11</f>
        <v>12199.776666576729</v>
      </c>
      <c r="H95" s="50">
        <f t="shared" si="8"/>
        <v>18509184.28545621</v>
      </c>
      <c r="I95" s="33">
        <f t="shared" si="9"/>
        <v>-701448.71454378963</v>
      </c>
      <c r="J95" s="42">
        <f t="shared" si="10"/>
        <v>-3.6513565926942104E-2</v>
      </c>
      <c r="K95" s="12">
        <f t="shared" si="11"/>
        <v>3.6513565926942104E-2</v>
      </c>
      <c r="L95" s="10">
        <f t="shared" si="12"/>
        <v>492030299135.13489</v>
      </c>
      <c r="M95" s="10">
        <f t="shared" si="13"/>
        <v>150092.17220694572</v>
      </c>
      <c r="N95" s="10">
        <f t="shared" si="14"/>
        <v>22527660157.79945</v>
      </c>
      <c r="O95"/>
    </row>
    <row r="96" spans="1:15" x14ac:dyDescent="0.2">
      <c r="A96" s="49">
        <v>44500</v>
      </c>
      <c r="B96" s="50">
        <v>20195668</v>
      </c>
      <c r="C96" s="50">
        <f t="shared" si="15"/>
        <v>344.3</v>
      </c>
      <c r="D96" s="50">
        <f t="shared" si="15"/>
        <v>3.7</v>
      </c>
      <c r="E96" s="50">
        <v>31</v>
      </c>
      <c r="F96" s="79">
        <v>1</v>
      </c>
      <c r="G96" s="50">
        <f>'Rate Class Customer Model'!P12</f>
        <v>12214.233334267959</v>
      </c>
      <c r="H96" s="50">
        <f t="shared" si="8"/>
        <v>21566819.371759869</v>
      </c>
      <c r="I96" s="33">
        <f t="shared" si="9"/>
        <v>1371151.3717598692</v>
      </c>
      <c r="J96" s="42">
        <f t="shared" si="10"/>
        <v>6.7893340876858804E-2</v>
      </c>
      <c r="K96" s="12">
        <f t="shared" si="11"/>
        <v>6.7893340876858804E-2</v>
      </c>
      <c r="L96" s="10">
        <f t="shared" si="12"/>
        <v>1880056084278.9709</v>
      </c>
      <c r="M96" s="10">
        <f t="shared" si="13"/>
        <v>2072600.0863036588</v>
      </c>
      <c r="N96" s="10">
        <f t="shared" si="14"/>
        <v>4295671117745.9336</v>
      </c>
      <c r="O96"/>
    </row>
    <row r="97" spans="1:15" x14ac:dyDescent="0.2">
      <c r="A97" s="49">
        <v>44530</v>
      </c>
      <c r="B97" s="50">
        <v>23051852</v>
      </c>
      <c r="C97" s="50">
        <f t="shared" si="15"/>
        <v>586.4</v>
      </c>
      <c r="D97" s="50">
        <f t="shared" si="15"/>
        <v>0</v>
      </c>
      <c r="E97" s="50">
        <v>30</v>
      </c>
      <c r="F97" s="79">
        <v>0</v>
      </c>
      <c r="G97" s="50">
        <f>'Rate Class Customer Model'!P13</f>
        <v>12228.70713303023</v>
      </c>
      <c r="H97" s="50">
        <f t="shared" si="8"/>
        <v>24258948.839586034</v>
      </c>
      <c r="I97" s="33">
        <f t="shared" si="9"/>
        <v>1207096.8395860344</v>
      </c>
      <c r="J97" s="42">
        <f t="shared" si="10"/>
        <v>5.2364419118517434E-2</v>
      </c>
      <c r="K97" s="12">
        <f t="shared" si="11"/>
        <v>5.2364419118517434E-2</v>
      </c>
      <c r="L97" s="10">
        <f t="shared" si="12"/>
        <v>1457082780138.5925</v>
      </c>
      <c r="M97" s="10">
        <f t="shared" si="13"/>
        <v>-164054.53217383474</v>
      </c>
      <c r="N97" s="10">
        <f t="shared" si="14"/>
        <v>26913889526.77578</v>
      </c>
      <c r="O97"/>
    </row>
    <row r="98" spans="1:15" x14ac:dyDescent="0.2">
      <c r="A98" s="49">
        <v>44561</v>
      </c>
      <c r="B98" s="50">
        <v>26436572</v>
      </c>
      <c r="C98" s="50">
        <f t="shared" si="15"/>
        <v>603.9</v>
      </c>
      <c r="D98" s="50">
        <f t="shared" si="15"/>
        <v>0</v>
      </c>
      <c r="E98" s="50">
        <v>31</v>
      </c>
      <c r="F98" s="79">
        <v>0</v>
      </c>
      <c r="G98" s="50">
        <f>'Rate Class Customer Model'!P14</f>
        <v>12243.198083163763</v>
      </c>
      <c r="H98" s="50">
        <f t="shared" si="8"/>
        <v>25231680.031982847</v>
      </c>
      <c r="I98" s="33">
        <f t="shared" si="9"/>
        <v>-1204891.9680171534</v>
      </c>
      <c r="J98" s="42">
        <f t="shared" si="10"/>
        <v>-4.5576709719291647E-2</v>
      </c>
      <c r="K98" s="12">
        <f t="shared" si="11"/>
        <v>4.5576709719291647E-2</v>
      </c>
      <c r="L98" s="10">
        <f t="shared" si="12"/>
        <v>1451764654592.249</v>
      </c>
      <c r="M98" s="10">
        <f t="shared" si="13"/>
        <v>-2411988.8076031879</v>
      </c>
      <c r="N98" s="10">
        <f t="shared" si="14"/>
        <v>5817690008003.0479</v>
      </c>
      <c r="O98"/>
    </row>
    <row r="99" spans="1:15" x14ac:dyDescent="0.2">
      <c r="A99" s="49">
        <v>44592</v>
      </c>
      <c r="B99" s="109">
        <v>30320977</v>
      </c>
      <c r="C99" s="50">
        <f t="shared" si="15"/>
        <v>895.70000488281255</v>
      </c>
      <c r="D99" s="50">
        <f t="shared" si="15"/>
        <v>0</v>
      </c>
      <c r="E99" s="50">
        <v>31</v>
      </c>
      <c r="F99" s="79">
        <v>0</v>
      </c>
      <c r="G99" s="50">
        <f>'Rate Class Customer Model'!Q3</f>
        <v>12244.198569699198</v>
      </c>
      <c r="H99" s="50">
        <f t="shared" si="8"/>
        <v>28289021.974325262</v>
      </c>
      <c r="I99" s="33">
        <f t="shared" si="9"/>
        <v>-2031955.025674738</v>
      </c>
      <c r="J99" s="42">
        <f t="shared" si="10"/>
        <v>-6.7014826919156931E-2</v>
      </c>
      <c r="K99" s="12">
        <f t="shared" si="11"/>
        <v>6.7014826919156931E-2</v>
      </c>
      <c r="L99" s="10">
        <f t="shared" si="12"/>
        <v>4128841226364.8252</v>
      </c>
      <c r="M99" s="10">
        <f t="shared" si="13"/>
        <v>-827063.05765758455</v>
      </c>
      <c r="N99" s="10">
        <f t="shared" si="14"/>
        <v>684033301341.91296</v>
      </c>
      <c r="O99"/>
    </row>
    <row r="100" spans="1:15" x14ac:dyDescent="0.2">
      <c r="A100" s="49">
        <v>44620</v>
      </c>
      <c r="B100" s="109">
        <v>26652765</v>
      </c>
      <c r="C100" s="50">
        <f t="shared" si="15"/>
        <v>837.00000366210929</v>
      </c>
      <c r="D100" s="50">
        <f t="shared" si="15"/>
        <v>0</v>
      </c>
      <c r="E100" s="50">
        <v>28</v>
      </c>
      <c r="F100" s="79">
        <v>0</v>
      </c>
      <c r="G100" s="50">
        <f>'Rate Class Customer Model'!Q4</f>
        <v>12250.15580617966</v>
      </c>
      <c r="H100" s="50">
        <f t="shared" si="8"/>
        <v>25650397.023738965</v>
      </c>
      <c r="I100" s="33">
        <f t="shared" si="9"/>
        <v>-1002367.9762610346</v>
      </c>
      <c r="J100" s="42">
        <f t="shared" si="10"/>
        <v>-3.760840484133765E-2</v>
      </c>
      <c r="K100" s="12">
        <f t="shared" si="11"/>
        <v>3.760840484133765E-2</v>
      </c>
      <c r="L100" s="10">
        <f t="shared" si="12"/>
        <v>1004741559833.6421</v>
      </c>
      <c r="M100" s="10">
        <f t="shared" si="13"/>
        <v>1029587.0494137034</v>
      </c>
      <c r="N100" s="10">
        <f t="shared" si="14"/>
        <v>1060049492320.4156</v>
      </c>
      <c r="O100"/>
    </row>
    <row r="101" spans="1:15" x14ac:dyDescent="0.2">
      <c r="A101" s="49">
        <v>44651</v>
      </c>
      <c r="B101" s="109">
        <v>25914442</v>
      </c>
      <c r="C101" s="50">
        <f t="shared" si="15"/>
        <v>738.80999877929696</v>
      </c>
      <c r="D101" s="50">
        <f t="shared" si="15"/>
        <v>0</v>
      </c>
      <c r="E101" s="50">
        <v>31</v>
      </c>
      <c r="F101" s="79">
        <v>1</v>
      </c>
      <c r="G101" s="50">
        <f>'Rate Class Customer Model'!Q5</f>
        <v>12256.115941066768</v>
      </c>
      <c r="H101" s="50">
        <f t="shared" si="8"/>
        <v>25896919.454765193</v>
      </c>
      <c r="I101" s="33">
        <f t="shared" si="9"/>
        <v>-17522.545234806836</v>
      </c>
      <c r="J101" s="42">
        <f t="shared" si="10"/>
        <v>-6.7616911198808895E-4</v>
      </c>
      <c r="K101" s="12">
        <f t="shared" si="11"/>
        <v>6.7616911198808895E-4</v>
      </c>
      <c r="L101" s="10">
        <f t="shared" si="12"/>
        <v>307039591.50585175</v>
      </c>
      <c r="M101" s="10">
        <f t="shared" si="13"/>
        <v>984845.43102622777</v>
      </c>
      <c r="N101" s="10">
        <f t="shared" si="14"/>
        <v>969920523013.23633</v>
      </c>
      <c r="O101"/>
    </row>
    <row r="102" spans="1:15" x14ac:dyDescent="0.2">
      <c r="A102" s="49">
        <v>44681</v>
      </c>
      <c r="B102" s="109">
        <v>22945031</v>
      </c>
      <c r="C102" s="50">
        <f t="shared" si="15"/>
        <v>498.90000427246093</v>
      </c>
      <c r="D102" s="50">
        <f t="shared" si="15"/>
        <v>0</v>
      </c>
      <c r="E102" s="50">
        <v>30</v>
      </c>
      <c r="F102" s="79">
        <v>1</v>
      </c>
      <c r="G102" s="50">
        <f>'Rate Class Customer Model'!Q6</f>
        <v>12262.078975770695</v>
      </c>
      <c r="H102" s="50">
        <f t="shared" si="8"/>
        <v>22741698.418420881</v>
      </c>
      <c r="I102" s="33">
        <f t="shared" si="9"/>
        <v>-203332.58157911897</v>
      </c>
      <c r="J102" s="42">
        <f t="shared" si="10"/>
        <v>-8.8617261654220028E-3</v>
      </c>
      <c r="K102" s="12">
        <f t="shared" si="11"/>
        <v>8.8617261654220028E-3</v>
      </c>
      <c r="L102" s="10">
        <f t="shared" si="12"/>
        <v>41344138731.629066</v>
      </c>
      <c r="M102" s="10">
        <f t="shared" si="13"/>
        <v>-185810.03634431213</v>
      </c>
      <c r="N102" s="10">
        <f t="shared" si="14"/>
        <v>34525369606.274597</v>
      </c>
      <c r="O102"/>
    </row>
    <row r="103" spans="1:15" x14ac:dyDescent="0.2">
      <c r="A103" s="49">
        <v>44712</v>
      </c>
      <c r="B103" s="109">
        <v>19916599</v>
      </c>
      <c r="C103" s="50">
        <f t="shared" si="15"/>
        <v>281.87999725341797</v>
      </c>
      <c r="D103" s="50">
        <f t="shared" si="15"/>
        <v>1.9499999940395356</v>
      </c>
      <c r="E103" s="50">
        <v>31</v>
      </c>
      <c r="F103" s="79">
        <v>1</v>
      </c>
      <c r="G103" s="50">
        <f>'Rate Class Customer Model'!Q7</f>
        <v>12268.044911702309</v>
      </c>
      <c r="H103" s="50">
        <f t="shared" si="8"/>
        <v>21248647.310942434</v>
      </c>
      <c r="I103" s="33">
        <f t="shared" si="9"/>
        <v>1332048.3109424338</v>
      </c>
      <c r="J103" s="42">
        <f t="shared" si="10"/>
        <v>6.688131397044414E-2</v>
      </c>
      <c r="K103" s="12">
        <f t="shared" si="11"/>
        <v>6.688131397044414E-2</v>
      </c>
      <c r="L103" s="10">
        <f t="shared" si="12"/>
        <v>1774352702684.5908</v>
      </c>
      <c r="M103" s="10">
        <f t="shared" si="13"/>
        <v>1535380.8925215527</v>
      </c>
      <c r="N103" s="10">
        <f t="shared" si="14"/>
        <v>2357394485120.2798</v>
      </c>
      <c r="O103"/>
    </row>
    <row r="104" spans="1:15" x14ac:dyDescent="0.2">
      <c r="A104" s="49">
        <v>44742</v>
      </c>
      <c r="B104" s="109">
        <v>18916028</v>
      </c>
      <c r="C104" s="50">
        <f t="shared" si="15"/>
        <v>126.93000061035154</v>
      </c>
      <c r="D104" s="50">
        <f t="shared" si="15"/>
        <v>7.2900000768899913</v>
      </c>
      <c r="E104" s="50">
        <v>30</v>
      </c>
      <c r="F104" s="79">
        <v>0</v>
      </c>
      <c r="G104" s="50">
        <f>'Rate Class Customer Model'!Q8</f>
        <v>12274.013750273158</v>
      </c>
      <c r="H104" s="50">
        <f t="shared" si="8"/>
        <v>19940443.345216945</v>
      </c>
      <c r="I104" s="33">
        <f t="shared" si="9"/>
        <v>1024415.3452169448</v>
      </c>
      <c r="J104" s="42">
        <f t="shared" si="10"/>
        <v>5.4155943584823667E-2</v>
      </c>
      <c r="K104" s="12">
        <f t="shared" si="11"/>
        <v>5.4155943584823667E-2</v>
      </c>
      <c r="L104" s="10">
        <f t="shared" si="12"/>
        <v>1049426799515.9523</v>
      </c>
      <c r="M104" s="10">
        <f t="shared" si="13"/>
        <v>-307632.96572548896</v>
      </c>
      <c r="N104" s="10">
        <f t="shared" si="14"/>
        <v>94638041601.05986</v>
      </c>
      <c r="O104"/>
    </row>
    <row r="105" spans="1:15" x14ac:dyDescent="0.2">
      <c r="A105" s="49">
        <v>44773</v>
      </c>
      <c r="B105" s="109">
        <v>19884843</v>
      </c>
      <c r="C105" s="50">
        <f t="shared" si="15"/>
        <v>59.829999809265146</v>
      </c>
      <c r="D105" s="50">
        <f t="shared" si="15"/>
        <v>18.570000028610231</v>
      </c>
      <c r="E105" s="50">
        <v>31</v>
      </c>
      <c r="F105" s="79">
        <v>0</v>
      </c>
      <c r="G105" s="50">
        <f>'Rate Class Customer Model'!Q9</f>
        <v>12279.985492895479</v>
      </c>
      <c r="H105" s="50">
        <f t="shared" si="8"/>
        <v>20230901.7302415</v>
      </c>
      <c r="I105" s="33">
        <f t="shared" si="9"/>
        <v>346058.73024149984</v>
      </c>
      <c r="J105" s="42">
        <f t="shared" si="10"/>
        <v>1.7403141188567586E-2</v>
      </c>
      <c r="K105" s="12">
        <f t="shared" si="11"/>
        <v>1.7403141188567586E-2</v>
      </c>
      <c r="L105" s="10">
        <f t="shared" si="12"/>
        <v>119756644776.35916</v>
      </c>
      <c r="M105" s="10">
        <f t="shared" si="13"/>
        <v>-678356.61497544497</v>
      </c>
      <c r="N105" s="10">
        <f t="shared" si="14"/>
        <v>460167697080.94409</v>
      </c>
      <c r="O105"/>
    </row>
    <row r="106" spans="1:15" x14ac:dyDescent="0.2">
      <c r="A106" s="49">
        <v>44804</v>
      </c>
      <c r="B106" s="109">
        <v>20536450</v>
      </c>
      <c r="C106" s="50">
        <f t="shared" si="15"/>
        <v>54.610000228881837</v>
      </c>
      <c r="D106" s="50">
        <f t="shared" si="15"/>
        <v>20.229999904632567</v>
      </c>
      <c r="E106" s="50">
        <v>31</v>
      </c>
      <c r="F106" s="79">
        <v>0</v>
      </c>
      <c r="G106" s="50">
        <f>'Rate Class Customer Model'!Q10</f>
        <v>12285.960140982195</v>
      </c>
      <c r="H106" s="50">
        <f t="shared" si="8"/>
        <v>20256436.39068269</v>
      </c>
      <c r="I106" s="33">
        <f t="shared" si="9"/>
        <v>-280013.60931731015</v>
      </c>
      <c r="J106" s="42">
        <f t="shared" si="10"/>
        <v>-1.3634956836128453E-2</v>
      </c>
      <c r="K106" s="12">
        <f t="shared" si="11"/>
        <v>1.3634956836128453E-2</v>
      </c>
      <c r="L106" s="10">
        <f t="shared" si="12"/>
        <v>78407621402.907211</v>
      </c>
      <c r="M106" s="10">
        <f t="shared" si="13"/>
        <v>-626072.33955881</v>
      </c>
      <c r="N106" s="10">
        <f t="shared" si="14"/>
        <v>391966574360.64191</v>
      </c>
      <c r="O106"/>
    </row>
    <row r="107" spans="1:15" x14ac:dyDescent="0.2">
      <c r="A107" s="49">
        <v>44834</v>
      </c>
      <c r="B107" s="109">
        <v>20139133</v>
      </c>
      <c r="C107" s="50">
        <f t="shared" si="15"/>
        <v>112.7</v>
      </c>
      <c r="D107" s="50">
        <f t="shared" si="15"/>
        <v>10.3</v>
      </c>
      <c r="E107" s="50">
        <v>30</v>
      </c>
      <c r="F107" s="79">
        <v>1</v>
      </c>
      <c r="G107" s="50">
        <f>'Rate Class Customer Model'!Q11</f>
        <v>12291.937695946919</v>
      </c>
      <c r="H107" s="50">
        <f t="shared" si="8"/>
        <v>19151273.491142407</v>
      </c>
      <c r="I107" s="33">
        <f t="shared" si="9"/>
        <v>-987859.50885759294</v>
      </c>
      <c r="J107" s="42">
        <f t="shared" si="10"/>
        <v>-4.9051739658186523E-2</v>
      </c>
      <c r="K107" s="12">
        <f t="shared" si="11"/>
        <v>4.9051739658186523E-2</v>
      </c>
      <c r="L107" s="10">
        <f t="shared" si="12"/>
        <v>975866409240.36475</v>
      </c>
      <c r="M107" s="10">
        <f t="shared" si="13"/>
        <v>-707845.89954028279</v>
      </c>
      <c r="N107" s="10">
        <f t="shared" si="14"/>
        <v>501045817495.99213</v>
      </c>
      <c r="O107"/>
    </row>
    <row r="108" spans="1:15" x14ac:dyDescent="0.2">
      <c r="A108" s="49">
        <v>44865</v>
      </c>
      <c r="B108" s="109">
        <v>22313356</v>
      </c>
      <c r="C108" s="50">
        <f t="shared" si="15"/>
        <v>344.3</v>
      </c>
      <c r="D108" s="50">
        <f t="shared" si="15"/>
        <v>3.7</v>
      </c>
      <c r="E108" s="50">
        <v>31</v>
      </c>
      <c r="F108" s="79">
        <v>1</v>
      </c>
      <c r="G108" s="50">
        <f>'Rate Class Customer Model'!Q12</f>
        <v>12297.918159203949</v>
      </c>
      <c r="H108" s="50">
        <f t="shared" si="8"/>
        <v>22149854.556352966</v>
      </c>
      <c r="I108" s="33">
        <f t="shared" si="9"/>
        <v>-163501.44364703447</v>
      </c>
      <c r="J108" s="42">
        <f t="shared" si="10"/>
        <v>-7.3275146798641349E-3</v>
      </c>
      <c r="K108" s="12">
        <f t="shared" si="11"/>
        <v>7.3275146798641349E-3</v>
      </c>
      <c r="L108" s="10">
        <f t="shared" si="12"/>
        <v>26732722074.664387</v>
      </c>
      <c r="M108" s="10">
        <f t="shared" si="13"/>
        <v>824358.06521055847</v>
      </c>
      <c r="N108" s="10">
        <f t="shared" si="14"/>
        <v>679566219677.69543</v>
      </c>
      <c r="O108"/>
    </row>
    <row r="109" spans="1:15" x14ac:dyDescent="0.2">
      <c r="A109" s="49">
        <v>44895</v>
      </c>
      <c r="B109" s="109">
        <v>23932631</v>
      </c>
      <c r="C109" s="50">
        <f t="shared" si="15"/>
        <v>586.4</v>
      </c>
      <c r="D109" s="50">
        <f t="shared" si="15"/>
        <v>0</v>
      </c>
      <c r="E109" s="50">
        <v>30</v>
      </c>
      <c r="F109" s="79">
        <v>0</v>
      </c>
      <c r="G109" s="50">
        <f>'Rate Class Customer Model'!Q13</f>
        <v>12303.901532168275</v>
      </c>
      <c r="H109" s="50">
        <f t="shared" si="8"/>
        <v>24782830.922333419</v>
      </c>
      <c r="I109" s="33">
        <f t="shared" si="9"/>
        <v>850199.92233341932</v>
      </c>
      <c r="J109" s="42">
        <f t="shared" si="10"/>
        <v>3.5524716122244115E-2</v>
      </c>
      <c r="K109" s="12">
        <f t="shared" si="11"/>
        <v>3.5524716122244115E-2</v>
      </c>
      <c r="L109" s="10">
        <f t="shared" si="12"/>
        <v>722839907935.7522</v>
      </c>
      <c r="M109" s="10">
        <f t="shared" si="13"/>
        <v>1013701.3659804538</v>
      </c>
      <c r="N109" s="10">
        <f t="shared" si="14"/>
        <v>1027590459390.6379</v>
      </c>
      <c r="O109"/>
    </row>
    <row r="110" spans="1:15" x14ac:dyDescent="0.2">
      <c r="A110" s="49">
        <v>44926</v>
      </c>
      <c r="B110" s="109">
        <v>28100635</v>
      </c>
      <c r="C110" s="50">
        <f t="shared" si="15"/>
        <v>603.9</v>
      </c>
      <c r="D110" s="50">
        <f t="shared" si="15"/>
        <v>0</v>
      </c>
      <c r="E110" s="50">
        <v>31</v>
      </c>
      <c r="F110" s="79">
        <v>0</v>
      </c>
      <c r="G110" s="50">
        <f>'Rate Class Customer Model'!Q14</f>
        <v>12309.887816255568</v>
      </c>
      <c r="H110" s="50">
        <f t="shared" si="8"/>
        <v>25696309.800562598</v>
      </c>
      <c r="I110" s="33">
        <f t="shared" si="9"/>
        <v>-2404325.1994374022</v>
      </c>
      <c r="J110" s="42">
        <f t="shared" si="10"/>
        <v>-8.5561240855852622E-2</v>
      </c>
      <c r="K110" s="12">
        <f t="shared" si="11"/>
        <v>8.5561240855852622E-2</v>
      </c>
      <c r="L110" s="10">
        <f t="shared" si="12"/>
        <v>5780779664649.7041</v>
      </c>
      <c r="M110" s="10">
        <f t="shared" si="13"/>
        <v>-3254525.1217708215</v>
      </c>
      <c r="N110" s="10">
        <f t="shared" si="14"/>
        <v>10591933768237.381</v>
      </c>
      <c r="O110"/>
    </row>
    <row r="111" spans="1:15" x14ac:dyDescent="0.2">
      <c r="A111" s="49">
        <v>44957</v>
      </c>
      <c r="B111" s="50">
        <v>27608826</v>
      </c>
      <c r="C111" s="50">
        <f t="shared" si="15"/>
        <v>895.70000488281255</v>
      </c>
      <c r="D111" s="50">
        <f t="shared" si="15"/>
        <v>0</v>
      </c>
      <c r="E111" s="64">
        <v>31</v>
      </c>
      <c r="F111" s="80">
        <v>0</v>
      </c>
      <c r="G111" s="50">
        <f>'Rate Class Customer Model'!R3</f>
        <v>12310.888748987967</v>
      </c>
      <c r="H111" s="50">
        <f t="shared" si="8"/>
        <v>28753654.851575293</v>
      </c>
      <c r="I111" s="33">
        <f t="shared" si="9"/>
        <v>1144828.8515752926</v>
      </c>
      <c r="J111" s="42">
        <f t="shared" si="10"/>
        <v>4.1466046096103201E-2</v>
      </c>
      <c r="K111" s="12">
        <f t="shared" si="11"/>
        <v>4.1466046096103201E-2</v>
      </c>
      <c r="L111" s="10">
        <f t="shared" si="12"/>
        <v>1310633099399.2034</v>
      </c>
      <c r="M111" s="10">
        <f t="shared" si="13"/>
        <v>3549154.0510126948</v>
      </c>
      <c r="N111" s="10">
        <f t="shared" si="14"/>
        <v>12596494477819.822</v>
      </c>
      <c r="O111"/>
    </row>
    <row r="112" spans="1:15" x14ac:dyDescent="0.2">
      <c r="A112" s="49">
        <v>44985</v>
      </c>
      <c r="B112" s="50">
        <v>25460858</v>
      </c>
      <c r="C112" s="50">
        <f t="shared" si="15"/>
        <v>837.00000366210929</v>
      </c>
      <c r="D112" s="50">
        <f t="shared" si="15"/>
        <v>0</v>
      </c>
      <c r="E112" s="64">
        <v>28</v>
      </c>
      <c r="F112" s="80">
        <v>0</v>
      </c>
      <c r="G112" s="50">
        <f>'Rate Class Customer Model'!R4</f>
        <v>12322.371513770477</v>
      </c>
      <c r="H112" s="50">
        <f t="shared" si="8"/>
        <v>26153526.455364555</v>
      </c>
      <c r="I112" s="33">
        <f t="shared" si="9"/>
        <v>692668.45536455512</v>
      </c>
      <c r="J112" s="42">
        <f t="shared" si="10"/>
        <v>2.7205228329876201E-2</v>
      </c>
      <c r="K112" s="12">
        <f t="shared" si="11"/>
        <v>2.7205228329876201E-2</v>
      </c>
      <c r="L112" s="10">
        <f t="shared" si="12"/>
        <v>479789589057.11871</v>
      </c>
      <c r="M112" s="10">
        <f t="shared" si="13"/>
        <v>-452160.39621073753</v>
      </c>
      <c r="N112" s="10">
        <f t="shared" si="14"/>
        <v>204449023901.45114</v>
      </c>
      <c r="O112"/>
    </row>
    <row r="113" spans="1:15" x14ac:dyDescent="0.2">
      <c r="A113" s="49">
        <v>45016</v>
      </c>
      <c r="B113" s="50">
        <v>26814114</v>
      </c>
      <c r="C113" s="50">
        <f t="shared" si="15"/>
        <v>738.80999877929696</v>
      </c>
      <c r="D113" s="50">
        <f t="shared" si="15"/>
        <v>0</v>
      </c>
      <c r="E113" s="64">
        <v>31</v>
      </c>
      <c r="F113" s="80">
        <v>1</v>
      </c>
      <c r="G113" s="50">
        <f>'Rate Class Customer Model'!R5</f>
        <v>12333.864988899715</v>
      </c>
      <c r="H113" s="50">
        <f t="shared" si="8"/>
        <v>26438599.866833843</v>
      </c>
      <c r="I113" s="33">
        <f t="shared" si="9"/>
        <v>-375514.13316615671</v>
      </c>
      <c r="J113" s="42">
        <f t="shared" si="10"/>
        <v>-1.4004346112877595E-2</v>
      </c>
      <c r="K113" s="12">
        <f t="shared" si="11"/>
        <v>1.4004346112877595E-2</v>
      </c>
      <c r="L113" s="10">
        <f t="shared" si="12"/>
        <v>141010864207.53006</v>
      </c>
      <c r="M113" s="10">
        <f t="shared" si="13"/>
        <v>-1068182.5885307118</v>
      </c>
      <c r="N113" s="10">
        <f t="shared" si="14"/>
        <v>1141014042440.1721</v>
      </c>
      <c r="O113"/>
    </row>
    <row r="114" spans="1:15" x14ac:dyDescent="0.2">
      <c r="A114" s="49">
        <v>45046</v>
      </c>
      <c r="B114" s="50">
        <v>24148903</v>
      </c>
      <c r="C114" s="50">
        <f t="shared" si="15"/>
        <v>498.90000427246093</v>
      </c>
      <c r="D114" s="50">
        <f t="shared" si="15"/>
        <v>0</v>
      </c>
      <c r="E114" s="64">
        <v>30</v>
      </c>
      <c r="F114" s="80">
        <v>1</v>
      </c>
      <c r="G114" s="50">
        <f>'Rate Class Customer Model'!R6</f>
        <v>12345.369184365571</v>
      </c>
      <c r="H114" s="50">
        <f t="shared" si="8"/>
        <v>23321984.296775222</v>
      </c>
      <c r="I114" s="33">
        <f t="shared" si="9"/>
        <v>-826918.70322477818</v>
      </c>
      <c r="J114" s="42">
        <f t="shared" si="10"/>
        <v>-3.4242495537986889E-2</v>
      </c>
      <c r="K114" s="12">
        <f t="shared" si="11"/>
        <v>3.4242495537986889E-2</v>
      </c>
      <c r="L114" s="10">
        <f t="shared" si="12"/>
        <v>683794541742.94873</v>
      </c>
      <c r="M114" s="10">
        <f t="shared" si="13"/>
        <v>-451404.57005862147</v>
      </c>
      <c r="N114" s="10">
        <f t="shared" si="14"/>
        <v>203766085869.8089</v>
      </c>
      <c r="O114"/>
    </row>
    <row r="115" spans="1:15" x14ac:dyDescent="0.2">
      <c r="A115" s="49">
        <v>45077</v>
      </c>
      <c r="B115" s="50">
        <v>21453893</v>
      </c>
      <c r="C115" s="50">
        <f t="shared" si="15"/>
        <v>281.87999725341797</v>
      </c>
      <c r="D115" s="50">
        <f t="shared" si="15"/>
        <v>1.9499999940395356</v>
      </c>
      <c r="E115" s="64">
        <v>31</v>
      </c>
      <c r="F115" s="80">
        <v>1</v>
      </c>
      <c r="G115" s="50">
        <f>'Rate Class Customer Model'!R7</f>
        <v>12356.884110167248</v>
      </c>
      <c r="H115" s="50">
        <f t="shared" si="8"/>
        <v>21867593.201260395</v>
      </c>
      <c r="I115" s="33">
        <f t="shared" si="9"/>
        <v>413700.20126039535</v>
      </c>
      <c r="J115" s="42">
        <f t="shared" si="10"/>
        <v>1.9283222921844319E-2</v>
      </c>
      <c r="K115" s="12">
        <f t="shared" si="11"/>
        <v>1.9283222921844319E-2</v>
      </c>
      <c r="L115" s="10">
        <f t="shared" si="12"/>
        <v>171147856522.8916</v>
      </c>
      <c r="M115" s="10">
        <f t="shared" si="13"/>
        <v>1240618.9044851735</v>
      </c>
      <c r="N115" s="10">
        <f t="shared" si="14"/>
        <v>1539135266165.9922</v>
      </c>
      <c r="O115"/>
    </row>
    <row r="116" spans="1:15" x14ac:dyDescent="0.2">
      <c r="A116" s="49">
        <v>45107</v>
      </c>
      <c r="B116" s="50">
        <v>20524157</v>
      </c>
      <c r="C116" s="50">
        <f t="shared" si="15"/>
        <v>126.93000061035154</v>
      </c>
      <c r="D116" s="50">
        <f t="shared" si="15"/>
        <v>7.2900000768899913</v>
      </c>
      <c r="E116" s="64">
        <v>30</v>
      </c>
      <c r="F116" s="80">
        <v>0</v>
      </c>
      <c r="G116" s="50">
        <f>'Rate Class Customer Model'!R8</f>
        <v>12368.40977631328</v>
      </c>
      <c r="H116" s="50">
        <f t="shared" si="8"/>
        <v>20598103.853071913</v>
      </c>
      <c r="I116" s="33">
        <f t="shared" si="9"/>
        <v>73946.853071913123</v>
      </c>
      <c r="J116" s="42">
        <f t="shared" si="10"/>
        <v>3.6029179211556957E-3</v>
      </c>
      <c r="K116" s="12">
        <f t="shared" si="11"/>
        <v>3.6029179211556957E-3</v>
      </c>
      <c r="L116" s="10">
        <f t="shared" si="12"/>
        <v>5468137079.2391071</v>
      </c>
      <c r="M116" s="10">
        <f t="shared" si="13"/>
        <v>-339753.34818848222</v>
      </c>
      <c r="N116" s="10">
        <f t="shared" si="14"/>
        <v>115432337605.28404</v>
      </c>
      <c r="O116"/>
    </row>
    <row r="117" spans="1:15" x14ac:dyDescent="0.2">
      <c r="A117" s="49">
        <v>45138</v>
      </c>
      <c r="B117" s="50">
        <v>20651596</v>
      </c>
      <c r="C117" s="50">
        <f t="shared" si="15"/>
        <v>59.829999809265146</v>
      </c>
      <c r="D117" s="50">
        <f t="shared" si="15"/>
        <v>18.570000028610231</v>
      </c>
      <c r="E117" s="64">
        <v>31</v>
      </c>
      <c r="F117" s="80">
        <v>0</v>
      </c>
      <c r="G117" s="50">
        <f>'Rate Class Customer Model'!R9</f>
        <v>12379.946192821533</v>
      </c>
      <c r="H117" s="50">
        <f t="shared" si="8"/>
        <v>20927331.521162622</v>
      </c>
      <c r="I117" s="33">
        <f t="shared" si="9"/>
        <v>275735.52116262168</v>
      </c>
      <c r="J117" s="42">
        <f t="shared" si="10"/>
        <v>1.3351777807517718E-2</v>
      </c>
      <c r="K117" s="12">
        <f t="shared" si="11"/>
        <v>1.3351777807517718E-2</v>
      </c>
      <c r="L117" s="10">
        <f t="shared" si="12"/>
        <v>76030077630.822586</v>
      </c>
      <c r="M117" s="10">
        <f t="shared" si="13"/>
        <v>201788.66809070855</v>
      </c>
      <c r="N117" s="10">
        <f t="shared" si="14"/>
        <v>40718666569.822144</v>
      </c>
      <c r="O117"/>
    </row>
    <row r="118" spans="1:15" x14ac:dyDescent="0.2">
      <c r="A118" s="49">
        <v>45169</v>
      </c>
      <c r="B118" s="50">
        <v>20850815</v>
      </c>
      <c r="C118" s="50">
        <f t="shared" si="15"/>
        <v>54.610000228881837</v>
      </c>
      <c r="D118" s="50">
        <f t="shared" si="15"/>
        <v>20.229999904632567</v>
      </c>
      <c r="E118" s="64">
        <v>31</v>
      </c>
      <c r="F118" s="80">
        <v>0</v>
      </c>
      <c r="G118" s="50">
        <f>'Rate Class Customer Model'!R10</f>
        <v>12391.493369719219</v>
      </c>
      <c r="H118" s="50">
        <f t="shared" si="8"/>
        <v>20991690.190215163</v>
      </c>
      <c r="I118" s="33">
        <f t="shared" si="9"/>
        <v>140875.19021516293</v>
      </c>
      <c r="J118" s="42">
        <f t="shared" si="10"/>
        <v>6.7563397505163679E-3</v>
      </c>
      <c r="K118" s="12">
        <f t="shared" si="11"/>
        <v>6.7563397505163679E-3</v>
      </c>
      <c r="L118" s="10">
        <f t="shared" si="12"/>
        <v>19845819218.158337</v>
      </c>
      <c r="M118" s="10">
        <f t="shared" si="13"/>
        <v>-134860.33094745874</v>
      </c>
      <c r="N118" s="10">
        <f t="shared" si="14"/>
        <v>18187308863.258099</v>
      </c>
      <c r="O118"/>
    </row>
    <row r="119" spans="1:15" x14ac:dyDescent="0.2">
      <c r="A119" s="49">
        <v>45199</v>
      </c>
      <c r="B119" s="50">
        <v>19577976.720000003</v>
      </c>
      <c r="C119" s="50">
        <f t="shared" si="15"/>
        <v>112.7</v>
      </c>
      <c r="D119" s="50">
        <f t="shared" si="15"/>
        <v>10.3</v>
      </c>
      <c r="E119" s="50">
        <v>30</v>
      </c>
      <c r="F119" s="79">
        <v>1</v>
      </c>
      <c r="G119" s="92">
        <f>'Rate Class Customer Model'!R11</f>
        <v>12403.0513170429</v>
      </c>
      <c r="H119" s="92">
        <f>$Q$18+$Q$19*C119+$Q$20*D119+$Q$21*E119+$Q$22*F119+$Q$23*G119</f>
        <v>19925406.08490783</v>
      </c>
      <c r="I119" s="33">
        <f t="shared" si="9"/>
        <v>347429.36490782723</v>
      </c>
      <c r="J119" s="42">
        <f t="shared" si="10"/>
        <v>1.7745927982073275E-2</v>
      </c>
      <c r="K119" s="12">
        <f t="shared" si="11"/>
        <v>1.7745927982073275E-2</v>
      </c>
      <c r="L119" s="10">
        <f t="shared" si="12"/>
        <v>120707163600.25616</v>
      </c>
      <c r="M119" s="10">
        <f t="shared" si="13"/>
        <v>206554.1746926643</v>
      </c>
      <c r="N119" s="10">
        <f t="shared" si="14"/>
        <v>42664627082.967682</v>
      </c>
      <c r="O119"/>
    </row>
    <row r="120" spans="1:15" x14ac:dyDescent="0.2">
      <c r="A120" s="49">
        <v>45230</v>
      </c>
      <c r="B120" s="50">
        <v>21816697.489999998</v>
      </c>
      <c r="C120" s="50">
        <f t="shared" si="15"/>
        <v>344.3</v>
      </c>
      <c r="D120" s="50">
        <f t="shared" si="15"/>
        <v>3.7</v>
      </c>
      <c r="E120" s="50">
        <v>31</v>
      </c>
      <c r="F120" s="79">
        <v>1</v>
      </c>
      <c r="G120" s="92">
        <f>'Rate Class Customer Model'!R12</f>
        <v>12414.620044838503</v>
      </c>
      <c r="H120" s="92">
        <f t="shared" ref="H120:H146" si="16">$Q$18+$Q$19*C120+$Q$20*D120+$Q$21*E120+$Q$22*F120+$Q$23*G120</f>
        <v>22962920.790109791</v>
      </c>
      <c r="I120" s="33">
        <f t="shared" si="9"/>
        <v>1146223.3001097925</v>
      </c>
      <c r="J120" s="42">
        <f t="shared" si="10"/>
        <v>5.2538808893288304E-2</v>
      </c>
      <c r="K120" s="12">
        <f t="shared" si="11"/>
        <v>5.2538808893288304E-2</v>
      </c>
      <c r="L120" s="10">
        <f t="shared" si="12"/>
        <v>1313827853714.5835</v>
      </c>
      <c r="M120" s="10">
        <f t="shared" si="13"/>
        <v>798793.93520196527</v>
      </c>
      <c r="N120" s="10">
        <f t="shared" si="14"/>
        <v>638071750915.44153</v>
      </c>
      <c r="O120"/>
    </row>
    <row r="121" spans="1:15" x14ac:dyDescent="0.2">
      <c r="A121" s="49">
        <v>45260</v>
      </c>
      <c r="B121" s="50">
        <v>25527563.699999999</v>
      </c>
      <c r="C121" s="50">
        <f t="shared" si="15"/>
        <v>586.4</v>
      </c>
      <c r="D121" s="50">
        <f t="shared" si="15"/>
        <v>0</v>
      </c>
      <c r="E121" s="50">
        <v>30</v>
      </c>
      <c r="F121" s="79">
        <v>0</v>
      </c>
      <c r="G121" s="92">
        <f>'Rate Class Customer Model'!R13</f>
        <v>12426.199563161323</v>
      </c>
      <c r="H121" s="92">
        <f t="shared" si="16"/>
        <v>25634885.702037439</v>
      </c>
      <c r="I121" s="33">
        <f t="shared" si="9"/>
        <v>107322.0020374395</v>
      </c>
      <c r="J121" s="42">
        <f t="shared" si="10"/>
        <v>4.2041615603701146E-3</v>
      </c>
      <c r="K121" s="12">
        <f t="shared" si="11"/>
        <v>4.2041615603701146E-3</v>
      </c>
      <c r="L121" s="10">
        <f t="shared" si="12"/>
        <v>11518012121.324167</v>
      </c>
      <c r="M121" s="10">
        <f t="shared" si="13"/>
        <v>-1038901.298072353</v>
      </c>
      <c r="N121" s="10">
        <f t="shared" si="14"/>
        <v>1079315907136.42</v>
      </c>
      <c r="O121"/>
    </row>
    <row r="122" spans="1:15" x14ac:dyDescent="0.2">
      <c r="A122" s="49">
        <v>45291</v>
      </c>
      <c r="B122" s="50">
        <v>26964599.219999999</v>
      </c>
      <c r="C122" s="50">
        <f t="shared" si="15"/>
        <v>603.9</v>
      </c>
      <c r="D122" s="50">
        <f t="shared" si="15"/>
        <v>0</v>
      </c>
      <c r="E122" s="50">
        <v>31</v>
      </c>
      <c r="F122" s="79">
        <v>0</v>
      </c>
      <c r="G122" s="92">
        <f>'Rate Class Customer Model'!R14</f>
        <v>12437.789882076033</v>
      </c>
      <c r="H122" s="92">
        <f t="shared" si="16"/>
        <v>26587408.092427485</v>
      </c>
      <c r="I122" s="33">
        <f t="shared" si="9"/>
        <v>-377191.12757251412</v>
      </c>
      <c r="J122" s="42">
        <f t="shared" si="10"/>
        <v>-1.3988382489762596E-2</v>
      </c>
      <c r="K122" s="12">
        <f t="shared" si="11"/>
        <v>1.3988382489762596E-2</v>
      </c>
      <c r="L122" s="10">
        <f t="shared" si="12"/>
        <v>142273146719.42462</v>
      </c>
      <c r="M122" s="10">
        <f t="shared" si="13"/>
        <v>-484513.12960995361</v>
      </c>
      <c r="N122" s="10">
        <f t="shared" si="14"/>
        <v>234752972764.4317</v>
      </c>
      <c r="O122"/>
    </row>
    <row r="123" spans="1:15" x14ac:dyDescent="0.2">
      <c r="A123" s="49">
        <v>45322</v>
      </c>
      <c r="B123" s="50"/>
      <c r="C123" s="50">
        <f>C111</f>
        <v>895.70000488281255</v>
      </c>
      <c r="D123" s="50">
        <f t="shared" si="15"/>
        <v>0</v>
      </c>
      <c r="E123" s="64">
        <v>31</v>
      </c>
      <c r="F123" s="80">
        <v>0</v>
      </c>
      <c r="G123" s="50">
        <f>'Rate Class Customer Model'!S3</f>
        <v>12449.391011656697</v>
      </c>
      <c r="H123" s="50">
        <f t="shared" si="16"/>
        <v>29718605.096059777</v>
      </c>
      <c r="I123" s="33"/>
      <c r="J123"/>
      <c r="K123" s="12">
        <f>AVERAGE(K3:K122)</f>
        <v>5.4940067330794352E-2</v>
      </c>
      <c r="L123" s="84">
        <f>SUM(L3:L122)</f>
        <v>225192555236671.38</v>
      </c>
      <c r="M123" s="10"/>
      <c r="N123" s="10">
        <f>SUM(N3:N122)</f>
        <v>205545260691722.41</v>
      </c>
    </row>
    <row r="124" spans="1:15" x14ac:dyDescent="0.2">
      <c r="A124" s="49">
        <v>45351</v>
      </c>
      <c r="B124" s="50"/>
      <c r="C124" s="50">
        <f t="shared" si="15"/>
        <v>837.00000366210929</v>
      </c>
      <c r="D124" s="50">
        <f t="shared" si="15"/>
        <v>0</v>
      </c>
      <c r="E124" s="64">
        <v>29</v>
      </c>
      <c r="F124" s="80">
        <v>0</v>
      </c>
      <c r="G124" s="50">
        <f>'Rate Class Customer Model'!S4</f>
        <v>12442.479792421394</v>
      </c>
      <c r="H124" s="50">
        <f t="shared" si="16"/>
        <v>27679158.714651197</v>
      </c>
      <c r="I124" s="33"/>
      <c r="J124"/>
      <c r="K124"/>
      <c r="L124"/>
      <c r="M124" s="10"/>
      <c r="N124" s="10"/>
      <c r="O124"/>
    </row>
    <row r="125" spans="1:15" x14ac:dyDescent="0.2">
      <c r="A125" s="49">
        <v>45382</v>
      </c>
      <c r="B125" s="50"/>
      <c r="C125" s="50">
        <f t="shared" si="15"/>
        <v>738.80999877929696</v>
      </c>
      <c r="D125" s="50">
        <f t="shared" si="15"/>
        <v>0</v>
      </c>
      <c r="E125" s="64">
        <v>31</v>
      </c>
      <c r="F125" s="80">
        <v>1</v>
      </c>
      <c r="G125" s="50">
        <f>'Rate Class Customer Model'!S5</f>
        <v>12435.572409916038</v>
      </c>
      <c r="H125" s="50">
        <f t="shared" si="16"/>
        <v>27147199.126402073</v>
      </c>
      <c r="I125" s="33"/>
      <c r="J125"/>
      <c r="K125"/>
      <c r="L125"/>
      <c r="M125" s="10"/>
      <c r="N125" s="10"/>
      <c r="O125"/>
    </row>
    <row r="126" spans="1:15" x14ac:dyDescent="0.2">
      <c r="A126" s="49">
        <v>45412</v>
      </c>
      <c r="B126" s="50"/>
      <c r="C126" s="50">
        <f t="shared" si="15"/>
        <v>498.90000427246093</v>
      </c>
      <c r="D126" s="50">
        <f t="shared" si="15"/>
        <v>0</v>
      </c>
      <c r="E126" s="64">
        <v>30</v>
      </c>
      <c r="F126" s="80">
        <v>1</v>
      </c>
      <c r="G126" s="50">
        <f>'Rate Class Customer Model'!S6</f>
        <v>12428.668862010687</v>
      </c>
      <c r="H126" s="50">
        <f t="shared" si="16"/>
        <v>23902336.146343112</v>
      </c>
      <c r="I126" s="33"/>
      <c r="J126"/>
      <c r="K126"/>
      <c r="L126"/>
      <c r="M126" s="10"/>
      <c r="N126" s="10"/>
      <c r="O126"/>
    </row>
    <row r="127" spans="1:15" x14ac:dyDescent="0.2">
      <c r="A127" s="49">
        <v>45443</v>
      </c>
      <c r="B127" s="50"/>
      <c r="C127" s="50">
        <f t="shared" si="15"/>
        <v>281.87999725341797</v>
      </c>
      <c r="D127" s="50">
        <f t="shared" si="15"/>
        <v>1.9499999940395356</v>
      </c>
      <c r="E127" s="64">
        <v>31</v>
      </c>
      <c r="F127" s="80">
        <v>1</v>
      </c>
      <c r="G127" s="50">
        <f>'Rate Class Customer Model'!S7</f>
        <v>12421.769146576582</v>
      </c>
      <c r="H127" s="50">
        <f t="shared" si="16"/>
        <v>22319649.583157368</v>
      </c>
      <c r="I127" s="33"/>
      <c r="J127"/>
      <c r="K127"/>
      <c r="L127"/>
      <c r="M127" s="10"/>
      <c r="N127" s="10"/>
      <c r="O127"/>
    </row>
    <row r="128" spans="1:15" x14ac:dyDescent="0.2">
      <c r="A128" s="49">
        <v>45473</v>
      </c>
      <c r="B128" s="50"/>
      <c r="C128" s="50">
        <f t="shared" si="15"/>
        <v>126.93000061035154</v>
      </c>
      <c r="D128" s="50">
        <f t="shared" si="15"/>
        <v>7.2900000768899913</v>
      </c>
      <c r="E128" s="64">
        <v>30</v>
      </c>
      <c r="F128" s="80">
        <v>0</v>
      </c>
      <c r="G128" s="50">
        <f>'Rate Class Customer Model'!S8</f>
        <v>12414.873261486144</v>
      </c>
      <c r="H128" s="50">
        <f t="shared" si="16"/>
        <v>20921816.625074714</v>
      </c>
      <c r="I128" s="33"/>
      <c r="J128"/>
      <c r="K128"/>
      <c r="L128"/>
      <c r="M128" s="10"/>
      <c r="N128" s="10"/>
      <c r="O128"/>
    </row>
    <row r="129" spans="1:15" x14ac:dyDescent="0.2">
      <c r="A129" s="49">
        <v>45504</v>
      </c>
      <c r="B129" s="50"/>
      <c r="C129" s="50">
        <f t="shared" si="15"/>
        <v>59.829999809265146</v>
      </c>
      <c r="D129" s="50">
        <f t="shared" si="15"/>
        <v>18.570000028610231</v>
      </c>
      <c r="E129" s="64">
        <v>31</v>
      </c>
      <c r="F129" s="80">
        <v>0</v>
      </c>
      <c r="G129" s="50">
        <f>'Rate Class Customer Model'!S9</f>
        <v>12407.981204612977</v>
      </c>
      <c r="H129" s="50">
        <f t="shared" si="16"/>
        <v>21122652.456438474</v>
      </c>
      <c r="I129" s="33"/>
      <c r="J129"/>
      <c r="K129"/>
      <c r="L129"/>
      <c r="M129" s="10"/>
      <c r="N129" s="10"/>
      <c r="O129"/>
    </row>
    <row r="130" spans="1:15" x14ac:dyDescent="0.2">
      <c r="A130" s="49">
        <v>45535</v>
      </c>
      <c r="B130" s="50"/>
      <c r="C130" s="50">
        <f t="shared" si="15"/>
        <v>54.610000228881837</v>
      </c>
      <c r="D130" s="50">
        <f t="shared" si="15"/>
        <v>20.229999904632567</v>
      </c>
      <c r="E130" s="64">
        <v>31</v>
      </c>
      <c r="F130" s="80">
        <v>0</v>
      </c>
      <c r="G130" s="50">
        <f>'Rate Class Customer Model'!S10</f>
        <v>12401.092973831865</v>
      </c>
      <c r="H130" s="50">
        <f t="shared" si="16"/>
        <v>21058570.977264874</v>
      </c>
      <c r="I130" s="33"/>
      <c r="J130"/>
      <c r="K130"/>
      <c r="L130"/>
      <c r="M130" s="10"/>
      <c r="N130" s="10"/>
      <c r="O130"/>
    </row>
    <row r="131" spans="1:15" x14ac:dyDescent="0.2">
      <c r="A131" s="49">
        <v>45565</v>
      </c>
      <c r="B131" s="50"/>
      <c r="C131" s="50">
        <f t="shared" si="15"/>
        <v>112.7</v>
      </c>
      <c r="D131" s="50">
        <f t="shared" si="15"/>
        <v>10.3</v>
      </c>
      <c r="E131" s="64">
        <v>30</v>
      </c>
      <c r="F131" s="80">
        <v>1</v>
      </c>
      <c r="G131" s="50">
        <f>'Rate Class Customer Model'!S11</f>
        <v>12394.20856701877</v>
      </c>
      <c r="H131" s="50">
        <f t="shared" si="16"/>
        <v>19863798.327508882</v>
      </c>
      <c r="I131" s="33"/>
      <c r="J131"/>
      <c r="K131"/>
      <c r="L131"/>
      <c r="M131" s="10"/>
      <c r="N131" s="10"/>
    </row>
    <row r="132" spans="1:15" x14ac:dyDescent="0.2">
      <c r="A132" s="49">
        <v>45596</v>
      </c>
      <c r="B132" s="50"/>
      <c r="C132" s="50">
        <f t="shared" si="15"/>
        <v>344.3</v>
      </c>
      <c r="D132" s="50">
        <f t="shared" si="15"/>
        <v>3.7</v>
      </c>
      <c r="E132" s="64">
        <v>31</v>
      </c>
      <c r="F132" s="80">
        <v>1</v>
      </c>
      <c r="G132" s="50">
        <f>'Rate Class Customer Model'!S12</f>
        <v>12387.327982050836</v>
      </c>
      <c r="H132" s="50">
        <f t="shared" si="16"/>
        <v>22772776.007259317</v>
      </c>
      <c r="I132" s="33"/>
      <c r="J132"/>
      <c r="K132"/>
      <c r="L132"/>
      <c r="M132" s="10"/>
      <c r="N132" s="10"/>
      <c r="O132"/>
    </row>
    <row r="133" spans="1:15" x14ac:dyDescent="0.2">
      <c r="A133" s="49">
        <v>45626</v>
      </c>
      <c r="B133" s="50"/>
      <c r="C133" s="50">
        <f t="shared" si="15"/>
        <v>586.4</v>
      </c>
      <c r="D133" s="50">
        <f t="shared" si="15"/>
        <v>0</v>
      </c>
      <c r="E133" s="64">
        <v>30</v>
      </c>
      <c r="F133" s="80">
        <v>0</v>
      </c>
      <c r="G133" s="50">
        <f>'Rate Class Customer Model'!S13</f>
        <v>12380.451216806383</v>
      </c>
      <c r="H133" s="50">
        <f t="shared" si="16"/>
        <v>25316155.327895135</v>
      </c>
      <c r="I133" s="33"/>
      <c r="L133"/>
      <c r="M133" s="10"/>
      <c r="N133" s="10"/>
      <c r="O133"/>
    </row>
    <row r="134" spans="1:15" x14ac:dyDescent="0.2">
      <c r="A134" s="49">
        <v>45657</v>
      </c>
      <c r="B134" s="50"/>
      <c r="C134" s="50">
        <f t="shared" si="15"/>
        <v>603.9</v>
      </c>
      <c r="D134" s="50">
        <f t="shared" si="15"/>
        <v>0</v>
      </c>
      <c r="E134" s="64">
        <v>31</v>
      </c>
      <c r="F134" s="80">
        <v>0</v>
      </c>
      <c r="G134" s="50">
        <f>'Rate Class Customer Model'!S14</f>
        <v>12373.578269164911</v>
      </c>
      <c r="H134" s="50">
        <f t="shared" si="16"/>
        <v>26140043.476258509</v>
      </c>
      <c r="I134" s="33"/>
      <c r="L134"/>
      <c r="M134" s="10"/>
      <c r="N134" s="10"/>
      <c r="O134"/>
    </row>
    <row r="135" spans="1:15" x14ac:dyDescent="0.2">
      <c r="A135" s="49">
        <v>45688</v>
      </c>
      <c r="B135" s="10"/>
      <c r="C135" s="50">
        <f t="shared" si="15"/>
        <v>895.70000488281255</v>
      </c>
      <c r="D135" s="50">
        <f t="shared" si="15"/>
        <v>0</v>
      </c>
      <c r="E135" s="64">
        <v>31</v>
      </c>
      <c r="F135" s="80">
        <v>0</v>
      </c>
      <c r="G135" s="50">
        <f>'Rate Class Customer Model'!T3</f>
        <v>12366.709137007096</v>
      </c>
      <c r="H135" s="50">
        <f t="shared" si="16"/>
        <v>29142557.502177529</v>
      </c>
      <c r="I135" s="33"/>
      <c r="L135"/>
      <c r="M135" s="10"/>
      <c r="N135" s="10"/>
      <c r="O135"/>
    </row>
    <row r="136" spans="1:15" x14ac:dyDescent="0.2">
      <c r="A136" s="49">
        <v>45716</v>
      </c>
      <c r="B136" s="10"/>
      <c r="C136" s="50">
        <f t="shared" si="15"/>
        <v>837.00000366210929</v>
      </c>
      <c r="D136" s="50">
        <f t="shared" si="15"/>
        <v>0</v>
      </c>
      <c r="E136" s="64">
        <v>28</v>
      </c>
      <c r="F136" s="80">
        <v>0</v>
      </c>
      <c r="G136" s="50">
        <f>'Rate Class Customer Model'!T4</f>
        <v>12378.221904210748</v>
      </c>
      <c r="H136" s="50">
        <f t="shared" si="16"/>
        <v>26542638.13391377</v>
      </c>
      <c r="I136" s="33"/>
      <c r="L136"/>
      <c r="M136" s="10"/>
      <c r="N136" s="10"/>
      <c r="O136"/>
    </row>
    <row r="137" spans="1:15" x14ac:dyDescent="0.2">
      <c r="A137" s="49">
        <v>45747</v>
      </c>
      <c r="B137" s="10"/>
      <c r="C137" s="50">
        <f t="shared" si="15"/>
        <v>738.80999877929696</v>
      </c>
      <c r="D137" s="50">
        <f t="shared" si="15"/>
        <v>0</v>
      </c>
      <c r="E137" s="64">
        <v>31</v>
      </c>
      <c r="F137" s="80">
        <v>1</v>
      </c>
      <c r="G137" s="50">
        <f>'Rate Class Customer Model'!T5</f>
        <v>12389.745389205789</v>
      </c>
      <c r="H137" s="50">
        <f t="shared" si="16"/>
        <v>26827920.625197239</v>
      </c>
      <c r="I137" s="33"/>
      <c r="L137"/>
      <c r="M137" s="10"/>
      <c r="N137" s="10"/>
      <c r="O137"/>
    </row>
    <row r="138" spans="1:15" x14ac:dyDescent="0.2">
      <c r="A138" s="49">
        <v>45777</v>
      </c>
      <c r="B138" s="10"/>
      <c r="C138" s="50">
        <f t="shared" si="15"/>
        <v>498.90000427246093</v>
      </c>
      <c r="D138" s="50">
        <f t="shared" si="15"/>
        <v>0</v>
      </c>
      <c r="E138" s="64">
        <v>30</v>
      </c>
      <c r="F138" s="80">
        <v>1</v>
      </c>
      <c r="G138" s="50">
        <f>'Rate Class Customer Model'!T6</f>
        <v>12401.279601969927</v>
      </c>
      <c r="H138" s="50">
        <f t="shared" si="16"/>
        <v>23711514.186735168</v>
      </c>
      <c r="I138" s="33"/>
      <c r="L138"/>
      <c r="M138" s="10"/>
      <c r="N138" s="10"/>
      <c r="O138"/>
    </row>
    <row r="139" spans="1:15" x14ac:dyDescent="0.2">
      <c r="A139" s="49">
        <v>45808</v>
      </c>
      <c r="B139" s="10"/>
      <c r="C139" s="50">
        <f t="shared" si="15"/>
        <v>281.87999725341797</v>
      </c>
      <c r="D139" s="50">
        <f t="shared" si="15"/>
        <v>1.9499999940395356</v>
      </c>
      <c r="E139" s="64">
        <v>31</v>
      </c>
      <c r="F139" s="80">
        <v>1</v>
      </c>
      <c r="G139" s="50">
        <f>'Rate Class Customer Model'!T7</f>
        <v>12412.824552490161</v>
      </c>
      <c r="H139" s="50">
        <f t="shared" si="16"/>
        <v>22257332.274514191</v>
      </c>
      <c r="I139" s="33"/>
      <c r="L139"/>
      <c r="M139" s="10"/>
      <c r="N139" s="10"/>
      <c r="O139"/>
    </row>
    <row r="140" spans="1:15" x14ac:dyDescent="0.2">
      <c r="A140" s="49">
        <v>45838</v>
      </c>
      <c r="B140" s="10"/>
      <c r="C140" s="50">
        <f t="shared" si="15"/>
        <v>126.93000061035154</v>
      </c>
      <c r="D140" s="50">
        <f t="shared" si="15"/>
        <v>7.2900000768899913</v>
      </c>
      <c r="E140" s="64">
        <v>30</v>
      </c>
      <c r="F140" s="80">
        <v>0</v>
      </c>
      <c r="G140" s="50">
        <f>'Rate Class Customer Model'!T8</f>
        <v>12424.380250762788</v>
      </c>
      <c r="H140" s="50">
        <f t="shared" si="16"/>
        <v>20988052.161231637</v>
      </c>
      <c r="I140" s="33"/>
      <c r="L140"/>
      <c r="M140" s="10"/>
      <c r="N140" s="10"/>
      <c r="O140"/>
    </row>
    <row r="141" spans="1:15" x14ac:dyDescent="0.2">
      <c r="A141" s="49">
        <v>45869</v>
      </c>
      <c r="B141" s="10"/>
      <c r="C141" s="50">
        <f t="shared" si="15"/>
        <v>59.829999809265146</v>
      </c>
      <c r="D141" s="50">
        <f t="shared" si="15"/>
        <v>18.570000028610231</v>
      </c>
      <c r="E141" s="64">
        <v>31</v>
      </c>
      <c r="F141" s="80">
        <v>0</v>
      </c>
      <c r="G141" s="50">
        <f>'Rate Class Customer Model'!T9</f>
        <v>12435.946706793411</v>
      </c>
      <c r="H141" s="50">
        <f t="shared" si="16"/>
        <v>21317489.115754895</v>
      </c>
      <c r="I141" s="33"/>
      <c r="L141"/>
      <c r="M141" s="10"/>
      <c r="N141" s="10"/>
      <c r="O141"/>
    </row>
    <row r="142" spans="1:15" x14ac:dyDescent="0.2">
      <c r="A142" s="49">
        <v>45900</v>
      </c>
      <c r="B142" s="10"/>
      <c r="C142" s="50">
        <f t="shared" si="15"/>
        <v>54.610000228881837</v>
      </c>
      <c r="D142" s="50">
        <f t="shared" si="15"/>
        <v>20.229999904632567</v>
      </c>
      <c r="E142" s="64">
        <v>31</v>
      </c>
      <c r="F142" s="80">
        <v>0</v>
      </c>
      <c r="G142" s="50">
        <f>'Rate Class Customer Model'!T10</f>
        <v>12447.523930596944</v>
      </c>
      <c r="H142" s="50">
        <f t="shared" si="16"/>
        <v>21382057.122680955</v>
      </c>
      <c r="I142" s="33"/>
      <c r="L142"/>
      <c r="M142" s="10"/>
      <c r="N142" s="10"/>
      <c r="O142"/>
    </row>
    <row r="143" spans="1:15" x14ac:dyDescent="0.2">
      <c r="A143" s="49">
        <v>45930</v>
      </c>
      <c r="B143" s="10"/>
      <c r="C143" s="50">
        <f t="shared" si="15"/>
        <v>112.7</v>
      </c>
      <c r="D143" s="50">
        <f t="shared" si="15"/>
        <v>10.3</v>
      </c>
      <c r="E143" s="64">
        <v>30</v>
      </c>
      <c r="F143" s="80">
        <v>1</v>
      </c>
      <c r="G143" s="50">
        <f>'Rate Class Customer Model'!T11</f>
        <v>12459.111932197629</v>
      </c>
      <c r="H143" s="50">
        <f t="shared" si="16"/>
        <v>20315982.406602249</v>
      </c>
      <c r="I143" s="33"/>
      <c r="L143"/>
      <c r="M143" s="10"/>
      <c r="N143" s="10"/>
      <c r="O143"/>
    </row>
    <row r="144" spans="1:15" x14ac:dyDescent="0.2">
      <c r="A144" s="49">
        <v>45961</v>
      </c>
      <c r="B144" s="10"/>
      <c r="C144" s="50">
        <f t="shared" ref="C144:D146" si="17">C132</f>
        <v>344.3</v>
      </c>
      <c r="D144" s="50">
        <f t="shared" si="17"/>
        <v>3.7</v>
      </c>
      <c r="E144" s="64">
        <v>31</v>
      </c>
      <c r="F144" s="80">
        <v>1</v>
      </c>
      <c r="G144" s="50">
        <f>'Rate Class Customer Model'!T12</f>
        <v>12470.710721629039</v>
      </c>
      <c r="H144" s="50">
        <f t="shared" si="16"/>
        <v>23353706.552301876</v>
      </c>
      <c r="I144" s="33"/>
      <c r="L144"/>
      <c r="M144" s="10"/>
      <c r="N144" s="10"/>
      <c r="O144"/>
    </row>
    <row r="145" spans="1:15" x14ac:dyDescent="0.2">
      <c r="A145" s="49">
        <v>45991</v>
      </c>
      <c r="B145" s="10"/>
      <c r="C145" s="50">
        <f t="shared" si="17"/>
        <v>586.4</v>
      </c>
      <c r="D145" s="50">
        <f t="shared" si="17"/>
        <v>0</v>
      </c>
      <c r="E145" s="64">
        <v>30</v>
      </c>
      <c r="F145" s="80">
        <v>0</v>
      </c>
      <c r="G145" s="50">
        <f>'Rate Class Customer Model'!T13</f>
        <v>12482.320308934086</v>
      </c>
      <c r="H145" s="50">
        <f t="shared" si="16"/>
        <v>26025880.955909967</v>
      </c>
      <c r="I145" s="33"/>
      <c r="L145"/>
      <c r="M145" s="10"/>
      <c r="N145" s="10"/>
      <c r="O145"/>
    </row>
    <row r="146" spans="1:15" x14ac:dyDescent="0.2">
      <c r="A146" s="49">
        <v>46022</v>
      </c>
      <c r="B146" s="10"/>
      <c r="C146" s="50">
        <f t="shared" si="17"/>
        <v>603.9</v>
      </c>
      <c r="D146" s="50">
        <f t="shared" si="17"/>
        <v>0</v>
      </c>
      <c r="E146" s="64">
        <v>31</v>
      </c>
      <c r="F146" s="80">
        <v>0</v>
      </c>
      <c r="G146" s="50">
        <f>'Rate Class Customer Model'!T14</f>
        <v>12493.940704165032</v>
      </c>
      <c r="H146" s="50">
        <f t="shared" si="16"/>
        <v>26978612.889076747</v>
      </c>
      <c r="I146" s="33"/>
      <c r="L146"/>
      <c r="M146" s="10"/>
      <c r="N146" s="10"/>
      <c r="O146"/>
    </row>
    <row r="147" spans="1:15" x14ac:dyDescent="0.2">
      <c r="A147" s="34"/>
      <c r="E147" s="10"/>
      <c r="F147" s="60"/>
      <c r="L147"/>
      <c r="O147"/>
    </row>
    <row r="148" spans="1:15" x14ac:dyDescent="0.2">
      <c r="A148" s="34"/>
      <c r="E148" s="10"/>
      <c r="F148" s="60"/>
      <c r="O148"/>
    </row>
    <row r="149" spans="1:15" x14ac:dyDescent="0.2">
      <c r="A149" s="34"/>
      <c r="C149" s="67" t="s">
        <v>67</v>
      </c>
      <c r="D149" s="66"/>
      <c r="E149" s="10"/>
      <c r="F149" s="60"/>
      <c r="O149"/>
    </row>
    <row r="150" spans="1:15" x14ac:dyDescent="0.2">
      <c r="A150" s="34"/>
      <c r="C150"/>
      <c r="D150"/>
      <c r="E150" s="10"/>
      <c r="F150" s="60"/>
      <c r="H150" s="33">
        <f>SUM(H2:H146)</f>
        <v>3010822024.2111802</v>
      </c>
      <c r="O150"/>
    </row>
    <row r="151" spans="1:15" x14ac:dyDescent="0.2">
      <c r="A151" s="34"/>
      <c r="E151" s="10"/>
      <c r="F151" s="60"/>
      <c r="O151"/>
    </row>
    <row r="152" spans="1:15" x14ac:dyDescent="0.2">
      <c r="H152" s="6"/>
      <c r="I152"/>
      <c r="J152"/>
      <c r="K152"/>
      <c r="L152"/>
      <c r="M152"/>
      <c r="N152"/>
      <c r="O152"/>
    </row>
    <row r="153" spans="1:15" x14ac:dyDescent="0.2">
      <c r="A153" s="25">
        <v>2014</v>
      </c>
      <c r="B153" s="6">
        <f>SUM(B3:B14)</f>
        <v>222844848</v>
      </c>
      <c r="C153" s="42"/>
      <c r="H153" s="6">
        <f>SUM(H3:H14)</f>
        <v>223738777.51473796</v>
      </c>
      <c r="I153"/>
      <c r="J153"/>
      <c r="K153"/>
      <c r="L153"/>
      <c r="M153"/>
      <c r="N153"/>
      <c r="O153"/>
    </row>
    <row r="154" spans="1:15" x14ac:dyDescent="0.2">
      <c r="A154" s="25">
        <v>2015</v>
      </c>
      <c r="B154" s="6">
        <f>SUM(B15:B26)</f>
        <v>216436884</v>
      </c>
      <c r="C154" s="42">
        <f t="shared" ref="C154:C160" si="18">B154/B153-1</f>
        <v>-2.8755271021567386E-2</v>
      </c>
      <c r="H154" s="6">
        <f>SUM(H15:H26)</f>
        <v>223766645.65857595</v>
      </c>
      <c r="I154"/>
      <c r="J154"/>
      <c r="K154"/>
      <c r="L154"/>
      <c r="M154"/>
      <c r="N154"/>
      <c r="O154"/>
    </row>
    <row r="155" spans="1:15" x14ac:dyDescent="0.2">
      <c r="A155" s="25">
        <v>2016</v>
      </c>
      <c r="B155" s="6">
        <f>SUM(B27:B38)</f>
        <v>211050246</v>
      </c>
      <c r="C155" s="42">
        <f t="shared" si="18"/>
        <v>-2.4887800546971484E-2</v>
      </c>
      <c r="H155" s="6">
        <f>SUM(H27:H38)</f>
        <v>226552557.04527655</v>
      </c>
      <c r="I155"/>
      <c r="J155"/>
      <c r="K155"/>
      <c r="L155"/>
      <c r="M155"/>
      <c r="N155"/>
      <c r="O155"/>
    </row>
    <row r="156" spans="1:15" x14ac:dyDescent="0.2">
      <c r="A156" s="25">
        <v>2017</v>
      </c>
      <c r="B156" s="6">
        <f>SUM(B39:B50)</f>
        <v>217280995.02387795</v>
      </c>
      <c r="C156" s="42">
        <f t="shared" si="18"/>
        <v>2.9522585933768442E-2</v>
      </c>
      <c r="H156" s="6">
        <f>SUM(H39:H50)</f>
        <v>228114076.09730089</v>
      </c>
      <c r="I156"/>
      <c r="J156"/>
      <c r="K156"/>
      <c r="L156"/>
      <c r="M156"/>
      <c r="N156"/>
      <c r="O156"/>
    </row>
    <row r="157" spans="1:15" x14ac:dyDescent="0.2">
      <c r="A157" s="25">
        <v>2018</v>
      </c>
      <c r="B157" s="6">
        <f>SUM(B51:B62)</f>
        <v>241087151.13</v>
      </c>
      <c r="C157" s="42">
        <f t="shared" si="18"/>
        <v>0.10956391332571846</v>
      </c>
      <c r="H157" s="6">
        <f>SUM(H51:H62)</f>
        <v>229200933.70698214</v>
      </c>
      <c r="I157"/>
      <c r="J157"/>
      <c r="K157"/>
      <c r="L157"/>
      <c r="M157"/>
      <c r="N157"/>
      <c r="O157"/>
    </row>
    <row r="158" spans="1:15" x14ac:dyDescent="0.2">
      <c r="A158" s="25">
        <v>2019</v>
      </c>
      <c r="B158" s="6">
        <f>SUM(B63:B74)</f>
        <v>255923211</v>
      </c>
      <c r="C158" s="42">
        <f t="shared" si="18"/>
        <v>6.1538160787341312E-2</v>
      </c>
      <c r="H158" s="6">
        <f>SUM(H63:H74)</f>
        <v>230078859.17902216</v>
      </c>
      <c r="I158"/>
      <c r="J158"/>
      <c r="K158"/>
      <c r="L158"/>
      <c r="M158"/>
      <c r="N158"/>
      <c r="O158"/>
    </row>
    <row r="159" spans="1:15" x14ac:dyDescent="0.2">
      <c r="A159" s="25">
        <v>2020</v>
      </c>
      <c r="B159" s="6">
        <f>SUM(B75:B86)</f>
        <v>252540603</v>
      </c>
      <c r="C159" s="42">
        <f t="shared" si="18"/>
        <v>-1.3217277115204706E-2</v>
      </c>
      <c r="H159" s="6">
        <f>SUM(H75:H86)</f>
        <v>245795543.72109681</v>
      </c>
      <c r="I159"/>
      <c r="J159"/>
      <c r="K159"/>
      <c r="L159"/>
      <c r="M159"/>
      <c r="N159"/>
      <c r="O159"/>
    </row>
    <row r="160" spans="1:15" x14ac:dyDescent="0.2">
      <c r="A160" s="25">
        <v>2021</v>
      </c>
      <c r="B160" s="6">
        <f>SUM(B87:B98)</f>
        <v>265226888</v>
      </c>
      <c r="C160" s="42">
        <f t="shared" si="18"/>
        <v>5.0234634943039147E-2</v>
      </c>
      <c r="D160" s="54" t="s">
        <v>9</v>
      </c>
      <c r="H160" s="6">
        <f>SUM(H87:H98)</f>
        <v>266570286.17331159</v>
      </c>
      <c r="I160"/>
      <c r="J160"/>
      <c r="K160"/>
      <c r="L160"/>
      <c r="M160"/>
      <c r="N160"/>
      <c r="O160"/>
    </row>
    <row r="161" spans="1:17" x14ac:dyDescent="0.2">
      <c r="A161" s="25">
        <v>2022</v>
      </c>
      <c r="B161" s="6">
        <f>SUM(B99:B110)</f>
        <v>279572890</v>
      </c>
      <c r="C161" s="42">
        <f>B161/B160-1</f>
        <v>5.4089546154913126E-2</v>
      </c>
      <c r="D161" s="5">
        <f>AVERAGE(C154:C162)</f>
        <v>2.7180427911175239E-2</v>
      </c>
      <c r="H161" s="6">
        <f>SUM(H99:H110)</f>
        <v>276034734.41872531</v>
      </c>
      <c r="I161"/>
      <c r="J161"/>
      <c r="K161"/>
      <c r="L161"/>
      <c r="M161"/>
      <c r="N161"/>
      <c r="O161"/>
    </row>
    <row r="162" spans="1:17" x14ac:dyDescent="0.2">
      <c r="A162" s="25">
        <v>2023</v>
      </c>
      <c r="B162" s="6">
        <f>SUM(B111:B122)</f>
        <v>281399999.13</v>
      </c>
      <c r="C162" s="42">
        <f>B162/B161-1</f>
        <v>6.5353587395402535E-3</v>
      </c>
      <c r="F162" s="1"/>
      <c r="G162" s="42"/>
      <c r="H162" s="6">
        <f>SUM(H111:H122)</f>
        <v>284163104.90574157</v>
      </c>
      <c r="I162"/>
      <c r="J162"/>
      <c r="K162"/>
      <c r="L162"/>
      <c r="M162"/>
      <c r="N162"/>
      <c r="O162"/>
    </row>
    <row r="163" spans="1:17" x14ac:dyDescent="0.2">
      <c r="A163" s="25">
        <v>2024</v>
      </c>
      <c r="F163" s="54" t="s">
        <v>9</v>
      </c>
      <c r="G163" s="42">
        <f>H163/H162-1</f>
        <v>1.3371394431491046E-2</v>
      </c>
      <c r="H163" s="15">
        <f>SUM(H123:H134)</f>
        <v>287962761.86431342</v>
      </c>
      <c r="I163" s="24"/>
      <c r="J163" s="5"/>
      <c r="K163" s="5"/>
      <c r="L163" s="5"/>
      <c r="M163" s="5"/>
      <c r="N163" s="5"/>
      <c r="O163"/>
    </row>
    <row r="164" spans="1:17" x14ac:dyDescent="0.2">
      <c r="A164" s="25">
        <v>2025</v>
      </c>
      <c r="F164" s="5">
        <f>AVERAGE(G162:G164)</f>
        <v>8.2153777481852597E-3</v>
      </c>
      <c r="G164" s="42">
        <f>H164/H163-1</f>
        <v>3.0593610648794733E-3</v>
      </c>
      <c r="H164" s="15">
        <f>SUM(H135:H146)</f>
        <v>288843743.92609626</v>
      </c>
      <c r="I164" s="24"/>
      <c r="J164" s="5"/>
      <c r="K164" s="5"/>
      <c r="L164" s="5"/>
      <c r="M164" s="5"/>
      <c r="N164" s="5"/>
      <c r="O164"/>
    </row>
    <row r="165" spans="1:17" x14ac:dyDescent="0.2">
      <c r="H165" s="6"/>
      <c r="O165"/>
    </row>
    <row r="166" spans="1:17" x14ac:dyDescent="0.2">
      <c r="A166" s="43" t="s">
        <v>7</v>
      </c>
      <c r="B166" s="6">
        <f>SUM(B153:B162)</f>
        <v>2443363715.2838783</v>
      </c>
      <c r="H166" s="6">
        <f>SUM(H153:H162)</f>
        <v>2434015518.4207711</v>
      </c>
      <c r="I166" s="33">
        <f>H166-B166</f>
        <v>-9348196.8631072044</v>
      </c>
      <c r="J166" s="54" t="s">
        <v>62</v>
      </c>
      <c r="O166"/>
    </row>
    <row r="167" spans="1:17" x14ac:dyDescent="0.2">
      <c r="O167"/>
    </row>
    <row r="168" spans="1:17" x14ac:dyDescent="0.2">
      <c r="H168" s="6">
        <f>SUM(H153:H164)</f>
        <v>3010822024.2111812</v>
      </c>
      <c r="I168" s="33">
        <f>H150-H168</f>
        <v>0</v>
      </c>
      <c r="O168"/>
    </row>
    <row r="169" spans="1:17" x14ac:dyDescent="0.2">
      <c r="H169" s="113"/>
      <c r="I169" s="113"/>
      <c r="J169"/>
      <c r="K169"/>
      <c r="L169"/>
      <c r="M169"/>
      <c r="N169"/>
      <c r="O169"/>
    </row>
    <row r="170" spans="1:17" x14ac:dyDescent="0.2">
      <c r="O170"/>
    </row>
    <row r="171" spans="1:17" x14ac:dyDescent="0.2">
      <c r="O171"/>
    </row>
    <row r="172" spans="1:17" x14ac:dyDescent="0.2">
      <c r="A172"/>
      <c r="B172"/>
      <c r="C172"/>
      <c r="D172"/>
      <c r="E172"/>
      <c r="G172"/>
      <c r="H172"/>
      <c r="I172"/>
      <c r="O172"/>
    </row>
    <row r="173" spans="1:17" x14ac:dyDescent="0.2">
      <c r="A173"/>
      <c r="B173"/>
      <c r="C173"/>
      <c r="D173"/>
      <c r="E173"/>
      <c r="G173"/>
      <c r="H173"/>
      <c r="I173"/>
      <c r="O173"/>
    </row>
    <row r="174" spans="1:17" x14ac:dyDescent="0.2">
      <c r="A174"/>
      <c r="B174"/>
      <c r="C174"/>
      <c r="D174"/>
      <c r="E174"/>
      <c r="G174"/>
      <c r="H174"/>
      <c r="I174"/>
      <c r="O174"/>
    </row>
    <row r="175" spans="1:17" x14ac:dyDescent="0.2">
      <c r="A175"/>
      <c r="B175"/>
      <c r="C175"/>
      <c r="D175"/>
      <c r="E175"/>
      <c r="G175"/>
      <c r="H175"/>
      <c r="I175"/>
      <c r="O175"/>
      <c r="P175" s="6"/>
      <c r="Q175" s="37"/>
    </row>
    <row r="176" spans="1:17" x14ac:dyDescent="0.2">
      <c r="A176"/>
      <c r="B176"/>
      <c r="C176"/>
      <c r="D176"/>
      <c r="E176"/>
      <c r="G176"/>
      <c r="H176"/>
      <c r="I176"/>
      <c r="O176"/>
      <c r="P176" s="6"/>
      <c r="Q176" s="37"/>
    </row>
    <row r="177" spans="1:17" x14ac:dyDescent="0.2">
      <c r="A177"/>
      <c r="B177"/>
      <c r="C177"/>
      <c r="D177"/>
      <c r="E177"/>
      <c r="G177"/>
      <c r="H177"/>
      <c r="I177"/>
      <c r="O177"/>
      <c r="P177" s="6"/>
      <c r="Q177" s="37"/>
    </row>
    <row r="178" spans="1:17" x14ac:dyDescent="0.2">
      <c r="A178"/>
      <c r="B178"/>
      <c r="C178"/>
      <c r="D178"/>
      <c r="E178"/>
      <c r="G178"/>
      <c r="H178"/>
      <c r="I178"/>
      <c r="O178" s="5"/>
      <c r="P178" s="6"/>
      <c r="Q178" s="37"/>
    </row>
    <row r="179" spans="1:17" x14ac:dyDescent="0.2">
      <c r="A179"/>
      <c r="B179"/>
      <c r="C179"/>
      <c r="D179"/>
      <c r="E179"/>
      <c r="G179"/>
      <c r="H179"/>
      <c r="I179"/>
      <c r="O179" s="5"/>
      <c r="P179" s="6"/>
      <c r="Q179" s="37"/>
    </row>
    <row r="180" spans="1:17" x14ac:dyDescent="0.2">
      <c r="A180"/>
      <c r="B180"/>
      <c r="C180"/>
      <c r="D180"/>
      <c r="E180"/>
      <c r="G180"/>
      <c r="H180"/>
      <c r="I180"/>
      <c r="J180"/>
      <c r="K180"/>
      <c r="L180"/>
      <c r="M180"/>
      <c r="N180"/>
      <c r="O180" s="5"/>
      <c r="P180" s="6"/>
      <c r="Q180" s="37"/>
    </row>
    <row r="181" spans="1:17" x14ac:dyDescent="0.2">
      <c r="A181"/>
      <c r="B181"/>
      <c r="C181"/>
      <c r="D181"/>
      <c r="E181"/>
      <c r="G181"/>
      <c r="H181"/>
      <c r="I181"/>
      <c r="J181"/>
      <c r="K181"/>
      <c r="L181"/>
      <c r="M181"/>
      <c r="N181"/>
      <c r="O181" s="5"/>
      <c r="P181" s="6"/>
      <c r="Q181" s="37"/>
    </row>
    <row r="182" spans="1:17" x14ac:dyDescent="0.2">
      <c r="A182"/>
      <c r="B182"/>
      <c r="C182"/>
      <c r="D182"/>
      <c r="E182"/>
      <c r="G182"/>
      <c r="H182"/>
      <c r="I182"/>
      <c r="J182"/>
      <c r="K182"/>
      <c r="L182"/>
      <c r="M182"/>
      <c r="N182"/>
      <c r="O182" s="6"/>
      <c r="P182" s="6"/>
      <c r="Q182" s="37"/>
    </row>
    <row r="183" spans="1:17" x14ac:dyDescent="0.2">
      <c r="A183"/>
      <c r="B183"/>
      <c r="C183"/>
      <c r="D183"/>
      <c r="E183"/>
      <c r="G183"/>
      <c r="H183"/>
      <c r="I183"/>
      <c r="J183"/>
      <c r="K183"/>
      <c r="L183"/>
      <c r="M183"/>
      <c r="N183"/>
      <c r="O183" s="6"/>
      <c r="P183" s="6"/>
      <c r="Q183" s="37"/>
    </row>
    <row r="184" spans="1:17" x14ac:dyDescent="0.2">
      <c r="A184"/>
      <c r="B184"/>
      <c r="C184"/>
      <c r="D184"/>
      <c r="E184"/>
      <c r="G184"/>
      <c r="H184"/>
      <c r="I184"/>
      <c r="J184"/>
      <c r="K184"/>
      <c r="L184"/>
      <c r="M184"/>
      <c r="N184"/>
    </row>
    <row r="185" spans="1:17" x14ac:dyDescent="0.2">
      <c r="A185"/>
      <c r="J185"/>
      <c r="K185"/>
      <c r="L185"/>
      <c r="M185"/>
      <c r="N185"/>
    </row>
    <row r="186" spans="1:17" x14ac:dyDescent="0.2">
      <c r="A186"/>
      <c r="J186"/>
      <c r="K186"/>
      <c r="L186"/>
      <c r="M186"/>
      <c r="N186"/>
    </row>
    <row r="187" spans="1:17" x14ac:dyDescent="0.2">
      <c r="A187"/>
      <c r="J187"/>
      <c r="K187"/>
      <c r="L187"/>
      <c r="M187"/>
      <c r="N187"/>
    </row>
    <row r="188" spans="1:17" x14ac:dyDescent="0.2">
      <c r="A188"/>
      <c r="J188"/>
      <c r="K188"/>
      <c r="L188"/>
      <c r="M188"/>
      <c r="N188"/>
    </row>
    <row r="189" spans="1:17" x14ac:dyDescent="0.2">
      <c r="A189"/>
      <c r="J189"/>
      <c r="K189"/>
      <c r="L189"/>
      <c r="M189"/>
      <c r="N189"/>
    </row>
    <row r="190" spans="1:17" x14ac:dyDescent="0.2">
      <c r="A190"/>
      <c r="J190"/>
      <c r="K190"/>
      <c r="L190"/>
      <c r="M190"/>
      <c r="N190"/>
    </row>
    <row r="191" spans="1:17" x14ac:dyDescent="0.2">
      <c r="A191"/>
      <c r="J191"/>
      <c r="K191"/>
      <c r="L191"/>
      <c r="M191"/>
      <c r="N191"/>
    </row>
    <row r="192" spans="1:17" x14ac:dyDescent="0.2">
      <c r="A192"/>
      <c r="J192"/>
      <c r="K192"/>
      <c r="L192"/>
      <c r="M192"/>
      <c r="N192"/>
      <c r="O192"/>
    </row>
    <row r="193" spans="1:15" x14ac:dyDescent="0.2">
      <c r="A193"/>
      <c r="J193"/>
      <c r="K193"/>
      <c r="L193"/>
      <c r="M193"/>
      <c r="N193"/>
      <c r="O193"/>
    </row>
    <row r="194" spans="1:15" x14ac:dyDescent="0.2">
      <c r="A194"/>
      <c r="J194"/>
      <c r="K194"/>
      <c r="L194"/>
      <c r="M194"/>
      <c r="N194"/>
      <c r="O194"/>
    </row>
    <row r="195" spans="1:15" x14ac:dyDescent="0.2">
      <c r="A195"/>
      <c r="J195"/>
      <c r="K195"/>
      <c r="L195"/>
      <c r="M195"/>
      <c r="N195"/>
      <c r="O195"/>
    </row>
    <row r="196" spans="1:15" x14ac:dyDescent="0.2">
      <c r="A196"/>
      <c r="B196"/>
      <c r="C196"/>
      <c r="D196"/>
      <c r="E196"/>
      <c r="G196"/>
      <c r="H196"/>
      <c r="I196"/>
      <c r="J196"/>
      <c r="K196"/>
      <c r="L196"/>
      <c r="M196"/>
      <c r="N196"/>
      <c r="O196"/>
    </row>
    <row r="197" spans="1:15" x14ac:dyDescent="0.2">
      <c r="A197"/>
      <c r="B197"/>
      <c r="C197"/>
      <c r="D197"/>
      <c r="E197"/>
      <c r="G197"/>
      <c r="H197"/>
      <c r="I197"/>
      <c r="J197"/>
      <c r="K197"/>
      <c r="L197"/>
      <c r="M197"/>
      <c r="N197"/>
      <c r="O197"/>
    </row>
    <row r="198" spans="1:15" x14ac:dyDescent="0.2">
      <c r="O198"/>
    </row>
    <row r="199" spans="1:15" x14ac:dyDescent="0.2">
      <c r="O199"/>
    </row>
    <row r="200" spans="1:15" x14ac:dyDescent="0.2">
      <c r="O200"/>
    </row>
    <row r="201" spans="1:15" x14ac:dyDescent="0.2">
      <c r="O201"/>
    </row>
    <row r="202" spans="1:15" x14ac:dyDescent="0.2">
      <c r="O202"/>
    </row>
    <row r="203" spans="1:15" x14ac:dyDescent="0.2">
      <c r="O203"/>
    </row>
    <row r="204" spans="1:15" x14ac:dyDescent="0.2">
      <c r="O204"/>
    </row>
    <row r="205" spans="1:15" x14ac:dyDescent="0.2">
      <c r="O205"/>
    </row>
    <row r="206" spans="1:15" x14ac:dyDescent="0.2">
      <c r="O206"/>
    </row>
    <row r="207" spans="1:15" x14ac:dyDescent="0.2">
      <c r="O207"/>
    </row>
    <row r="208" spans="1:15" x14ac:dyDescent="0.2">
      <c r="O208"/>
    </row>
    <row r="209" spans="1:14" customFormat="1" x14ac:dyDescent="0.2">
      <c r="A209" s="25"/>
      <c r="B209" s="6"/>
      <c r="C209" s="1"/>
      <c r="D209" s="1"/>
      <c r="E209" s="1"/>
      <c r="F209" s="59"/>
      <c r="G209" s="1"/>
      <c r="H209" s="1"/>
      <c r="I209" s="1"/>
      <c r="J209" s="1"/>
      <c r="K209" s="1"/>
      <c r="L209" s="1"/>
      <c r="M209" s="1"/>
      <c r="N209" s="1"/>
    </row>
  </sheetData>
  <mergeCells count="1">
    <mergeCell ref="H169:I169"/>
  </mergeCells>
  <printOptions gridLines="1"/>
  <pageMargins left="0.38" right="0.75" top="0.73" bottom="0.74" header="0.5" footer="0.5"/>
  <pageSetup scale="15" orientation="landscape" r:id="rId1"/>
  <headerFooter alignWithMargins="0"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2:T64"/>
  <sheetViews>
    <sheetView zoomScale="130" zoomScaleNormal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8" sqref="C28"/>
    </sheetView>
  </sheetViews>
  <sheetFormatPr defaultRowHeight="12.75" x14ac:dyDescent="0.2"/>
  <cols>
    <col min="1" max="1" width="21.5703125" customWidth="1"/>
    <col min="2" max="5" width="18" style="1" customWidth="1"/>
    <col min="6" max="6" width="15.5703125" style="1" customWidth="1"/>
    <col min="7" max="7" width="15.5703125" style="6" customWidth="1"/>
    <col min="8" max="8" width="15" style="6" customWidth="1"/>
    <col min="9" max="9" width="15.42578125" style="6" customWidth="1"/>
    <col min="10" max="10" width="14.140625" style="6" bestFit="1" customWidth="1"/>
    <col min="11" max="11" width="11.42578125" style="6" customWidth="1"/>
    <col min="12" max="12" width="12.42578125" style="6" customWidth="1"/>
    <col min="13" max="14" width="16.85546875" customWidth="1"/>
    <col min="15" max="15" width="14.42578125" customWidth="1"/>
    <col min="16" max="16" width="12.5703125" bestFit="1" customWidth="1"/>
    <col min="17" max="17" width="11.5703125" bestFit="1" customWidth="1"/>
    <col min="18" max="18" width="14" customWidth="1"/>
    <col min="19" max="19" width="10.140625" bestFit="1" customWidth="1"/>
    <col min="20" max="20" width="12.5703125" style="6" bestFit="1" customWidth="1"/>
  </cols>
  <sheetData>
    <row r="2" spans="1:14" ht="25.5" x14ac:dyDescent="0.2">
      <c r="B2" s="2" t="s">
        <v>4</v>
      </c>
      <c r="C2" s="2" t="s">
        <v>5</v>
      </c>
      <c r="D2" s="2" t="s">
        <v>35</v>
      </c>
      <c r="E2" s="2" t="s">
        <v>6</v>
      </c>
      <c r="F2" s="2" t="s">
        <v>0</v>
      </c>
      <c r="G2" s="7" t="s">
        <v>1</v>
      </c>
      <c r="H2" s="30" t="s">
        <v>84</v>
      </c>
      <c r="I2" s="31" t="s">
        <v>85</v>
      </c>
      <c r="J2" s="48" t="s">
        <v>86</v>
      </c>
      <c r="K2" s="32" t="s">
        <v>87</v>
      </c>
      <c r="L2" s="32" t="s">
        <v>52</v>
      </c>
    </row>
    <row r="3" spans="1:14" x14ac:dyDescent="0.2">
      <c r="A3">
        <v>2014</v>
      </c>
      <c r="B3" s="62">
        <f>'Power Purchased Model'!B153</f>
        <v>222844848</v>
      </c>
      <c r="C3" s="62">
        <f>'Power Purchased Model'!H153</f>
        <v>228113503.04210097</v>
      </c>
      <c r="D3" s="24">
        <f t="shared" ref="D3:D12" si="0">C3-B3</f>
        <v>5268655.042100966</v>
      </c>
      <c r="E3" s="5">
        <f t="shared" ref="E3:E12" si="1">D3/B3</f>
        <v>2.3642705179798305E-2</v>
      </c>
      <c r="F3" s="17">
        <f>1 +(B3-G3)/G3</f>
        <v>1.0882504150567547</v>
      </c>
      <c r="G3" s="6">
        <f t="shared" ref="G3:G11" si="2">SUM(H3:L3)</f>
        <v>204773501.5</v>
      </c>
      <c r="H3" s="39">
        <v>85393126</v>
      </c>
      <c r="I3" s="39">
        <v>27212831</v>
      </c>
      <c r="J3" s="39">
        <v>83470707.799999997</v>
      </c>
      <c r="K3" s="39">
        <v>7919568</v>
      </c>
      <c r="L3" s="39">
        <v>777268.7</v>
      </c>
    </row>
    <row r="4" spans="1:14" x14ac:dyDescent="0.2">
      <c r="A4">
        <v>2015</v>
      </c>
      <c r="B4" s="62">
        <f>'Power Purchased Model'!B154</f>
        <v>216436884</v>
      </c>
      <c r="C4" s="62">
        <f>'Power Purchased Model'!H154</f>
        <v>223845144.6474447</v>
      </c>
      <c r="D4" s="24">
        <f t="shared" si="0"/>
        <v>7408260.6474446952</v>
      </c>
      <c r="E4" s="5">
        <f t="shared" si="1"/>
        <v>3.4228272513129952E-2</v>
      </c>
      <c r="F4" s="17">
        <f>1 +(B4-G4)/G4</f>
        <v>1.0760157802441876</v>
      </c>
      <c r="G4" s="6">
        <f t="shared" si="2"/>
        <v>201146570.5</v>
      </c>
      <c r="H4" s="39">
        <v>80876149.5</v>
      </c>
      <c r="I4" s="39">
        <v>26130351</v>
      </c>
      <c r="J4" s="39">
        <v>86528983.700000003</v>
      </c>
      <c r="K4" s="39">
        <v>6868390</v>
      </c>
      <c r="L4" s="39">
        <v>742696.3</v>
      </c>
    </row>
    <row r="5" spans="1:14" x14ac:dyDescent="0.2">
      <c r="A5">
        <v>2016</v>
      </c>
      <c r="B5" s="62">
        <f>'Power Purchased Model'!B155</f>
        <v>211050246</v>
      </c>
      <c r="C5" s="62">
        <f>'Power Purchased Model'!H155</f>
        <v>220586970.39512861</v>
      </c>
      <c r="D5" s="24">
        <f t="shared" si="0"/>
        <v>9536724.3951286077</v>
      </c>
      <c r="E5" s="5">
        <f t="shared" si="1"/>
        <v>4.5186985449562601E-2</v>
      </c>
      <c r="F5" s="17">
        <f t="shared" ref="F5:F12" si="3">1 +(B5-G5)/G5</f>
        <v>1.0698923597632899</v>
      </c>
      <c r="G5" s="6">
        <f t="shared" si="2"/>
        <v>197263064.90000001</v>
      </c>
      <c r="H5" s="39">
        <v>75910135.700000003</v>
      </c>
      <c r="I5" s="39">
        <v>24984442</v>
      </c>
      <c r="J5" s="39">
        <v>89578885.799999997</v>
      </c>
      <c r="K5" s="39">
        <v>6205026</v>
      </c>
      <c r="L5" s="39">
        <v>584575.4</v>
      </c>
    </row>
    <row r="6" spans="1:14" x14ac:dyDescent="0.2">
      <c r="A6">
        <v>2017</v>
      </c>
      <c r="B6" s="62">
        <f>'Power Purchased Model'!B156</f>
        <v>217280995.02387795</v>
      </c>
      <c r="C6" s="62">
        <f>'Power Purchased Model'!H156</f>
        <v>222969696.20413664</v>
      </c>
      <c r="D6" s="24">
        <f t="shared" si="0"/>
        <v>5688701.1802586913</v>
      </c>
      <c r="E6" s="5">
        <f t="shared" si="1"/>
        <v>2.6181310425394247E-2</v>
      </c>
      <c r="F6" s="17">
        <f t="shared" si="3"/>
        <v>1.0700135583308517</v>
      </c>
      <c r="G6" s="6">
        <f t="shared" si="2"/>
        <v>203063777.39999998</v>
      </c>
      <c r="H6" s="39">
        <v>76321855.799999997</v>
      </c>
      <c r="I6" s="39">
        <v>25604789</v>
      </c>
      <c r="J6" s="39">
        <v>94512142.900000006</v>
      </c>
      <c r="K6" s="39">
        <v>6042453</v>
      </c>
      <c r="L6" s="39">
        <v>582536.69999999995</v>
      </c>
    </row>
    <row r="7" spans="1:14" x14ac:dyDescent="0.2">
      <c r="A7">
        <v>2018</v>
      </c>
      <c r="B7" s="62">
        <f>'Power Purchased Model'!B157</f>
        <v>241087151.13</v>
      </c>
      <c r="C7" s="62">
        <f>'Power Purchased Model'!H157</f>
        <v>231004601.65648609</v>
      </c>
      <c r="D7" s="24">
        <f t="shared" si="0"/>
        <v>-10082549.473513901</v>
      </c>
      <c r="E7" s="5">
        <f t="shared" si="1"/>
        <v>-4.1821181370537447E-2</v>
      </c>
      <c r="F7" s="17">
        <f t="shared" si="3"/>
        <v>1.0735703205408673</v>
      </c>
      <c r="G7" s="6">
        <f t="shared" si="2"/>
        <v>224565775.07520857</v>
      </c>
      <c r="H7" s="39">
        <v>82424404.340000227</v>
      </c>
      <c r="I7" s="39">
        <v>26132430.019999992</v>
      </c>
      <c r="J7" s="39">
        <v>109385574.42520839</v>
      </c>
      <c r="K7" s="39">
        <v>6046269.2899999535</v>
      </c>
      <c r="L7" s="39">
        <v>577097.00000000012</v>
      </c>
      <c r="M7" s="6">
        <v>224565775.07520854</v>
      </c>
      <c r="N7" s="37">
        <f>G7-M7</f>
        <v>0</v>
      </c>
    </row>
    <row r="8" spans="1:14" x14ac:dyDescent="0.2">
      <c r="A8">
        <v>2019</v>
      </c>
      <c r="B8" s="62">
        <f>'Power Purchased Model'!B158</f>
        <v>255923211</v>
      </c>
      <c r="C8" s="62">
        <f>'Power Purchased Model'!H158</f>
        <v>238654515.30313912</v>
      </c>
      <c r="D8" s="24">
        <f t="shared" si="0"/>
        <v>-17268695.69686088</v>
      </c>
      <c r="E8" s="5">
        <f t="shared" si="1"/>
        <v>-6.7476082491247272E-2</v>
      </c>
      <c r="F8" s="17">
        <f t="shared" si="3"/>
        <v>1.085337953598194</v>
      </c>
      <c r="G8" s="6">
        <f t="shared" si="2"/>
        <v>235800480.53377673</v>
      </c>
      <c r="H8" s="39">
        <v>86629135.540000111</v>
      </c>
      <c r="I8" s="39">
        <v>26695948.809999999</v>
      </c>
      <c r="J8" s="39">
        <v>115631848.81377667</v>
      </c>
      <c r="K8" s="39">
        <v>6277417.3699999545</v>
      </c>
      <c r="L8" s="39">
        <v>566130.00000000012</v>
      </c>
      <c r="M8" s="6">
        <v>235800480.53377673</v>
      </c>
      <c r="N8" s="37">
        <f t="shared" ref="N8:N12" si="4">G8-M8</f>
        <v>0</v>
      </c>
    </row>
    <row r="9" spans="1:14" x14ac:dyDescent="0.2">
      <c r="A9">
        <v>2020</v>
      </c>
      <c r="B9" s="62">
        <f>'Power Purchased Model'!B159</f>
        <v>252540603</v>
      </c>
      <c r="C9" s="62">
        <f>'Power Purchased Model'!H159</f>
        <v>248745294.03057954</v>
      </c>
      <c r="D9" s="24">
        <f t="shared" si="0"/>
        <v>-3795308.9694204628</v>
      </c>
      <c r="E9" s="5">
        <f t="shared" si="1"/>
        <v>-1.5028509967644542E-2</v>
      </c>
      <c r="F9" s="17">
        <f t="shared" si="3"/>
        <v>1.1021225482123147</v>
      </c>
      <c r="G9" s="6">
        <f t="shared" si="2"/>
        <v>229140219.85089642</v>
      </c>
      <c r="H9" s="39">
        <v>91478383.059998766</v>
      </c>
      <c r="I9" s="39">
        <v>27143066.610000066</v>
      </c>
      <c r="J9" s="39">
        <v>103396925.32089764</v>
      </c>
      <c r="K9" s="39">
        <v>6529262.7599999467</v>
      </c>
      <c r="L9" s="39">
        <v>592582.10000000009</v>
      </c>
      <c r="M9" s="6">
        <v>229140219.85089642</v>
      </c>
      <c r="N9" s="37">
        <f t="shared" si="4"/>
        <v>0</v>
      </c>
    </row>
    <row r="10" spans="1:14" x14ac:dyDescent="0.2">
      <c r="A10">
        <v>2021</v>
      </c>
      <c r="B10" s="62">
        <f>'Power Purchased Model'!B160</f>
        <v>265226888</v>
      </c>
      <c r="C10" s="62">
        <f>'Power Purchased Model'!H160</f>
        <v>265662736.62875956</v>
      </c>
      <c r="D10" s="24">
        <f t="shared" si="0"/>
        <v>435848.62875956297</v>
      </c>
      <c r="E10" s="5">
        <f t="shared" si="1"/>
        <v>1.6433048400415684E-3</v>
      </c>
      <c r="F10" s="17">
        <f t="shared" si="3"/>
        <v>1.0855968744354785</v>
      </c>
      <c r="G10" s="6">
        <f t="shared" si="2"/>
        <v>244314343.79167747</v>
      </c>
      <c r="H10" s="39">
        <v>92005689.629998744</v>
      </c>
      <c r="I10" s="39">
        <v>27745373.102553256</v>
      </c>
      <c r="J10" s="39">
        <v>117544957.4291255</v>
      </c>
      <c r="K10" s="39">
        <v>6424167.5299999965</v>
      </c>
      <c r="L10" s="39">
        <v>594156.09999999986</v>
      </c>
      <c r="M10" s="6">
        <v>244314343.79167747</v>
      </c>
      <c r="N10" s="37">
        <f t="shared" si="4"/>
        <v>0</v>
      </c>
    </row>
    <row r="11" spans="1:14" x14ac:dyDescent="0.2">
      <c r="A11">
        <v>2022</v>
      </c>
      <c r="B11" s="62">
        <f>'Power Purchased Model'!B161</f>
        <v>279572890</v>
      </c>
      <c r="C11" s="62">
        <f>'Power Purchased Model'!H161</f>
        <v>281017552.01169604</v>
      </c>
      <c r="D11" s="24">
        <f t="shared" si="0"/>
        <v>1444662.0116960406</v>
      </c>
      <c r="E11" s="5">
        <f t="shared" si="1"/>
        <v>5.1673894836371317E-3</v>
      </c>
      <c r="F11" s="17">
        <f t="shared" si="3"/>
        <v>1.0908561779344383</v>
      </c>
      <c r="G11" s="6">
        <f t="shared" si="2"/>
        <v>256287580.02670693</v>
      </c>
      <c r="H11" s="39">
        <v>99292265.290000916</v>
      </c>
      <c r="I11" s="39">
        <v>29567137.169999924</v>
      </c>
      <c r="J11" s="39">
        <v>120294405.22670604</v>
      </c>
      <c r="K11" s="39">
        <v>6540797.4400000293</v>
      </c>
      <c r="L11" s="39">
        <v>592974.89999999991</v>
      </c>
      <c r="M11" s="6">
        <v>256287580.0267069</v>
      </c>
      <c r="N11" s="37">
        <f t="shared" si="4"/>
        <v>0</v>
      </c>
    </row>
    <row r="12" spans="1:14" x14ac:dyDescent="0.2">
      <c r="A12" s="46">
        <v>2023</v>
      </c>
      <c r="B12" s="6">
        <v>281399999</v>
      </c>
      <c r="C12" s="62">
        <f>'Power Purchased Model'!H162</f>
        <v>282763701.36440945</v>
      </c>
      <c r="D12" s="24">
        <f t="shared" si="0"/>
        <v>1363702.3644094467</v>
      </c>
      <c r="E12" s="5">
        <f t="shared" si="1"/>
        <v>4.8461349298350451E-3</v>
      </c>
      <c r="F12" s="17">
        <f t="shared" si="3"/>
        <v>1.083380968986414</v>
      </c>
      <c r="G12" s="6">
        <v>259742424</v>
      </c>
      <c r="H12" s="39">
        <v>96395846</v>
      </c>
      <c r="I12" s="39">
        <v>28496501</v>
      </c>
      <c r="J12" s="39">
        <v>128188723</v>
      </c>
      <c r="K12" s="39">
        <v>6123988</v>
      </c>
      <c r="L12" s="39">
        <v>537366</v>
      </c>
      <c r="M12" s="6">
        <v>259742424</v>
      </c>
      <c r="N12" s="37">
        <f t="shared" si="4"/>
        <v>0</v>
      </c>
    </row>
    <row r="13" spans="1:14" x14ac:dyDescent="0.2">
      <c r="A13" s="46">
        <v>2024</v>
      </c>
      <c r="B13" s="6"/>
      <c r="C13" s="15">
        <f>'Power Purchased Model'!H163</f>
        <v>287962761.86431342</v>
      </c>
      <c r="G13" s="15">
        <f>C13/$F$16</f>
        <v>264839929.97708619</v>
      </c>
      <c r="H13"/>
      <c r="I13"/>
      <c r="J13"/>
      <c r="K13"/>
      <c r="L13"/>
      <c r="N13" s="37"/>
    </row>
    <row r="14" spans="1:14" x14ac:dyDescent="0.2">
      <c r="A14" s="46">
        <v>2025</v>
      </c>
      <c r="B14" s="6"/>
      <c r="C14" s="15">
        <f>'Power Purchased Model'!H164</f>
        <v>288843743.92609626</v>
      </c>
      <c r="G14" s="15">
        <f>C14/$F$16</f>
        <v>265650170.94728351</v>
      </c>
      <c r="H14"/>
      <c r="I14"/>
      <c r="J14"/>
      <c r="K14"/>
      <c r="L14"/>
      <c r="N14" s="37"/>
    </row>
    <row r="15" spans="1:14" x14ac:dyDescent="0.2">
      <c r="H15" s="35"/>
      <c r="I15" s="35"/>
      <c r="J15" s="35"/>
      <c r="K15" s="35"/>
      <c r="L15" s="35"/>
    </row>
    <row r="16" spans="1:14" x14ac:dyDescent="0.2">
      <c r="A16" s="14" t="s">
        <v>9</v>
      </c>
      <c r="C16" s="36"/>
      <c r="D16" s="38"/>
      <c r="E16" s="54" t="s">
        <v>115</v>
      </c>
      <c r="F16" s="17">
        <v>1.0873087071470975</v>
      </c>
      <c r="H16" s="61"/>
      <c r="I16" s="61"/>
      <c r="J16" s="61"/>
      <c r="K16" s="61"/>
      <c r="L16" s="61"/>
    </row>
    <row r="17" spans="1:14" x14ac:dyDescent="0.2">
      <c r="C17" s="36"/>
      <c r="D17" s="38"/>
      <c r="E17" s="54"/>
      <c r="F17" s="17"/>
    </row>
    <row r="18" spans="1:14" x14ac:dyDescent="0.2">
      <c r="C18" s="81"/>
      <c r="D18" s="38"/>
      <c r="G18" s="81"/>
    </row>
    <row r="19" spans="1:14" x14ac:dyDescent="0.2">
      <c r="A19" s="16" t="s">
        <v>11</v>
      </c>
      <c r="B19" s="11"/>
      <c r="C19" s="81"/>
      <c r="G19" s="81"/>
    </row>
    <row r="21" spans="1:14" x14ac:dyDescent="0.2">
      <c r="A21">
        <v>2023</v>
      </c>
      <c r="H21" s="6">
        <f>H12/'Rate Class Customer Model'!B12</f>
        <v>11360.73612256924</v>
      </c>
      <c r="I21" s="6">
        <f>I12/'Rate Class Customer Model'!C12</f>
        <v>27010.901421800947</v>
      </c>
      <c r="J21" s="6">
        <f>J12/'Rate Class Customer Model'!D12</f>
        <v>2727419.6382978722</v>
      </c>
      <c r="K21" s="6">
        <f>K12/'Rate Class Customer Model'!E12</f>
        <v>2192.6201217329035</v>
      </c>
      <c r="L21" s="6">
        <f>L12/'Rate Class Customer Model'!F12</f>
        <v>474.91471498011487</v>
      </c>
    </row>
    <row r="22" spans="1:14" x14ac:dyDescent="0.2">
      <c r="A22">
        <f>A13</f>
        <v>2024</v>
      </c>
      <c r="H22" s="15">
        <f>H21</f>
        <v>11360.73612256924</v>
      </c>
      <c r="I22" s="15">
        <f t="shared" ref="I22:L23" si="5">I21</f>
        <v>27010.901421800947</v>
      </c>
      <c r="J22" s="15">
        <f t="shared" si="5"/>
        <v>2727419.6382978722</v>
      </c>
      <c r="K22" s="15">
        <f>K21</f>
        <v>2192.6201217329035</v>
      </c>
      <c r="L22" s="15">
        <f t="shared" si="5"/>
        <v>474.91471498011487</v>
      </c>
    </row>
    <row r="23" spans="1:14" x14ac:dyDescent="0.2">
      <c r="A23">
        <f>A14</f>
        <v>2025</v>
      </c>
      <c r="H23" s="15">
        <f>H22</f>
        <v>11360.73612256924</v>
      </c>
      <c r="I23" s="15">
        <f t="shared" si="5"/>
        <v>27010.901421800947</v>
      </c>
      <c r="J23" s="15">
        <f>J22</f>
        <v>2727419.6382978722</v>
      </c>
      <c r="K23" s="15">
        <f t="shared" si="5"/>
        <v>2192.6201217329035</v>
      </c>
      <c r="L23" s="15">
        <f t="shared" si="5"/>
        <v>474.91471498011487</v>
      </c>
    </row>
    <row r="24" spans="1:14" x14ac:dyDescent="0.2">
      <c r="H24"/>
      <c r="I24"/>
      <c r="J24"/>
      <c r="K24"/>
      <c r="L24"/>
    </row>
    <row r="25" spans="1:14" x14ac:dyDescent="0.2">
      <c r="D25" s="6"/>
      <c r="H25" s="18"/>
      <c r="I25" s="18"/>
      <c r="J25" s="18"/>
      <c r="K25" s="18"/>
      <c r="L25" s="18"/>
    </row>
    <row r="26" spans="1:14" x14ac:dyDescent="0.2">
      <c r="A26" s="14" t="s">
        <v>38</v>
      </c>
    </row>
    <row r="27" spans="1:14" x14ac:dyDescent="0.2">
      <c r="A27" s="44">
        <f>A22</f>
        <v>2024</v>
      </c>
      <c r="G27" s="6">
        <f t="shared" ref="G27:G28" si="6">SUM(H27:L27)</f>
        <v>258004060.4751485</v>
      </c>
      <c r="H27" s="6">
        <f>H22*'Rate Class Customer Model'!B13</f>
        <v>97164220.685426801</v>
      </c>
      <c r="I27" s="6">
        <f>I22*'Rate Class Customer Model'!C13</f>
        <v>28468615.924274597</v>
      </c>
      <c r="J27" s="6">
        <f>J22*'Rate Class Customer Model'!D13</f>
        <v>125787632.98611537</v>
      </c>
      <c r="K27" s="6">
        <f>K22*'Rate Class Customer Model'!E13</f>
        <v>6040450.4199307133</v>
      </c>
      <c r="L27" s="6">
        <f>L22*'Rate Class Customer Model'!F13</f>
        <v>543140.45940101449</v>
      </c>
    </row>
    <row r="28" spans="1:14" x14ac:dyDescent="0.2">
      <c r="A28" s="44">
        <f>A23</f>
        <v>2025</v>
      </c>
      <c r="G28" s="6">
        <f t="shared" si="6"/>
        <v>256318025.14432296</v>
      </c>
      <c r="H28" s="6">
        <f>H23*'Rate Class Customer Model'!B14</f>
        <v>97938720.112548426</v>
      </c>
      <c r="I28" s="6">
        <f>I23*'Rate Class Customer Model'!C14</f>
        <v>28440758.13531848</v>
      </c>
      <c r="J28" s="6">
        <f>J23*'Rate Class Customer Model'!D14</f>
        <v>123431517.54659151</v>
      </c>
      <c r="K28" s="6">
        <f>K23*'Rate Class Customer Model'!E14</f>
        <v>5958052.3795345658</v>
      </c>
      <c r="L28" s="6">
        <f>L23*'Rate Class Customer Model'!F14</f>
        <v>548976.97032998933</v>
      </c>
    </row>
    <row r="29" spans="1:14" x14ac:dyDescent="0.2">
      <c r="A29" s="44"/>
    </row>
    <row r="31" spans="1:14" x14ac:dyDescent="0.2">
      <c r="A31" s="14" t="s">
        <v>37</v>
      </c>
      <c r="N31" s="6"/>
    </row>
    <row r="32" spans="1:14" x14ac:dyDescent="0.2">
      <c r="A32" s="44">
        <f>+A27</f>
        <v>2024</v>
      </c>
      <c r="G32" s="15">
        <f>G13</f>
        <v>264839929.97708619</v>
      </c>
      <c r="H32" s="6">
        <f>H27+H40</f>
        <v>100119667.51908097</v>
      </c>
      <c r="I32" s="6">
        <f>I27+I40</f>
        <v>29334546.615617376</v>
      </c>
      <c r="J32" s="6">
        <f>J27+J40</f>
        <v>128802124.96305612</v>
      </c>
      <c r="K32" s="6">
        <f>K27+K40</f>
        <v>6040450.4199307133</v>
      </c>
      <c r="L32" s="6">
        <f>L27+L40</f>
        <v>543140.45940101449</v>
      </c>
      <c r="M32" s="6">
        <f>SUM(H32:L32)</f>
        <v>264839929.97708622</v>
      </c>
      <c r="N32" s="6">
        <f>M32-G32</f>
        <v>0</v>
      </c>
    </row>
    <row r="33" spans="1:20" x14ac:dyDescent="0.2">
      <c r="A33" s="44">
        <f>+A28</f>
        <v>2025</v>
      </c>
      <c r="G33" s="15">
        <f>G14</f>
        <v>265650170.94728351</v>
      </c>
      <c r="H33" s="6">
        <f>H28+H41</f>
        <v>102025758.21612892</v>
      </c>
      <c r="I33" s="6">
        <f>I28+I41</f>
        <v>29627607.034917999</v>
      </c>
      <c r="J33" s="86">
        <f>J28+J41+J44</f>
        <v>179389417.92343298</v>
      </c>
      <c r="K33" s="6">
        <f>K28+K41</f>
        <v>5958052.3795345658</v>
      </c>
      <c r="L33" s="6">
        <f>L28+L41</f>
        <v>548976.97032998933</v>
      </c>
      <c r="M33" s="6">
        <f>SUM(H33:L33)</f>
        <v>317549812.52434444</v>
      </c>
      <c r="N33" s="6">
        <f>M33-G33</f>
        <v>51899641.577060938</v>
      </c>
    </row>
    <row r="34" spans="1:20" x14ac:dyDescent="0.2">
      <c r="N34" s="6"/>
    </row>
    <row r="35" spans="1:20" x14ac:dyDescent="0.2">
      <c r="A35" s="14" t="s">
        <v>39</v>
      </c>
      <c r="H35" s="52">
        <f>(100%+J35)/2</f>
        <v>0.82499999999999996</v>
      </c>
      <c r="I35" s="53">
        <f>H35</f>
        <v>0.82499999999999996</v>
      </c>
      <c r="J35" s="63">
        <v>0.65</v>
      </c>
      <c r="K35" s="53">
        <v>0</v>
      </c>
      <c r="L35" s="53">
        <v>0</v>
      </c>
    </row>
    <row r="36" spans="1:20" x14ac:dyDescent="0.2">
      <c r="A36" s="44">
        <f>+A32</f>
        <v>2024</v>
      </c>
      <c r="G36" s="6">
        <f>G32-G27</f>
        <v>6835869.5019376874</v>
      </c>
      <c r="H36" s="6">
        <f>H27*H$35</f>
        <v>80160482.065477103</v>
      </c>
      <c r="I36" s="6">
        <f t="shared" ref="H36:L37" si="7">I27*I$35</f>
        <v>23486608.137526542</v>
      </c>
      <c r="J36" s="6">
        <f t="shared" si="7"/>
        <v>81761961.440974995</v>
      </c>
      <c r="K36" s="6">
        <f t="shared" si="7"/>
        <v>0</v>
      </c>
      <c r="L36" s="6">
        <f t="shared" si="7"/>
        <v>0</v>
      </c>
      <c r="M36" s="6">
        <f t="shared" ref="M36:M37" si="8">SUM(H36:L36)</f>
        <v>185409051.64397866</v>
      </c>
    </row>
    <row r="37" spans="1:20" x14ac:dyDescent="0.2">
      <c r="A37" s="44">
        <f>+A33</f>
        <v>2025</v>
      </c>
      <c r="G37" s="6">
        <f>G33-G28</f>
        <v>9332145.8029605448</v>
      </c>
      <c r="H37" s="6">
        <f t="shared" si="7"/>
        <v>80799444.092852443</v>
      </c>
      <c r="I37" s="6">
        <f t="shared" si="7"/>
        <v>23463625.461637747</v>
      </c>
      <c r="J37" s="6">
        <f t="shared" si="7"/>
        <v>80230486.405284479</v>
      </c>
      <c r="K37" s="6">
        <f t="shared" si="7"/>
        <v>0</v>
      </c>
      <c r="L37" s="6">
        <f t="shared" si="7"/>
        <v>0</v>
      </c>
      <c r="M37" s="6">
        <f t="shared" si="8"/>
        <v>184493555.95977467</v>
      </c>
    </row>
    <row r="38" spans="1:20" ht="12" customHeight="1" x14ac:dyDescent="0.2"/>
    <row r="39" spans="1:20" x14ac:dyDescent="0.2">
      <c r="A39" t="s">
        <v>40</v>
      </c>
    </row>
    <row r="40" spans="1:20" x14ac:dyDescent="0.2">
      <c r="A40" s="44">
        <f>+A36</f>
        <v>2024</v>
      </c>
      <c r="G40" s="6">
        <f>SUM(H40:L40)</f>
        <v>6835869.5019376874</v>
      </c>
      <c r="H40" s="6">
        <f>H36/$M$36*$G$36</f>
        <v>2955446.8336541629</v>
      </c>
      <c r="I40" s="6">
        <f t="shared" ref="I40:L40" si="9">I36/$M$36*$G$36</f>
        <v>865930.69134277757</v>
      </c>
      <c r="J40" s="6">
        <f t="shared" si="9"/>
        <v>3014491.9769407464</v>
      </c>
      <c r="K40" s="6">
        <f t="shared" si="9"/>
        <v>0</v>
      </c>
      <c r="L40" s="6">
        <f t="shared" si="9"/>
        <v>0</v>
      </c>
    </row>
    <row r="41" spans="1:20" x14ac:dyDescent="0.2">
      <c r="A41" s="44">
        <f>+A37</f>
        <v>2025</v>
      </c>
      <c r="G41" s="6">
        <f>SUM(H41:L41)</f>
        <v>9332145.8029605448</v>
      </c>
      <c r="H41" s="6">
        <f>H37/$M$37*$G$37</f>
        <v>4087038.1035804879</v>
      </c>
      <c r="I41" s="6">
        <f t="shared" ref="I41:L41" si="10">I37/$M$37*$G$37</f>
        <v>1186848.8995995191</v>
      </c>
      <c r="J41" s="6">
        <f t="shared" si="10"/>
        <v>4058258.7997805378</v>
      </c>
      <c r="K41" s="6">
        <f t="shared" si="10"/>
        <v>0</v>
      </c>
      <c r="L41" s="6">
        <f t="shared" si="10"/>
        <v>0</v>
      </c>
    </row>
    <row r="42" spans="1:20" x14ac:dyDescent="0.2">
      <c r="G42" s="19"/>
    </row>
    <row r="43" spans="1:20" x14ac:dyDescent="0.2">
      <c r="A43" s="14" t="s">
        <v>92</v>
      </c>
    </row>
    <row r="44" spans="1:20" x14ac:dyDescent="0.2">
      <c r="A44" s="44">
        <v>2025</v>
      </c>
      <c r="J44" s="85">
        <f>2*4000*12*0.905/0.001674</f>
        <v>51899641.577060938</v>
      </c>
    </row>
    <row r="45" spans="1:20" x14ac:dyDescent="0.2">
      <c r="A45" s="14"/>
    </row>
    <row r="47" spans="1:20" x14ac:dyDescent="0.2">
      <c r="B47"/>
      <c r="C47"/>
      <c r="D47"/>
      <c r="E47"/>
      <c r="F47"/>
      <c r="G47"/>
      <c r="H47"/>
      <c r="I47"/>
      <c r="J47"/>
      <c r="K47"/>
      <c r="L47"/>
      <c r="T47"/>
    </row>
    <row r="48" spans="1:20" x14ac:dyDescent="0.2">
      <c r="B48"/>
      <c r="C48"/>
      <c r="D48"/>
      <c r="E48"/>
      <c r="F48"/>
      <c r="G48"/>
      <c r="H48"/>
      <c r="I48"/>
      <c r="J48"/>
      <c r="K48"/>
      <c r="L48"/>
      <c r="T48"/>
    </row>
    <row r="49" customFormat="1" x14ac:dyDescent="0.2"/>
    <row r="50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</sheetData>
  <phoneticPr fontId="0" type="noConversion"/>
  <pageMargins left="0.38" right="0.75" top="0.73" bottom="0.74" header="0.5" footer="0.5"/>
  <pageSetup scale="62" orientation="landscape" r:id="rId1"/>
  <headerFooter alignWithMargins="0"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T83"/>
  <sheetViews>
    <sheetView zoomScale="140" zoomScaleNormal="140" workbookViewId="0">
      <selection activeCell="D24" sqref="D24"/>
    </sheetView>
  </sheetViews>
  <sheetFormatPr defaultRowHeight="12.75" x14ac:dyDescent="0.2"/>
  <cols>
    <col min="1" max="1" width="11" customWidth="1"/>
    <col min="2" max="2" width="15" style="6" customWidth="1"/>
    <col min="3" max="3" width="17.42578125" style="6" customWidth="1"/>
    <col min="4" max="4" width="17.85546875" style="6" bestFit="1" customWidth="1"/>
    <col min="5" max="5" width="12.5703125" style="6" customWidth="1"/>
    <col min="6" max="6" width="11.42578125" style="6" customWidth="1"/>
    <col min="7" max="7" width="11.5703125" customWidth="1"/>
    <col min="8" max="8" width="20.5703125" bestFit="1" customWidth="1"/>
    <col min="9" max="9" width="12.5703125" customWidth="1"/>
    <col min="10" max="10" width="12.5703125" bestFit="1" customWidth="1"/>
    <col min="11" max="11" width="11.5703125" bestFit="1" customWidth="1"/>
    <col min="12" max="12" width="11.5703125" customWidth="1"/>
    <col min="13" max="13" width="17.42578125" bestFit="1" customWidth="1"/>
    <col min="14" max="14" width="11.5703125" customWidth="1"/>
    <col min="15" max="15" width="10.5703125" bestFit="1" customWidth="1"/>
    <col min="16" max="17" width="9.140625" customWidth="1"/>
  </cols>
  <sheetData>
    <row r="1" spans="1:20" x14ac:dyDescent="0.2">
      <c r="B1" s="114" t="s">
        <v>58</v>
      </c>
      <c r="C1" s="115"/>
      <c r="D1" s="115"/>
      <c r="E1" s="115"/>
      <c r="F1" s="115"/>
      <c r="L1" t="s">
        <v>111</v>
      </c>
      <c r="N1" s="74">
        <v>2019</v>
      </c>
      <c r="O1" s="74">
        <v>2020</v>
      </c>
      <c r="P1" s="74">
        <v>2021</v>
      </c>
      <c r="Q1" s="74">
        <v>2022</v>
      </c>
      <c r="R1" s="74">
        <v>2023</v>
      </c>
      <c r="S1" s="74">
        <v>2024</v>
      </c>
      <c r="T1" s="74">
        <v>2025</v>
      </c>
    </row>
    <row r="2" spans="1:20" ht="25.5" x14ac:dyDescent="0.2">
      <c r="B2" s="9" t="str">
        <f>'Rate Class Energy Model'!H2</f>
        <v>R1(i) Residential</v>
      </c>
      <c r="C2" s="9" t="str">
        <f>'Rate Class Energy Model'!I2</f>
        <v>R1(ii) GS &lt; 50 kW</v>
      </c>
      <c r="D2" s="9" t="str">
        <f>'Rate Class Energy Model'!J2</f>
        <v>R2 GS&gt;50 kW</v>
      </c>
      <c r="E2" s="9" t="str">
        <f>'Rate Class Energy Model'!K2</f>
        <v>Seasonal</v>
      </c>
      <c r="F2" s="9" t="str">
        <f>'Rate Class Energy Model'!L2</f>
        <v>Street Lights</v>
      </c>
      <c r="G2" s="1" t="s">
        <v>7</v>
      </c>
      <c r="I2" s="65" t="s">
        <v>81</v>
      </c>
      <c r="L2" s="33">
        <v>11723</v>
      </c>
      <c r="M2" t="s">
        <v>89</v>
      </c>
      <c r="N2" s="13">
        <v>5.6868796205101028E-5</v>
      </c>
      <c r="O2" s="13">
        <v>2.689050101475477E-3</v>
      </c>
      <c r="P2" s="13">
        <v>1.1849944541065301E-3</v>
      </c>
      <c r="Q2" s="13">
        <v>4.8653543525553682E-4</v>
      </c>
      <c r="R2" s="13">
        <v>9.3273239785005198E-4</v>
      </c>
      <c r="S2" s="13">
        <v>-5.5514516564161929E-4</v>
      </c>
      <c r="T2" s="13">
        <v>9.3094832878390821E-4</v>
      </c>
    </row>
    <row r="3" spans="1:20" x14ac:dyDescent="0.2">
      <c r="A3" s="4">
        <v>2014</v>
      </c>
      <c r="B3" s="40">
        <v>7397.916666666667</v>
      </c>
      <c r="C3" s="40">
        <v>955.66666666666663</v>
      </c>
      <c r="D3" s="40">
        <v>43.416666666666664</v>
      </c>
      <c r="E3" s="40">
        <v>3254.5</v>
      </c>
      <c r="F3" s="40">
        <v>1018.5833333333334</v>
      </c>
      <c r="G3" s="51">
        <f t="shared" ref="G3:G14" si="0">SUM(B3:F3)</f>
        <v>12670.083333333334</v>
      </c>
      <c r="H3" s="37">
        <f>(B3+C3+E3)</f>
        <v>11608.083333333334</v>
      </c>
      <c r="I3" s="6">
        <f t="shared" ref="I3:I14" si="1">ROUND(B3+C3+D3+E3,0)</f>
        <v>11652</v>
      </c>
      <c r="J3" s="6"/>
      <c r="M3" s="4" t="s">
        <v>69</v>
      </c>
      <c r="N3" s="73">
        <f>L2*(1+N2)</f>
        <v>11723.666672897911</v>
      </c>
      <c r="O3" s="73">
        <f>N14+(1+O2)</f>
        <v>11732.005266549859</v>
      </c>
      <c r="P3" s="73">
        <f t="shared" ref="P3:R3" si="2">O14+(1+P2)</f>
        <v>12084.73761549323</v>
      </c>
      <c r="Q3" s="73">
        <f t="shared" si="2"/>
        <v>12244.198569699198</v>
      </c>
      <c r="R3" s="73">
        <f t="shared" si="2"/>
        <v>12310.888748987967</v>
      </c>
      <c r="S3" s="73">
        <f>R14*(1+R2)</f>
        <v>12449.391011656697</v>
      </c>
      <c r="T3" s="73">
        <f>S14*(1+S2)</f>
        <v>12366.709137007096</v>
      </c>
    </row>
    <row r="4" spans="1:20" x14ac:dyDescent="0.2">
      <c r="A4" s="4">
        <v>2015</v>
      </c>
      <c r="B4" s="40">
        <v>7479.5</v>
      </c>
      <c r="C4" s="40">
        <v>954.25</v>
      </c>
      <c r="D4" s="40">
        <v>42.166666666666664</v>
      </c>
      <c r="E4" s="40">
        <v>3175.9166666666665</v>
      </c>
      <c r="F4" s="40">
        <v>1022.6666666666666</v>
      </c>
      <c r="G4" s="51">
        <f t="shared" si="0"/>
        <v>12674.499999999998</v>
      </c>
      <c r="H4" s="37">
        <f t="shared" ref="H4:H14" si="3">(B4+C4+E4)</f>
        <v>11609.666666666666</v>
      </c>
      <c r="I4" s="6">
        <f t="shared" si="1"/>
        <v>11652</v>
      </c>
      <c r="J4" s="6"/>
      <c r="M4" s="75" t="s">
        <v>70</v>
      </c>
      <c r="N4" s="73">
        <f>N3*(1+N2)</f>
        <v>11724.333383708708</v>
      </c>
      <c r="O4" s="73">
        <f t="shared" ref="O4:T4" si="4">O3*(1+O2)</f>
        <v>11763.553216502387</v>
      </c>
      <c r="P4" s="73">
        <f t="shared" si="4"/>
        <v>12099.057962546922</v>
      </c>
      <c r="Q4" s="73">
        <f t="shared" si="4"/>
        <v>12250.15580617966</v>
      </c>
      <c r="R4" s="73">
        <f t="shared" si="4"/>
        <v>12322.371513770477</v>
      </c>
      <c r="S4" s="73">
        <f t="shared" si="4"/>
        <v>12442.479792421394</v>
      </c>
      <c r="T4" s="73">
        <f t="shared" si="4"/>
        <v>12378.221904210748</v>
      </c>
    </row>
    <row r="5" spans="1:20" x14ac:dyDescent="0.2">
      <c r="A5" s="4">
        <v>2016</v>
      </c>
      <c r="B5" s="40">
        <v>7543.75</v>
      </c>
      <c r="C5" s="40">
        <v>951.16666666666663</v>
      </c>
      <c r="D5" s="40">
        <v>42.083333333333336</v>
      </c>
      <c r="E5" s="40">
        <v>3139.9166666666665</v>
      </c>
      <c r="F5" s="40">
        <v>1066.3333333333333</v>
      </c>
      <c r="G5" s="51">
        <f t="shared" si="0"/>
        <v>12743.25</v>
      </c>
      <c r="H5" s="37">
        <f t="shared" si="3"/>
        <v>11634.833333333332</v>
      </c>
      <c r="I5" s="6">
        <f t="shared" si="1"/>
        <v>11677</v>
      </c>
      <c r="J5" s="6"/>
      <c r="M5" s="75" t="s">
        <v>71</v>
      </c>
      <c r="N5" s="73">
        <f>N4*(1+N2)</f>
        <v>11725.000132434547</v>
      </c>
      <c r="O5" s="73">
        <f t="shared" ref="O5:T5" si="5">O4*(1+O2)</f>
        <v>11795.186000472935</v>
      </c>
      <c r="P5" s="73">
        <f t="shared" si="5"/>
        <v>12113.395279132452</v>
      </c>
      <c r="Q5" s="73">
        <f t="shared" si="5"/>
        <v>12256.115941066768</v>
      </c>
      <c r="R5" s="73">
        <f t="shared" si="5"/>
        <v>12333.864988899715</v>
      </c>
      <c r="S5" s="73">
        <f t="shared" si="5"/>
        <v>12435.572409916038</v>
      </c>
      <c r="T5" s="73">
        <f t="shared" si="5"/>
        <v>12389.745389205789</v>
      </c>
    </row>
    <row r="6" spans="1:20" x14ac:dyDescent="0.2">
      <c r="A6" s="4">
        <v>2017</v>
      </c>
      <c r="B6" s="40">
        <v>7596.416666666667</v>
      </c>
      <c r="C6" s="40">
        <v>961.16666666666663</v>
      </c>
      <c r="D6" s="40">
        <v>38.166666666666664</v>
      </c>
      <c r="E6" s="40">
        <v>3108.0833333333335</v>
      </c>
      <c r="F6" s="40">
        <v>1070</v>
      </c>
      <c r="G6" s="51">
        <f t="shared" si="0"/>
        <v>12773.833333333334</v>
      </c>
      <c r="H6" s="37">
        <f t="shared" si="3"/>
        <v>11665.666666666668</v>
      </c>
      <c r="I6" s="6">
        <f t="shared" si="1"/>
        <v>11704</v>
      </c>
      <c r="J6" s="6"/>
      <c r="M6" s="75" t="s">
        <v>72</v>
      </c>
      <c r="N6" s="73">
        <f>N5*(1+N2)</f>
        <v>11725.666919077583</v>
      </c>
      <c r="O6" s="73">
        <f t="shared" ref="O6:T6" si="6">O5*(1+O2)</f>
        <v>11826.90384658443</v>
      </c>
      <c r="P6" s="73">
        <f t="shared" si="6"/>
        <v>12127.749585358622</v>
      </c>
      <c r="Q6" s="73">
        <f t="shared" si="6"/>
        <v>12262.078975770695</v>
      </c>
      <c r="R6" s="73">
        <f t="shared" si="6"/>
        <v>12345.369184365571</v>
      </c>
      <c r="S6" s="73">
        <f t="shared" si="6"/>
        <v>12428.668862010687</v>
      </c>
      <c r="T6" s="73">
        <f t="shared" si="6"/>
        <v>12401.279601969927</v>
      </c>
    </row>
    <row r="7" spans="1:20" x14ac:dyDescent="0.2">
      <c r="A7" s="4">
        <v>2018</v>
      </c>
      <c r="B7" s="40">
        <v>7639.75</v>
      </c>
      <c r="C7" s="40">
        <v>960.91666666666663</v>
      </c>
      <c r="D7" s="40">
        <v>39.75</v>
      </c>
      <c r="E7" s="40">
        <v>3076.4166666666665</v>
      </c>
      <c r="F7" s="40">
        <v>1067.0833333333333</v>
      </c>
      <c r="G7" s="51">
        <f t="shared" si="0"/>
        <v>12783.916666666666</v>
      </c>
      <c r="H7" s="37">
        <f t="shared" si="3"/>
        <v>11677.083333333332</v>
      </c>
      <c r="I7" s="6">
        <f t="shared" si="1"/>
        <v>11717</v>
      </c>
      <c r="J7" s="6"/>
      <c r="M7" s="75" t="s">
        <v>53</v>
      </c>
      <c r="N7" s="73">
        <f>N6*(1+N2)</f>
        <v>11726.333743639972</v>
      </c>
      <c r="O7" s="73">
        <f t="shared" ref="O7:T7" si="7">O6*(1+O2)</f>
        <v>11858.706983573229</v>
      </c>
      <c r="P7" s="73">
        <f t="shared" si="7"/>
        <v>12142.120901358065</v>
      </c>
      <c r="Q7" s="73">
        <f t="shared" si="7"/>
        <v>12268.044911702309</v>
      </c>
      <c r="R7" s="73">
        <f t="shared" si="7"/>
        <v>12356.884110167248</v>
      </c>
      <c r="S7" s="73">
        <f t="shared" si="7"/>
        <v>12421.769146576582</v>
      </c>
      <c r="T7" s="73">
        <f t="shared" si="7"/>
        <v>12412.824552490161</v>
      </c>
    </row>
    <row r="8" spans="1:20" x14ac:dyDescent="0.2">
      <c r="A8" s="4">
        <v>2019</v>
      </c>
      <c r="B8" s="82">
        <f t="shared" ref="B8:F12" si="8">(B39+B40)/2</f>
        <v>7697.5</v>
      </c>
      <c r="C8" s="82">
        <f t="shared" si="8"/>
        <v>951</v>
      </c>
      <c r="D8" s="82">
        <f t="shared" si="8"/>
        <v>39.5</v>
      </c>
      <c r="E8" s="82">
        <f t="shared" si="8"/>
        <v>3038.5</v>
      </c>
      <c r="F8" s="82">
        <f t="shared" si="8"/>
        <v>1074.5</v>
      </c>
      <c r="G8" s="51">
        <f t="shared" si="0"/>
        <v>12801</v>
      </c>
      <c r="H8" s="37">
        <f>(B8+C8+E8)</f>
        <v>11687</v>
      </c>
      <c r="I8" s="6">
        <f t="shared" si="1"/>
        <v>11727</v>
      </c>
      <c r="J8" s="93"/>
      <c r="M8" s="75" t="s">
        <v>73</v>
      </c>
      <c r="N8" s="73">
        <f>N7*(1+N2)</f>
        <v>11727.000606123871</v>
      </c>
      <c r="O8" s="73">
        <f t="shared" ref="O8:T8" si="9">O7*(1+O2)</f>
        <v>11890.595640790776</v>
      </c>
      <c r="P8" s="73">
        <f t="shared" si="9"/>
        <v>12156.509247287264</v>
      </c>
      <c r="Q8" s="73">
        <f t="shared" si="9"/>
        <v>12274.013750273158</v>
      </c>
      <c r="R8" s="73">
        <f t="shared" si="9"/>
        <v>12368.40977631328</v>
      </c>
      <c r="S8" s="73">
        <f t="shared" si="9"/>
        <v>12414.873261486144</v>
      </c>
      <c r="T8" s="73">
        <f t="shared" si="9"/>
        <v>12424.380250762788</v>
      </c>
    </row>
    <row r="9" spans="1:20" x14ac:dyDescent="0.2">
      <c r="A9" s="4">
        <v>2020</v>
      </c>
      <c r="B9" s="82">
        <f t="shared" si="8"/>
        <v>7924.5</v>
      </c>
      <c r="C9" s="82">
        <f t="shared" si="8"/>
        <v>968.5</v>
      </c>
      <c r="D9" s="82">
        <f t="shared" si="8"/>
        <v>40.5</v>
      </c>
      <c r="E9" s="82">
        <f t="shared" si="8"/>
        <v>2989.5</v>
      </c>
      <c r="F9" s="82">
        <f t="shared" si="8"/>
        <v>1105</v>
      </c>
      <c r="G9" s="51">
        <f t="shared" si="0"/>
        <v>13028</v>
      </c>
      <c r="H9" s="37">
        <f t="shared" si="3"/>
        <v>11882.5</v>
      </c>
      <c r="I9" s="6">
        <f t="shared" si="1"/>
        <v>11923</v>
      </c>
      <c r="J9" s="6"/>
      <c r="M9" s="75" t="s">
        <v>74</v>
      </c>
      <c r="N9" s="73">
        <f>N8*(1+N2)</f>
        <v>11727.667506531438</v>
      </c>
      <c r="O9" s="73">
        <f t="shared" ref="O9:T9" si="10">O8*(1+O2)</f>
        <v>11922.570048205249</v>
      </c>
      <c r="P9" s="73">
        <f t="shared" si="10"/>
        <v>12170.914643326594</v>
      </c>
      <c r="Q9" s="73">
        <f t="shared" si="10"/>
        <v>12279.985492895479</v>
      </c>
      <c r="R9" s="73">
        <f t="shared" si="10"/>
        <v>12379.946192821533</v>
      </c>
      <c r="S9" s="73">
        <f t="shared" si="10"/>
        <v>12407.981204612977</v>
      </c>
      <c r="T9" s="73">
        <f t="shared" si="10"/>
        <v>12435.946706793411</v>
      </c>
    </row>
    <row r="10" spans="1:20" x14ac:dyDescent="0.2">
      <c r="A10" s="4">
        <v>2021</v>
      </c>
      <c r="B10" s="82">
        <f t="shared" si="8"/>
        <v>8204.5</v>
      </c>
      <c r="C10" s="82">
        <f t="shared" si="8"/>
        <v>998.5</v>
      </c>
      <c r="D10" s="82">
        <f t="shared" si="8"/>
        <v>42.5</v>
      </c>
      <c r="E10" s="82">
        <f t="shared" si="8"/>
        <v>2925</v>
      </c>
      <c r="F10" s="82">
        <f t="shared" si="8"/>
        <v>1141</v>
      </c>
      <c r="G10" s="51">
        <f t="shared" si="0"/>
        <v>13311.5</v>
      </c>
      <c r="H10" s="37">
        <f t="shared" si="3"/>
        <v>12128</v>
      </c>
      <c r="I10" s="6">
        <f>ROUND(B10+C10+D10+E10,0)</f>
        <v>12171</v>
      </c>
      <c r="J10" s="6"/>
      <c r="M10" s="75" t="s">
        <v>75</v>
      </c>
      <c r="N10" s="73">
        <f>N9*(1+N2)</f>
        <v>11728.334444864828</v>
      </c>
      <c r="O10" s="73">
        <f t="shared" ref="O10:T10" si="11">O9*(1+O2)</f>
        <v>11954.630436403226</v>
      </c>
      <c r="P10" s="73">
        <f t="shared" si="11"/>
        <v>12185.33710968034</v>
      </c>
      <c r="Q10" s="73">
        <f t="shared" si="11"/>
        <v>12285.960140982195</v>
      </c>
      <c r="R10" s="73">
        <f t="shared" si="11"/>
        <v>12391.493369719219</v>
      </c>
      <c r="S10" s="73">
        <f t="shared" si="11"/>
        <v>12401.092973831865</v>
      </c>
      <c r="T10" s="73">
        <f t="shared" si="11"/>
        <v>12447.523930596944</v>
      </c>
    </row>
    <row r="11" spans="1:20" x14ac:dyDescent="0.2">
      <c r="A11" s="4">
        <v>2022</v>
      </c>
      <c r="B11" s="82">
        <f t="shared" si="8"/>
        <v>8360.5</v>
      </c>
      <c r="C11" s="82">
        <f t="shared" si="8"/>
        <v>1025</v>
      </c>
      <c r="D11" s="82">
        <f t="shared" si="8"/>
        <v>45.5</v>
      </c>
      <c r="E11" s="82">
        <f t="shared" si="8"/>
        <v>2848.5</v>
      </c>
      <c r="F11" s="82">
        <f t="shared" si="8"/>
        <v>1146</v>
      </c>
      <c r="G11" s="51">
        <f t="shared" si="0"/>
        <v>13425.5</v>
      </c>
      <c r="H11" s="37">
        <f t="shared" si="3"/>
        <v>12234</v>
      </c>
      <c r="I11" s="6">
        <f t="shared" si="1"/>
        <v>12280</v>
      </c>
      <c r="J11" s="6"/>
      <c r="K11" s="116"/>
      <c r="L11" s="116"/>
      <c r="M11" s="75" t="s">
        <v>76</v>
      </c>
      <c r="N11" s="73">
        <f>N10*(1+N2)</f>
        <v>11729.001421126197</v>
      </c>
      <c r="O11" s="73">
        <f t="shared" ref="O11:T11" si="12">O10*(1+O2)</f>
        <v>11986.777036591338</v>
      </c>
      <c r="P11" s="73">
        <f t="shared" si="12"/>
        <v>12199.776666576729</v>
      </c>
      <c r="Q11" s="73">
        <f t="shared" si="12"/>
        <v>12291.937695946919</v>
      </c>
      <c r="R11" s="73">
        <f t="shared" si="12"/>
        <v>12403.0513170429</v>
      </c>
      <c r="S11" s="73">
        <f t="shared" si="12"/>
        <v>12394.20856701877</v>
      </c>
      <c r="T11" s="73">
        <f t="shared" si="12"/>
        <v>12459.111932197629</v>
      </c>
    </row>
    <row r="12" spans="1:20" x14ac:dyDescent="0.2">
      <c r="A12" s="4">
        <v>2023</v>
      </c>
      <c r="B12" s="82">
        <f t="shared" si="8"/>
        <v>8485</v>
      </c>
      <c r="C12" s="82">
        <f>(C43+C44)/2</f>
        <v>1055</v>
      </c>
      <c r="D12" s="82">
        <f t="shared" si="8"/>
        <v>47</v>
      </c>
      <c r="E12" s="82">
        <f t="shared" si="8"/>
        <v>2793</v>
      </c>
      <c r="F12" s="82">
        <f t="shared" si="8"/>
        <v>1131.5</v>
      </c>
      <c r="G12" s="51">
        <f t="shared" si="0"/>
        <v>13511.5</v>
      </c>
      <c r="H12" s="37">
        <f t="shared" si="3"/>
        <v>12333</v>
      </c>
      <c r="I12" s="6">
        <f>ROUND(B12+C12+D12+E12,0)</f>
        <v>12380</v>
      </c>
      <c r="J12" s="42"/>
      <c r="K12" s="76"/>
      <c r="L12" s="76"/>
      <c r="M12" s="75" t="s">
        <v>77</v>
      </c>
      <c r="N12" s="73">
        <f>N11*(1+N2)</f>
        <v>11729.668435317704</v>
      </c>
      <c r="O12" s="73">
        <f t="shared" ref="O12:T12" si="13">O11*(1+O2)</f>
        <v>12019.010080597949</v>
      </c>
      <c r="P12" s="73">
        <f t="shared" si="13"/>
        <v>12214.233334267959</v>
      </c>
      <c r="Q12" s="73">
        <f t="shared" si="13"/>
        <v>12297.918159203949</v>
      </c>
      <c r="R12" s="73">
        <f t="shared" si="13"/>
        <v>12414.620044838503</v>
      </c>
      <c r="S12" s="73">
        <f t="shared" si="13"/>
        <v>12387.327982050836</v>
      </c>
      <c r="T12" s="73">
        <f t="shared" si="13"/>
        <v>12470.710721629039</v>
      </c>
    </row>
    <row r="13" spans="1:20" x14ac:dyDescent="0.2">
      <c r="A13" s="4">
        <v>2024</v>
      </c>
      <c r="B13" s="56">
        <f>B12*B31</f>
        <v>8552.6342340088631</v>
      </c>
      <c r="C13" s="56">
        <f>C12*C31</f>
        <v>1053.9676362410144</v>
      </c>
      <c r="D13" s="56">
        <f>D12*D31</f>
        <v>46.119647750507838</v>
      </c>
      <c r="E13" s="56">
        <f>E12*E31</f>
        <v>2754.9005685292791</v>
      </c>
      <c r="F13" s="56">
        <f>F12*F31</f>
        <v>1143.6589397398568</v>
      </c>
      <c r="G13" s="51">
        <f t="shared" si="0"/>
        <v>13551.28102626952</v>
      </c>
      <c r="H13" s="37">
        <f>(B13+C13+E13)</f>
        <v>12361.502438779156</v>
      </c>
      <c r="I13" s="6">
        <f t="shared" si="1"/>
        <v>12408</v>
      </c>
      <c r="J13" s="42"/>
      <c r="K13" s="76"/>
      <c r="L13" s="76"/>
      <c r="M13" s="75" t="s">
        <v>78</v>
      </c>
      <c r="N13" s="73">
        <f>N12*(1+N2)</f>
        <v>11730.335487441505</v>
      </c>
      <c r="O13" s="73">
        <f t="shared" ref="O13:T13" si="14">O12*(1+O2)</f>
        <v>12051.329800874817</v>
      </c>
      <c r="P13" s="73">
        <f t="shared" si="14"/>
        <v>12228.70713303023</v>
      </c>
      <c r="Q13" s="73">
        <f t="shared" si="14"/>
        <v>12303.901532168275</v>
      </c>
      <c r="R13" s="73">
        <f t="shared" si="14"/>
        <v>12426.199563161323</v>
      </c>
      <c r="S13" s="73">
        <f t="shared" si="14"/>
        <v>12380.451216806383</v>
      </c>
      <c r="T13" s="73">
        <f t="shared" si="14"/>
        <v>12482.320308934086</v>
      </c>
    </row>
    <row r="14" spans="1:20" x14ac:dyDescent="0.2">
      <c r="A14" s="4">
        <v>2025</v>
      </c>
      <c r="B14" s="15">
        <f>B13*B31</f>
        <v>8620.8075828804213</v>
      </c>
      <c r="C14" s="15">
        <f>C13*C31</f>
        <v>1052.9362826952333</v>
      </c>
      <c r="D14" s="56">
        <f>D13*D31</f>
        <v>45.255785290019631</v>
      </c>
      <c r="E14" s="15">
        <f>E13*E31</f>
        <v>2717.3208530193142</v>
      </c>
      <c r="F14" s="15">
        <f>F13*F31</f>
        <v>1155.948537734771</v>
      </c>
      <c r="G14" s="51">
        <f t="shared" si="0"/>
        <v>13592.269041619758</v>
      </c>
      <c r="H14" s="37">
        <f t="shared" si="3"/>
        <v>12391.064718594967</v>
      </c>
      <c r="I14" s="6">
        <f t="shared" si="1"/>
        <v>12436</v>
      </c>
      <c r="J14" s="42"/>
      <c r="K14" s="76"/>
      <c r="L14" s="76"/>
      <c r="M14" s="77" t="s">
        <v>79</v>
      </c>
      <c r="N14" s="78">
        <f>N13*(1+N2)</f>
        <v>11731.002577499758</v>
      </c>
      <c r="O14" s="78">
        <f t="shared" ref="O14:T14" si="15">O13*(1+O2)</f>
        <v>12083.736430498775</v>
      </c>
      <c r="P14" s="78">
        <f t="shared" si="15"/>
        <v>12243.198083163763</v>
      </c>
      <c r="Q14" s="78">
        <f t="shared" si="15"/>
        <v>12309.887816255568</v>
      </c>
      <c r="R14" s="78">
        <f t="shared" si="15"/>
        <v>12437.789882076033</v>
      </c>
      <c r="S14" s="78">
        <f t="shared" si="15"/>
        <v>12373.578269164911</v>
      </c>
      <c r="T14" s="78">
        <f t="shared" si="15"/>
        <v>12493.940704165032</v>
      </c>
    </row>
    <row r="15" spans="1:20" x14ac:dyDescent="0.2">
      <c r="A15" s="14"/>
      <c r="I15" s="6"/>
      <c r="M15" s="75"/>
      <c r="N15" s="73"/>
      <c r="O15" s="73"/>
    </row>
    <row r="16" spans="1:20" x14ac:dyDescent="0.2">
      <c r="A16" s="14" t="s">
        <v>36</v>
      </c>
      <c r="B16" s="5"/>
      <c r="C16" s="5"/>
      <c r="D16" s="5"/>
      <c r="E16" s="5"/>
      <c r="F16" s="17"/>
      <c r="M16" s="75" t="s">
        <v>105</v>
      </c>
      <c r="N16" s="73">
        <f>AVERAGE(N3:N14)</f>
        <v>11727.334277555334</v>
      </c>
      <c r="O16" s="73">
        <f t="shared" ref="O16:T16" si="16">AVERAGE(O4:O14)</f>
        <v>11922.999956463191</v>
      </c>
      <c r="P16" s="73">
        <f t="shared" si="16"/>
        <v>12170.999995066268</v>
      </c>
      <c r="Q16" s="73">
        <f t="shared" si="16"/>
        <v>12280.000020222271</v>
      </c>
      <c r="R16" s="73">
        <f t="shared" si="16"/>
        <v>12379.999994834165</v>
      </c>
      <c r="S16" s="73">
        <f t="shared" si="16"/>
        <v>12408.000335081508</v>
      </c>
      <c r="T16" s="73">
        <f t="shared" si="16"/>
        <v>12436.000545723231</v>
      </c>
    </row>
    <row r="17" spans="1:20" x14ac:dyDescent="0.2">
      <c r="A17" s="14"/>
      <c r="B17" s="5"/>
      <c r="C17" s="5"/>
      <c r="D17" s="5"/>
      <c r="E17" s="5"/>
      <c r="F17" s="17"/>
      <c r="N17" s="6">
        <f>I8</f>
        <v>11727</v>
      </c>
      <c r="O17" s="6">
        <f>I9</f>
        <v>11923</v>
      </c>
      <c r="P17" s="6">
        <f>I10</f>
        <v>12171</v>
      </c>
      <c r="Q17" s="6">
        <f>I11</f>
        <v>12280</v>
      </c>
      <c r="R17" s="6">
        <f>I12</f>
        <v>12380</v>
      </c>
      <c r="S17" s="6">
        <f>I13</f>
        <v>12408</v>
      </c>
      <c r="T17" s="6">
        <f>I14</f>
        <v>12436</v>
      </c>
    </row>
    <row r="18" spans="1:20" x14ac:dyDescent="0.2">
      <c r="A18" s="4">
        <v>2014</v>
      </c>
      <c r="B18" s="17"/>
      <c r="C18" s="17"/>
      <c r="D18" s="17"/>
      <c r="E18" s="17"/>
      <c r="F18" s="17"/>
      <c r="N18" s="6">
        <f>N16-N17</f>
        <v>0.33427755533375603</v>
      </c>
      <c r="O18" s="6">
        <f t="shared" ref="O18:T18" si="17">O16-O17</f>
        <v>-4.3536809243960306E-5</v>
      </c>
      <c r="P18" s="6">
        <f t="shared" si="17"/>
        <v>-4.9337322707287967E-6</v>
      </c>
      <c r="Q18" s="6">
        <f t="shared" si="17"/>
        <v>2.0222270904923789E-5</v>
      </c>
      <c r="R18" s="6">
        <f t="shared" si="17"/>
        <v>-5.165835318621248E-6</v>
      </c>
      <c r="S18" s="6">
        <f t="shared" si="17"/>
        <v>3.3508150772831868E-4</v>
      </c>
      <c r="T18" s="6">
        <f t="shared" si="17"/>
        <v>5.4572323097090703E-4</v>
      </c>
    </row>
    <row r="19" spans="1:20" x14ac:dyDescent="0.2">
      <c r="A19" s="4">
        <f t="shared" ref="A19:A26" si="18">+A4</f>
        <v>2015</v>
      </c>
      <c r="B19" s="17">
        <f t="shared" ref="B19:B27" si="19">B4/B3</f>
        <v>1.0110278794705716</v>
      </c>
      <c r="C19" s="17">
        <f t="shared" ref="C19:F27" si="20">C4/C3</f>
        <v>0.99851761423090346</v>
      </c>
      <c r="D19" s="17">
        <f t="shared" si="20"/>
        <v>0.97120921305182339</v>
      </c>
      <c r="E19" s="17">
        <f t="shared" si="20"/>
        <v>0.97585394581861007</v>
      </c>
      <c r="F19" s="17">
        <f t="shared" si="20"/>
        <v>1.0040088358013579</v>
      </c>
      <c r="H19" s="1"/>
    </row>
    <row r="20" spans="1:20" x14ac:dyDescent="0.2">
      <c r="A20" s="4">
        <f t="shared" si="18"/>
        <v>2016</v>
      </c>
      <c r="B20" s="17">
        <f t="shared" si="19"/>
        <v>1.0085901464001605</v>
      </c>
      <c r="C20" s="17">
        <f t="shared" si="20"/>
        <v>0.99676884114924458</v>
      </c>
      <c r="D20" s="17">
        <f t="shared" si="20"/>
        <v>0.99802371541501989</v>
      </c>
      <c r="E20" s="17">
        <f t="shared" si="20"/>
        <v>0.98866468998451895</v>
      </c>
      <c r="F20" s="17">
        <f t="shared" si="20"/>
        <v>1.0426988265971318</v>
      </c>
    </row>
    <row r="21" spans="1:20" x14ac:dyDescent="0.2">
      <c r="A21" s="4">
        <f t="shared" si="18"/>
        <v>2017</v>
      </c>
      <c r="B21" s="17">
        <f t="shared" si="19"/>
        <v>1.0069814968240818</v>
      </c>
      <c r="C21" s="17">
        <f t="shared" si="20"/>
        <v>1.0105134045908533</v>
      </c>
      <c r="D21" s="17">
        <f t="shared" si="20"/>
        <v>0.90693069306930685</v>
      </c>
      <c r="E21" s="17">
        <f t="shared" si="20"/>
        <v>0.98986172669126049</v>
      </c>
      <c r="F21" s="17">
        <f t="shared" si="20"/>
        <v>1.0034385745545484</v>
      </c>
      <c r="H21" s="17"/>
    </row>
    <row r="22" spans="1:20" x14ac:dyDescent="0.2">
      <c r="A22" s="4">
        <f t="shared" si="18"/>
        <v>2018</v>
      </c>
      <c r="B22" s="17">
        <f t="shared" si="19"/>
        <v>1.005704443981263</v>
      </c>
      <c r="C22" s="17">
        <f t="shared" si="20"/>
        <v>0.99973989942777874</v>
      </c>
      <c r="D22" s="17">
        <f t="shared" si="20"/>
        <v>1.0414847161572054</v>
      </c>
      <c r="E22" s="17">
        <f t="shared" si="20"/>
        <v>0.98981151299032089</v>
      </c>
      <c r="F22" s="17">
        <f t="shared" si="20"/>
        <v>0.99727414330218056</v>
      </c>
      <c r="K22" s="96"/>
    </row>
    <row r="23" spans="1:20" x14ac:dyDescent="0.2">
      <c r="A23" s="4">
        <f t="shared" si="18"/>
        <v>2019</v>
      </c>
      <c r="B23" s="17">
        <f t="shared" si="19"/>
        <v>1.0075591478778756</v>
      </c>
      <c r="C23" s="17">
        <f t="shared" si="20"/>
        <v>0.98967999306218024</v>
      </c>
      <c r="D23" s="17">
        <f t="shared" si="20"/>
        <v>0.99371069182389937</v>
      </c>
      <c r="E23" s="17">
        <f t="shared" si="20"/>
        <v>0.98767505485277796</v>
      </c>
      <c r="F23" s="17">
        <f t="shared" si="20"/>
        <v>1.0069504099960953</v>
      </c>
    </row>
    <row r="24" spans="1:20" x14ac:dyDescent="0.2">
      <c r="A24" s="4">
        <f t="shared" si="18"/>
        <v>2020</v>
      </c>
      <c r="B24" s="17">
        <f t="shared" si="19"/>
        <v>1.0294900941864242</v>
      </c>
      <c r="C24" s="17">
        <f t="shared" si="20"/>
        <v>1.0184016824395374</v>
      </c>
      <c r="D24" s="17">
        <f t="shared" si="20"/>
        <v>1.0253164556962024</v>
      </c>
      <c r="E24" s="17">
        <f t="shared" si="20"/>
        <v>0.98387362185288796</v>
      </c>
      <c r="F24" s="17">
        <f t="shared" si="20"/>
        <v>1.0283852954862727</v>
      </c>
      <c r="H24" s="17"/>
      <c r="K24" s="44"/>
    </row>
    <row r="25" spans="1:20" x14ac:dyDescent="0.2">
      <c r="A25" s="4">
        <f t="shared" si="18"/>
        <v>2021</v>
      </c>
      <c r="B25" s="17">
        <f t="shared" si="19"/>
        <v>1.0353334595242603</v>
      </c>
      <c r="C25" s="17">
        <f t="shared" si="20"/>
        <v>1.0309757356737224</v>
      </c>
      <c r="D25" s="17">
        <f t="shared" si="20"/>
        <v>1.0493827160493827</v>
      </c>
      <c r="E25" s="17">
        <f t="shared" si="20"/>
        <v>0.97842448569994978</v>
      </c>
      <c r="F25" s="17">
        <f t="shared" si="20"/>
        <v>1.0325791855203621</v>
      </c>
      <c r="I25" s="95"/>
    </row>
    <row r="26" spans="1:20" x14ac:dyDescent="0.2">
      <c r="A26" s="4">
        <f t="shared" si="18"/>
        <v>2022</v>
      </c>
      <c r="B26" s="17">
        <f t="shared" si="19"/>
        <v>1.0190139557559876</v>
      </c>
      <c r="C26" s="17">
        <f t="shared" si="20"/>
        <v>1.0265398097145719</v>
      </c>
      <c r="D26" s="17">
        <f t="shared" si="20"/>
        <v>1.0705882352941176</v>
      </c>
      <c r="E26" s="17">
        <f t="shared" si="20"/>
        <v>0.97384615384615381</v>
      </c>
      <c r="F26" s="17">
        <f t="shared" si="20"/>
        <v>1.0043821209465382</v>
      </c>
    </row>
    <row r="27" spans="1:20" x14ac:dyDescent="0.2">
      <c r="A27" s="4">
        <v>2023</v>
      </c>
      <c r="B27" s="17">
        <f t="shared" si="19"/>
        <v>1.014891453860415</v>
      </c>
      <c r="C27" s="17">
        <f t="shared" si="20"/>
        <v>1.0292682926829269</v>
      </c>
      <c r="D27" s="17">
        <f t="shared" si="20"/>
        <v>1.0329670329670331</v>
      </c>
      <c r="E27" s="17">
        <f>E12/E11</f>
        <v>0.98051606108478151</v>
      </c>
      <c r="F27" s="17">
        <f t="shared" si="20"/>
        <v>0.98734729493891793</v>
      </c>
    </row>
    <row r="28" spans="1:20" x14ac:dyDescent="0.2">
      <c r="A28" s="4"/>
      <c r="B28" s="17"/>
      <c r="C28" s="17"/>
      <c r="D28" s="17"/>
      <c r="E28" s="17"/>
      <c r="F28" s="17"/>
    </row>
    <row r="29" spans="1:20" x14ac:dyDescent="0.2">
      <c r="A29" s="4"/>
      <c r="B29" s="17"/>
      <c r="C29" s="17"/>
      <c r="D29" s="17"/>
      <c r="E29" s="17"/>
      <c r="F29" s="17"/>
    </row>
    <row r="31" spans="1:20" x14ac:dyDescent="0.2">
      <c r="A31" t="s">
        <v>50</v>
      </c>
      <c r="B31" s="57">
        <f>B35</f>
        <v>1.0079710352397011</v>
      </c>
      <c r="C31" s="57">
        <f t="shared" ref="C31:F31" si="21">C35</f>
        <v>0.99902145615262028</v>
      </c>
      <c r="D31" s="57">
        <f>D35</f>
        <v>0.98126910107463483</v>
      </c>
      <c r="E31" s="57">
        <f t="shared" si="21"/>
        <v>0.98635895758298564</v>
      </c>
      <c r="F31" s="57">
        <f t="shared" si="21"/>
        <v>1.0107458592486582</v>
      </c>
      <c r="G31" s="44"/>
    </row>
    <row r="32" spans="1:20" x14ac:dyDescent="0.2">
      <c r="B32" s="18"/>
      <c r="C32" s="18"/>
      <c r="D32" s="18"/>
      <c r="E32" s="18"/>
      <c r="F32" s="18"/>
    </row>
    <row r="33" spans="1:12" x14ac:dyDescent="0.2">
      <c r="A33" t="s">
        <v>10</v>
      </c>
      <c r="B33" s="18">
        <f>IF(B12="",0,GEOMEAN(B19:B27))</f>
        <v>1.015350117767039</v>
      </c>
      <c r="C33" s="18">
        <f>IF(C12="",0,GEOMEAN(C19:C27))</f>
        <v>1.011048013344702</v>
      </c>
      <c r="D33" s="18">
        <f>IF(D12="",0,GEOMEAN(D19:D27))</f>
        <v>1.0088505151007534</v>
      </c>
      <c r="E33" s="18">
        <f>IF(E12="",0,GEOMEAN(E19:E27))</f>
        <v>0.98315216515232307</v>
      </c>
      <c r="F33" s="18">
        <f>IF(F12="",0,GEOMEAN(F19:F27))</f>
        <v>1.0117497605659946</v>
      </c>
    </row>
    <row r="34" spans="1:12" x14ac:dyDescent="0.2">
      <c r="A34" s="4"/>
      <c r="B34" s="18"/>
      <c r="C34" s="18"/>
      <c r="D34" s="18"/>
      <c r="E34" s="18"/>
      <c r="F34" s="18"/>
    </row>
    <row r="35" spans="1:12" x14ac:dyDescent="0.2">
      <c r="A35" t="s">
        <v>10</v>
      </c>
      <c r="B35" s="18">
        <f>IF(B12="",0,GEOMEAN(B19:B23))</f>
        <v>1.0079710352397011</v>
      </c>
      <c r="C35" s="18">
        <f>IF(C12="",0,GEOMEAN(C19:C23))</f>
        <v>0.99902145615262028</v>
      </c>
      <c r="D35" s="18">
        <f>IF(D12="",0,GEOMEAN(D19:D23))</f>
        <v>0.98126910107463483</v>
      </c>
      <c r="E35" s="18">
        <f>IF(E12="",0,GEOMEAN(E19:E23))</f>
        <v>0.98635895758298564</v>
      </c>
      <c r="F35" s="18">
        <f>IF(F12="",0,GEOMEAN(F19:F23))</f>
        <v>1.0107458592486582</v>
      </c>
    </row>
    <row r="36" spans="1:12" x14ac:dyDescent="0.2">
      <c r="A36" s="3" t="s">
        <v>112</v>
      </c>
      <c r="B36"/>
      <c r="C36"/>
      <c r="D36"/>
      <c r="E36"/>
      <c r="F36"/>
    </row>
    <row r="37" spans="1:12" x14ac:dyDescent="0.2">
      <c r="A37" s="3"/>
      <c r="B37"/>
      <c r="C37"/>
      <c r="D37"/>
      <c r="E37"/>
      <c r="F37"/>
    </row>
    <row r="38" spans="1:12" ht="25.5" x14ac:dyDescent="0.2">
      <c r="A38" s="3" t="s">
        <v>88</v>
      </c>
      <c r="B38" s="9" t="str">
        <f>B2</f>
        <v>R1(i) Residential</v>
      </c>
      <c r="C38" s="9" t="str">
        <f t="shared" ref="C38:F38" si="22">C2</f>
        <v>R1(ii) GS &lt; 50 kW</v>
      </c>
      <c r="D38" s="9" t="str">
        <f t="shared" si="22"/>
        <v>R2 GS&gt;50 kW</v>
      </c>
      <c r="E38" s="9" t="str">
        <f t="shared" si="22"/>
        <v>Seasonal</v>
      </c>
      <c r="F38" s="9" t="str">
        <f t="shared" si="22"/>
        <v>Street Lights</v>
      </c>
    </row>
    <row r="39" spans="1:12" x14ac:dyDescent="0.2">
      <c r="A39" s="4">
        <f>A7</f>
        <v>2018</v>
      </c>
      <c r="B39" s="40">
        <v>7663</v>
      </c>
      <c r="C39" s="40">
        <v>961</v>
      </c>
      <c r="D39" s="40">
        <v>39</v>
      </c>
      <c r="E39" s="40">
        <v>3058</v>
      </c>
      <c r="F39" s="40">
        <v>1075</v>
      </c>
      <c r="H39" s="37"/>
      <c r="L39" s="97"/>
    </row>
    <row r="40" spans="1:12" x14ac:dyDescent="0.2">
      <c r="A40" s="4">
        <v>2019</v>
      </c>
      <c r="B40" s="40">
        <v>7732</v>
      </c>
      <c r="C40" s="40">
        <v>941</v>
      </c>
      <c r="D40" s="40">
        <v>40</v>
      </c>
      <c r="E40" s="40">
        <v>3019</v>
      </c>
      <c r="F40" s="40">
        <v>1074</v>
      </c>
      <c r="H40" s="37"/>
    </row>
    <row r="41" spans="1:12" x14ac:dyDescent="0.2">
      <c r="A41" s="4">
        <v>2020</v>
      </c>
      <c r="B41" s="40">
        <v>8117</v>
      </c>
      <c r="C41" s="40">
        <v>996</v>
      </c>
      <c r="D41" s="40">
        <v>41</v>
      </c>
      <c r="E41" s="40">
        <v>2960</v>
      </c>
      <c r="F41" s="40">
        <v>1136</v>
      </c>
      <c r="H41" s="37"/>
    </row>
    <row r="42" spans="1:12" x14ac:dyDescent="0.2">
      <c r="A42" s="4">
        <v>2021</v>
      </c>
      <c r="B42" s="40">
        <v>8292</v>
      </c>
      <c r="C42" s="40">
        <v>1001</v>
      </c>
      <c r="D42" s="40">
        <v>44</v>
      </c>
      <c r="E42" s="40">
        <v>2890</v>
      </c>
      <c r="F42" s="40">
        <v>1146</v>
      </c>
      <c r="H42" s="37"/>
    </row>
    <row r="43" spans="1:12" x14ac:dyDescent="0.2">
      <c r="A43" s="4">
        <v>2022</v>
      </c>
      <c r="B43" s="40">
        <v>8429</v>
      </c>
      <c r="C43" s="40">
        <v>1049</v>
      </c>
      <c r="D43" s="40">
        <v>47</v>
      </c>
      <c r="E43" s="40">
        <v>2807</v>
      </c>
      <c r="F43" s="40">
        <v>1146</v>
      </c>
      <c r="H43" s="37"/>
    </row>
    <row r="44" spans="1:12" x14ac:dyDescent="0.2">
      <c r="A44" s="4">
        <v>2023</v>
      </c>
      <c r="B44" s="94">
        <v>8541</v>
      </c>
      <c r="C44" s="94">
        <v>1061</v>
      </c>
      <c r="D44" s="94">
        <v>47</v>
      </c>
      <c r="E44" s="94">
        <v>2779</v>
      </c>
      <c r="F44" s="94">
        <v>1117</v>
      </c>
    </row>
    <row r="45" spans="1:12" x14ac:dyDescent="0.2">
      <c r="A45" s="3"/>
      <c r="B45"/>
      <c r="C45"/>
      <c r="D45"/>
      <c r="E45"/>
      <c r="F45"/>
    </row>
    <row r="46" spans="1:12" x14ac:dyDescent="0.2">
      <c r="A46" s="3"/>
      <c r="B46"/>
      <c r="C46"/>
      <c r="D46"/>
      <c r="E46"/>
      <c r="F46"/>
    </row>
    <row r="47" spans="1:12" x14ac:dyDescent="0.2">
      <c r="A47" s="3"/>
      <c r="B47"/>
      <c r="C47"/>
      <c r="D47"/>
      <c r="E47"/>
      <c r="F47"/>
    </row>
    <row r="48" spans="1:12" x14ac:dyDescent="0.2">
      <c r="A48" s="3"/>
      <c r="B48"/>
      <c r="C48"/>
      <c r="D48"/>
      <c r="E48"/>
      <c r="F48"/>
    </row>
    <row r="49" spans="1:6" x14ac:dyDescent="0.2">
      <c r="A49" s="3"/>
      <c r="B49"/>
      <c r="C49"/>
      <c r="D49"/>
      <c r="E49"/>
      <c r="F49"/>
    </row>
    <row r="50" spans="1:6" x14ac:dyDescent="0.2">
      <c r="A50" s="3"/>
      <c r="B50"/>
      <c r="C50"/>
      <c r="D50"/>
      <c r="E50"/>
      <c r="F50"/>
    </row>
    <row r="51" spans="1:6" x14ac:dyDescent="0.2">
      <c r="A51" s="3"/>
      <c r="B51"/>
      <c r="C51"/>
      <c r="D51"/>
      <c r="E51"/>
      <c r="F51"/>
    </row>
    <row r="52" spans="1:6" x14ac:dyDescent="0.2">
      <c r="A52" s="3"/>
      <c r="B52"/>
      <c r="C52"/>
      <c r="D52"/>
      <c r="E52"/>
      <c r="F52"/>
    </row>
    <row r="53" spans="1:6" x14ac:dyDescent="0.2">
      <c r="A53" s="3"/>
      <c r="B53"/>
      <c r="C53"/>
      <c r="D53"/>
      <c r="E53"/>
      <c r="F53"/>
    </row>
    <row r="54" spans="1:6" x14ac:dyDescent="0.2">
      <c r="A54" s="3"/>
      <c r="B54"/>
      <c r="C54"/>
      <c r="D54"/>
      <c r="E54"/>
      <c r="F54"/>
    </row>
    <row r="55" spans="1:6" x14ac:dyDescent="0.2">
      <c r="A55" s="3"/>
      <c r="B55"/>
      <c r="C55"/>
      <c r="D55"/>
      <c r="E55"/>
      <c r="F55"/>
    </row>
    <row r="56" spans="1:6" x14ac:dyDescent="0.2">
      <c r="A56" s="3"/>
      <c r="B56"/>
      <c r="C56"/>
      <c r="D56"/>
      <c r="E56"/>
      <c r="F56"/>
    </row>
    <row r="57" spans="1:6" x14ac:dyDescent="0.2">
      <c r="A57" s="3"/>
      <c r="B57"/>
      <c r="C57"/>
      <c r="D57"/>
      <c r="E57"/>
      <c r="F57"/>
    </row>
    <row r="58" spans="1:6" x14ac:dyDescent="0.2">
      <c r="A58" s="3"/>
      <c r="B58"/>
      <c r="C58"/>
      <c r="D58"/>
      <c r="E58"/>
      <c r="F58"/>
    </row>
    <row r="59" spans="1:6" x14ac:dyDescent="0.2">
      <c r="A59" s="3"/>
      <c r="B59"/>
      <c r="C59"/>
      <c r="D59"/>
      <c r="E59"/>
      <c r="F59"/>
    </row>
    <row r="60" spans="1:6" x14ac:dyDescent="0.2">
      <c r="B60"/>
      <c r="C60"/>
      <c r="D60"/>
      <c r="E60"/>
      <c r="F60"/>
    </row>
    <row r="61" spans="1:6" x14ac:dyDescent="0.2">
      <c r="B61"/>
      <c r="C61"/>
      <c r="D61"/>
      <c r="E61"/>
      <c r="F61"/>
    </row>
    <row r="62" spans="1:6" x14ac:dyDescent="0.2">
      <c r="B62"/>
      <c r="C62"/>
      <c r="D62"/>
      <c r="E62"/>
      <c r="F62"/>
    </row>
    <row r="63" spans="1:6" x14ac:dyDescent="0.2">
      <c r="B63"/>
      <c r="C63"/>
      <c r="D63"/>
      <c r="E63"/>
      <c r="F63"/>
    </row>
    <row r="64" spans="1:6" x14ac:dyDescent="0.2">
      <c r="B64"/>
      <c r="C64"/>
      <c r="D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</sheetData>
  <mergeCells count="2">
    <mergeCell ref="B1:F1"/>
    <mergeCell ref="K11:L11"/>
  </mergeCells>
  <phoneticPr fontId="0" type="noConversion"/>
  <pageMargins left="0.38" right="0.75" top="0.73" bottom="0.74" header="0.5" footer="0.5"/>
  <pageSetup scale="40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L55"/>
  <sheetViews>
    <sheetView topLeftCell="A4" zoomScale="110" zoomScaleNormal="110" workbookViewId="0">
      <selection activeCell="J28" sqref="J28"/>
    </sheetView>
  </sheetViews>
  <sheetFormatPr defaultRowHeight="12.75" x14ac:dyDescent="0.2"/>
  <cols>
    <col min="1" max="1" width="11" customWidth="1"/>
    <col min="2" max="2" width="14.140625" style="6" bestFit="1" customWidth="1"/>
    <col min="3" max="3" width="14.140625" style="6" customWidth="1"/>
    <col min="4" max="4" width="13.42578125" customWidth="1"/>
    <col min="5" max="5" width="13" customWidth="1"/>
    <col min="6" max="6" width="13.42578125" customWidth="1"/>
    <col min="7" max="7" width="12.5703125" bestFit="1" customWidth="1"/>
    <col min="9" max="9" width="12.42578125" style="6" bestFit="1" customWidth="1"/>
    <col min="10" max="10" width="13.42578125" bestFit="1" customWidth="1"/>
    <col min="11" max="12" width="9.140625" style="6" customWidth="1"/>
  </cols>
  <sheetData>
    <row r="1" spans="1:9" x14ac:dyDescent="0.2">
      <c r="B1" s="8" t="str">
        <f>'Rate Class Customer Model'!D2</f>
        <v>R2 GS&gt;50 kW</v>
      </c>
      <c r="C1" s="8" t="str">
        <f>'Rate Class Energy Model'!L2</f>
        <v>Street Lights</v>
      </c>
      <c r="D1" s="54" t="s">
        <v>7</v>
      </c>
      <c r="I1" s="8"/>
    </row>
    <row r="2" spans="1:9" x14ac:dyDescent="0.2">
      <c r="A2" s="22">
        <f>+'Rate Class Customer Model'!A3</f>
        <v>2014</v>
      </c>
      <c r="B2" s="40">
        <v>196688</v>
      </c>
      <c r="C2" s="83">
        <v>2227</v>
      </c>
      <c r="D2" s="51">
        <f t="shared" ref="D2:D13" si="0">SUM(B2:C2)</f>
        <v>198915</v>
      </c>
    </row>
    <row r="3" spans="1:9" x14ac:dyDescent="0.2">
      <c r="A3" s="22">
        <f>+'Rate Class Customer Model'!A4</f>
        <v>2015</v>
      </c>
      <c r="B3" s="40">
        <v>208261</v>
      </c>
      <c r="C3" s="83">
        <v>2128</v>
      </c>
      <c r="D3" s="51">
        <f t="shared" si="0"/>
        <v>210389</v>
      </c>
      <c r="I3" s="41"/>
    </row>
    <row r="4" spans="1:9" x14ac:dyDescent="0.2">
      <c r="A4" s="22">
        <f>+'Rate Class Customer Model'!A5</f>
        <v>2016</v>
      </c>
      <c r="B4" s="40">
        <v>217368.6</v>
      </c>
      <c r="C4" s="83">
        <v>1623</v>
      </c>
      <c r="D4" s="51">
        <f t="shared" si="0"/>
        <v>218991.6</v>
      </c>
      <c r="I4" s="41"/>
    </row>
    <row r="5" spans="1:9" x14ac:dyDescent="0.2">
      <c r="A5" s="22">
        <f>+'Rate Class Customer Model'!A6</f>
        <v>2017</v>
      </c>
      <c r="B5" s="40">
        <v>210836.1</v>
      </c>
      <c r="C5" s="83">
        <v>1619</v>
      </c>
      <c r="D5" s="51">
        <f t="shared" si="0"/>
        <v>212455.1</v>
      </c>
      <c r="I5" s="41"/>
    </row>
    <row r="6" spans="1:9" x14ac:dyDescent="0.2">
      <c r="A6" s="22">
        <f>+'Rate Class Customer Model'!A7</f>
        <v>2018</v>
      </c>
      <c r="B6" s="40">
        <v>234798.30000000002</v>
      </c>
      <c r="C6" s="83">
        <v>1580.78</v>
      </c>
      <c r="D6" s="51">
        <f t="shared" si="0"/>
        <v>236379.08000000002</v>
      </c>
      <c r="I6" s="41"/>
    </row>
    <row r="7" spans="1:9" x14ac:dyDescent="0.2">
      <c r="A7" s="22">
        <f>+'Rate Class Customer Model'!A8</f>
        <v>2019</v>
      </c>
      <c r="B7" s="40">
        <v>243009.88000000006</v>
      </c>
      <c r="C7" s="83">
        <v>1574</v>
      </c>
      <c r="D7" s="51">
        <f t="shared" si="0"/>
        <v>244583.88000000006</v>
      </c>
      <c r="I7" s="41"/>
    </row>
    <row r="8" spans="1:9" x14ac:dyDescent="0.2">
      <c r="A8" s="22">
        <f>+'Rate Class Customer Model'!A9</f>
        <v>2020</v>
      </c>
      <c r="B8" s="40">
        <v>232896.94000000003</v>
      </c>
      <c r="C8" s="83">
        <v>1635.91</v>
      </c>
      <c r="D8" s="51">
        <f t="shared" si="0"/>
        <v>234532.85000000003</v>
      </c>
    </row>
    <row r="9" spans="1:9" x14ac:dyDescent="0.2">
      <c r="A9" s="22">
        <f>+'Rate Class Customer Model'!A10</f>
        <v>2021</v>
      </c>
      <c r="B9" s="40">
        <v>251732.03000000003</v>
      </c>
      <c r="C9" s="83">
        <v>1593.23</v>
      </c>
      <c r="D9" s="51">
        <f t="shared" si="0"/>
        <v>253325.26000000004</v>
      </c>
    </row>
    <row r="10" spans="1:9" x14ac:dyDescent="0.2">
      <c r="A10" s="22">
        <f>+'Rate Class Customer Model'!A11</f>
        <v>2022</v>
      </c>
      <c r="B10" s="40">
        <v>260826.09999999986</v>
      </c>
      <c r="C10" s="83">
        <v>1705.9</v>
      </c>
      <c r="D10" s="51">
        <f t="shared" si="0"/>
        <v>262531.99999999988</v>
      </c>
    </row>
    <row r="11" spans="1:9" x14ac:dyDescent="0.2">
      <c r="A11" s="22">
        <f>+'Rate Class Customer Model'!A12</f>
        <v>2023</v>
      </c>
      <c r="B11" s="40">
        <v>278055</v>
      </c>
      <c r="C11" s="40">
        <v>1505</v>
      </c>
      <c r="D11" s="51">
        <f t="shared" si="0"/>
        <v>279560</v>
      </c>
    </row>
    <row r="12" spans="1:9" x14ac:dyDescent="0.2">
      <c r="A12" s="22">
        <f>+'Rate Class Customer Model'!A13</f>
        <v>2024</v>
      </c>
      <c r="B12" s="23">
        <f>$B$27*'Rate Class Energy Model'!J32</f>
        <v>288517.10581246525</v>
      </c>
      <c r="C12" s="23">
        <f>$C$27*'Rate Class Energy Model'!L32</f>
        <v>1516.7286502860061</v>
      </c>
      <c r="D12" s="51">
        <f t="shared" si="0"/>
        <v>290033.83446275123</v>
      </c>
    </row>
    <row r="13" spans="1:9" x14ac:dyDescent="0.2">
      <c r="A13" s="22">
        <f>+'Rate Class Customer Model'!A14</f>
        <v>2025</v>
      </c>
      <c r="B13" s="87">
        <f>$B$27*('Rate Class Energy Model'!J33-'Rate Class Energy Model'!J44)+B31</f>
        <v>372457.4413868101</v>
      </c>
      <c r="C13" s="23">
        <f>$C$27*'Rate Class Energy Model'!L33</f>
        <v>1533.0272028803868</v>
      </c>
      <c r="D13" s="51">
        <f t="shared" si="0"/>
        <v>373990.46858969046</v>
      </c>
    </row>
    <row r="14" spans="1:9" x14ac:dyDescent="0.2">
      <c r="A14" s="14" t="s">
        <v>103</v>
      </c>
      <c r="B14" s="6">
        <f>B13-B31</f>
        <v>285577.4413868101</v>
      </c>
    </row>
    <row r="15" spans="1:9" x14ac:dyDescent="0.2">
      <c r="A15" s="14" t="s">
        <v>51</v>
      </c>
      <c r="B15" s="5"/>
      <c r="C15" s="5"/>
      <c r="D15" s="6"/>
    </row>
    <row r="16" spans="1:9" x14ac:dyDescent="0.2">
      <c r="A16" s="22">
        <f t="shared" ref="A16:A25" si="1">+A2</f>
        <v>2014</v>
      </c>
      <c r="B16" s="55">
        <f>B2/'Rate Class Energy Model'!J3</f>
        <v>2.3563715366026884E-3</v>
      </c>
      <c r="C16" s="55">
        <f>C2/'Rate Class Energy Model'!L3</f>
        <v>2.8651610440507897E-3</v>
      </c>
      <c r="I16" s="20"/>
    </row>
    <row r="17" spans="1:9" x14ac:dyDescent="0.2">
      <c r="A17" s="22">
        <f t="shared" si="1"/>
        <v>2015</v>
      </c>
      <c r="B17" s="55">
        <f>B3/'Rate Class Energy Model'!J4</f>
        <v>2.4068351562067402E-3</v>
      </c>
      <c r="C17" s="55">
        <f>C3/'Rate Class Energy Model'!L4</f>
        <v>2.8652357632588175E-3</v>
      </c>
      <c r="I17" s="20"/>
    </row>
    <row r="18" spans="1:9" x14ac:dyDescent="0.2">
      <c r="A18" s="22">
        <f t="shared" si="1"/>
        <v>2016</v>
      </c>
      <c r="B18" s="55">
        <f>B4/'Rate Class Energy Model'!J5</f>
        <v>2.4265606572213025E-3</v>
      </c>
      <c r="C18" s="55">
        <f>C4/'Rate Class Energy Model'!L5</f>
        <v>2.7763740999022539E-3</v>
      </c>
      <c r="I18" s="20"/>
    </row>
    <row r="19" spans="1:9" x14ac:dyDescent="0.2">
      <c r="A19" s="22">
        <f t="shared" si="1"/>
        <v>2017</v>
      </c>
      <c r="B19" s="55">
        <f>B5/'Rate Class Energy Model'!J6</f>
        <v>2.230783193891586E-3</v>
      </c>
      <c r="C19" s="55">
        <f>C5/'Rate Class Energy Model'!L6</f>
        <v>2.7792240385884704E-3</v>
      </c>
      <c r="I19" s="20"/>
    </row>
    <row r="20" spans="1:9" x14ac:dyDescent="0.2">
      <c r="A20" s="22">
        <f t="shared" si="1"/>
        <v>2018</v>
      </c>
      <c r="B20" s="55">
        <f>B6/'Rate Class Energy Model'!J7</f>
        <v>2.1465197877672771E-3</v>
      </c>
      <c r="C20" s="55">
        <f>C6/'Rate Class Energy Model'!L7</f>
        <v>2.7391928913163637E-3</v>
      </c>
      <c r="I20" s="20"/>
    </row>
    <row r="21" spans="1:9" x14ac:dyDescent="0.2">
      <c r="A21" s="22">
        <f t="shared" si="1"/>
        <v>2019</v>
      </c>
      <c r="B21" s="55">
        <f>B7/'Rate Class Energy Model'!J8</f>
        <v>2.1015825872624746E-3</v>
      </c>
      <c r="C21" s="55">
        <f>C7/'Rate Class Energy Model'!L8</f>
        <v>2.7802801476692627E-3</v>
      </c>
      <c r="I21" s="20"/>
    </row>
    <row r="22" spans="1:9" x14ac:dyDescent="0.2">
      <c r="A22" s="22">
        <f t="shared" si="1"/>
        <v>2020</v>
      </c>
      <c r="B22" s="55">
        <f>B8/'Rate Class Energy Model'!J9</f>
        <v>2.2524551796602506E-3</v>
      </c>
      <c r="C22" s="55">
        <f>C8/'Rate Class Energy Model'!L9</f>
        <v>2.7606470057060443E-3</v>
      </c>
      <c r="I22" s="20"/>
    </row>
    <row r="23" spans="1:9" x14ac:dyDescent="0.2">
      <c r="A23" s="22">
        <f t="shared" si="1"/>
        <v>2021</v>
      </c>
      <c r="B23" s="55">
        <f>B9/'Rate Class Energy Model'!J10</f>
        <v>2.1415808513247665E-3</v>
      </c>
      <c r="C23" s="55">
        <f>C9/'Rate Class Energy Model'!L10</f>
        <v>2.6815007032663647E-3</v>
      </c>
      <c r="I23" s="20"/>
    </row>
    <row r="24" spans="1:9" x14ac:dyDescent="0.2">
      <c r="A24" s="22">
        <f t="shared" si="1"/>
        <v>2022</v>
      </c>
      <c r="B24" s="55">
        <f>B10/'Rate Class Energy Model'!J11</f>
        <v>2.1682313446618629E-3</v>
      </c>
      <c r="C24" s="55">
        <f>C10/'Rate Class Energy Model'!L11</f>
        <v>2.8768502680298954E-3</v>
      </c>
      <c r="I24" s="20"/>
    </row>
    <row r="25" spans="1:9" x14ac:dyDescent="0.2">
      <c r="A25" s="22">
        <f t="shared" si="1"/>
        <v>2023</v>
      </c>
      <c r="B25" s="55">
        <f>B11/'Rate Class Energy Model'!J12</f>
        <v>2.1691065601769041E-3</v>
      </c>
      <c r="C25" s="55">
        <f>C11/'Rate Class Energy Model'!L12</f>
        <v>2.8006982205796421E-3</v>
      </c>
      <c r="I25" s="20"/>
    </row>
    <row r="27" spans="1:9" x14ac:dyDescent="0.2">
      <c r="A27" s="44" t="s">
        <v>50</v>
      </c>
      <c r="B27" s="20">
        <f>B29</f>
        <v>2.2400026854775853E-3</v>
      </c>
      <c r="C27" s="20">
        <f>C29</f>
        <v>2.7925164182367908E-3</v>
      </c>
    </row>
    <row r="29" spans="1:9" x14ac:dyDescent="0.2">
      <c r="A29" t="s">
        <v>9</v>
      </c>
      <c r="B29" s="20">
        <f>AVERAGE(B16:B25)</f>
        <v>2.2400026854775853E-3</v>
      </c>
      <c r="C29" s="20">
        <f>AVERAGE(C16:C25)</f>
        <v>2.7925164182367908E-3</v>
      </c>
      <c r="H29" s="20"/>
      <c r="I29" s="20"/>
    </row>
    <row r="31" spans="1:9" x14ac:dyDescent="0.2">
      <c r="A31" s="44" t="s">
        <v>93</v>
      </c>
      <c r="B31" s="86">
        <f>2*4000*12*0.905</f>
        <v>86880</v>
      </c>
    </row>
    <row r="34" spans="2:3" x14ac:dyDescent="0.2">
      <c r="B34" s="19"/>
      <c r="C34" s="19"/>
    </row>
    <row r="35" spans="2:3" x14ac:dyDescent="0.2">
      <c r="B35" s="19"/>
      <c r="C35" s="19"/>
    </row>
    <row r="54" spans="2:3" x14ac:dyDescent="0.2">
      <c r="B54" s="13"/>
      <c r="C54" s="13"/>
    </row>
    <row r="55" spans="2:3" x14ac:dyDescent="0.2">
      <c r="B55" s="13"/>
      <c r="C55" s="13"/>
    </row>
  </sheetData>
  <phoneticPr fontId="0" type="noConversion"/>
  <pageMargins left="0.38" right="0.75" top="0.73" bottom="0.74" header="0.5" footer="0.5"/>
  <pageSetup orientation="landscape" r:id="rId1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cc231c5-bbaa-4cc2-83a6-63d57c14ec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AFCB0D3BFDC4D8B654B7386CC6DD4" ma:contentTypeVersion="8" ma:contentTypeDescription="Create a new document." ma:contentTypeScope="" ma:versionID="f365d70fda3d29e572cba3d9ee9cdf59">
  <xsd:schema xmlns:xsd="http://www.w3.org/2001/XMLSchema" xmlns:xs="http://www.w3.org/2001/XMLSchema" xmlns:p="http://schemas.microsoft.com/office/2006/metadata/properties" xmlns:ns3="de606500-4634-4b3c-8b54-584db031cd0a" xmlns:ns4="6cc231c5-bbaa-4cc2-83a6-63d57c14ec1d" targetNamespace="http://schemas.microsoft.com/office/2006/metadata/properties" ma:root="true" ma:fieldsID="b42d9a8b48f57333b5159cacfda12e2a" ns3:_="" ns4:_="">
    <xsd:import namespace="de606500-4634-4b3c-8b54-584db031cd0a"/>
    <xsd:import namespace="6cc231c5-bbaa-4cc2-83a6-63d57c14ec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06500-4634-4b3c-8b54-584db031cd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231c5-bbaa-4cc2-83a6-63d57c14ec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DA762-4D17-4EC8-B320-2E70B337B5EB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6cc231c5-bbaa-4cc2-83a6-63d57c14ec1d"/>
    <ds:schemaRef ds:uri="de606500-4634-4b3c-8b54-584db031cd0a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6682609-17B8-4872-A98B-5C307DBA4B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AC7DD-65E4-4046-B48D-D2224FA20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606500-4634-4b3c-8b54-584db031cd0a"/>
    <ds:schemaRef ds:uri="6cc231c5-bbaa-4cc2-83a6-63d57c14ec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Load Forecast Summary</vt:lpstr>
      <vt:lpstr>Power Purchased Model</vt:lpstr>
      <vt:lpstr>Power Purchased Model_WN</vt:lpstr>
      <vt:lpstr>Rate Class Energy Model</vt:lpstr>
      <vt:lpstr>Rate Class Customer Model</vt:lpstr>
      <vt:lpstr>Rate Class Load Model</vt:lpstr>
      <vt:lpstr>'Load Forecast Summary'!Print_Area</vt:lpstr>
      <vt:lpstr>'Power Purchased Model'!Print_Area</vt:lpstr>
      <vt:lpstr>'Power Purchased Model_WN'!Print_Area</vt:lpstr>
      <vt:lpstr>'Rate Class Customer Model'!Print_Area</vt:lpstr>
      <vt:lpstr>'Rate Class Load Model'!Print_Area</vt:lpstr>
      <vt:lpstr>'Power Purchased Model'!Print_Titles</vt:lpstr>
      <vt:lpstr>'Power Purchased Model_WN'!Print_Titles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cp:lastPrinted>2014-03-06T15:42:29Z</cp:lastPrinted>
  <dcterms:created xsi:type="dcterms:W3CDTF">2014-03-06T15:42:29Z</dcterms:created>
  <dcterms:modified xsi:type="dcterms:W3CDTF">2024-06-01T16:54:25Z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0x010100F0CAFCB0D3BFDC4D8B654B7386CC6DD4</vt:lpwstr>
  </property>
</Properties>
</file>