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68" documentId="8_{7BB32816-6460-4F3D-8A7F-9732F487F1BE}" xr6:coauthVersionLast="47" xr6:coauthVersionMax="47" xr10:uidLastSave="{60126BE7-B94D-4774-B107-67F9ABA78463}"/>
  <bookViews>
    <workbookView xWindow="28680" yWindow="-120" windowWidth="29040" windowHeight="15840" activeTab="1" xr2:uid="{00000000-000D-0000-FFFF-FFFF00000000}"/>
  </bookViews>
  <sheets>
    <sheet name="EGD" sheetId="2" r:id="rId1"/>
    <sheet name="UG" sheetId="9" r:id="rId2"/>
  </sheets>
  <definedNames>
    <definedName name="_Order1" hidden="1">255</definedName>
    <definedName name="anscount" hidden="1">1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_1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_2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_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Beauregard">"Check Box 1"</definedName>
    <definedName name="BG_Del" hidden="1">15</definedName>
    <definedName name="BG_Ins" hidden="1">4</definedName>
    <definedName name="BG_Mod" hidden="1">6</definedName>
    <definedName name="BookType">1</definedName>
    <definedName name="CapacityCol">3</definedName>
    <definedName name="CapCostCol">38</definedName>
    <definedName name="ConditionCol">39</definedName>
    <definedName name="d" hidden="1">{"edcredit",#N/A,FALSE,"edcredit"}</definedName>
    <definedName name="d_1" hidden="1">{"edcredit",#N/A,FALSE,"edcredit"}</definedName>
    <definedName name="d_2" hidden="1">{"edcredit",#N/A,FALSE,"edcredit"}</definedName>
    <definedName name="d_3" hidden="1">{"edcredit",#N/A,FALSE,"edcredit"}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ecisions">1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uh" hidden="1">{"edcredit",#N/A,FALSE,"edcredit"}</definedName>
    <definedName name="duh_1" hidden="1">{"edcredit",#N/A,FALSE,"edcredit"}</definedName>
    <definedName name="duh_2" hidden="1">{"edcredit",#N/A,FALSE,"edcredit"}</definedName>
    <definedName name="duh_3" hidden="1">{"edcredit",#N/A,FALSE,"edcredit"}</definedName>
    <definedName name="ej" hidden="1">{"Page 1",#N/A,FALSE,"Sheet1";"Page 2",#N/A,FALSE,"Sheet1"}</definedName>
    <definedName name="ej_1" hidden="1">{"Page 1",#N/A,FALSE,"Sheet1";"Page 2",#N/A,FALSE,"Sheet1"}</definedName>
    <definedName name="ej_2" hidden="1">{"Page 1",#N/A,FALSE,"Sheet1";"Page 2",#N/A,FALSE,"Sheet1"}</definedName>
    <definedName name="ej_3" hidden="1">{"Page 1",#N/A,FALSE,"Sheet1";"Page 2",#N/A,FALSE,"Sheet1"}</definedName>
    <definedName name="essbase12month" hidden="1">{"balsheet",#N/A,FALSE,"A"}</definedName>
    <definedName name="essbase12month_1" hidden="1">{"balsheet",#N/A,FALSE,"A"}</definedName>
    <definedName name="essbase12month_2" hidden="1">{"balsheet",#N/A,FALSE,"A"}</definedName>
    <definedName name="essbase12month_3" hidden="1">{"balsheet",#N/A,FALSE,"A"}</definedName>
    <definedName name="EssLatest">"Jan"</definedName>
    <definedName name="EssOptions">"A1100000000031000000001100020_0000"</definedName>
    <definedName name="EssSamplingValue">100</definedName>
    <definedName name="EV__LASTREFTIME__" hidden="1">42282.5663078704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oStmPriceCol">40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UBCHG">#REF!+#REF!</definedName>
    <definedName name="HUBCHG_1">#REF!+#REF!</definedName>
    <definedName name="HUBCHG_2">#REF!+#REF!</definedName>
    <definedName name="HUBCHG_3">#REF!+#REF!</definedName>
    <definedName name="jh">36731.3668144675</definedName>
    <definedName name="jj" hidden="1">{"Page 1",#N/A,FALSE,"Sheet1";"Page 2",#N/A,FALSE,"Sheet1"}</definedName>
    <definedName name="jj_1" hidden="1">{"Page 1",#N/A,FALSE,"Sheet1";"Page 2",#N/A,FALSE,"Sheet1"}</definedName>
    <definedName name="jj_2" hidden="1">{"Page 1",#N/A,FALSE,"Sheet1";"Page 2",#N/A,FALSE,"Sheet1"}</definedName>
    <definedName name="jj_3" hidden="1">{"Page 1",#N/A,FALSE,"Sheet1";"Page 2",#N/A,FALSE,"Sheet1"}</definedName>
    <definedName name="k" hidden="1">{"Page 1",#N/A,FALSE,"Sheet1";"Page 2",#N/A,FALSE,"Sheet1"}</definedName>
    <definedName name="k_1" hidden="1">{"Page 1",#N/A,FALSE,"Sheet1";"Page 2",#N/A,FALSE,"Sheet1"}</definedName>
    <definedName name="k_2" hidden="1">{"Page 1",#N/A,FALSE,"Sheet1";"Page 2",#N/A,FALSE,"Sheet1"}</definedName>
    <definedName name="k_3" hidden="1">{"Page 1",#N/A,FALSE,"Sheet1";"Page 2",#N/A,FALSE,"Sheet1"}</definedName>
    <definedName name="kjb">36734.3045148148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l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TD">#N/A</definedName>
    <definedName name="m" hidden="1">{"Page 1",#N/A,FALSE,"Sheet1";"Page 2",#N/A,FALSE,"Sheet1"}</definedName>
    <definedName name="m_1" hidden="1">{"Page 1",#N/A,FALSE,"Sheet1";"Page 2",#N/A,FALSE,"Sheet1"}</definedName>
    <definedName name="m_2" hidden="1">{"Page 1",#N/A,FALSE,"Sheet1";"Page 2",#N/A,FALSE,"Sheet1"}</definedName>
    <definedName name="m_3" hidden="1">{"Page 1",#N/A,FALSE,"Sheet1";"Page 2",#N/A,FALSE,"Sheet1"}</definedName>
    <definedName name="MaxGenCol">18</definedName>
    <definedName name="May1Forecast" hidden="1">{"Page 1",#N/A,FALSE,"Sheet1";"Page 2",#N/A,FALSE,"Sheet1"}</definedName>
    <definedName name="May1Forecast_1" hidden="1">{"Page 1",#N/A,FALSE,"Sheet1";"Page 2",#N/A,FALSE,"Sheet1"}</definedName>
    <definedName name="May1Forecast_2" hidden="1">{"Page 1",#N/A,FALSE,"Sheet1";"Page 2",#N/A,FALSE,"Sheet1"}</definedName>
    <definedName name="May1Forecast_3" hidden="1">{"Page 1",#N/A,FALSE,"Sheet1";"Page 2",#N/A,FALSE,"Sheet1"}</definedName>
    <definedName name="MayForecast" hidden="1">{"Page 1",#N/A,FALSE,"Sheet1";"Page 2",#N/A,FALSE,"Sheet1"}</definedName>
    <definedName name="MayForecast_1" hidden="1">{"Page 1",#N/A,FALSE,"Sheet1";"Page 2",#N/A,FALSE,"Sheet1"}</definedName>
    <definedName name="MayForecast_2" hidden="1">{"Page 1",#N/A,FALSE,"Sheet1";"Page 2",#N/A,FALSE,"Sheet1"}</definedName>
    <definedName name="MayForecast_3" hidden="1">{"Page 1",#N/A,FALSE,"Sheet1";"Page 2",#N/A,FALSE,"Sheet1"}</definedName>
    <definedName name="MotoringPowerCol">54</definedName>
    <definedName name="mypassword" hidden="1">"chuck"</definedName>
    <definedName name="n" hidden="1">{"Page 1",#N/A,FALSE,"Sheet1";"Page 2",#N/A,FALSE,"Sheet1"}</definedName>
    <definedName name="n_1" hidden="1">{"Page 1",#N/A,FALSE,"Sheet1";"Page 2",#N/A,FALSE,"Sheet1"}</definedName>
    <definedName name="n_2" hidden="1">{"Page 1",#N/A,FALSE,"Sheet1";"Page 2",#N/A,FALSE,"Sheet1"}</definedName>
    <definedName name="n_3" hidden="1">{"Page 1",#N/A,FALSE,"Sheet1";"Page 2",#N/A,FALSE,"Sheet1"}</definedName>
    <definedName name="non_cur_assets">"="</definedName>
    <definedName name="Num_of_prepaid_startups_col">41</definedName>
    <definedName name="NvsASD">"V2003-03-30"</definedName>
    <definedName name="NvsAutoDrillOk">"VN"</definedName>
    <definedName name="NvsElapsedTime">0.0000813657388789579</definedName>
    <definedName name="NvsEndTime">37714.5221972222</definedName>
    <definedName name="NvsInstSpec">"%,FBUSINESS_UNIT,TBU_MGT,NT&amp;M,FCURRENCY_CD,VAUD"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"GL_ACCOUNT_TBL"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OPERATIONS">#N/A</definedName>
    <definedName name="Ops">#N/A</definedName>
    <definedName name="p" hidden="1">{"Page 1",#N/A,FALSE,"Sheet1";"Page 2",#N/A,FALSE,"Sheet1"}</definedName>
    <definedName name="p_1" hidden="1">{"Page 1",#N/A,FALSE,"Sheet1";"Page 2",#N/A,FALSE,"Sheet1"}</definedName>
    <definedName name="p_2" hidden="1">{"Page 1",#N/A,FALSE,"Sheet1";"Page 2",#N/A,FALSE,"Sheet1"}</definedName>
    <definedName name="p_3" hidden="1">{"Page 1",#N/A,FALSE,"Sheet1";"Page 2",#N/A,FALSE,"Sheet1"}</definedName>
    <definedName name="PartialBarrier">#N/A</definedName>
    <definedName name="PPE">#N/A</definedName>
    <definedName name="Prepaid_startup_charge_col">43</definedName>
    <definedName name="Prepaid_startup_cost_col">42</definedName>
    <definedName name="_xlnm.Print_Area" localSheetId="0">EGD!$B$1:$AC$62</definedName>
    <definedName name="_xlnm.Print_Area" localSheetId="1">UG!$B$1:$AX$59</definedName>
    <definedName name="_xlnm.Print_Titles" localSheetId="0">EGD!$B:$B</definedName>
    <definedName name="_xlnm.Print_Titles" localSheetId="1">UG!$B:$B</definedName>
    <definedName name="RampRateCol">14</definedName>
    <definedName name="rap" hidden="1">{"Page 1",#N/A,FALSE,"Sheet1";"Page 2",#N/A,FALSE,"Sheet1"}</definedName>
    <definedName name="rap_1" hidden="1">{"Page 1",#N/A,FALSE,"Sheet1";"Page 2",#N/A,FALSE,"Sheet1"}</definedName>
    <definedName name="rap_2" hidden="1">{"Page 1",#N/A,FALSE,"Sheet1";"Page 2",#N/A,FALSE,"Sheet1"}</definedName>
    <definedName name="rap_3" hidden="1">{"Page 1",#N/A,FALSE,"Sheet1";"Page 2",#N/A,FALSE,"Sheet1"}</definedName>
    <definedName name="RDVers">"2.10a"</definedName>
    <definedName name="RelPymtRateCol">15</definedName>
    <definedName name="RiskAutoStopPercChange">1.5</definedName>
    <definedName name="RiskCollectDistributionSamples">2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sc" hidden="1">{"Page 1",#N/A,FALSE,"Sheet1";"Page 2",#N/A,FALSE,"Sheet1"}</definedName>
    <definedName name="sc_1" hidden="1">{"Page 1",#N/A,FALSE,"Sheet1";"Page 2",#N/A,FALSE,"Sheet1"}</definedName>
    <definedName name="sc_2" hidden="1">{"Page 1",#N/A,FALSE,"Sheet1";"Page 2",#N/A,FALSE,"Sheet1"}</definedName>
    <definedName name="sc_3" hidden="1">{"Page 1",#N/A,FALSE,"Sheet1";"Page 2",#N/A,FALSE,"Sheet1"}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utdown_power_req_col">50</definedName>
    <definedName name="spoc" hidden="1">{"Page 1",#N/A,FALSE,"Sheet1";"Page 2",#N/A,FALSE,"Sheet1"}</definedName>
    <definedName name="spoc_1" hidden="1">{"Page 1",#N/A,FALSE,"Sheet1";"Page 2",#N/A,FALSE,"Sheet1"}</definedName>
    <definedName name="spoc_2" hidden="1">{"Page 1",#N/A,FALSE,"Sheet1";"Page 2",#N/A,FALSE,"Sheet1"}</definedName>
    <definedName name="spoc_3" hidden="1">{"Page 1",#N/A,FALSE,"Sheet1";"Page 2",#N/A,FALSE,"Sheet1"}</definedName>
    <definedName name="Startup_leadtime_gt_72hr_col">51</definedName>
    <definedName name="Startup_leadtime_lt_72_gt_8hr_col">52</definedName>
    <definedName name="Startup_leadtime_lt_8hr_col">53</definedName>
    <definedName name="T_partialbarrer">#N/A</definedName>
    <definedName name="test1" hidden="1">{"Page 1",#N/A,FALSE,"Sheet1";"Page 2",#N/A,FALSE,"Sheet1"}</definedName>
    <definedName name="test1_1" hidden="1">{"Page 1",#N/A,FALSE,"Sheet1";"Page 2",#N/A,FALSE,"Sheet1"}</definedName>
    <definedName name="test1_2" hidden="1">{"Page 1",#N/A,FALSE,"Sheet1";"Page 2",#N/A,FALSE,"Sheet1"}</definedName>
    <definedName name="test1_3" hidden="1">{"Page 1",#N/A,FALSE,"Sheet1";"Page 2",#N/A,FALSE,"Sheet1"}</definedName>
    <definedName name="test2" hidden="1">{"Page 1",#N/A,FALSE,"Sheet1";"Page 2",#N/A,FALSE,"Sheet1"}</definedName>
    <definedName name="test2_1" hidden="1">{"Page 1",#N/A,FALSE,"Sheet1";"Page 2",#N/A,FALSE,"Sheet1"}</definedName>
    <definedName name="test2_2" hidden="1">{"Page 1",#N/A,FALSE,"Sheet1";"Page 2",#N/A,FALSE,"Sheet1"}</definedName>
    <definedName name="test2_3" hidden="1">{"Page 1",#N/A,FALSE,"Sheet1";"Page 2",#N/A,FALSE,"Sheet1"}</definedName>
    <definedName name="testpage" hidden="1">{"Page 1",#N/A,FALSE,"Sheet1";"Page 2",#N/A,FALSE,"Sheet1"}</definedName>
    <definedName name="testpage_1" hidden="1">{"Page 1",#N/A,FALSE,"Sheet1";"Page 2",#N/A,FALSE,"Sheet1"}</definedName>
    <definedName name="testpage_2" hidden="1">{"Page 1",#N/A,FALSE,"Sheet1";"Page 2",#N/A,FALSE,"Sheet1"}</definedName>
    <definedName name="testpage_3" hidden="1">{"Page 1",#N/A,FALSE,"Sheet1";"Page 2",#N/A,FALSE,"Sheet1"}</definedName>
    <definedName name="TextRefCopyRangeCount" hidden="1">6</definedName>
    <definedName name="VarOMCostCol">17</definedName>
    <definedName name="What">#N/A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balsheet." hidden="1">{"balsheet",#N/A,FALSE,"A"}</definedName>
    <definedName name="wrn.balsheet._1" hidden="1">{"balsheet",#N/A,FALSE,"A"}</definedName>
    <definedName name="wrn.balsheet._2" hidden="1">{"balsheet",#N/A,FALSE,"A"}</definedName>
    <definedName name="wrn.balsheet._3" hidden="1">{"balsheet",#N/A,FALSE,"A"}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edcredit." hidden="1">{"edcredit",#N/A,FALSE,"edcredit"}</definedName>
    <definedName name="wrn.edcredit._1" hidden="1">{"edcredit",#N/A,FALSE,"edcredit"}</definedName>
    <definedName name="wrn.edcredit._2" hidden="1">{"edcredit",#N/A,FALSE,"edcredit"}</definedName>
    <definedName name="wrn.edcredit._3" hidden="1">{"edcredit",#N/A,FALSE,"edcredit"}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_1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_2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_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_1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_2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_3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Page._.1." hidden="1">{"Page 1",#N/A,FALSE,"Sheet1";"Page 2",#N/A,FALSE,"Sheet1"}</definedName>
    <definedName name="wrn.Page._.1._1" hidden="1">{"Page 1",#N/A,FALSE,"Sheet1";"Page 2",#N/A,FALSE,"Sheet1"}</definedName>
    <definedName name="wrn.Page._.1._2" hidden="1">{"Page 1",#N/A,FALSE,"Sheet1";"Page 2",#N/A,FALSE,"Sheet1"}</definedName>
    <definedName name="wrn.Page._.1._3" hidden="1">{"Page 1",#N/A,FALSE,"Sheet1";"Page 2",#N/A,FALSE,"Sheet1"}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x" hidden="1">{"Page 1",#N/A,FALSE,"Sheet1";"Page 2",#N/A,FALSE,"Sheet1"}</definedName>
    <definedName name="x_1" hidden="1">{"Page 1",#N/A,FALSE,"Sheet1";"Page 2",#N/A,FALSE,"Sheet1"}</definedName>
    <definedName name="x_2" hidden="1">{"Page 1",#N/A,FALSE,"Sheet1";"Page 2",#N/A,FALSE,"Sheet1"}</definedName>
    <definedName name="x_3" hidden="1">{"Page 1",#N/A,FALSE,"Sheet1";"Page 2",#N/A,FALSE,"Sheet1"}</definedName>
    <definedName name="Xmax_col">44</definedName>
    <definedName name="z" hidden="1">{"Page 1",#N/A,FALSE,"Sheet1";"Page 2",#N/A,FALSE,"Sheet1"}</definedName>
    <definedName name="z_1" hidden="1">{"Page 1",#N/A,FALSE,"Sheet1";"Page 2",#N/A,FALSE,"Sheet1"}</definedName>
    <definedName name="z_2" hidden="1">{"Page 1",#N/A,FALSE,"Sheet1";"Page 2",#N/A,FALSE,"Sheet1"}</definedName>
    <definedName name="z_3" hidden="1">{"Page 1",#N/A,FALSE,"Sheet1";"Page 2",#N/A,FALSE,"Sheet1"}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9" l="1"/>
  <c r="Y31" i="9"/>
  <c r="AG31" i="9"/>
  <c r="AO31" i="9"/>
  <c r="AW31" i="9"/>
  <c r="I31" i="9"/>
  <c r="B59" i="9"/>
  <c r="E59" i="9"/>
  <c r="H59" i="9"/>
  <c r="M59" i="9"/>
  <c r="P59" i="9"/>
  <c r="U59" i="9"/>
  <c r="X59" i="9"/>
  <c r="AC59" i="9"/>
  <c r="AF59" i="9"/>
  <c r="AK59" i="9"/>
  <c r="AN59" i="9"/>
  <c r="AS59" i="9"/>
  <c r="AV59" i="9"/>
  <c r="W36" i="2"/>
  <c r="I36" i="2"/>
  <c r="C36" i="2"/>
  <c r="Q36" i="2"/>
  <c r="E35" i="2"/>
  <c r="P36" i="2" l="1"/>
  <c r="E62" i="2"/>
  <c r="H62" i="2"/>
  <c r="L62" i="2"/>
  <c r="O62" i="2"/>
  <c r="S62" i="2"/>
  <c r="V62" i="2"/>
  <c r="AH29" i="9" l="1"/>
  <c r="AH30" i="9"/>
  <c r="AK29" i="9"/>
  <c r="R29" i="9"/>
  <c r="AS58" i="9"/>
  <c r="AV58" i="9"/>
  <c r="AF58" i="9"/>
  <c r="AN58" i="9"/>
  <c r="AW30" i="9"/>
  <c r="AO30" i="9"/>
  <c r="AN30" i="9"/>
  <c r="AM30" i="9"/>
  <c r="AL30" i="9"/>
  <c r="AK30" i="9"/>
  <c r="AJ30" i="9"/>
  <c r="P30" i="9"/>
  <c r="Q30" i="9" s="1"/>
  <c r="I35" i="2"/>
  <c r="AG30" i="9"/>
  <c r="AE30" i="9"/>
  <c r="Y30" i="9"/>
  <c r="I30" i="9"/>
  <c r="B58" i="9"/>
  <c r="E58" i="9"/>
  <c r="H58" i="9"/>
  <c r="M58" i="9"/>
  <c r="P58" i="9"/>
  <c r="U58" i="9"/>
  <c r="X58" i="9"/>
  <c r="AC58" i="9"/>
  <c r="P35" i="2"/>
  <c r="H61" i="2"/>
  <c r="E61" i="2"/>
  <c r="L61" i="2"/>
  <c r="O61" i="2"/>
  <c r="S61" i="2"/>
  <c r="V61" i="2"/>
  <c r="W35" i="2"/>
  <c r="AK58" i="9" l="1"/>
  <c r="AS45" i="9"/>
  <c r="G23" i="2" l="1"/>
  <c r="F15" i="2" l="1"/>
  <c r="S38" i="2"/>
  <c r="V38" i="2"/>
  <c r="S39" i="2"/>
  <c r="V39" i="2"/>
  <c r="S40" i="2"/>
  <c r="V40" i="2"/>
  <c r="S41" i="2"/>
  <c r="V41" i="2"/>
  <c r="S42" i="2"/>
  <c r="V42" i="2"/>
  <c r="S43" i="2"/>
  <c r="V43" i="2"/>
  <c r="L38" i="2"/>
  <c r="O38" i="2"/>
  <c r="L39" i="2"/>
  <c r="O39" i="2"/>
  <c r="L40" i="2"/>
  <c r="O40" i="2"/>
  <c r="L41" i="2"/>
  <c r="O41" i="2"/>
  <c r="L42" i="2"/>
  <c r="O42" i="2"/>
  <c r="L43" i="2"/>
  <c r="O43" i="2"/>
  <c r="N29" i="2" l="1"/>
  <c r="G28" i="2"/>
  <c r="G29" i="2"/>
  <c r="O49" i="2"/>
  <c r="N30" i="2" l="1"/>
  <c r="N31" i="2"/>
  <c r="V45" i="2" l="1"/>
  <c r="L29" i="2"/>
  <c r="V60" i="2" l="1"/>
  <c r="V55" i="2"/>
  <c r="V54" i="2"/>
  <c r="V53" i="2"/>
  <c r="V52" i="2"/>
  <c r="V51" i="2"/>
  <c r="V50" i="2"/>
  <c r="V49" i="2"/>
  <c r="V48" i="2"/>
  <c r="V47" i="2"/>
  <c r="V46" i="2"/>
  <c r="V44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O55" i="2"/>
  <c r="O54" i="2"/>
  <c r="O53" i="2"/>
  <c r="O52" i="2"/>
  <c r="O51" i="2"/>
  <c r="O50" i="2"/>
  <c r="O48" i="2"/>
  <c r="O47" i="2"/>
  <c r="O46" i="2"/>
  <c r="O45" i="2"/>
  <c r="O44" i="2"/>
  <c r="L56" i="2"/>
  <c r="L60" i="2"/>
  <c r="L59" i="2"/>
  <c r="L55" i="2"/>
  <c r="L54" i="2"/>
  <c r="L53" i="2"/>
  <c r="L52" i="2"/>
  <c r="L51" i="2"/>
  <c r="L50" i="2"/>
  <c r="L49" i="2"/>
  <c r="L48" i="2"/>
  <c r="L47" i="2"/>
  <c r="L46" i="2"/>
  <c r="L45" i="2"/>
  <c r="L44" i="2"/>
  <c r="Z6" i="9"/>
  <c r="AV45" i="9" l="1"/>
  <c r="AV27" i="9"/>
  <c r="AV26" i="9"/>
  <c r="X27" i="9"/>
  <c r="X26" i="9"/>
  <c r="V6" i="9"/>
  <c r="U24" i="9"/>
  <c r="U23" i="9"/>
  <c r="U22" i="9"/>
  <c r="U21" i="9"/>
  <c r="U47" i="9"/>
  <c r="U20" i="9"/>
  <c r="AM6" i="9" l="1"/>
  <c r="AL6" i="9"/>
  <c r="AU6" i="9"/>
  <c r="AT6" i="9"/>
  <c r="AF27" i="9" l="1"/>
  <c r="AF26" i="9"/>
  <c r="AN27" i="9"/>
  <c r="AN26" i="9"/>
  <c r="P27" i="9"/>
  <c r="P26" i="9"/>
  <c r="U54" i="9" l="1"/>
  <c r="U41" i="9"/>
  <c r="U46" i="9"/>
  <c r="U49" i="9"/>
  <c r="M46" i="9"/>
  <c r="M56" i="9"/>
  <c r="AS57" i="9"/>
  <c r="AS56" i="9"/>
  <c r="AV55" i="9"/>
  <c r="AS55" i="9"/>
  <c r="AV54" i="9"/>
  <c r="AS54" i="9"/>
  <c r="AV53" i="9"/>
  <c r="AS53" i="9"/>
  <c r="AV52" i="9"/>
  <c r="AS52" i="9"/>
  <c r="AV51" i="9"/>
  <c r="AS51" i="9"/>
  <c r="AV50" i="9"/>
  <c r="AS50" i="9"/>
  <c r="AV49" i="9"/>
  <c r="AS49" i="9"/>
  <c r="AV48" i="9"/>
  <c r="AS48" i="9"/>
  <c r="AV47" i="9"/>
  <c r="AS47" i="9"/>
  <c r="AV46" i="9"/>
  <c r="AS46" i="9"/>
  <c r="AV44" i="9"/>
  <c r="AS44" i="9"/>
  <c r="AV43" i="9"/>
  <c r="AS43" i="9"/>
  <c r="AV42" i="9"/>
  <c r="AS42" i="9"/>
  <c r="AV41" i="9"/>
  <c r="AS41" i="9"/>
  <c r="AV40" i="9"/>
  <c r="AS40" i="9"/>
  <c r="AV39" i="9"/>
  <c r="AS39" i="9"/>
  <c r="AV38" i="9"/>
  <c r="AS38" i="9"/>
  <c r="AV37" i="9"/>
  <c r="AS37" i="9"/>
  <c r="AV36" i="9"/>
  <c r="AS36" i="9"/>
  <c r="AV35" i="9"/>
  <c r="AS35" i="9"/>
  <c r="AV34" i="9"/>
  <c r="AS34" i="9"/>
  <c r="AN55" i="9"/>
  <c r="AK55" i="9"/>
  <c r="AN54" i="9"/>
  <c r="AK54" i="9"/>
  <c r="AN53" i="9"/>
  <c r="AK53" i="9"/>
  <c r="AN52" i="9"/>
  <c r="AK52" i="9"/>
  <c r="AN51" i="9"/>
  <c r="AK51" i="9"/>
  <c r="AN50" i="9"/>
  <c r="AK50" i="9"/>
  <c r="AN49" i="9"/>
  <c r="AK49" i="9"/>
  <c r="AN48" i="9"/>
  <c r="AK48" i="9"/>
  <c r="AN47" i="9"/>
  <c r="AK47" i="9"/>
  <c r="AN46" i="9"/>
  <c r="AK46" i="9"/>
  <c r="AN45" i="9"/>
  <c r="AK45" i="9"/>
  <c r="AN44" i="9"/>
  <c r="AK44" i="9"/>
  <c r="AN43" i="9"/>
  <c r="AK43" i="9"/>
  <c r="AN42" i="9"/>
  <c r="AK42" i="9"/>
  <c r="AN41" i="9"/>
  <c r="AK41" i="9"/>
  <c r="AN40" i="9"/>
  <c r="AK40" i="9"/>
  <c r="AN39" i="9"/>
  <c r="AK39" i="9"/>
  <c r="AN38" i="9"/>
  <c r="AK38" i="9"/>
  <c r="AN37" i="9"/>
  <c r="AK37" i="9"/>
  <c r="AN36" i="9"/>
  <c r="AK36" i="9"/>
  <c r="AN35" i="9"/>
  <c r="AK35" i="9"/>
  <c r="AN34" i="9"/>
  <c r="AK34" i="9"/>
  <c r="AF57" i="9"/>
  <c r="AC57" i="9"/>
  <c r="AF56" i="9"/>
  <c r="AC56" i="9"/>
  <c r="AF55" i="9"/>
  <c r="AC55" i="9"/>
  <c r="AF54" i="9"/>
  <c r="AC54" i="9"/>
  <c r="AF53" i="9"/>
  <c r="AC53" i="9"/>
  <c r="AF52" i="9"/>
  <c r="AC52" i="9"/>
  <c r="AF51" i="9"/>
  <c r="AC51" i="9"/>
  <c r="AF50" i="9"/>
  <c r="AC50" i="9"/>
  <c r="AF49" i="9"/>
  <c r="AC49" i="9"/>
  <c r="AF48" i="9"/>
  <c r="AC48" i="9"/>
  <c r="AF47" i="9"/>
  <c r="AC47" i="9"/>
  <c r="AF46" i="9"/>
  <c r="AC46" i="9"/>
  <c r="AF45" i="9"/>
  <c r="AC45" i="9"/>
  <c r="AF44" i="9"/>
  <c r="AC44" i="9"/>
  <c r="AF43" i="9"/>
  <c r="AC43" i="9"/>
  <c r="AF42" i="9"/>
  <c r="AC42" i="9"/>
  <c r="AF41" i="9"/>
  <c r="AC41" i="9"/>
  <c r="AF40" i="9"/>
  <c r="AC40" i="9"/>
  <c r="AF39" i="9"/>
  <c r="AC39" i="9"/>
  <c r="AF38" i="9"/>
  <c r="AC38" i="9"/>
  <c r="AF37" i="9"/>
  <c r="AC37" i="9"/>
  <c r="AF36" i="9"/>
  <c r="AC36" i="9"/>
  <c r="AF35" i="9"/>
  <c r="AC35" i="9"/>
  <c r="AF34" i="9"/>
  <c r="AC34" i="9"/>
  <c r="X57" i="9"/>
  <c r="X56" i="9"/>
  <c r="U56" i="9"/>
  <c r="X55" i="9"/>
  <c r="U55" i="9"/>
  <c r="X54" i="9"/>
  <c r="X53" i="9"/>
  <c r="U53" i="9"/>
  <c r="X52" i="9"/>
  <c r="U52" i="9"/>
  <c r="X51" i="9"/>
  <c r="U51" i="9"/>
  <c r="X50" i="9"/>
  <c r="U50" i="9"/>
  <c r="X49" i="9"/>
  <c r="X48" i="9"/>
  <c r="U48" i="9"/>
  <c r="X47" i="9"/>
  <c r="X46" i="9"/>
  <c r="X45" i="9"/>
  <c r="U45" i="9"/>
  <c r="X44" i="9"/>
  <c r="U44" i="9"/>
  <c r="X43" i="9"/>
  <c r="U43" i="9"/>
  <c r="X42" i="9"/>
  <c r="U42" i="9"/>
  <c r="X41" i="9"/>
  <c r="X40" i="9"/>
  <c r="U40" i="9"/>
  <c r="X39" i="9"/>
  <c r="U39" i="9"/>
  <c r="X38" i="9"/>
  <c r="U38" i="9"/>
  <c r="X37" i="9"/>
  <c r="U37" i="9"/>
  <c r="X36" i="9"/>
  <c r="U36" i="9"/>
  <c r="X35" i="9"/>
  <c r="U35" i="9"/>
  <c r="X34" i="9"/>
  <c r="U34" i="9"/>
  <c r="P57" i="9"/>
  <c r="M57" i="9"/>
  <c r="P56" i="9"/>
  <c r="P55" i="9"/>
  <c r="P54" i="9"/>
  <c r="P53" i="9"/>
  <c r="M53" i="9"/>
  <c r="P52" i="9"/>
  <c r="M52" i="9"/>
  <c r="P51" i="9"/>
  <c r="M51" i="9"/>
  <c r="P50" i="9"/>
  <c r="M50" i="9"/>
  <c r="P49" i="9"/>
  <c r="M49" i="9"/>
  <c r="P48" i="9"/>
  <c r="M48" i="9"/>
  <c r="P47" i="9"/>
  <c r="M47" i="9"/>
  <c r="P46" i="9"/>
  <c r="P45" i="9"/>
  <c r="M45" i="9"/>
  <c r="P44" i="9"/>
  <c r="M44" i="9"/>
  <c r="P43" i="9"/>
  <c r="M43" i="9"/>
  <c r="P42" i="9"/>
  <c r="M42" i="9"/>
  <c r="P41" i="9"/>
  <c r="M41" i="9"/>
  <c r="P40" i="9"/>
  <c r="M40" i="9"/>
  <c r="P39" i="9"/>
  <c r="M39" i="9"/>
  <c r="P38" i="9"/>
  <c r="M38" i="9"/>
  <c r="P37" i="9"/>
  <c r="M37" i="9"/>
  <c r="P36" i="9"/>
  <c r="M36" i="9"/>
  <c r="P35" i="9"/>
  <c r="M35" i="9"/>
  <c r="P34" i="9"/>
  <c r="M34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34" i="9"/>
  <c r="B34" i="9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M54" i="9" l="1"/>
  <c r="M55" i="9"/>
  <c r="AU29" i="9" l="1"/>
  <c r="AV57" i="9" s="1"/>
  <c r="AN29" i="9"/>
  <c r="BD29" i="9" s="1"/>
  <c r="AM29" i="9"/>
  <c r="BC29" i="9" s="1"/>
  <c r="AL29" i="9"/>
  <c r="BB29" i="9" s="1"/>
  <c r="BA29" i="9"/>
  <c r="AJ29" i="9"/>
  <c r="AY29" i="9"/>
  <c r="T29" i="9"/>
  <c r="H34" i="2"/>
  <c r="G34" i="2"/>
  <c r="N34" i="2"/>
  <c r="O60" i="2" s="1"/>
  <c r="E34" i="2"/>
  <c r="AZ29" i="9" l="1"/>
  <c r="U57" i="9"/>
  <c r="AW29" i="9"/>
  <c r="AO29" i="9"/>
  <c r="AG29" i="9"/>
  <c r="Y29" i="9"/>
  <c r="Q29" i="9"/>
  <c r="I29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5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5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AO5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W19" i="9"/>
  <c r="AW20" i="9"/>
  <c r="AW21" i="9"/>
  <c r="AW22" i="9"/>
  <c r="AW23" i="9"/>
  <c r="AW24" i="9"/>
  <c r="AW25" i="9"/>
  <c r="AW26" i="9"/>
  <c r="AW27" i="9"/>
  <c r="AW5" i="9"/>
  <c r="I26" i="9"/>
  <c r="I27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5" i="9"/>
  <c r="W32" i="2"/>
  <c r="W33" i="2"/>
  <c r="W34" i="2"/>
  <c r="P32" i="2"/>
  <c r="P33" i="2"/>
  <c r="P34" i="2"/>
  <c r="I34" i="2"/>
  <c r="AW28" i="9"/>
  <c r="AG28" i="9"/>
  <c r="Y28" i="9"/>
  <c r="Q28" i="9"/>
  <c r="I28" i="9"/>
  <c r="AU28" i="9"/>
  <c r="AV56" i="9" s="1"/>
  <c r="AN28" i="9"/>
  <c r="AM28" i="9"/>
  <c r="AL28" i="9"/>
  <c r="BB28" i="9" s="1"/>
  <c r="AK28" i="9"/>
  <c r="AJ28" i="9"/>
  <c r="AZ28" i="9" s="1"/>
  <c r="AH28" i="9"/>
  <c r="AY28" i="9" s="1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T33" i="2"/>
  <c r="U33" i="2"/>
  <c r="H33" i="2"/>
  <c r="H60" i="2" s="1"/>
  <c r="G33" i="2"/>
  <c r="N33" i="2"/>
  <c r="O59" i="2" s="1"/>
  <c r="E33" i="2"/>
  <c r="E60" i="2" s="1"/>
  <c r="U32" i="2"/>
  <c r="H32" i="2"/>
  <c r="H59" i="2" s="1"/>
  <c r="G32" i="2"/>
  <c r="E32" i="2"/>
  <c r="E59" i="2" s="1"/>
  <c r="V31" i="2"/>
  <c r="U31" i="2"/>
  <c r="H31" i="2"/>
  <c r="H58" i="2" s="1"/>
  <c r="G31" i="2"/>
  <c r="E31" i="2"/>
  <c r="L31" i="2"/>
  <c r="U30" i="2"/>
  <c r="V56" i="2" s="1"/>
  <c r="V59" i="2" l="1"/>
  <c r="L57" i="2"/>
  <c r="L58" i="2"/>
  <c r="I31" i="2"/>
  <c r="W31" i="2"/>
  <c r="V58" i="2"/>
  <c r="V57" i="2"/>
  <c r="I32" i="2"/>
  <c r="E58" i="2"/>
  <c r="I33" i="2"/>
  <c r="AO28" i="9"/>
  <c r="AK56" i="9"/>
  <c r="AK57" i="9"/>
  <c r="BC28" i="9"/>
  <c r="BD28" i="9"/>
  <c r="AN56" i="9"/>
  <c r="AN57" i="9"/>
  <c r="BA28" i="9"/>
  <c r="G30" i="2"/>
  <c r="H5" i="2" l="1"/>
  <c r="E5" i="2"/>
  <c r="C5" i="2"/>
  <c r="V5" i="2"/>
  <c r="S5" i="2"/>
  <c r="Q5" i="2" s="1"/>
  <c r="P5" i="2"/>
  <c r="B6" i="2"/>
  <c r="J5" i="2"/>
  <c r="H6" i="2"/>
  <c r="J6" i="2"/>
  <c r="J7" i="2"/>
  <c r="Q7" i="2"/>
  <c r="C7" i="2"/>
  <c r="C6" i="2"/>
  <c r="Q6" i="2"/>
  <c r="H7" i="2"/>
  <c r="E6" i="2"/>
  <c r="E7" i="2"/>
  <c r="H8" i="2"/>
  <c r="E8" i="2"/>
  <c r="H9" i="2"/>
  <c r="E9" i="2"/>
  <c r="W9" i="2"/>
  <c r="H10" i="2"/>
  <c r="E10" i="2"/>
  <c r="H11" i="2"/>
  <c r="E11" i="2"/>
  <c r="Y5" i="2" l="1"/>
  <c r="X5" i="2"/>
  <c r="W5" i="2"/>
  <c r="I5" i="2"/>
  <c r="H12" i="2"/>
  <c r="E12" i="2"/>
  <c r="E13" i="2"/>
  <c r="H13" i="2"/>
  <c r="E39" i="2" l="1"/>
  <c r="H39" i="2"/>
  <c r="H38" i="2"/>
  <c r="E38" i="2"/>
  <c r="Z5" i="2"/>
  <c r="H14" i="2" l="1"/>
  <c r="E14" i="2"/>
  <c r="H15" i="2"/>
  <c r="H42" i="2" s="1"/>
  <c r="E15" i="2"/>
  <c r="E42" i="2" s="1"/>
  <c r="H16" i="2"/>
  <c r="E16" i="2"/>
  <c r="H17" i="2"/>
  <c r="H44" i="2" s="1"/>
  <c r="E17" i="2"/>
  <c r="E44" i="2" s="1"/>
  <c r="H18" i="2"/>
  <c r="E18" i="2"/>
  <c r="H19" i="2"/>
  <c r="H46" i="2" s="1"/>
  <c r="E19" i="2"/>
  <c r="E46" i="2" s="1"/>
  <c r="H20" i="2"/>
  <c r="E20" i="2"/>
  <c r="H21" i="2"/>
  <c r="E21" i="2"/>
  <c r="E48" i="2" s="1"/>
  <c r="H22" i="2"/>
  <c r="E22" i="2"/>
  <c r="H23" i="2"/>
  <c r="E23" i="2"/>
  <c r="H45" i="2" l="1"/>
  <c r="E43" i="2"/>
  <c r="E41" i="2"/>
  <c r="E40" i="2"/>
  <c r="H49" i="2"/>
  <c r="H47" i="2"/>
  <c r="H43" i="2"/>
  <c r="H41" i="2"/>
  <c r="H40" i="2"/>
  <c r="H48" i="2"/>
  <c r="E47" i="2"/>
  <c r="E45" i="2"/>
  <c r="E49" i="2"/>
  <c r="H24" i="2"/>
  <c r="E24" i="2"/>
  <c r="H26" i="2"/>
  <c r="E26" i="2"/>
  <c r="H27" i="2"/>
  <c r="E27" i="2"/>
  <c r="H28" i="2"/>
  <c r="E28" i="2"/>
  <c r="H29" i="2"/>
  <c r="E29" i="2"/>
  <c r="E56" i="2" s="1"/>
  <c r="D29" i="2"/>
  <c r="P29" i="2"/>
  <c r="H25" i="2"/>
  <c r="E25" i="2"/>
  <c r="H30" i="2"/>
  <c r="H57" i="2" s="1"/>
  <c r="O30" i="2"/>
  <c r="O56" i="2" s="1"/>
  <c r="E30" i="2"/>
  <c r="W6" i="2"/>
  <c r="W7" i="2"/>
  <c r="W8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W30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6" i="2"/>
  <c r="H54" i="2" l="1"/>
  <c r="Y25" i="2"/>
  <c r="H52" i="2"/>
  <c r="Y29" i="2"/>
  <c r="H56" i="2"/>
  <c r="Y27" i="2"/>
  <c r="H51" i="2"/>
  <c r="Y28" i="2"/>
  <c r="H55" i="2"/>
  <c r="Y26" i="2"/>
  <c r="H53" i="2"/>
  <c r="H50" i="2"/>
  <c r="X25" i="2"/>
  <c r="E52" i="2"/>
  <c r="I27" i="2"/>
  <c r="E54" i="2"/>
  <c r="X24" i="2"/>
  <c r="E51" i="2"/>
  <c r="E50" i="2"/>
  <c r="X30" i="2"/>
  <c r="Z30" i="2" s="1"/>
  <c r="E57" i="2"/>
  <c r="X29" i="2"/>
  <c r="E55" i="2"/>
  <c r="E53" i="2"/>
  <c r="P30" i="2"/>
  <c r="O31" i="2"/>
  <c r="I28" i="2"/>
  <c r="I29" i="2"/>
  <c r="I24" i="2"/>
  <c r="Y30" i="2"/>
  <c r="X28" i="2"/>
  <c r="Z17" i="2"/>
  <c r="Y24" i="2"/>
  <c r="Z24" i="2" s="1"/>
  <c r="X27" i="2"/>
  <c r="Z27" i="2" s="1"/>
  <c r="I30" i="2"/>
  <c r="Z6" i="2"/>
  <c r="Z7" i="2"/>
  <c r="Z8" i="2"/>
  <c r="Z9" i="2"/>
  <c r="Z10" i="2"/>
  <c r="Z11" i="2"/>
  <c r="Z12" i="2"/>
  <c r="Z13" i="2"/>
  <c r="Z14" i="2"/>
  <c r="Z15" i="2"/>
  <c r="Z16" i="2"/>
  <c r="Z18" i="2"/>
  <c r="Z19" i="2"/>
  <c r="Z20" i="2"/>
  <c r="Z21" i="2"/>
  <c r="Z22" i="2"/>
  <c r="Z23" i="2"/>
  <c r="I26" i="2"/>
  <c r="Z26" i="2"/>
  <c r="I25" i="2"/>
  <c r="Z25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Z29" i="2" l="1"/>
  <c r="P31" i="2"/>
  <c r="O57" i="2"/>
  <c r="O58" i="2"/>
  <c r="Z28" i="2"/>
</calcChain>
</file>

<file path=xl/sharedStrings.xml><?xml version="1.0" encoding="utf-8"?>
<sst xmlns="http://schemas.openxmlformats.org/spreadsheetml/2006/main" count="137" uniqueCount="41">
  <si>
    <t>DISTRIBUTION PLANT</t>
  </si>
  <si>
    <t>STORAGE PLANT</t>
  </si>
  <si>
    <t>GENERAL PLANT</t>
  </si>
  <si>
    <t>$ Millions</t>
  </si>
  <si>
    <t>Year</t>
  </si>
  <si>
    <t>Additions</t>
  </si>
  <si>
    <t>Retirements</t>
  </si>
  <si>
    <t>Gross plant, ending balance</t>
  </si>
  <si>
    <t>Depreciation expense</t>
  </si>
  <si>
    <t>Net salvage adj, retirements, costs net of proceeds</t>
  </si>
  <si>
    <t>Accumulated depreciation, ending balance</t>
  </si>
  <si>
    <t>Net plant, ending balance</t>
  </si>
  <si>
    <t>Total Plant in Service</t>
  </si>
  <si>
    <t>Total Accum dep'n</t>
  </si>
  <si>
    <t>Total Net Plant</t>
  </si>
  <si>
    <t>Additions is net of retirement. No info on retirement</t>
  </si>
  <si>
    <t>Sept fiscal year</t>
  </si>
  <si>
    <t>Calendar year</t>
  </si>
  <si>
    <t>EB-2017-0102</t>
  </si>
  <si>
    <t>EB-2018-0131</t>
  </si>
  <si>
    <t>EB-2019-0105</t>
  </si>
  <si>
    <t>EB-2020-0134</t>
  </si>
  <si>
    <t>EB-2021-0149</t>
  </si>
  <si>
    <t>EB-2022-0110</t>
  </si>
  <si>
    <t>EB-2023-0092</t>
  </si>
  <si>
    <t>sale of rental business</t>
  </si>
  <si>
    <t>investigation ongoing</t>
  </si>
  <si>
    <t>change in year end from September to December</t>
  </si>
  <si>
    <t>Sale of BP Gas</t>
  </si>
  <si>
    <t>INTANGIBLE PLANT</t>
  </si>
  <si>
    <t>LOCAL STORAGE PLANT</t>
  </si>
  <si>
    <t>UNDERGROUND STORAGE PLANT</t>
  </si>
  <si>
    <t>TRANSMISSION PLANT</t>
  </si>
  <si>
    <t xml:space="preserve">Does not include consumers Gas activity. </t>
  </si>
  <si>
    <t>Checks</t>
  </si>
  <si>
    <t>pass</t>
  </si>
  <si>
    <t xml:space="preserve">Ties to unreg Dec 2007 balance. </t>
  </si>
  <si>
    <t>nets with 2013</t>
  </si>
  <si>
    <t>nets with 2012</t>
  </si>
  <si>
    <t>nets with 2017</t>
  </si>
  <si>
    <t>nets with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</si>
</sst>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  <numFmt numFmtId="167" formatCode="0.0"/>
    <numFmt numFmtId="168" formatCode="_-* #,##0.00_-;\-* #,##0.00_-;_-* &quot;-&quot;??_-;_-@_-"/>
    <numFmt numFmtId="169" formatCode="#,##0.0_);\(#,##0.0\)"/>
    <numFmt numFmtId="170" formatCode="_ * #,##0_ ;_ * \-#,##0_ ;_ * &quot;-&quot;_ ;_ @_ "/>
    <numFmt numFmtId="171" formatCode="#,##0.0\ \ \ _);\(#,##0.0\)"/>
    <numFmt numFmtId="172" formatCode="0.000_)"/>
    <numFmt numFmtId="173" formatCode="_(* #,##0_);_(* \(#,##0\)"/>
    <numFmt numFmtId="174" formatCode="mmmm\ yyyy"/>
    <numFmt numFmtId="175" formatCode="_([$€-2]* #,##0.00_);_([$€-2]* \(#,##0.00\);_([$€-2]* &quot;-&quot;??_)"/>
    <numFmt numFmtId="176" formatCode="_-* #,##0.0_-;\-* #,##0.0_-;_-* &quot;-&quot;??_-;_-@_-"/>
    <numFmt numFmtId="177" formatCode="#,##0.00&quot; $&quot;;\-#,##0.00&quot; $&quot;"/>
    <numFmt numFmtId="178" formatCode="dd\-mmm\-yy_)"/>
    <numFmt numFmtId="179" formatCode="mm/dd/yy_)"/>
    <numFmt numFmtId="180" formatCode="0.00_)"/>
    <numFmt numFmtId="181" formatCode="0.0%"/>
    <numFmt numFmtId="182" formatCode="#,##0_ ;[Red]\(#,##0\)\ "/>
    <numFmt numFmtId="183" formatCode="General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 MT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name val="LJ Helvetica"/>
    </font>
    <font>
      <b/>
      <sz val="10"/>
      <color indexed="9"/>
      <name val="Arial"/>
      <family val="2"/>
    </font>
    <font>
      <sz val="11"/>
      <name val="Tms Rmn"/>
      <family val="1"/>
    </font>
    <font>
      <sz val="10"/>
      <color indexed="8"/>
      <name val="Arial"/>
      <family val="2"/>
    </font>
    <font>
      <sz val="8"/>
      <color indexed="8"/>
      <name val="Arial MT"/>
    </font>
    <font>
      <sz val="11"/>
      <name val="??"/>
      <family val="3"/>
      <charset val="129"/>
    </font>
    <font>
      <b/>
      <sz val="12"/>
      <name val="Times New Roman"/>
      <family val="1"/>
    </font>
    <font>
      <sz val="12"/>
      <name val="Arial MT"/>
    </font>
    <font>
      <b/>
      <u/>
      <sz val="11"/>
      <color indexed="37"/>
      <name val="Arial"/>
      <family val="2"/>
    </font>
    <font>
      <b/>
      <sz val="14"/>
      <name val="Times New Roman"/>
      <family val="1"/>
    </font>
    <font>
      <b/>
      <u/>
      <sz val="14"/>
      <name val="Arial Narrow"/>
      <family val="2"/>
    </font>
    <font>
      <sz val="10"/>
      <color indexed="12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b/>
      <sz val="11"/>
      <color indexed="1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55"/>
      <name val="Arial"/>
      <family val="2"/>
    </font>
    <font>
      <sz val="14"/>
      <name val="Haettenschweiler"/>
      <family val="2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2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mediumGray">
        <fgColor indexed="22"/>
      </patternFill>
    </fill>
    <fill>
      <patternFill patternType="gray0625"/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2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37" fontId="18" fillId="0" borderId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3" fillId="0" borderId="0"/>
    <xf numFmtId="0" fontId="19" fillId="0" borderId="0"/>
    <xf numFmtId="0" fontId="1" fillId="0" borderId="0"/>
    <xf numFmtId="0" fontId="1" fillId="0" borderId="0"/>
    <xf numFmtId="0" fontId="13" fillId="0" borderId="0"/>
    <xf numFmtId="0" fontId="19" fillId="0" borderId="0"/>
    <xf numFmtId="168" fontId="1" fillId="0" borderId="0" applyFont="0" applyFill="0" applyBorder="0" applyAlignment="0" applyProtection="0"/>
    <xf numFmtId="0" fontId="1" fillId="0" borderId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19" fillId="39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4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3" fillId="11" borderId="0" applyNumberFormat="0" applyBorder="0" applyAlignment="0" applyProtection="0"/>
    <xf numFmtId="0" fontId="24" fillId="14" borderId="6" applyNumberFormat="0" applyAlignment="0" applyProtection="0"/>
    <xf numFmtId="0" fontId="25" fillId="15" borderId="9" applyNumberFormat="0" applyAlignment="0" applyProtection="0"/>
    <xf numFmtId="0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6" applyNumberFormat="0" applyAlignment="0" applyProtection="0"/>
    <xf numFmtId="0" fontId="32" fillId="0" borderId="8" applyNumberFormat="0" applyFill="0" applyAlignment="0" applyProtection="0"/>
    <xf numFmtId="0" fontId="33" fillId="12" borderId="0" applyNumberFormat="0" applyBorder="0" applyAlignment="0" applyProtection="0"/>
    <xf numFmtId="0" fontId="19" fillId="16" borderId="10" applyNumberFormat="0" applyFont="0" applyAlignment="0" applyProtection="0"/>
    <xf numFmtId="0" fontId="34" fillId="14" borderId="7" applyNumberFormat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11" applyNumberFormat="0" applyFill="0" applyAlignment="0" applyProtection="0"/>
    <xf numFmtId="0" fontId="15" fillId="0" borderId="0" applyNumberFormat="0" applyFill="0" applyBorder="0" applyAlignment="0" applyProtection="0"/>
    <xf numFmtId="37" fontId="35" fillId="0" borderId="0"/>
    <xf numFmtId="169" fontId="35" fillId="0" borderId="0"/>
    <xf numFmtId="39" fontId="35" fillId="0" borderId="0"/>
    <xf numFmtId="170" fontId="13" fillId="42" borderId="14">
      <alignment horizontal="center" vertical="center"/>
    </xf>
    <xf numFmtId="171" fontId="17" fillId="0" borderId="0"/>
    <xf numFmtId="0" fontId="36" fillId="44" borderId="15" applyNumberFormat="0" applyFont="0" applyFill="0" applyAlignment="0" applyProtection="0">
      <alignment horizontal="left"/>
    </xf>
    <xf numFmtId="0" fontId="16" fillId="0" borderId="0" applyBorder="0"/>
    <xf numFmtId="172" fontId="37" fillId="0" borderId="0"/>
    <xf numFmtId="172" fontId="37" fillId="0" borderId="0"/>
    <xf numFmtId="172" fontId="37" fillId="0" borderId="0"/>
    <xf numFmtId="172" fontId="37" fillId="0" borderId="0"/>
    <xf numFmtId="172" fontId="37" fillId="0" borderId="0"/>
    <xf numFmtId="172" fontId="37" fillId="0" borderId="0"/>
    <xf numFmtId="172" fontId="37" fillId="0" borderId="0"/>
    <xf numFmtId="172" fontId="37" fillId="0" borderId="0"/>
    <xf numFmtId="40" fontId="13" fillId="0" borderId="0" applyBorder="0" applyProtection="0"/>
    <xf numFmtId="37" fontId="38" fillId="0" borderId="0"/>
    <xf numFmtId="173" fontId="39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5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5" fontId="39" fillId="0" borderId="0" applyFont="0" applyFill="0" applyBorder="0" applyAlignment="0" applyProtection="0"/>
    <xf numFmtId="41" fontId="13" fillId="0" borderId="0"/>
    <xf numFmtId="41" fontId="13" fillId="0" borderId="0"/>
    <xf numFmtId="6" fontId="40" fillId="0" borderId="0">
      <protection locked="0"/>
    </xf>
    <xf numFmtId="174" fontId="41" fillId="0" borderId="0">
      <alignment horizontal="left"/>
    </xf>
    <xf numFmtId="175" fontId="13" fillId="0" borderId="0" applyFont="0" applyFill="0" applyBorder="0" applyAlignment="0" applyProtection="0"/>
    <xf numFmtId="37" fontId="42" fillId="0" borderId="0"/>
    <xf numFmtId="176" fontId="13" fillId="0" borderId="0">
      <protection locked="0"/>
    </xf>
    <xf numFmtId="38" fontId="16" fillId="45" borderId="0" applyNumberFormat="0" applyBorder="0" applyAlignment="0" applyProtection="0"/>
    <xf numFmtId="0" fontId="43" fillId="0" borderId="0" applyNumberFormat="0" applyFill="0" applyBorder="0" applyAlignment="0" applyProtection="0"/>
    <xf numFmtId="0" fontId="20" fillId="0" borderId="16" applyNumberFormat="0" applyAlignment="0" applyProtection="0">
      <alignment horizontal="left" vertical="center"/>
    </xf>
    <xf numFmtId="0" fontId="20" fillId="0" borderId="12">
      <alignment horizontal="left" vertical="center"/>
    </xf>
    <xf numFmtId="0" fontId="44" fillId="0" borderId="0">
      <alignment horizontal="centerContinuous"/>
    </xf>
    <xf numFmtId="177" fontId="13" fillId="0" borderId="0">
      <protection locked="0"/>
    </xf>
    <xf numFmtId="177" fontId="13" fillId="0" borderId="0">
      <protection locked="0"/>
    </xf>
    <xf numFmtId="0" fontId="45" fillId="0" borderId="0"/>
    <xf numFmtId="0" fontId="46" fillId="0" borderId="17" applyNumberFormat="0" applyFill="0" applyAlignment="0" applyProtection="0"/>
    <xf numFmtId="10" fontId="16" fillId="46" borderId="15" applyNumberFormat="0" applyBorder="0" applyAlignment="0" applyProtection="0"/>
    <xf numFmtId="178" fontId="47" fillId="47" borderId="18" applyNumberFormat="0" applyBorder="0" applyAlignment="0" applyProtection="0"/>
    <xf numFmtId="0" fontId="48" fillId="48" borderId="0" applyNumberFormat="0"/>
    <xf numFmtId="179" fontId="49" fillId="45" borderId="19" applyNumberFormat="0"/>
    <xf numFmtId="37" fontId="50" fillId="0" borderId="0"/>
    <xf numFmtId="180" fontId="51" fillId="0" borderId="0"/>
    <xf numFmtId="10" fontId="13" fillId="0" borderId="0" applyFont="0" applyFill="0" applyBorder="0" applyAlignment="0" applyProtection="0"/>
    <xf numFmtId="181" fontId="52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/>
    <xf numFmtId="0" fontId="54" fillId="0" borderId="0" applyNumberFormat="0" applyFont="0" applyFill="0" applyBorder="0" applyAlignment="0" applyProtection="0">
      <alignment horizontal="left"/>
    </xf>
    <xf numFmtId="15" fontId="54" fillId="0" borderId="0" applyFont="0" applyFill="0" applyBorder="0" applyAlignment="0" applyProtection="0"/>
    <xf numFmtId="4" fontId="54" fillId="0" borderId="0" applyFont="0" applyFill="0" applyBorder="0" applyAlignment="0" applyProtection="0"/>
    <xf numFmtId="182" fontId="55" fillId="0" borderId="20"/>
    <xf numFmtId="0" fontId="56" fillId="0" borderId="13">
      <alignment horizontal="center"/>
    </xf>
    <xf numFmtId="3" fontId="54" fillId="0" borderId="0" applyFont="0" applyFill="0" applyBorder="0" applyAlignment="0" applyProtection="0"/>
    <xf numFmtId="0" fontId="54" fillId="49" borderId="0" applyNumberFormat="0" applyFont="0" applyBorder="0" applyAlignment="0" applyProtection="0"/>
    <xf numFmtId="38" fontId="13" fillId="50" borderId="0" applyNumberFormat="0" applyFont="0" applyBorder="0" applyAlignment="0" applyProtection="0"/>
    <xf numFmtId="0" fontId="57" fillId="43" borderId="0" applyNumberFormat="0" applyFont="0" applyBorder="0" applyAlignment="0" applyProtection="0">
      <alignment horizontal="center"/>
    </xf>
    <xf numFmtId="0" fontId="58" fillId="0" borderId="0"/>
    <xf numFmtId="9" fontId="13" fillId="0" borderId="0" applyFont="0" applyFill="0" applyBorder="0" applyAlignment="0" applyProtection="0"/>
    <xf numFmtId="0" fontId="59" fillId="0" borderId="0"/>
    <xf numFmtId="0" fontId="41" fillId="0" borderId="0">
      <alignment horizontal="left"/>
    </xf>
    <xf numFmtId="183" fontId="60" fillId="0" borderId="0">
      <alignment horizontal="left"/>
      <protection locked="0"/>
    </xf>
    <xf numFmtId="0" fontId="61" fillId="0" borderId="0" applyNumberFormat="0" applyFont="0" applyFill="0"/>
    <xf numFmtId="37" fontId="16" fillId="41" borderId="0" applyNumberFormat="0" applyBorder="0" applyAlignment="0" applyProtection="0"/>
    <xf numFmtId="37" fontId="16" fillId="0" borderId="0"/>
    <xf numFmtId="3" fontId="62" fillId="0" borderId="17" applyProtection="0"/>
    <xf numFmtId="14" fontId="57" fillId="0" borderId="0" applyNumberFormat="0" applyFont="0" applyBorder="0" applyAlignment="0" applyProtection="0">
      <alignment horizontal="center"/>
    </xf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63" fillId="0" borderId="0"/>
    <xf numFmtId="0" fontId="64" fillId="0" borderId="0"/>
    <xf numFmtId="183" fontId="63" fillId="0" borderId="0"/>
    <xf numFmtId="0" fontId="20" fillId="0" borderId="21" applyNumberFormat="0" applyAlignment="0" applyProtection="0">
      <alignment horizontal="left" vertical="center"/>
    </xf>
    <xf numFmtId="178" fontId="47" fillId="47" borderId="22" applyNumberFormat="0" applyBorder="0" applyAlignment="0" applyProtection="0"/>
    <xf numFmtId="179" fontId="49" fillId="45" borderId="23" applyNumberFormat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0" fillId="3" borderId="0" xfId="1" applyNumberFormat="1" applyFont="1" applyFill="1" applyBorder="1"/>
    <xf numFmtId="165" fontId="0" fillId="3" borderId="1" xfId="1" applyNumberFormat="1" applyFont="1" applyFill="1" applyBorder="1"/>
    <xf numFmtId="165" fontId="0" fillId="3" borderId="0" xfId="1" applyNumberFormat="1" applyFont="1" applyFill="1"/>
    <xf numFmtId="0" fontId="0" fillId="3" borderId="0" xfId="0" applyFill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0" fillId="4" borderId="0" xfId="1" applyNumberFormat="1" applyFont="1" applyFill="1" applyBorder="1"/>
    <xf numFmtId="165" fontId="0" fillId="4" borderId="0" xfId="1" applyNumberFormat="1" applyFont="1" applyFill="1"/>
    <xf numFmtId="165" fontId="0" fillId="2" borderId="0" xfId="1" applyNumberFormat="1" applyFont="1" applyFill="1"/>
    <xf numFmtId="165" fontId="0" fillId="6" borderId="0" xfId="1" applyNumberFormat="1" applyFont="1" applyFill="1"/>
    <xf numFmtId="165" fontId="0" fillId="6" borderId="0" xfId="1" applyNumberFormat="1" applyFont="1" applyFill="1" applyBorder="1"/>
    <xf numFmtId="0" fontId="0" fillId="5" borderId="0" xfId="0" applyFill="1"/>
    <xf numFmtId="43" fontId="0" fillId="0" borderId="0" xfId="0" applyNumberFormat="1"/>
    <xf numFmtId="0" fontId="7" fillId="0" borderId="0" xfId="0" applyFont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164" fontId="4" fillId="7" borderId="0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0" fillId="0" borderId="0" xfId="1" applyNumberFormat="1" applyFont="1" applyFill="1"/>
    <xf numFmtId="164" fontId="0" fillId="0" borderId="0" xfId="1" applyNumberFormat="1" applyFont="1" applyFill="1"/>
    <xf numFmtId="165" fontId="0" fillId="0" borderId="2" xfId="1" applyNumberFormat="1" applyFont="1" applyBorder="1"/>
    <xf numFmtId="165" fontId="4" fillId="7" borderId="0" xfId="1" applyNumberFormat="1" applyFont="1" applyFill="1" applyBorder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165" fontId="6" fillId="6" borderId="0" xfId="1" applyNumberFormat="1" applyFont="1" applyFill="1"/>
    <xf numFmtId="165" fontId="6" fillId="6" borderId="0" xfId="1" applyNumberFormat="1" applyFont="1" applyFill="1" applyBorder="1"/>
    <xf numFmtId="166" fontId="0" fillId="9" borderId="0" xfId="1" applyNumberFormat="1" applyFont="1" applyFill="1"/>
    <xf numFmtId="166" fontId="0" fillId="0" borderId="2" xfId="1" applyNumberFormat="1" applyFont="1" applyFill="1" applyBorder="1"/>
    <xf numFmtId="166" fontId="0" fillId="9" borderId="2" xfId="1" applyNumberFormat="1" applyFont="1" applyFill="1" applyBorder="1"/>
    <xf numFmtId="167" fontId="0" fillId="0" borderId="0" xfId="0" applyNumberFormat="1"/>
    <xf numFmtId="166" fontId="0" fillId="5" borderId="0" xfId="1" applyNumberFormat="1" applyFont="1" applyFill="1" applyBorder="1"/>
    <xf numFmtId="166" fontId="0" fillId="0" borderId="0" xfId="1" applyNumberFormat="1" applyFont="1" applyFill="1" applyBorder="1"/>
    <xf numFmtId="166" fontId="0" fillId="5" borderId="0" xfId="1" applyNumberFormat="1" applyFont="1" applyFill="1"/>
    <xf numFmtId="166" fontId="8" fillId="5" borderId="0" xfId="1" applyNumberFormat="1" applyFont="1" applyFill="1" applyBorder="1"/>
    <xf numFmtId="0" fontId="8" fillId="0" borderId="0" xfId="0" applyFont="1"/>
    <xf numFmtId="166" fontId="0" fillId="0" borderId="0" xfId="0" applyNumberFormat="1"/>
    <xf numFmtId="166" fontId="6" fillId="5" borderId="0" xfId="1" applyNumberFormat="1" applyFont="1" applyFill="1" applyBorder="1"/>
    <xf numFmtId="166" fontId="6" fillId="0" borderId="0" xfId="0" applyNumberFormat="1" applyFont="1"/>
    <xf numFmtId="164" fontId="6" fillId="0" borderId="0" xfId="1" applyNumberFormat="1" applyFont="1"/>
    <xf numFmtId="0" fontId="6" fillId="0" borderId="0" xfId="0" applyFont="1"/>
    <xf numFmtId="164" fontId="9" fillId="0" borderId="0" xfId="1" applyNumberFormat="1" applyFont="1"/>
    <xf numFmtId="166" fontId="0" fillId="0" borderId="0" xfId="1" applyNumberFormat="1" applyFont="1" applyFill="1"/>
    <xf numFmtId="166" fontId="0" fillId="0" borderId="1" xfId="1" applyNumberFormat="1" applyFont="1" applyFill="1" applyBorder="1"/>
    <xf numFmtId="166" fontId="8" fillId="5" borderId="0" xfId="1" applyNumberFormat="1" applyFont="1" applyFill="1"/>
    <xf numFmtId="166" fontId="6" fillId="5" borderId="0" xfId="1" applyNumberFormat="1" applyFont="1" applyFill="1"/>
    <xf numFmtId="164" fontId="8" fillId="0" borderId="0" xfId="1" applyNumberFormat="1" applyFont="1"/>
    <xf numFmtId="164" fontId="10" fillId="0" borderId="0" xfId="1" applyNumberFormat="1" applyFont="1"/>
    <xf numFmtId="166" fontId="8" fillId="0" borderId="0" xfId="1" applyNumberFormat="1" applyFont="1" applyFill="1" applyBorder="1"/>
    <xf numFmtId="0" fontId="8" fillId="0" borderId="0" xfId="1" applyNumberFormat="1" applyFont="1"/>
    <xf numFmtId="0" fontId="10" fillId="0" borderId="0" xfId="0" applyFont="1"/>
    <xf numFmtId="166" fontId="6" fillId="0" borderId="0" xfId="1" applyNumberFormat="1" applyFont="1" applyFill="1" applyBorder="1"/>
    <xf numFmtId="0" fontId="11" fillId="0" borderId="0" xfId="0" applyFont="1"/>
    <xf numFmtId="166" fontId="6" fillId="9" borderId="0" xfId="1" applyNumberFormat="1" applyFont="1" applyFill="1"/>
    <xf numFmtId="166" fontId="0" fillId="5" borderId="1" xfId="1" applyNumberFormat="1" applyFont="1" applyFill="1" applyBorder="1"/>
    <xf numFmtId="166" fontId="6" fillId="5" borderId="1" xfId="1" applyNumberFormat="1" applyFont="1" applyFill="1" applyBorder="1"/>
    <xf numFmtId="165" fontId="8" fillId="0" borderId="0" xfId="1" applyNumberFormat="1" applyFont="1"/>
    <xf numFmtId="165" fontId="10" fillId="0" borderId="0" xfId="1" applyNumberFormat="1" applyFont="1"/>
    <xf numFmtId="165" fontId="6" fillId="5" borderId="0" xfId="1" applyNumberFormat="1" applyFont="1" applyFill="1" applyBorder="1"/>
    <xf numFmtId="165" fontId="8" fillId="0" borderId="0" xfId="1" applyNumberFormat="1" applyFont="1" applyFill="1"/>
    <xf numFmtId="165" fontId="0" fillId="0" borderId="0" xfId="1" applyNumberFormat="1" applyFont="1" applyBorder="1"/>
    <xf numFmtId="164" fontId="0" fillId="0" borderId="0" xfId="1" applyNumberFormat="1" applyFont="1"/>
    <xf numFmtId="165" fontId="0" fillId="5" borderId="0" xfId="1" applyNumberFormat="1" applyFont="1" applyFill="1" applyBorder="1"/>
    <xf numFmtId="165" fontId="0" fillId="0" borderId="2" xfId="1" applyNumberFormat="1" applyFont="1" applyFill="1" applyBorder="1"/>
    <xf numFmtId="43" fontId="0" fillId="0" borderId="0" xfId="1" applyFont="1" applyFill="1"/>
    <xf numFmtId="165" fontId="5" fillId="8" borderId="0" xfId="1" applyNumberFormat="1" applyFont="1" applyFill="1" applyAlignment="1">
      <alignment horizontal="center"/>
    </xf>
    <xf numFmtId="0" fontId="5" fillId="8" borderId="0" xfId="0" applyFont="1" applyFill="1" applyAlignment="1">
      <alignment horizontal="center"/>
    </xf>
  </cellXfs>
  <cellStyles count="153">
    <cellStyle name="0 Decimals" xfId="63" xr:uid="{347387D1-DAAD-451B-B630-8C9368DBCE27}"/>
    <cellStyle name="1 Decimal" xfId="64" xr:uid="{56BD6732-DD64-4929-B947-6618C7174EDF}"/>
    <cellStyle name="2 Decimals" xfId="65" xr:uid="{498F0435-8D0E-4AC8-83DB-7A347C3FFC8B}"/>
    <cellStyle name="20% - Accent1 2" xfId="21" xr:uid="{DFDC4298-8F3D-4206-984D-8E5AE0FB24C0}"/>
    <cellStyle name="20% - Accent2 2" xfId="22" xr:uid="{DEFEF816-66EB-4440-8E8C-859CDA85C948}"/>
    <cellStyle name="20% - Accent3 2" xfId="23" xr:uid="{6B2C85DD-A2A1-44BA-B276-9ADCB07BB487}"/>
    <cellStyle name="20% - Accent4 2" xfId="24" xr:uid="{DF0CFAF2-0190-4BBE-8A2B-6C218DB9393D}"/>
    <cellStyle name="20% - Accent5 2" xfId="25" xr:uid="{39A8832A-0435-42B2-8FBF-2309E9D44C92}"/>
    <cellStyle name="20% - Accent6 2" xfId="26" xr:uid="{4EFC71A2-452E-4314-894C-8F879A90DFF7}"/>
    <cellStyle name="40% - Accent1 2" xfId="27" xr:uid="{F8441446-EE27-4EA8-9AB1-C21703BB81C9}"/>
    <cellStyle name="40% - Accent2 2" xfId="28" xr:uid="{60E6615E-3F93-4F09-89BB-B0587C1EF2AD}"/>
    <cellStyle name="40% - Accent3 2" xfId="29" xr:uid="{A275779F-C890-4923-B695-BC18429E9FAE}"/>
    <cellStyle name="40% - Accent4 2" xfId="30" xr:uid="{80E7D939-3B63-4E0D-8950-F9EDA80CC227}"/>
    <cellStyle name="40% - Accent5 2" xfId="31" xr:uid="{63056696-D3E7-4114-B3BC-196419ED5DC4}"/>
    <cellStyle name="40% - Accent6 2" xfId="32" xr:uid="{C89D9193-ABFE-4804-BCBE-9575BF7A378F}"/>
    <cellStyle name="60% - Accent1 2" xfId="33" xr:uid="{7231B086-2562-4253-B02A-6174012B8608}"/>
    <cellStyle name="60% - Accent2 2" xfId="34" xr:uid="{B4D30CAF-7862-4BD4-A649-CB11B86F2689}"/>
    <cellStyle name="60% - Accent3 2" xfId="35" xr:uid="{9545DA63-EBD7-4882-B6A3-C230C5159B78}"/>
    <cellStyle name="60% - Accent4 2" xfId="36" xr:uid="{35F6F421-568B-4819-B8C1-6502ACF0C26C}"/>
    <cellStyle name="60% - Accent5 2" xfId="37" xr:uid="{1110FCEB-6620-4258-84DD-6B97B8D4C6AF}"/>
    <cellStyle name="60% - Accent6 2" xfId="38" xr:uid="{7EEDB6A0-1C97-472E-B26A-885E431D186A}"/>
    <cellStyle name="Accent1 2" xfId="39" xr:uid="{C71BE196-5171-4A5B-9249-2DD4BD52710E}"/>
    <cellStyle name="Accent2 2" xfId="40" xr:uid="{973C7B81-1E0B-4CB1-9F3A-85B1D8FEE324}"/>
    <cellStyle name="Accent3 2" xfId="41" xr:uid="{44515B67-E160-4094-BD9F-AC260B81B771}"/>
    <cellStyle name="Accent4 2" xfId="42" xr:uid="{9454DEB0-F57C-45A1-8AE7-0783945AEE02}"/>
    <cellStyle name="Accent5 2" xfId="43" xr:uid="{E17F88B7-DF3A-4D04-931F-7EE970CC7324}"/>
    <cellStyle name="Accent6 2" xfId="44" xr:uid="{329433C9-8411-4F6A-82FB-9AA0D38A5CD0}"/>
    <cellStyle name="Actual Date" xfId="66" xr:uid="{C99770FF-DB12-42A1-896F-DD0E5E7652DA}"/>
    <cellStyle name="adjusted" xfId="67" xr:uid="{255C6361-2688-4C04-8AC8-23F3869C7D6D}"/>
    <cellStyle name="Bad 2" xfId="45" xr:uid="{B9FEBBA8-30B9-4697-A3C0-9837E694B9E2}"/>
    <cellStyle name="Borders" xfId="68" xr:uid="{69580696-F104-49E5-9C1D-781A8DF98FC4}"/>
    <cellStyle name="Calculation 2" xfId="46" xr:uid="{0B698C0E-C87E-44A1-A25D-F0DA0AB35E9E}"/>
    <cellStyle name="Check Cell 2" xfId="47" xr:uid="{223A1705-2532-4C73-A41E-9D6B9BE74D92}"/>
    <cellStyle name="column1" xfId="69" xr:uid="{785A8969-29ED-43AA-B29E-AF286205515A}"/>
    <cellStyle name="Comma" xfId="1" builtinId="3"/>
    <cellStyle name="Comma  - Style1" xfId="70" xr:uid="{BEE74C7F-789C-4C95-8398-95F033084A84}"/>
    <cellStyle name="Comma  - Style2" xfId="71" xr:uid="{EC257CB5-5523-4709-8D91-32A8D2671380}"/>
    <cellStyle name="Comma  - Style3" xfId="72" xr:uid="{015203E3-CF31-4B80-B0DF-C7CF57E4F5B7}"/>
    <cellStyle name="Comma  - Style4" xfId="73" xr:uid="{B654AC9B-F874-4113-9012-7F7ED5D0E396}"/>
    <cellStyle name="Comma  - Style5" xfId="74" xr:uid="{40801A52-8F2D-4DC9-BCE8-82C60A242D76}"/>
    <cellStyle name="Comma  - Style6" xfId="75" xr:uid="{6D93501C-230B-45C0-BE72-9EC248141ED0}"/>
    <cellStyle name="Comma  - Style7" xfId="76" xr:uid="{C95C9630-D60D-45C9-9F1B-EEA787B8C26D}"/>
    <cellStyle name="Comma  - Style8" xfId="77" xr:uid="{39918579-67C9-4822-A421-5013FE6B9B7C}"/>
    <cellStyle name="Comma [2]" xfId="78" xr:uid="{B8104FEE-DE28-4537-B9EA-0DD4CE7D0437}"/>
    <cellStyle name="Comma 0 [0]" xfId="79" xr:uid="{FDD58C2D-BF9B-48C4-A54D-9CFA2CCA2777}"/>
    <cellStyle name="Comma 10" xfId="143" xr:uid="{C7A7B1BF-EADC-429A-9D31-54E27448D51F}"/>
    <cellStyle name="Comma 2" xfId="4" xr:uid="{04CC508F-1F70-4441-95E2-3192CB47DD77}"/>
    <cellStyle name="Comma 2 2" xfId="80" xr:uid="{E24BC971-2071-4EE8-AB5A-3884BEEF9836}"/>
    <cellStyle name="Comma 20" xfId="137" xr:uid="{9F579A84-4680-4805-A0A9-E70DE4553A6D}"/>
    <cellStyle name="Comma 3" xfId="9" xr:uid="{F57D49D4-54AB-46B2-81C8-34E00388E212}"/>
    <cellStyle name="Comma 4" xfId="10" xr:uid="{D189AF7A-29F2-4584-AAB1-68BF342EE401}"/>
    <cellStyle name="Comma 5" xfId="19" xr:uid="{683F4198-62F0-4D80-9BA3-C1B3F4739F96}"/>
    <cellStyle name="Comma 5 2 2" xfId="144" xr:uid="{E9EAF11C-32B9-4299-AB3F-60376EF160A9}"/>
    <cellStyle name="Comma 5 3" xfId="145" xr:uid="{969C8CF9-8A11-44EA-A58D-E6E4A767227F}"/>
    <cellStyle name="Comma 6" xfId="81" xr:uid="{128B919F-5BCF-4603-9723-9D604B28BEF7}"/>
    <cellStyle name="Comma 7" xfId="135" xr:uid="{E8A171BB-EE81-402F-918B-4CE8BC6B68F3}"/>
    <cellStyle name="Comma 8" xfId="138" xr:uid="{6AD52E56-8984-487F-9DF2-0E5131DD7C26}"/>
    <cellStyle name="Comma 9" xfId="141" xr:uid="{7CB19C4A-226D-4FE2-ACC8-90301CAEFB5E}"/>
    <cellStyle name="Comma0" xfId="82" xr:uid="{C859C725-AB37-4BF1-978A-D3B3E515481A}"/>
    <cellStyle name="Currency 2" xfId="11" xr:uid="{672CE647-928E-497D-BE87-E2203D702D79}"/>
    <cellStyle name="Currency 2 2" xfId="83" xr:uid="{A3ED9BF4-91A9-48D2-A33E-F200EC4990E7}"/>
    <cellStyle name="Currency 3" xfId="84" xr:uid="{CF6A5D01-9F31-4BFA-B775-D33968AE8E28}"/>
    <cellStyle name="Currency 3 2" xfId="85" xr:uid="{623CF3BC-934D-47C1-9B68-F67C6F5D5589}"/>
    <cellStyle name="Currency 4" xfId="86" xr:uid="{6F860DCB-3E68-4540-882B-7EF94AABC776}"/>
    <cellStyle name="Currency 5" xfId="87" xr:uid="{283DA80B-7354-4F8D-8EF1-10FE65427917}"/>
    <cellStyle name="Currency0" xfId="88" xr:uid="{CA5A409F-4F87-44DB-BBAE-7E9C2163154B}"/>
    <cellStyle name="Currency0 2" xfId="89" xr:uid="{FA648CCF-B4E2-404E-A97B-7C462EBD40C6}"/>
    <cellStyle name="Date" xfId="90" xr:uid="{E1D404D6-8DFB-4CC6-A322-20C01DB30682}"/>
    <cellStyle name="DateHeading" xfId="91" xr:uid="{08ABD6BE-48CB-489C-8A49-92C044B0A9F4}"/>
    <cellStyle name="Euro" xfId="92" xr:uid="{7DC086AE-981B-42C6-B6C2-A5D3C8C4348F}"/>
    <cellStyle name="Explanatory Text 2" xfId="48" xr:uid="{867D8B7C-3A25-4C95-8A54-A53BF0B5C99C}"/>
    <cellStyle name="ffactors" xfId="93" xr:uid="{6AF4554C-EF88-4BD2-84EF-19E3A21B1F2A}"/>
    <cellStyle name="Fixed" xfId="94" xr:uid="{22A40103-3BB3-423C-A41C-601BA73BD76D}"/>
    <cellStyle name="Good 2" xfId="49" xr:uid="{2A2C5FD3-1C9F-4DB7-BBF6-6E6F23F47562}"/>
    <cellStyle name="Grey" xfId="95" xr:uid="{75A835B7-0F8D-42BD-8FB8-C5906D71217D}"/>
    <cellStyle name="HEADER" xfId="96" xr:uid="{C716CA5F-4314-4692-8258-79523632CB40}"/>
    <cellStyle name="Header1" xfId="97" xr:uid="{D86B27C8-AB23-4C80-86CA-F703CAA32D06}"/>
    <cellStyle name="Header1 2" xfId="149" xr:uid="{419695D3-F589-43A8-9A43-1358EF0B5D4C}"/>
    <cellStyle name="Header2" xfId="98" xr:uid="{312A95E3-52B0-43CF-805C-A2874CF1BB73}"/>
    <cellStyle name="Heading" xfId="99" xr:uid="{5F02AE60-3EF0-4DDE-91FB-63382BCCBD2E}"/>
    <cellStyle name="Heading 1 2" xfId="50" xr:uid="{87E43AF4-51F1-493F-B3EC-B3730A86A741}"/>
    <cellStyle name="Heading 2 2" xfId="51" xr:uid="{8C2DD275-1C3F-4258-B138-11DE68B8A099}"/>
    <cellStyle name="Heading 3 2" xfId="52" xr:uid="{403E8353-5F95-4140-ADBA-DB01DEC09779}"/>
    <cellStyle name="Heading 4 2" xfId="53" xr:uid="{42EACCDC-6D98-4A7B-BE50-BEF02D1C407D}"/>
    <cellStyle name="Heading1" xfId="100" xr:uid="{8E655316-2230-4ACA-BEE7-80EF1CB6008E}"/>
    <cellStyle name="Heading2" xfId="101" xr:uid="{20CAAE49-FBB1-416F-9D22-F9D8A3CFCB66}"/>
    <cellStyle name="HEADINGS" xfId="102" xr:uid="{40C5D9BE-18D4-42A6-B232-54AC06A6D5DE}"/>
    <cellStyle name="HIGHLIGHT" xfId="103" xr:uid="{D1089F07-B331-46DD-BEE3-6692EA410BE9}"/>
    <cellStyle name="Input [yellow]" xfId="104" xr:uid="{77EC235D-C72D-4DE4-8A00-E34E1B433E38}"/>
    <cellStyle name="Input 2" xfId="54" xr:uid="{9F787771-45AF-4060-8E35-2983622896B8}"/>
    <cellStyle name="INPUTS" xfId="105" xr:uid="{06D7A6DB-841B-4149-ACA3-6DE8E6540C71}"/>
    <cellStyle name="INPUTS 2" xfId="150" xr:uid="{97CF46F0-185F-4801-B2BA-8A81AB2F9541}"/>
    <cellStyle name="Inputs2" xfId="106" xr:uid="{7C9829EF-F3EA-4D8A-A1EF-FAF97ED892D8}"/>
    <cellStyle name="Linked Cell 2" xfId="55" xr:uid="{9E41EA79-7321-494B-95BB-F9B29B9F2FDF}"/>
    <cellStyle name="Manual Input" xfId="107" xr:uid="{F1752456-4218-491C-8E4F-B7BCA7C0BCF4}"/>
    <cellStyle name="Manual Input 2" xfId="151" xr:uid="{9A6F6B71-7C6D-4973-BAB3-BF7F8E467443}"/>
    <cellStyle name="Neutral 2" xfId="56" xr:uid="{BDA3F673-60AA-496B-AC50-2A943F386114}"/>
    <cellStyle name="no dec" xfId="108" xr:uid="{1A430DBF-5081-4525-8A99-EAB5A524FA2B}"/>
    <cellStyle name="Normal" xfId="0" builtinId="0"/>
    <cellStyle name="Normal - Style1" xfId="109" xr:uid="{03524A4E-E6CA-4DA2-B39C-1AD2BC98A0BA}"/>
    <cellStyle name="Normal 10" xfId="6" xr:uid="{E1B888D6-5CC8-4B38-957B-28B479D55406}"/>
    <cellStyle name="Normal 11" xfId="140" xr:uid="{D87F498A-95C5-4BDE-9A90-791A23A5F7CA}"/>
    <cellStyle name="Normal 12" xfId="142" xr:uid="{D0096179-B52D-497D-BF0F-A4863633AB63}"/>
    <cellStyle name="Normal 2" xfId="3" xr:uid="{21CEB3E5-2229-44EB-AED3-6DB2981025FF}"/>
    <cellStyle name="Normal 2 13" xfId="147" xr:uid="{B4AF4D46-CF6B-4EC5-870C-4D7BF8B91729}"/>
    <cellStyle name="Normal 2 2" xfId="17" xr:uid="{B6339F3B-5343-4124-B99D-BC6FCD1360B1}"/>
    <cellStyle name="Normal 2 3" xfId="8" xr:uid="{576B0055-E046-4319-A0BF-2330CBDEDA3C}"/>
    <cellStyle name="Normal 2 4" xfId="152" xr:uid="{F2E9DC55-BDE5-410A-98B2-D3EB8E744A6E}"/>
    <cellStyle name="Normal 21" xfId="136" xr:uid="{7D6E4837-D38C-4332-8F3F-D1AA534CCE56}"/>
    <cellStyle name="Normal 3" xfId="2" xr:uid="{00000000-0005-0000-0000-000002000000}"/>
    <cellStyle name="Normal 3 2" xfId="13" xr:uid="{6911279F-7C24-4D3B-B36A-E63245DFDAAD}"/>
    <cellStyle name="Normal 3 2 2" xfId="18" xr:uid="{6EDFDDDA-B94E-45DB-A820-A814E1FDB053}"/>
    <cellStyle name="Normal 3 3" xfId="12" xr:uid="{5B56C43C-706E-4237-B57D-4EFA7DDA7363}"/>
    <cellStyle name="Normal 4" xfId="14" xr:uid="{175DA61C-2A2A-444C-8CD4-CF430AEB60B3}"/>
    <cellStyle name="Normal 45 3 3" xfId="146" xr:uid="{D27776C6-898B-46AA-B78D-D7118FA1A71A}"/>
    <cellStyle name="Normal 5" xfId="15" xr:uid="{02F54C9F-722F-47C5-B855-AE371683747C}"/>
    <cellStyle name="Normal 56 4" xfId="148" xr:uid="{81BCDF09-2AF0-4094-99BF-D847C23E4CE5}"/>
    <cellStyle name="Normal 6" xfId="16" xr:uid="{07BC1ED2-4B6C-4E45-A579-FCD4E9B95A32}"/>
    <cellStyle name="Normal 7" xfId="20" xr:uid="{4E815F88-4033-430B-B8B9-8943AD6C3A41}"/>
    <cellStyle name="Normal 8" xfId="134" xr:uid="{64E83291-2FED-4C33-BA03-CAAC8EBF39CB}"/>
    <cellStyle name="Normal 9" xfId="5" xr:uid="{E03EEA7D-789B-49E2-BA0E-29240B2AB076}"/>
    <cellStyle name="Note 2" xfId="57" xr:uid="{AA68F3C3-E3CE-43B9-95A8-A31FBEDDD09C}"/>
    <cellStyle name="Output 2" xfId="58" xr:uid="{BBE8C09D-40F3-4A2D-9DDA-27C9641F1052}"/>
    <cellStyle name="Percent [2]" xfId="110" xr:uid="{EACFF736-9453-433D-B7C9-72221C9A79F0}"/>
    <cellStyle name="Percent 1" xfId="111" xr:uid="{BB0545CE-9C55-414C-941A-E5A1002D5588}"/>
    <cellStyle name="Percent 2" xfId="59" xr:uid="{5E547C93-A22F-4950-BF0C-99D088D3422D}"/>
    <cellStyle name="Percent 3" xfId="60" xr:uid="{8C686038-3704-4F2C-8705-261B7C1AAF30}"/>
    <cellStyle name="Percent 4" xfId="112" xr:uid="{D0B7C076-A57F-469F-8005-EB47A07941A5}"/>
    <cellStyle name="Percent 5" xfId="113" xr:uid="{E4EF22B2-A459-4B8F-92E3-6B0B14F93014}"/>
    <cellStyle name="Percent 6" xfId="7" xr:uid="{162697A1-2FE7-4AB6-ACF8-16245DAE1C38}"/>
    <cellStyle name="Percent 7" xfId="139" xr:uid="{6005A600-1D12-4EB4-9749-931CD5E7BF48}"/>
    <cellStyle name="Proposal" xfId="114" xr:uid="{722A96AC-6D33-4BA2-B8F2-C48A09DBCC7D}"/>
    <cellStyle name="PSChar" xfId="115" xr:uid="{28449AF4-E060-46DC-A022-9D2BC7A49556}"/>
    <cellStyle name="PSDate" xfId="116" xr:uid="{9781B6D4-471D-4E65-B40A-E3D7B4B2514E}"/>
    <cellStyle name="PSDec" xfId="117" xr:uid="{2D4019AE-A9A6-47A6-9899-B5F59A353C5A}"/>
    <cellStyle name="PSDetail" xfId="118" xr:uid="{C4D6607C-1B54-4F82-9837-8E875DB480DD}"/>
    <cellStyle name="PSHeading" xfId="119" xr:uid="{BB229692-781A-483F-83E2-9D7FD95FD4D6}"/>
    <cellStyle name="PSInt" xfId="120" xr:uid="{420022F4-5560-4F7E-BBC6-02A668B75F73}"/>
    <cellStyle name="PSSpacer" xfId="121" xr:uid="{F2E3E798-24DF-4BC6-976B-202BB162B46C}"/>
    <cellStyle name="Shade" xfId="122" xr:uid="{06F886D0-E8F8-4B35-BC7A-A53DB234800E}"/>
    <cellStyle name="Shading" xfId="123" xr:uid="{11D5A9C6-71DC-49BB-B1F2-239163D5FD86}"/>
    <cellStyle name="SMALL HEADINGS" xfId="124" xr:uid="{DC401F8C-B2A6-4C26-BD30-47DC7C94DA2B}"/>
    <cellStyle name="Style 1" xfId="125" xr:uid="{5E2C08FA-B527-443B-91A1-40F11B27798B}"/>
    <cellStyle name="SUB HEADING" xfId="126" xr:uid="{9DE461A7-3538-4FE7-B982-582DB784DFD3}"/>
    <cellStyle name="Subheading" xfId="127" xr:uid="{BC45C709-BEF5-43EA-BC1A-D376ABFA465D}"/>
    <cellStyle name="Total 2" xfId="61" xr:uid="{589A06E7-ABD1-4EF1-9E8A-D270D9E5840B}"/>
    <cellStyle name="ubordinated Debt" xfId="128" xr:uid="{6069A6E9-3A87-4EF4-A65A-10276159FAF7}"/>
    <cellStyle name="UNITS" xfId="129" xr:uid="{06117674-4480-418C-8477-92556F316498}"/>
    <cellStyle name="Unprot" xfId="130" xr:uid="{A3EB97AB-50EE-43C4-B61A-09C2BB7EEE46}"/>
    <cellStyle name="Unprot$" xfId="131" xr:uid="{6A2557FC-82CD-4BB9-B12B-95FAC4ED94F5}"/>
    <cellStyle name="Unprotect" xfId="132" xr:uid="{F70D9B98-D2CB-4141-8C13-5569C049BECB}"/>
    <cellStyle name="UNSHADED" xfId="133" xr:uid="{C5895F2B-1664-4A77-B578-BD24075AA5EB}"/>
    <cellStyle name="Warning Text 2" xfId="62" xr:uid="{6AC953DA-8BEB-4F25-B666-1AAD82D2C50A}"/>
  </cellStyles>
  <dxfs count="5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C62"/>
  <sheetViews>
    <sheetView view="pageBreakPreview" topLeftCell="B1" zoomScale="60" zoomScaleNormal="60" workbookViewId="0">
      <pane xSplit="1" ySplit="3" topLeftCell="C4" activePane="bottomRight" state="frozen"/>
      <selection pane="topRight" activeCell="C1" sqref="C1"/>
      <selection pane="bottomLeft" activeCell="B5" sqref="B5"/>
      <selection pane="bottomRight" activeCell="J40" sqref="J40"/>
    </sheetView>
  </sheetViews>
  <sheetFormatPr defaultColWidth="9.1796875" defaultRowHeight="14.5"/>
  <cols>
    <col min="1" max="1" width="24.81640625" customWidth="1"/>
    <col min="3" max="3" width="13.08984375" style="3" customWidth="1"/>
    <col min="4" max="4" width="16.90625" style="3" customWidth="1"/>
    <col min="5" max="5" width="14.1796875" style="3" customWidth="1"/>
    <col min="6" max="6" width="19.36328125" style="3" customWidth="1"/>
    <col min="7" max="7" width="22.08984375" style="3" customWidth="1"/>
    <col min="8" max="8" width="20.6328125" style="3" customWidth="1"/>
    <col min="9" max="10" width="14.1796875" style="3" customWidth="1"/>
    <col min="11" max="11" width="18.54296875" style="3" customWidth="1"/>
    <col min="12" max="12" width="14.1796875" style="3" customWidth="1"/>
    <col min="13" max="13" width="20.36328125" style="3" customWidth="1"/>
    <col min="14" max="14" width="22.36328125" style="3" customWidth="1"/>
    <col min="15" max="15" width="25.54296875" style="3" customWidth="1"/>
    <col min="16" max="16" width="20.36328125" style="3" customWidth="1"/>
    <col min="17" max="17" width="14.1796875" style="3" customWidth="1"/>
    <col min="18" max="18" width="20.6328125" style="3" customWidth="1"/>
    <col min="19" max="19" width="14.1796875" style="3" customWidth="1"/>
    <col min="20" max="20" width="21.453125" style="3" customWidth="1"/>
    <col min="21" max="21" width="24.7265625" style="3" customWidth="1"/>
    <col min="22" max="22" width="21.26953125" style="3" customWidth="1"/>
    <col min="23" max="23" width="14.1796875" style="3" customWidth="1"/>
    <col min="24" max="25" width="13.1796875" hidden="1" customWidth="1"/>
    <col min="26" max="26" width="11.81640625" hidden="1" customWidth="1"/>
    <col min="27" max="27" width="12.54296875" bestFit="1" customWidth="1"/>
    <col min="28" max="28" width="41.453125" bestFit="1" customWidth="1"/>
  </cols>
  <sheetData>
    <row r="2" spans="1:28">
      <c r="C2" s="68" t="s">
        <v>0</v>
      </c>
      <c r="D2" s="68"/>
      <c r="E2" s="68"/>
      <c r="F2" s="68"/>
      <c r="G2" s="68"/>
      <c r="H2" s="68"/>
      <c r="I2" s="68"/>
      <c r="J2" s="68" t="s">
        <v>1</v>
      </c>
      <c r="K2" s="68"/>
      <c r="L2" s="68"/>
      <c r="M2" s="68"/>
      <c r="N2" s="68"/>
      <c r="O2" s="68"/>
      <c r="P2" s="68"/>
      <c r="Q2" s="68" t="s">
        <v>2</v>
      </c>
      <c r="R2" s="68"/>
      <c r="S2" s="68"/>
      <c r="T2" s="68"/>
      <c r="U2" s="68"/>
      <c r="V2" s="68"/>
      <c r="W2" s="68"/>
    </row>
    <row r="3" spans="1:28" s="18" customFormat="1" ht="72.5">
      <c r="A3" s="17" t="s">
        <v>3</v>
      </c>
      <c r="B3" s="19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7" t="s">
        <v>11</v>
      </c>
      <c r="J3" s="26" t="s">
        <v>5</v>
      </c>
      <c r="K3" s="26" t="s">
        <v>6</v>
      </c>
      <c r="L3" s="26" t="s">
        <v>7</v>
      </c>
      <c r="M3" s="26" t="s">
        <v>8</v>
      </c>
      <c r="N3" s="26" t="s">
        <v>9</v>
      </c>
      <c r="O3" s="26" t="s">
        <v>10</v>
      </c>
      <c r="P3" s="27" t="s">
        <v>11</v>
      </c>
      <c r="Q3" s="26" t="s">
        <v>5</v>
      </c>
      <c r="R3" s="26" t="s">
        <v>6</v>
      </c>
      <c r="S3" s="26" t="s">
        <v>7</v>
      </c>
      <c r="T3" s="26" t="s">
        <v>8</v>
      </c>
      <c r="U3" s="26" t="s">
        <v>9</v>
      </c>
      <c r="V3" s="26" t="s">
        <v>10</v>
      </c>
      <c r="W3" s="27" t="s">
        <v>11</v>
      </c>
      <c r="X3" s="22" t="s">
        <v>12</v>
      </c>
      <c r="Y3" s="20" t="s">
        <v>13</v>
      </c>
      <c r="Z3" s="20" t="s">
        <v>14</v>
      </c>
    </row>
    <row r="4" spans="1:28">
      <c r="A4" s="1"/>
      <c r="C4" s="63"/>
      <c r="D4" s="63"/>
      <c r="E4" s="63"/>
      <c r="F4" s="63"/>
      <c r="G4" s="63"/>
      <c r="H4" s="63"/>
      <c r="I4" s="63"/>
      <c r="J4" s="2"/>
      <c r="L4" s="63"/>
      <c r="M4" s="63"/>
      <c r="N4" s="63"/>
      <c r="O4" s="63"/>
      <c r="P4" s="63"/>
      <c r="Q4" s="2"/>
      <c r="R4" s="63"/>
      <c r="T4" s="63"/>
      <c r="U4" s="63"/>
      <c r="X4" s="2"/>
      <c r="Y4" s="63"/>
      <c r="Z4" s="3"/>
    </row>
    <row r="5" spans="1:28">
      <c r="B5">
        <v>1991</v>
      </c>
      <c r="C5" s="4">
        <f>1576.9-(4.6+0+0+39.8+591.2+619.3+0.7+63.8+113.8+10.8+0.2+0.9)</f>
        <v>131.79999999999995</v>
      </c>
      <c r="D5" s="4"/>
      <c r="E5" s="63">
        <f>(5+0.4+0+48.2+636.5+670.3+0.9+75.8+120.5+19.1+0.2+0)+0.5+5.5</f>
        <v>1582.9</v>
      </c>
      <c r="F5" s="65"/>
      <c r="G5" s="65"/>
      <c r="H5" s="63">
        <f>(-9.2-158-138.2-0.4-24.4-20.9)-0.3-1</f>
        <v>-352.39999999999992</v>
      </c>
      <c r="I5" s="63">
        <f t="shared" ref="I5:I35" si="0">E5+H5</f>
        <v>1230.5000000000002</v>
      </c>
      <c r="J5" s="5">
        <f>3.1-3</f>
        <v>0.10000000000000009</v>
      </c>
      <c r="K5" s="6"/>
      <c r="L5" s="63">
        <v>3.1</v>
      </c>
      <c r="M5" s="65"/>
      <c r="N5" s="65"/>
      <c r="O5" s="63">
        <v>-1.4</v>
      </c>
      <c r="P5" s="63">
        <f t="shared" ref="P5:P36" si="1">L5+O5</f>
        <v>1.7000000000000002</v>
      </c>
      <c r="Q5" s="5">
        <f>S5-(0+0.2+1.8+13.4+4.7+2.6+4.7+7.8+335.2+3+0.4+7.5+7.6+1.3)</f>
        <v>37.900000000000034</v>
      </c>
      <c r="R5" s="4"/>
      <c r="S5" s="3">
        <f>0+0.2+2+15.2+5.3+2.1+5.2+8.8+367.1+3.4+2+8.3+8.5+0</f>
        <v>428.1</v>
      </c>
      <c r="T5" s="65"/>
      <c r="U5" s="65"/>
      <c r="V5" s="3">
        <f>-0.2-1.3-4.8-1.9-1.2-2.2-3.4-118-0.9-1.1-1.8-3.8</f>
        <v>-140.60000000000002</v>
      </c>
      <c r="W5" s="3">
        <f t="shared" ref="W5:W36" si="2">S5+V5</f>
        <v>287.5</v>
      </c>
      <c r="X5" s="2">
        <f t="shared" ref="X5:X30" si="3">E5+L5+S5</f>
        <v>2014.1</v>
      </c>
      <c r="Y5" s="63">
        <f t="shared" ref="Y5:Y30" si="4">H5+O5+V5</f>
        <v>-494.39999999999992</v>
      </c>
      <c r="Z5" s="3">
        <f>X5+Y5</f>
        <v>1519.7</v>
      </c>
      <c r="AB5" s="7" t="s">
        <v>15</v>
      </c>
    </row>
    <row r="6" spans="1:28">
      <c r="B6">
        <f>B5+1</f>
        <v>1992</v>
      </c>
      <c r="C6" s="4">
        <f>1744.2-1576.9</f>
        <v>167.29999999999995</v>
      </c>
      <c r="D6" s="4"/>
      <c r="E6" s="63">
        <f>1744.2+0.5+1.1</f>
        <v>1745.8</v>
      </c>
      <c r="F6" s="65"/>
      <c r="G6" s="65"/>
      <c r="H6" s="63">
        <f>-384.1-0.3-0.3</f>
        <v>-384.70000000000005</v>
      </c>
      <c r="I6" s="63">
        <f t="shared" si="0"/>
        <v>1361.1</v>
      </c>
      <c r="J6" s="5">
        <f>6.9-3.1</f>
        <v>3.8000000000000003</v>
      </c>
      <c r="K6" s="6"/>
      <c r="L6" s="8">
        <v>6.9</v>
      </c>
      <c r="M6" s="65"/>
      <c r="N6" s="65"/>
      <c r="O6" s="63">
        <v>-1.5</v>
      </c>
      <c r="P6" s="63">
        <f t="shared" si="1"/>
        <v>5.4</v>
      </c>
      <c r="Q6" s="5">
        <f>486.9-428.1</f>
        <v>58.799999999999955</v>
      </c>
      <c r="R6" s="4"/>
      <c r="S6" s="3">
        <v>486.9</v>
      </c>
      <c r="T6" s="65"/>
      <c r="U6" s="65"/>
      <c r="V6" s="3">
        <v>-156.5</v>
      </c>
      <c r="W6" s="3">
        <f t="shared" si="2"/>
        <v>330.4</v>
      </c>
      <c r="X6" s="2">
        <f t="shared" si="3"/>
        <v>2239.6</v>
      </c>
      <c r="Y6" s="63">
        <f t="shared" si="4"/>
        <v>-542.70000000000005</v>
      </c>
      <c r="Z6" s="3">
        <f t="shared" ref="Z6:Z29" si="5">X6+Y6</f>
        <v>1696.8999999999999</v>
      </c>
      <c r="AB6" s="7" t="s">
        <v>15</v>
      </c>
    </row>
    <row r="7" spans="1:28">
      <c r="B7">
        <f t="shared" ref="B7:B34" si="6">B6+1</f>
        <v>1993</v>
      </c>
      <c r="C7" s="4">
        <f>1920.8-1746.4</f>
        <v>174.39999999999986</v>
      </c>
      <c r="D7" s="4"/>
      <c r="E7" s="63">
        <f>1920.8+0.5+1.1</f>
        <v>1922.3999999999999</v>
      </c>
      <c r="F7" s="65"/>
      <c r="G7" s="65"/>
      <c r="H7" s="63">
        <f>-424.9-0.3-0.3</f>
        <v>-425.5</v>
      </c>
      <c r="I7" s="63">
        <f t="shared" si="0"/>
        <v>1496.8999999999999</v>
      </c>
      <c r="J7" s="5">
        <f>118-115</f>
        <v>3</v>
      </c>
      <c r="K7" s="6"/>
      <c r="L7" s="9">
        <v>118</v>
      </c>
      <c r="M7" s="65"/>
      <c r="N7" s="65"/>
      <c r="O7" s="63">
        <v>-27.9</v>
      </c>
      <c r="P7" s="63">
        <f t="shared" si="1"/>
        <v>90.1</v>
      </c>
      <c r="Q7" s="5">
        <f>554.8-487.4</f>
        <v>67.399999999999977</v>
      </c>
      <c r="R7" s="4"/>
      <c r="S7" s="3">
        <v>554.79999999999995</v>
      </c>
      <c r="T7" s="65"/>
      <c r="U7" s="65"/>
      <c r="V7" s="3">
        <v>-177.6</v>
      </c>
      <c r="W7" s="3">
        <f t="shared" si="2"/>
        <v>377.19999999999993</v>
      </c>
      <c r="X7" s="2">
        <f t="shared" si="3"/>
        <v>2595.1999999999998</v>
      </c>
      <c r="Y7" s="63">
        <f t="shared" si="4"/>
        <v>-631</v>
      </c>
      <c r="Z7" s="3">
        <f t="shared" si="5"/>
        <v>1964.1999999999998</v>
      </c>
      <c r="AB7" s="7" t="s">
        <v>15</v>
      </c>
    </row>
    <row r="8" spans="1:28">
      <c r="B8">
        <f t="shared" si="6"/>
        <v>1994</v>
      </c>
      <c r="C8" s="63">
        <v>130.1</v>
      </c>
      <c r="D8" s="63">
        <v>-10.9</v>
      </c>
      <c r="E8" s="63">
        <f>2044.2+0.5+1.1</f>
        <v>2045.8</v>
      </c>
      <c r="F8" s="65"/>
      <c r="G8" s="65"/>
      <c r="H8" s="63">
        <f>-468.9-0.3-0.3</f>
        <v>-469.5</v>
      </c>
      <c r="I8" s="63">
        <f t="shared" si="0"/>
        <v>1576.3</v>
      </c>
      <c r="J8" s="2">
        <v>1.2</v>
      </c>
      <c r="K8" s="3">
        <v>-0.1</v>
      </c>
      <c r="L8" s="63">
        <v>119.1</v>
      </c>
      <c r="M8" s="65"/>
      <c r="N8" s="65"/>
      <c r="O8" s="63">
        <v>-30.4</v>
      </c>
      <c r="P8" s="63">
        <f t="shared" si="1"/>
        <v>88.699999999999989</v>
      </c>
      <c r="Q8" s="2">
        <v>109</v>
      </c>
      <c r="R8" s="63">
        <v>-15</v>
      </c>
      <c r="S8" s="3">
        <v>648.79999999999995</v>
      </c>
      <c r="T8" s="65"/>
      <c r="U8" s="65"/>
      <c r="V8" s="3">
        <v>-202</v>
      </c>
      <c r="W8" s="3">
        <f t="shared" si="2"/>
        <v>446.79999999999995</v>
      </c>
      <c r="X8" s="2">
        <f t="shared" si="3"/>
        <v>2813.7</v>
      </c>
      <c r="Y8" s="63">
        <f t="shared" si="4"/>
        <v>-701.9</v>
      </c>
      <c r="Z8" s="3">
        <f t="shared" si="5"/>
        <v>2111.7999999999997</v>
      </c>
    </row>
    <row r="9" spans="1:28">
      <c r="B9">
        <f t="shared" si="6"/>
        <v>1995</v>
      </c>
      <c r="C9" s="63">
        <v>154.80000000000001</v>
      </c>
      <c r="D9" s="63">
        <v>-14.9</v>
      </c>
      <c r="E9" s="10">
        <f>2186.6+0.5+1.2</f>
        <v>2188.2999999999997</v>
      </c>
      <c r="F9" s="65"/>
      <c r="G9" s="65"/>
      <c r="H9" s="63">
        <f>-509.9-0.3-0.4</f>
        <v>-510.59999999999997</v>
      </c>
      <c r="I9" s="63">
        <f t="shared" si="0"/>
        <v>1677.6999999999998</v>
      </c>
      <c r="J9" s="2">
        <v>3.3</v>
      </c>
      <c r="K9" s="3">
        <v>-0.1</v>
      </c>
      <c r="L9" s="63">
        <v>121.8</v>
      </c>
      <c r="M9" s="65"/>
      <c r="N9" s="65"/>
      <c r="O9" s="63">
        <v>-32.9</v>
      </c>
      <c r="P9" s="63">
        <f t="shared" si="1"/>
        <v>88.9</v>
      </c>
      <c r="Q9" s="2">
        <v>119.2</v>
      </c>
      <c r="R9" s="63">
        <v>-12.1</v>
      </c>
      <c r="S9" s="3">
        <v>755.9</v>
      </c>
      <c r="T9" s="65"/>
      <c r="U9" s="65"/>
      <c r="V9" s="3">
        <v>-239</v>
      </c>
      <c r="W9" s="3">
        <f t="shared" si="2"/>
        <v>516.9</v>
      </c>
      <c r="X9" s="2">
        <f t="shared" si="3"/>
        <v>3066</v>
      </c>
      <c r="Y9" s="63">
        <f t="shared" si="4"/>
        <v>-782.5</v>
      </c>
      <c r="Z9" s="3">
        <f t="shared" si="5"/>
        <v>2283.5</v>
      </c>
    </row>
    <row r="10" spans="1:28">
      <c r="B10">
        <f t="shared" si="6"/>
        <v>1996</v>
      </c>
      <c r="C10" s="63">
        <v>179.1</v>
      </c>
      <c r="D10" s="63">
        <v>-22</v>
      </c>
      <c r="E10" s="63">
        <f>2358.3+0.5+1.3</f>
        <v>2360.1000000000004</v>
      </c>
      <c r="F10" s="65"/>
      <c r="G10" s="65"/>
      <c r="H10" s="63">
        <f>-548.3-0.3-0.4</f>
        <v>-548.99999999999989</v>
      </c>
      <c r="I10" s="63">
        <f t="shared" si="0"/>
        <v>1811.1000000000004</v>
      </c>
      <c r="J10" s="2">
        <v>11.6</v>
      </c>
      <c r="K10" s="3">
        <v>-0.1</v>
      </c>
      <c r="L10" s="63">
        <v>132.80000000000001</v>
      </c>
      <c r="M10" s="65"/>
      <c r="N10" s="65"/>
      <c r="O10" s="63">
        <v>-35.799999999999997</v>
      </c>
      <c r="P10" s="63">
        <f t="shared" si="1"/>
        <v>97.000000000000014</v>
      </c>
      <c r="Q10" s="2">
        <v>125.2</v>
      </c>
      <c r="R10" s="63">
        <v>-27.6</v>
      </c>
      <c r="S10" s="11">
        <v>853.5</v>
      </c>
      <c r="T10" s="65"/>
      <c r="U10" s="65"/>
      <c r="V10" s="3">
        <v>-270.60000000000002</v>
      </c>
      <c r="W10" s="3">
        <f t="shared" si="2"/>
        <v>582.9</v>
      </c>
      <c r="X10" s="2">
        <f t="shared" si="3"/>
        <v>3346.4000000000005</v>
      </c>
      <c r="Y10" s="63">
        <f t="shared" si="4"/>
        <v>-855.39999999999986</v>
      </c>
      <c r="Z10" s="3">
        <f t="shared" si="5"/>
        <v>2491.0000000000009</v>
      </c>
    </row>
    <row r="11" spans="1:28">
      <c r="B11">
        <f t="shared" si="6"/>
        <v>1997</v>
      </c>
      <c r="C11" s="63">
        <v>202.4</v>
      </c>
      <c r="D11" s="63">
        <v>-28</v>
      </c>
      <c r="E11" s="63">
        <f>2531.5+0.5+1.4</f>
        <v>2533.4</v>
      </c>
      <c r="F11" s="65"/>
      <c r="G11" s="65"/>
      <c r="H11" s="63">
        <f>-599.7-0.3-0.5</f>
        <v>-600.5</v>
      </c>
      <c r="I11" s="63">
        <f t="shared" si="0"/>
        <v>1932.9</v>
      </c>
      <c r="J11" s="2">
        <v>11.6</v>
      </c>
      <c r="K11" s="3">
        <v>-0.7</v>
      </c>
      <c r="L11" s="63">
        <v>143.69999999999999</v>
      </c>
      <c r="M11" s="65"/>
      <c r="N11" s="65"/>
      <c r="O11" s="63">
        <v>-38</v>
      </c>
      <c r="P11" s="63">
        <f t="shared" si="1"/>
        <v>105.69999999999999</v>
      </c>
      <c r="Q11" s="2">
        <v>185.5</v>
      </c>
      <c r="R11" s="63">
        <v>-31</v>
      </c>
      <c r="S11" s="3">
        <v>1003.9</v>
      </c>
      <c r="T11" s="65"/>
      <c r="U11" s="65"/>
      <c r="V11" s="3">
        <v>-315.2</v>
      </c>
      <c r="W11" s="3">
        <f t="shared" si="2"/>
        <v>688.7</v>
      </c>
      <c r="X11" s="2">
        <f t="shared" si="3"/>
        <v>3681</v>
      </c>
      <c r="Y11" s="63">
        <f t="shared" si="4"/>
        <v>-953.7</v>
      </c>
      <c r="Z11" s="3">
        <f t="shared" si="5"/>
        <v>2727.3</v>
      </c>
    </row>
    <row r="12" spans="1:28">
      <c r="B12">
        <f t="shared" si="6"/>
        <v>1998</v>
      </c>
      <c r="C12" s="63">
        <v>186.6</v>
      </c>
      <c r="D12" s="63">
        <v>-15.3</v>
      </c>
      <c r="E12" s="63">
        <f>2702.1+0.5+1.7</f>
        <v>2704.2999999999997</v>
      </c>
      <c r="F12" s="65">
        <v>-84.909273769999984</v>
      </c>
      <c r="G12" s="65">
        <v>15.38329352</v>
      </c>
      <c r="H12" s="63">
        <f>-668.8-0.4-0.5</f>
        <v>-669.69999999999993</v>
      </c>
      <c r="I12" s="63">
        <f t="shared" si="0"/>
        <v>2034.6</v>
      </c>
      <c r="J12" s="2">
        <v>36.9</v>
      </c>
      <c r="K12" s="3">
        <v>0</v>
      </c>
      <c r="L12" s="63">
        <v>180.6</v>
      </c>
      <c r="M12" s="65">
        <v>-3.4700278</v>
      </c>
      <c r="N12" s="65">
        <v>0</v>
      </c>
      <c r="O12" s="63">
        <v>-41.4</v>
      </c>
      <c r="P12" s="63">
        <f t="shared" si="1"/>
        <v>139.19999999999999</v>
      </c>
      <c r="Q12" s="2">
        <v>141.5</v>
      </c>
      <c r="R12" s="63">
        <v>-36.200000000000003</v>
      </c>
      <c r="S12" s="3">
        <v>1107.7</v>
      </c>
      <c r="T12" s="65">
        <v>-96.823641980000019</v>
      </c>
      <c r="U12" s="65">
        <v>33.558897600000002</v>
      </c>
      <c r="V12" s="3">
        <v>-377.6</v>
      </c>
      <c r="W12" s="3">
        <f t="shared" si="2"/>
        <v>730.1</v>
      </c>
      <c r="X12" s="2">
        <f t="shared" si="3"/>
        <v>3992.5999999999995</v>
      </c>
      <c r="Y12" s="63">
        <f t="shared" si="4"/>
        <v>-1088.6999999999998</v>
      </c>
      <c r="Z12" s="3">
        <f t="shared" si="5"/>
        <v>2903.8999999999996</v>
      </c>
    </row>
    <row r="13" spans="1:28">
      <c r="B13">
        <f t="shared" si="6"/>
        <v>1999</v>
      </c>
      <c r="C13" s="63">
        <v>181</v>
      </c>
      <c r="D13" s="63">
        <v>-22.8</v>
      </c>
      <c r="E13" s="63">
        <f>2860.4+0.5+1.9</f>
        <v>2862.8</v>
      </c>
      <c r="F13" s="65">
        <v>-90.157983829999992</v>
      </c>
      <c r="G13" s="61">
        <v>22.929432360000003</v>
      </c>
      <c r="H13" s="63">
        <f>-737.1-0.4-0.6</f>
        <v>-738.1</v>
      </c>
      <c r="I13" s="63">
        <f t="shared" si="0"/>
        <v>2124.7000000000003</v>
      </c>
      <c r="J13" s="2">
        <v>6.3</v>
      </c>
      <c r="K13" s="3">
        <v>0</v>
      </c>
      <c r="L13" s="63">
        <v>186.9</v>
      </c>
      <c r="M13" s="65">
        <v>-3.9723907099999995</v>
      </c>
      <c r="N13" s="65">
        <v>0</v>
      </c>
      <c r="O13" s="63">
        <v>-45.5</v>
      </c>
      <c r="P13" s="63">
        <f t="shared" si="1"/>
        <v>141.4</v>
      </c>
      <c r="Q13" s="2">
        <v>123.6</v>
      </c>
      <c r="R13" s="63">
        <v>-42.3</v>
      </c>
      <c r="S13" s="3">
        <v>1189.9000000000001</v>
      </c>
      <c r="T13" s="65">
        <v>-105.94733423</v>
      </c>
      <c r="U13" s="65">
        <v>40.169691790000002</v>
      </c>
      <c r="V13" s="3">
        <v>-443</v>
      </c>
      <c r="W13" s="3">
        <f t="shared" si="2"/>
        <v>746.90000000000009</v>
      </c>
      <c r="X13" s="2">
        <f t="shared" si="3"/>
        <v>4239.6000000000004</v>
      </c>
      <c r="Y13" s="63">
        <f t="shared" si="4"/>
        <v>-1226.5999999999999</v>
      </c>
      <c r="Z13" s="3">
        <f t="shared" si="5"/>
        <v>3013.0000000000005</v>
      </c>
    </row>
    <row r="14" spans="1:28">
      <c r="B14">
        <f t="shared" si="6"/>
        <v>2000</v>
      </c>
      <c r="C14" s="63">
        <v>184.5</v>
      </c>
      <c r="D14" s="63">
        <v>-26</v>
      </c>
      <c r="E14" s="63">
        <f>3020.2+0.5+2</f>
        <v>3022.7</v>
      </c>
      <c r="F14" s="65">
        <v>-95.739532759999989</v>
      </c>
      <c r="G14" s="65">
        <v>25.782917749999999</v>
      </c>
      <c r="H14" s="63">
        <f>-808.5-0.4-0.6</f>
        <v>-809.5</v>
      </c>
      <c r="I14" s="63">
        <f t="shared" si="0"/>
        <v>2213.1999999999998</v>
      </c>
      <c r="J14" s="2">
        <v>23.9</v>
      </c>
      <c r="K14" s="3">
        <v>-0.5</v>
      </c>
      <c r="L14" s="63">
        <v>209.7</v>
      </c>
      <c r="M14" s="65">
        <v>-4.2728473999999999</v>
      </c>
      <c r="N14" s="65">
        <v>0.50574259999999993</v>
      </c>
      <c r="O14" s="63">
        <v>-49.4</v>
      </c>
      <c r="P14" s="63">
        <f t="shared" si="1"/>
        <v>160.29999999999998</v>
      </c>
      <c r="Q14" s="2">
        <v>15.7</v>
      </c>
      <c r="R14" s="63">
        <v>-25.4</v>
      </c>
      <c r="S14" s="12">
        <v>295.39999999999998</v>
      </c>
      <c r="T14" s="65">
        <v>-56.447094010000001</v>
      </c>
      <c r="U14" s="65">
        <v>24.641541910000004</v>
      </c>
      <c r="V14" s="3">
        <v>-179</v>
      </c>
      <c r="W14" s="3">
        <f t="shared" si="2"/>
        <v>116.39999999999998</v>
      </c>
      <c r="X14" s="2">
        <f t="shared" si="3"/>
        <v>3527.7999999999997</v>
      </c>
      <c r="Y14" s="63">
        <f t="shared" si="4"/>
        <v>-1037.9000000000001</v>
      </c>
      <c r="Z14" s="3">
        <f t="shared" si="5"/>
        <v>2489.8999999999996</v>
      </c>
    </row>
    <row r="15" spans="1:28">
      <c r="B15">
        <f t="shared" si="6"/>
        <v>2001</v>
      </c>
      <c r="C15" s="63">
        <v>210.5</v>
      </c>
      <c r="D15" s="63">
        <v>-24.9</v>
      </c>
      <c r="E15" s="63">
        <f>3205.8+0.5+2</f>
        <v>3208.3</v>
      </c>
      <c r="F15" s="65">
        <f>-99.41413759</f>
        <v>-99.414137589999996</v>
      </c>
      <c r="G15" s="65">
        <v>14.52309896</v>
      </c>
      <c r="H15" s="63">
        <f>-884.7-0.4-0.7</f>
        <v>-885.80000000000007</v>
      </c>
      <c r="I15" s="63">
        <f t="shared" si="0"/>
        <v>2322.5</v>
      </c>
      <c r="J15" s="2">
        <v>15.1</v>
      </c>
      <c r="K15" s="3">
        <v>-0.1</v>
      </c>
      <c r="L15" s="63">
        <v>224.7</v>
      </c>
      <c r="M15" s="65">
        <v>-4.5878843099999997</v>
      </c>
      <c r="N15" s="65">
        <v>0.11336024</v>
      </c>
      <c r="O15" s="63">
        <v>-54.1</v>
      </c>
      <c r="P15" s="63">
        <f t="shared" si="1"/>
        <v>170.6</v>
      </c>
      <c r="Q15" s="2">
        <v>15.9</v>
      </c>
      <c r="R15" s="63">
        <v>-26.6</v>
      </c>
      <c r="S15" s="3">
        <v>251.1</v>
      </c>
      <c r="T15" s="65">
        <v>1.2454979099999985</v>
      </c>
      <c r="U15" s="65">
        <v>26.054826869999999</v>
      </c>
      <c r="V15" s="3">
        <v>-166.2</v>
      </c>
      <c r="W15" s="3">
        <f t="shared" si="2"/>
        <v>84.9</v>
      </c>
      <c r="X15" s="2">
        <f t="shared" si="3"/>
        <v>3684.1</v>
      </c>
      <c r="Y15" s="63">
        <f t="shared" si="4"/>
        <v>-1106.1000000000001</v>
      </c>
      <c r="Z15" s="3">
        <f t="shared" si="5"/>
        <v>2578</v>
      </c>
    </row>
    <row r="16" spans="1:28">
      <c r="B16">
        <f t="shared" si="6"/>
        <v>2002</v>
      </c>
      <c r="C16" s="63">
        <v>232.1</v>
      </c>
      <c r="D16" s="63">
        <v>-22</v>
      </c>
      <c r="E16" s="63">
        <f>3415.9+0.5+2</f>
        <v>3418.4</v>
      </c>
      <c r="F16" s="65">
        <v>-106.07734294400001</v>
      </c>
      <c r="G16" s="61">
        <v>21.464697409999999</v>
      </c>
      <c r="H16" s="63">
        <f>-971.1-0.4-0.7</f>
        <v>-972.2</v>
      </c>
      <c r="I16" s="63">
        <f t="shared" si="0"/>
        <v>2446.1999999999998</v>
      </c>
      <c r="J16" s="2">
        <v>11.4</v>
      </c>
      <c r="K16" s="3">
        <v>0</v>
      </c>
      <c r="L16" s="63">
        <v>236.1</v>
      </c>
      <c r="M16" s="65">
        <v>-4.827697360000001</v>
      </c>
      <c r="N16" s="65">
        <v>2.875E-3</v>
      </c>
      <c r="O16" s="63">
        <v>-59</v>
      </c>
      <c r="P16" s="63">
        <f t="shared" si="1"/>
        <v>177.1</v>
      </c>
      <c r="Q16" s="2">
        <v>12.9</v>
      </c>
      <c r="R16" s="63">
        <v>-19.5</v>
      </c>
      <c r="S16" s="3">
        <v>244.5</v>
      </c>
      <c r="T16" s="65">
        <v>-38.075955130000011</v>
      </c>
      <c r="U16" s="65">
        <v>18.689556929999998</v>
      </c>
      <c r="V16" s="3">
        <v>-184.9</v>
      </c>
      <c r="W16" s="3">
        <f t="shared" si="2"/>
        <v>59.599999999999994</v>
      </c>
      <c r="X16" s="2">
        <f t="shared" si="3"/>
        <v>3899</v>
      </c>
      <c r="Y16" s="63">
        <f t="shared" si="4"/>
        <v>-1216.1000000000001</v>
      </c>
      <c r="Z16" s="3">
        <f t="shared" si="5"/>
        <v>2682.8999999999996</v>
      </c>
    </row>
    <row r="17" spans="2:28">
      <c r="B17">
        <f t="shared" si="6"/>
        <v>2003</v>
      </c>
      <c r="C17" s="63">
        <v>211.2</v>
      </c>
      <c r="D17" s="63">
        <v>-15</v>
      </c>
      <c r="E17" s="63">
        <f>3612.1+0.5+1.9</f>
        <v>3614.5</v>
      </c>
      <c r="F17" s="65">
        <v>-149.40261102000002</v>
      </c>
      <c r="G17" s="61">
        <v>26.061520219999998</v>
      </c>
      <c r="H17" s="63">
        <f>-1094.3-0.4-0.6</f>
        <v>-1095.3</v>
      </c>
      <c r="I17" s="63">
        <f t="shared" si="0"/>
        <v>2519.1999999999998</v>
      </c>
      <c r="J17" s="2">
        <v>5.8</v>
      </c>
      <c r="K17" s="3">
        <v>0</v>
      </c>
      <c r="L17" s="63">
        <v>241.9</v>
      </c>
      <c r="M17" s="65">
        <v>-5.2902399999999989</v>
      </c>
      <c r="N17" s="65">
        <v>-6.9285629999999987E-2</v>
      </c>
      <c r="O17" s="63">
        <v>-64.400000000000006</v>
      </c>
      <c r="P17" s="63">
        <f t="shared" si="1"/>
        <v>177.5</v>
      </c>
      <c r="Q17" s="2">
        <v>33.4</v>
      </c>
      <c r="R17" s="63">
        <v>-85.5</v>
      </c>
      <c r="S17" s="3">
        <v>192.4</v>
      </c>
      <c r="T17" s="65">
        <v>-23.961256607000003</v>
      </c>
      <c r="U17" s="65">
        <v>83.703572379999983</v>
      </c>
      <c r="V17" s="3">
        <v>-125.4</v>
      </c>
      <c r="W17" s="3">
        <f t="shared" si="2"/>
        <v>67</v>
      </c>
      <c r="X17" s="2">
        <f t="shared" si="3"/>
        <v>4048.8</v>
      </c>
      <c r="Y17" s="63">
        <f t="shared" si="4"/>
        <v>-1285.1000000000001</v>
      </c>
      <c r="Z17" s="3">
        <f t="shared" si="5"/>
        <v>2763.7</v>
      </c>
    </row>
    <row r="18" spans="2:28">
      <c r="B18">
        <f t="shared" si="6"/>
        <v>2004</v>
      </c>
      <c r="C18" s="63">
        <v>208</v>
      </c>
      <c r="D18" s="63">
        <v>-45.6</v>
      </c>
      <c r="E18" s="10">
        <f>3774.5+0.5+1.7</f>
        <v>3776.7</v>
      </c>
      <c r="F18" s="65">
        <v>-158.52978327999998</v>
      </c>
      <c r="G18" s="65">
        <v>53.734964759999997</v>
      </c>
      <c r="H18" s="63">
        <f>-1199.1-0.4-0.5</f>
        <v>-1200</v>
      </c>
      <c r="I18" s="63">
        <f t="shared" si="0"/>
        <v>2576.6999999999998</v>
      </c>
      <c r="J18" s="2">
        <v>5.0999999999999996</v>
      </c>
      <c r="K18" s="3">
        <v>-1.2</v>
      </c>
      <c r="L18" s="63">
        <v>245.7</v>
      </c>
      <c r="M18" s="65">
        <v>-5.4047850799999981</v>
      </c>
      <c r="N18" s="65">
        <v>1.11458798</v>
      </c>
      <c r="O18" s="63">
        <v>-68.599999999999994</v>
      </c>
      <c r="P18" s="63">
        <f t="shared" si="1"/>
        <v>177.1</v>
      </c>
      <c r="Q18" s="2">
        <v>54.5</v>
      </c>
      <c r="R18" s="63">
        <v>-4.7</v>
      </c>
      <c r="S18" s="11">
        <v>242.1</v>
      </c>
      <c r="T18" s="65">
        <v>-16.358280299999997</v>
      </c>
      <c r="U18" s="65">
        <v>4.2790577099999991</v>
      </c>
      <c r="V18" s="3">
        <v>-137.1</v>
      </c>
      <c r="W18" s="3">
        <f t="shared" si="2"/>
        <v>105</v>
      </c>
      <c r="X18" s="2">
        <f t="shared" si="3"/>
        <v>4264.5</v>
      </c>
      <c r="Y18" s="63">
        <f t="shared" si="4"/>
        <v>-1405.6999999999998</v>
      </c>
      <c r="Z18" s="3">
        <f t="shared" si="5"/>
        <v>2858.8</v>
      </c>
      <c r="AA18" t="s">
        <v>16</v>
      </c>
    </row>
    <row r="19" spans="2:28">
      <c r="B19">
        <f t="shared" si="6"/>
        <v>2005</v>
      </c>
      <c r="C19" s="8">
        <v>286.5</v>
      </c>
      <c r="D19" s="8">
        <v>-23.9</v>
      </c>
      <c r="E19" s="8">
        <f>4076.4+0.5+1.7</f>
        <v>4078.6</v>
      </c>
      <c r="F19" s="65">
        <v>-167.52678351999998</v>
      </c>
      <c r="G19" s="65">
        <v>29.306975170000001</v>
      </c>
      <c r="H19" s="63">
        <f>-1371.9-0.4-0.6</f>
        <v>-1372.9</v>
      </c>
      <c r="I19" s="63">
        <f t="shared" si="0"/>
        <v>2705.7</v>
      </c>
      <c r="J19" s="2">
        <v>5.7</v>
      </c>
      <c r="K19" s="3">
        <v>0</v>
      </c>
      <c r="L19" s="63">
        <v>251.6</v>
      </c>
      <c r="M19" s="65">
        <v>-5.6300043799999973</v>
      </c>
      <c r="N19" s="65">
        <v>0</v>
      </c>
      <c r="O19" s="63">
        <v>-75.599999999999994</v>
      </c>
      <c r="P19" s="63">
        <f t="shared" si="1"/>
        <v>176</v>
      </c>
      <c r="Q19" s="2">
        <v>43.4</v>
      </c>
      <c r="R19" s="63">
        <v>-35.4</v>
      </c>
      <c r="S19" s="11">
        <v>262.89999999999998</v>
      </c>
      <c r="T19" s="65">
        <v>-23.132701170000001</v>
      </c>
      <c r="U19" s="65">
        <v>35.033300510000004</v>
      </c>
      <c r="V19" s="3">
        <v>-130.9</v>
      </c>
      <c r="W19" s="3">
        <f t="shared" si="2"/>
        <v>131.99999999999997</v>
      </c>
      <c r="X19" s="2">
        <f t="shared" si="3"/>
        <v>4593.0999999999995</v>
      </c>
      <c r="Y19" s="63">
        <f t="shared" si="4"/>
        <v>-1579.4</v>
      </c>
      <c r="Z19" s="3">
        <f t="shared" si="5"/>
        <v>3013.6999999999994</v>
      </c>
      <c r="AA19" t="s">
        <v>17</v>
      </c>
    </row>
    <row r="20" spans="2:28">
      <c r="B20">
        <f t="shared" si="6"/>
        <v>2006</v>
      </c>
      <c r="C20" s="8">
        <v>301.5</v>
      </c>
      <c r="D20" s="8">
        <v>-30.8</v>
      </c>
      <c r="E20" s="63">
        <f>4347.1+0.5+1.7</f>
        <v>4349.3</v>
      </c>
      <c r="F20" s="65">
        <v>-176.48720237000003</v>
      </c>
      <c r="G20" s="65">
        <v>51.914585599999995</v>
      </c>
      <c r="H20" s="63">
        <f>-1496.3-0.4-0.7</f>
        <v>-1497.4</v>
      </c>
      <c r="I20" s="63">
        <f t="shared" si="0"/>
        <v>2851.9</v>
      </c>
      <c r="J20" s="2">
        <v>10.9</v>
      </c>
      <c r="K20" s="3">
        <v>0</v>
      </c>
      <c r="L20" s="63">
        <v>262.5</v>
      </c>
      <c r="M20" s="65">
        <v>-5.8505719099999984</v>
      </c>
      <c r="N20" s="65">
        <v>0</v>
      </c>
      <c r="O20" s="63">
        <v>-81.5</v>
      </c>
      <c r="P20" s="63">
        <f t="shared" si="1"/>
        <v>181</v>
      </c>
      <c r="Q20" s="2">
        <v>41.4</v>
      </c>
      <c r="R20" s="63">
        <v>-17.100000000000001</v>
      </c>
      <c r="S20" s="11">
        <v>287.2</v>
      </c>
      <c r="T20" s="65">
        <v>-24.721676839999994</v>
      </c>
      <c r="U20" s="65">
        <v>11.89601102</v>
      </c>
      <c r="V20" s="3">
        <v>-143.80000000000001</v>
      </c>
      <c r="W20" s="3">
        <f t="shared" si="2"/>
        <v>143.39999999999998</v>
      </c>
      <c r="X20" s="2">
        <f t="shared" si="3"/>
        <v>4899</v>
      </c>
      <c r="Y20" s="63">
        <f t="shared" si="4"/>
        <v>-1722.7</v>
      </c>
      <c r="Z20" s="3">
        <f t="shared" si="5"/>
        <v>3176.3</v>
      </c>
    </row>
    <row r="21" spans="2:28">
      <c r="B21">
        <f t="shared" si="6"/>
        <v>2007</v>
      </c>
      <c r="C21" s="8">
        <v>292.39999999999998</v>
      </c>
      <c r="D21" s="8">
        <v>-42.9</v>
      </c>
      <c r="E21" s="63">
        <f>4596.6+0.5+1.7</f>
        <v>4598.8</v>
      </c>
      <c r="F21" s="65">
        <v>-188.15755627000001</v>
      </c>
      <c r="G21" s="65">
        <v>36.340520960000006</v>
      </c>
      <c r="H21" s="63">
        <f>-1648.2-0.4-0.8</f>
        <v>-1649.4</v>
      </c>
      <c r="I21" s="63">
        <f t="shared" si="0"/>
        <v>2949.4</v>
      </c>
      <c r="J21" s="2">
        <v>2.5</v>
      </c>
      <c r="K21" s="3">
        <v>0</v>
      </c>
      <c r="L21" s="63">
        <v>265</v>
      </c>
      <c r="M21" s="65">
        <v>-5.9934123399999972</v>
      </c>
      <c r="N21" s="65">
        <v>-7.6109999999999997E-3</v>
      </c>
      <c r="O21" s="63">
        <v>-87.5</v>
      </c>
      <c r="P21" s="63">
        <f t="shared" si="1"/>
        <v>177.5</v>
      </c>
      <c r="Q21" s="2">
        <v>41</v>
      </c>
      <c r="R21" s="63">
        <v>-18.600000000000001</v>
      </c>
      <c r="S21" s="11">
        <v>306.60000000000002</v>
      </c>
      <c r="T21" s="65">
        <v>-35.771711929999995</v>
      </c>
      <c r="U21" s="65">
        <v>18.721455479999999</v>
      </c>
      <c r="V21" s="3">
        <v>-160.9</v>
      </c>
      <c r="W21" s="3">
        <f t="shared" si="2"/>
        <v>145.70000000000002</v>
      </c>
      <c r="X21" s="2">
        <f t="shared" si="3"/>
        <v>5170.4000000000005</v>
      </c>
      <c r="Y21" s="63">
        <f t="shared" si="4"/>
        <v>-1897.8000000000002</v>
      </c>
      <c r="Z21" s="3">
        <f t="shared" si="5"/>
        <v>3272.6000000000004</v>
      </c>
    </row>
    <row r="22" spans="2:28">
      <c r="B22">
        <f t="shared" si="6"/>
        <v>2008</v>
      </c>
      <c r="C22" s="8">
        <v>283.3</v>
      </c>
      <c r="D22" s="8">
        <v>-43.4</v>
      </c>
      <c r="E22" s="63">
        <f>4836.5+0.5+1.7</f>
        <v>4838.7</v>
      </c>
      <c r="F22" s="65">
        <v>-196.88956050999997</v>
      </c>
      <c r="G22" s="61">
        <v>55.168814249999997</v>
      </c>
      <c r="H22" s="63">
        <f>-1789.7-0.5-0.8</f>
        <v>-1791</v>
      </c>
      <c r="I22" s="63">
        <f t="shared" si="0"/>
        <v>3047.7</v>
      </c>
      <c r="J22" s="2">
        <v>6.5</v>
      </c>
      <c r="K22" s="3">
        <v>0</v>
      </c>
      <c r="L22" s="63">
        <v>271.5</v>
      </c>
      <c r="M22" s="65">
        <v>-6.1274597299999973</v>
      </c>
      <c r="N22" s="65">
        <v>0</v>
      </c>
      <c r="O22" s="63">
        <v>-93.7</v>
      </c>
      <c r="P22" s="63">
        <f t="shared" si="1"/>
        <v>177.8</v>
      </c>
      <c r="Q22" s="2">
        <v>39.4</v>
      </c>
      <c r="R22" s="63">
        <v>-60.5</v>
      </c>
      <c r="S22" s="3">
        <v>285.5</v>
      </c>
      <c r="T22" s="65">
        <v>-34.134967000000003</v>
      </c>
      <c r="U22" s="65">
        <v>60.800536010000002</v>
      </c>
      <c r="V22" s="3">
        <v>-134</v>
      </c>
      <c r="W22" s="3">
        <f t="shared" si="2"/>
        <v>151.5</v>
      </c>
      <c r="X22" s="2">
        <f t="shared" si="3"/>
        <v>5395.7</v>
      </c>
      <c r="Y22" s="63">
        <f t="shared" si="4"/>
        <v>-2018.7</v>
      </c>
      <c r="Z22" s="3">
        <f t="shared" si="5"/>
        <v>3377</v>
      </c>
    </row>
    <row r="23" spans="2:28">
      <c r="B23">
        <f t="shared" si="6"/>
        <v>2009</v>
      </c>
      <c r="C23" s="8">
        <v>270.60000000000002</v>
      </c>
      <c r="D23" s="8">
        <v>-44.6</v>
      </c>
      <c r="E23" s="63">
        <f>5062.5+0.5+1.7</f>
        <v>5064.7</v>
      </c>
      <c r="F23" s="65">
        <v>-207.06218371000003</v>
      </c>
      <c r="G23" s="65">
        <f>758.20319644-691.5</f>
        <v>66.703196440000056</v>
      </c>
      <c r="H23" s="63">
        <f>-1930-0.5-0.9</f>
        <v>-1931.4</v>
      </c>
      <c r="I23" s="63">
        <f t="shared" si="0"/>
        <v>3133.2999999999997</v>
      </c>
      <c r="J23" s="2">
        <v>8.1</v>
      </c>
      <c r="K23" s="3">
        <v>0</v>
      </c>
      <c r="L23" s="63">
        <v>279.7</v>
      </c>
      <c r="M23" s="65">
        <v>-6.2762841700000083</v>
      </c>
      <c r="N23" s="65">
        <v>0.73216691999999994</v>
      </c>
      <c r="O23" s="63">
        <v>-99.1</v>
      </c>
      <c r="P23" s="63">
        <f t="shared" si="1"/>
        <v>180.6</v>
      </c>
      <c r="Q23" s="2">
        <v>158.9</v>
      </c>
      <c r="R23" s="63">
        <v>-58.8</v>
      </c>
      <c r="S23" s="3">
        <v>385.2</v>
      </c>
      <c r="T23" s="65">
        <v>-37.957176699999998</v>
      </c>
      <c r="U23" s="65">
        <v>58.291224390000004</v>
      </c>
      <c r="V23" s="3">
        <v>-113.7</v>
      </c>
      <c r="W23" s="3">
        <f t="shared" si="2"/>
        <v>271.5</v>
      </c>
      <c r="X23" s="2">
        <f t="shared" si="3"/>
        <v>5729.5999999999995</v>
      </c>
      <c r="Y23" s="63">
        <f t="shared" si="4"/>
        <v>-2144.1999999999998</v>
      </c>
      <c r="Z23" s="3">
        <f t="shared" si="5"/>
        <v>3585.3999999999996</v>
      </c>
    </row>
    <row r="24" spans="2:28">
      <c r="B24">
        <f t="shared" si="6"/>
        <v>2010</v>
      </c>
      <c r="C24" s="63">
        <v>284.60000000000002</v>
      </c>
      <c r="D24" s="63">
        <v>-49.3</v>
      </c>
      <c r="E24" s="63">
        <f>5297.8+0.5+1.7</f>
        <v>5300</v>
      </c>
      <c r="F24" s="65">
        <v>-218.70669164</v>
      </c>
      <c r="G24" s="65">
        <v>69.130528479999995</v>
      </c>
      <c r="H24" s="63">
        <f>-2079.4-0.5-1</f>
        <v>-2080.9</v>
      </c>
      <c r="I24" s="63">
        <f t="shared" si="0"/>
        <v>3219.1</v>
      </c>
      <c r="J24" s="2">
        <v>16.100000000000001</v>
      </c>
      <c r="K24" s="3">
        <v>0</v>
      </c>
      <c r="L24" s="63">
        <v>295.8</v>
      </c>
      <c r="M24" s="65">
        <v>-6.4728782999999979</v>
      </c>
      <c r="N24" s="65">
        <v>6.0067290000000002E-2</v>
      </c>
      <c r="O24" s="63">
        <v>-105.5</v>
      </c>
      <c r="P24" s="63">
        <f t="shared" si="1"/>
        <v>190.3</v>
      </c>
      <c r="Q24" s="2">
        <v>40</v>
      </c>
      <c r="R24" s="63">
        <v>-39.299999999999997</v>
      </c>
      <c r="S24" s="3">
        <v>385.9</v>
      </c>
      <c r="T24" s="65">
        <v>-41.999761590000006</v>
      </c>
      <c r="U24" s="65">
        <v>39.016407359999995</v>
      </c>
      <c r="V24" s="3">
        <v>-116.7</v>
      </c>
      <c r="W24" s="3">
        <f t="shared" si="2"/>
        <v>269.2</v>
      </c>
      <c r="X24" s="2">
        <f t="shared" si="3"/>
        <v>5981.7</v>
      </c>
      <c r="Y24" s="63">
        <f t="shared" si="4"/>
        <v>-2303.1</v>
      </c>
      <c r="Z24" s="3">
        <f t="shared" si="5"/>
        <v>3678.6</v>
      </c>
    </row>
    <row r="25" spans="2:28">
      <c r="B25">
        <f t="shared" si="6"/>
        <v>2011</v>
      </c>
      <c r="C25" s="63">
        <v>287.10000000000002</v>
      </c>
      <c r="D25" s="63">
        <v>-35.1</v>
      </c>
      <c r="E25" s="63">
        <f>5549.7+0.5+1.7</f>
        <v>5551.9</v>
      </c>
      <c r="F25" s="65">
        <v>-162.66317398999928</v>
      </c>
      <c r="G25" s="61">
        <v>4.9336280499995908</v>
      </c>
      <c r="H25" s="63">
        <f>-2237-0.5-1</f>
        <v>-2238.5</v>
      </c>
      <c r="I25" s="63">
        <f t="shared" si="0"/>
        <v>3313.3999999999996</v>
      </c>
      <c r="J25" s="2">
        <v>21</v>
      </c>
      <c r="K25" s="3">
        <v>0</v>
      </c>
      <c r="L25" s="63">
        <v>316.2</v>
      </c>
      <c r="M25" s="65">
        <v>-7.3019874699999976</v>
      </c>
      <c r="N25" s="65">
        <v>1.03372971</v>
      </c>
      <c r="O25" s="63">
        <v>-111.8</v>
      </c>
      <c r="P25" s="63">
        <f t="shared" si="1"/>
        <v>204.39999999999998</v>
      </c>
      <c r="Q25" s="2">
        <v>44.8</v>
      </c>
      <c r="R25" s="63">
        <v>-30.7</v>
      </c>
      <c r="S25" s="3">
        <v>400</v>
      </c>
      <c r="T25" s="65">
        <v>-42.655184559999988</v>
      </c>
      <c r="U25" s="65">
        <v>30.341947380000008</v>
      </c>
      <c r="V25" s="3">
        <v>-129</v>
      </c>
      <c r="W25" s="3">
        <f t="shared" si="2"/>
        <v>271</v>
      </c>
      <c r="X25" s="2">
        <f t="shared" si="3"/>
        <v>6268.0999999999995</v>
      </c>
      <c r="Y25" s="63">
        <f t="shared" si="4"/>
        <v>-2479.3000000000002</v>
      </c>
      <c r="Z25" s="3">
        <f t="shared" si="5"/>
        <v>3788.7999999999993</v>
      </c>
    </row>
    <row r="26" spans="2:28">
      <c r="B26">
        <f t="shared" si="6"/>
        <v>2012</v>
      </c>
      <c r="C26" s="63">
        <v>367.5</v>
      </c>
      <c r="D26" s="63">
        <v>-59.6</v>
      </c>
      <c r="E26" s="63">
        <f>5857.6+0.5+1.7</f>
        <v>5859.8</v>
      </c>
      <c r="F26" s="65">
        <v>-240.22063699999995</v>
      </c>
      <c r="G26" s="61">
        <v>85.153844889999988</v>
      </c>
      <c r="H26" s="63">
        <f>-2391.9-0.5-1.1</f>
        <v>-2393.5</v>
      </c>
      <c r="I26" s="63">
        <f t="shared" si="0"/>
        <v>3466.3</v>
      </c>
      <c r="J26" s="2">
        <v>20.100000000000001</v>
      </c>
      <c r="K26" s="3">
        <v>0</v>
      </c>
      <c r="L26" s="63">
        <v>336.3</v>
      </c>
      <c r="M26" s="65">
        <v>-7.9744602699999989</v>
      </c>
      <c r="N26" s="61">
        <v>1.0628973499999999</v>
      </c>
      <c r="O26" s="63">
        <v>-118.7</v>
      </c>
      <c r="P26" s="63">
        <f t="shared" si="1"/>
        <v>217.60000000000002</v>
      </c>
      <c r="Q26" s="2">
        <v>43.5</v>
      </c>
      <c r="R26" s="63">
        <v>-34</v>
      </c>
      <c r="S26" s="3">
        <v>409.4</v>
      </c>
      <c r="T26" s="65">
        <v>-44.417105540000009</v>
      </c>
      <c r="U26" s="65">
        <v>33.664704640000004</v>
      </c>
      <c r="V26" s="3">
        <v>-139.69999999999999</v>
      </c>
      <c r="W26" s="3">
        <f t="shared" si="2"/>
        <v>269.7</v>
      </c>
      <c r="X26" s="2">
        <f t="shared" si="3"/>
        <v>6605.5</v>
      </c>
      <c r="Y26" s="63">
        <f t="shared" si="4"/>
        <v>-2651.8999999999996</v>
      </c>
      <c r="Z26" s="3">
        <f t="shared" si="5"/>
        <v>3953.6000000000004</v>
      </c>
    </row>
    <row r="27" spans="2:28">
      <c r="B27">
        <f t="shared" si="6"/>
        <v>2013</v>
      </c>
      <c r="C27" s="63">
        <v>366.3</v>
      </c>
      <c r="D27" s="63">
        <v>-22.4</v>
      </c>
      <c r="E27" s="63">
        <f>6201.5+0.5+1.7</f>
        <v>6203.7</v>
      </c>
      <c r="F27" s="65">
        <v>-207.75133334999998</v>
      </c>
      <c r="G27" s="61">
        <v>56.588960819999997</v>
      </c>
      <c r="H27" s="63">
        <f>-2543-0.5-1.2</f>
        <v>-2544.6999999999998</v>
      </c>
      <c r="I27" s="63">
        <f t="shared" si="0"/>
        <v>3659</v>
      </c>
      <c r="J27" s="2">
        <v>20</v>
      </c>
      <c r="K27" s="3">
        <v>0</v>
      </c>
      <c r="L27" s="63">
        <v>356.4</v>
      </c>
      <c r="M27" s="65">
        <v>-6.5877119300000002</v>
      </c>
      <c r="N27" s="61">
        <v>0.50035145999999997</v>
      </c>
      <c r="O27" s="63">
        <v>-124.7</v>
      </c>
      <c r="P27" s="63">
        <f t="shared" si="1"/>
        <v>231.7</v>
      </c>
      <c r="Q27" s="2">
        <v>64.400000000000006</v>
      </c>
      <c r="R27" s="63">
        <v>-17.3</v>
      </c>
      <c r="S27" s="3">
        <v>456.5</v>
      </c>
      <c r="T27" s="65">
        <v>-61.57960542</v>
      </c>
      <c r="U27" s="65">
        <v>16.046952810000004</v>
      </c>
      <c r="V27" s="3">
        <v>-185.3</v>
      </c>
      <c r="W27" s="3">
        <f t="shared" si="2"/>
        <v>271.2</v>
      </c>
      <c r="X27" s="2">
        <f t="shared" si="3"/>
        <v>7016.5999999999995</v>
      </c>
      <c r="Y27" s="63">
        <f t="shared" si="4"/>
        <v>-2854.7</v>
      </c>
      <c r="Z27" s="3">
        <f t="shared" si="5"/>
        <v>4161.8999999999996</v>
      </c>
    </row>
    <row r="28" spans="2:28">
      <c r="B28">
        <f t="shared" si="6"/>
        <v>2014</v>
      </c>
      <c r="C28" s="63">
        <v>441.5</v>
      </c>
      <c r="D28" s="63">
        <v>-24.6</v>
      </c>
      <c r="E28" s="63">
        <f>6618.4+0.5+1.7</f>
        <v>6620.5999999999995</v>
      </c>
      <c r="F28" s="65">
        <v>-175.25614808</v>
      </c>
      <c r="G28" s="61">
        <f>49.40931322+96.981321</f>
        <v>146.39063421999998</v>
      </c>
      <c r="H28" s="63">
        <f>-2571.8-0.5-1.2</f>
        <v>-2573.5</v>
      </c>
      <c r="I28" s="63">
        <f t="shared" si="0"/>
        <v>4047.0999999999995</v>
      </c>
      <c r="J28" s="2">
        <v>9.8000000000000007</v>
      </c>
      <c r="K28" s="3">
        <v>0</v>
      </c>
      <c r="L28" s="63">
        <v>366.2</v>
      </c>
      <c r="M28" s="65">
        <v>-6.6433275200000015</v>
      </c>
      <c r="N28" s="61">
        <v>-0.13232099999999999</v>
      </c>
      <c r="O28" s="63">
        <v>-131.5</v>
      </c>
      <c r="P28" s="63">
        <f t="shared" si="1"/>
        <v>234.7</v>
      </c>
      <c r="Q28" s="2">
        <v>57.6</v>
      </c>
      <c r="R28" s="63">
        <v>-7.3</v>
      </c>
      <c r="S28" s="3">
        <v>506.8</v>
      </c>
      <c r="T28" s="65">
        <v>-74.397206920000002</v>
      </c>
      <c r="U28" s="65">
        <v>6.9200717699999998</v>
      </c>
      <c r="V28" s="3">
        <v>-252.7</v>
      </c>
      <c r="W28" s="3">
        <f t="shared" si="2"/>
        <v>254.10000000000002</v>
      </c>
      <c r="X28" s="2">
        <f t="shared" si="3"/>
        <v>7493.5999999999995</v>
      </c>
      <c r="Y28" s="63">
        <f t="shared" si="4"/>
        <v>-2957.7</v>
      </c>
      <c r="Z28" s="3">
        <f t="shared" si="5"/>
        <v>4535.8999999999996</v>
      </c>
    </row>
    <row r="29" spans="2:28">
      <c r="B29">
        <f t="shared" si="6"/>
        <v>2015</v>
      </c>
      <c r="C29" s="63">
        <v>320.7</v>
      </c>
      <c r="D29" s="63">
        <f>-51.7-0.5</f>
        <v>-52.2</v>
      </c>
      <c r="E29" s="14">
        <f>6887.5+1.7</f>
        <v>6889.2</v>
      </c>
      <c r="F29" s="65">
        <v>-181.60737793000001</v>
      </c>
      <c r="G29" s="61">
        <f>94.2279907499999+90.5159</f>
        <v>184.74389074999991</v>
      </c>
      <c r="H29" s="14">
        <f>-2568.5-1.2</f>
        <v>-2569.6999999999998</v>
      </c>
      <c r="I29" s="25">
        <f t="shared" si="0"/>
        <v>4319.5</v>
      </c>
      <c r="J29" s="63">
        <v>18.7</v>
      </c>
      <c r="K29" s="3">
        <v>-14.1</v>
      </c>
      <c r="L29" s="9">
        <f>370.9-5.6</f>
        <v>365.29999999999995</v>
      </c>
      <c r="M29" s="65">
        <v>-6.5503180500000004</v>
      </c>
      <c r="N29" s="61">
        <f>12.08050701-0.1235</f>
        <v>11.95700701</v>
      </c>
      <c r="O29" s="14">
        <v>-126.1</v>
      </c>
      <c r="P29" s="25">
        <f t="shared" si="1"/>
        <v>239.19999999999996</v>
      </c>
      <c r="Q29" s="63">
        <v>24.5</v>
      </c>
      <c r="R29" s="63">
        <v>-42.5</v>
      </c>
      <c r="S29" s="13">
        <v>488.9</v>
      </c>
      <c r="T29" s="65">
        <v>-72.346417259999996</v>
      </c>
      <c r="U29" s="65">
        <v>42.526186080000002</v>
      </c>
      <c r="V29" s="13">
        <v>-283</v>
      </c>
      <c r="W29" s="3">
        <f t="shared" si="2"/>
        <v>205.89999999999998</v>
      </c>
      <c r="X29" s="2">
        <f t="shared" si="3"/>
        <v>7743.4</v>
      </c>
      <c r="Y29" s="63">
        <f t="shared" si="4"/>
        <v>-2978.7999999999997</v>
      </c>
      <c r="Z29" s="3">
        <f t="shared" si="5"/>
        <v>4764.6000000000004</v>
      </c>
    </row>
    <row r="30" spans="2:28">
      <c r="B30">
        <f t="shared" si="6"/>
        <v>2016</v>
      </c>
      <c r="C30" s="14">
        <v>1240.0999999999999</v>
      </c>
      <c r="D30" s="14">
        <v>-29.7</v>
      </c>
      <c r="E30" s="14">
        <f>8097.9+1.7</f>
        <v>8099.5999999999995</v>
      </c>
      <c r="F30" s="14">
        <v>-207.5</v>
      </c>
      <c r="G30" s="29">
        <f>84.1+29.4+38.2</f>
        <v>151.69999999999999</v>
      </c>
      <c r="H30" s="14">
        <f>-2624.3-1.3</f>
        <v>-2625.6000000000004</v>
      </c>
      <c r="I30" s="25">
        <f t="shared" si="0"/>
        <v>5473.9999999999991</v>
      </c>
      <c r="J30" s="14">
        <v>40</v>
      </c>
      <c r="K30" s="13">
        <v>-0.8</v>
      </c>
      <c r="L30" s="14">
        <v>404.5</v>
      </c>
      <c r="M30" s="14">
        <v>-7.4</v>
      </c>
      <c r="N30" s="29">
        <f>-0.1+0.8</f>
        <v>0.70000000000000007</v>
      </c>
      <c r="O30" s="14">
        <f>-132.8</f>
        <v>-132.80000000000001</v>
      </c>
      <c r="P30" s="25">
        <f t="shared" si="1"/>
        <v>271.7</v>
      </c>
      <c r="Q30" s="14">
        <v>131.5</v>
      </c>
      <c r="R30" s="14">
        <v>-47.8</v>
      </c>
      <c r="S30" s="13">
        <v>572.6</v>
      </c>
      <c r="T30" s="14">
        <v>-78.5</v>
      </c>
      <c r="U30" s="14">
        <f>47.8-0.8</f>
        <v>47</v>
      </c>
      <c r="V30" s="13">
        <v>-314.5</v>
      </c>
      <c r="W30" s="3">
        <f t="shared" si="2"/>
        <v>258.10000000000002</v>
      </c>
      <c r="X30" s="2">
        <f t="shared" si="3"/>
        <v>9076.6999999999989</v>
      </c>
      <c r="Y30" s="63">
        <f t="shared" si="4"/>
        <v>-3072.9000000000005</v>
      </c>
      <c r="Z30" s="3">
        <f>X30+Y30</f>
        <v>6003.7999999999984</v>
      </c>
      <c r="AB30" t="s">
        <v>18</v>
      </c>
    </row>
    <row r="31" spans="2:28">
      <c r="B31">
        <f t="shared" si="6"/>
        <v>2017</v>
      </c>
      <c r="C31" s="13">
        <v>395.4</v>
      </c>
      <c r="D31" s="13">
        <v>-41</v>
      </c>
      <c r="E31" s="13">
        <f>8452.3+1.7</f>
        <v>8454</v>
      </c>
      <c r="F31" s="14">
        <v>-211.7</v>
      </c>
      <c r="G31" s="29">
        <f>77.6+41+45.5</f>
        <v>164.1</v>
      </c>
      <c r="H31" s="14">
        <f>-2674.4+1.3</f>
        <v>-2673.1</v>
      </c>
      <c r="I31" s="25">
        <f t="shared" si="0"/>
        <v>5780.9</v>
      </c>
      <c r="J31" s="13">
        <v>13.6</v>
      </c>
      <c r="K31" s="13">
        <v>-1.3</v>
      </c>
      <c r="L31" s="13">
        <f>L30+J31+K31</f>
        <v>416.8</v>
      </c>
      <c r="M31" s="14">
        <v>-7.7</v>
      </c>
      <c r="N31" s="29">
        <f>-0.1+1.3</f>
        <v>1.2</v>
      </c>
      <c r="O31" s="13">
        <f>O30+M31+N31</f>
        <v>-139.30000000000001</v>
      </c>
      <c r="P31" s="25">
        <f t="shared" si="1"/>
        <v>277.5</v>
      </c>
      <c r="Q31" s="14">
        <v>46.6</v>
      </c>
      <c r="R31" s="13">
        <v>-31.4</v>
      </c>
      <c r="S31" s="13">
        <v>587.79999999999995</v>
      </c>
      <c r="T31" s="14">
        <v>-82.7</v>
      </c>
      <c r="U31" s="14">
        <f>31.4-0.6</f>
        <v>30.799999999999997</v>
      </c>
      <c r="V31" s="13">
        <f>-366.4</f>
        <v>-366.4</v>
      </c>
      <c r="W31" s="3">
        <f t="shared" si="2"/>
        <v>221.39999999999998</v>
      </c>
      <c r="X31" s="15"/>
      <c r="Y31" s="15"/>
      <c r="Z31" s="15"/>
      <c r="AB31" t="s">
        <v>19</v>
      </c>
    </row>
    <row r="32" spans="2:28">
      <c r="B32">
        <f t="shared" si="6"/>
        <v>2018</v>
      </c>
      <c r="C32" s="13">
        <v>328.6</v>
      </c>
      <c r="D32" s="13">
        <v>-26.2</v>
      </c>
      <c r="E32" s="13">
        <f>8754.7+1.7</f>
        <v>8756.4000000000015</v>
      </c>
      <c r="F32" s="14">
        <v>-226.9</v>
      </c>
      <c r="G32" s="14">
        <f>31.2+26.2+39.9</f>
        <v>97.3</v>
      </c>
      <c r="H32" s="14">
        <f>-2801.3-1.3</f>
        <v>-2802.6000000000004</v>
      </c>
      <c r="I32" s="25">
        <f t="shared" si="0"/>
        <v>5953.8000000000011</v>
      </c>
      <c r="J32" s="28">
        <v>15.5</v>
      </c>
      <c r="K32" s="13">
        <v>0</v>
      </c>
      <c r="L32" s="13">
        <v>432.2</v>
      </c>
      <c r="M32" s="14">
        <v>-8.1999999999999993</v>
      </c>
      <c r="N32" s="14">
        <v>9.6999999999999993</v>
      </c>
      <c r="O32" s="13">
        <v>-137.69999999999999</v>
      </c>
      <c r="P32" s="25">
        <f t="shared" si="1"/>
        <v>294.5</v>
      </c>
      <c r="Q32" s="13">
        <v>48</v>
      </c>
      <c r="R32" s="13">
        <v>-19</v>
      </c>
      <c r="S32" s="13">
        <v>616.79999999999995</v>
      </c>
      <c r="T32" s="14">
        <v>-60.3</v>
      </c>
      <c r="U32" s="14">
        <f>19-0.9</f>
        <v>18.100000000000001</v>
      </c>
      <c r="V32" s="13">
        <v>-408.6</v>
      </c>
      <c r="W32" s="3">
        <f t="shared" si="2"/>
        <v>208.19999999999993</v>
      </c>
      <c r="X32" s="15"/>
      <c r="Y32" s="15"/>
      <c r="Z32" s="15"/>
      <c r="AB32" t="s">
        <v>20</v>
      </c>
    </row>
    <row r="33" spans="2:29">
      <c r="B33">
        <f t="shared" si="6"/>
        <v>2019</v>
      </c>
      <c r="C33" s="13">
        <v>480.5</v>
      </c>
      <c r="D33" s="13">
        <v>-69.7</v>
      </c>
      <c r="E33" s="13">
        <f>9165.5+1.7</f>
        <v>9167.2000000000007</v>
      </c>
      <c r="F33" s="14">
        <v>-234.9</v>
      </c>
      <c r="G33" s="14">
        <f>69.6+42.6</f>
        <v>112.19999999999999</v>
      </c>
      <c r="H33" s="14">
        <f>-2923.9-1.3</f>
        <v>-2925.2000000000003</v>
      </c>
      <c r="I33" s="25">
        <f t="shared" si="0"/>
        <v>6242</v>
      </c>
      <c r="J33" s="13">
        <v>8.6</v>
      </c>
      <c r="K33" s="13">
        <v>-4.7</v>
      </c>
      <c r="L33" s="13">
        <v>436.1</v>
      </c>
      <c r="M33" s="29">
        <v>-8.1</v>
      </c>
      <c r="N33" s="14">
        <f>4.7+1.7</f>
        <v>6.4</v>
      </c>
      <c r="O33" s="13">
        <v>-139.4</v>
      </c>
      <c r="P33" s="25">
        <f t="shared" si="1"/>
        <v>296.70000000000005</v>
      </c>
      <c r="Q33" s="13">
        <v>53.6</v>
      </c>
      <c r="R33" s="13">
        <v>-17.899999999999999</v>
      </c>
      <c r="S33" s="13">
        <v>652.5</v>
      </c>
      <c r="T33" s="14">
        <f>-71.1</f>
        <v>-71.099999999999994</v>
      </c>
      <c r="U33" s="14">
        <f>17.9-0.5</f>
        <v>17.399999999999999</v>
      </c>
      <c r="V33" s="13">
        <v>-462.2</v>
      </c>
      <c r="W33" s="3">
        <f t="shared" si="2"/>
        <v>190.3</v>
      </c>
      <c r="X33" s="15"/>
      <c r="Y33" s="15"/>
      <c r="Z33" s="15"/>
      <c r="AB33" t="s">
        <v>21</v>
      </c>
    </row>
    <row r="34" spans="2:29">
      <c r="B34">
        <f t="shared" si="6"/>
        <v>2020</v>
      </c>
      <c r="C34" s="13">
        <v>463.7</v>
      </c>
      <c r="D34" s="13">
        <v>-120.6</v>
      </c>
      <c r="E34" s="13">
        <f>9508.6+1.7</f>
        <v>9510.3000000000011</v>
      </c>
      <c r="F34" s="14">
        <v>-238.5</v>
      </c>
      <c r="G34" s="14">
        <f>120.6+37</f>
        <v>157.6</v>
      </c>
      <c r="H34" s="14">
        <f>-3004.8-1.4</f>
        <v>-3006.2000000000003</v>
      </c>
      <c r="I34" s="66">
        <f t="shared" si="0"/>
        <v>6504.1</v>
      </c>
      <c r="J34" s="13">
        <v>43.9</v>
      </c>
      <c r="K34" s="13">
        <v>-1.1000000000000001</v>
      </c>
      <c r="L34" s="13">
        <v>478.9</v>
      </c>
      <c r="M34" s="29">
        <v>-8.9</v>
      </c>
      <c r="N34" s="14">
        <f>4.4</f>
        <v>4.4000000000000004</v>
      </c>
      <c r="O34" s="13">
        <v>-143.9</v>
      </c>
      <c r="P34" s="66">
        <f t="shared" si="1"/>
        <v>335</v>
      </c>
      <c r="Q34" s="14">
        <v>63.7</v>
      </c>
      <c r="R34" s="13">
        <v>-19.100000000000001</v>
      </c>
      <c r="S34" s="13">
        <v>697.1</v>
      </c>
      <c r="T34" s="14">
        <v>-62</v>
      </c>
      <c r="U34" s="14">
        <v>19.100000000000001</v>
      </c>
      <c r="V34" s="13">
        <v>-505.2</v>
      </c>
      <c r="W34" s="23">
        <f t="shared" si="2"/>
        <v>191.90000000000003</v>
      </c>
      <c r="AB34" t="s">
        <v>22</v>
      </c>
    </row>
    <row r="35" spans="2:29">
      <c r="B35">
        <v>2021</v>
      </c>
      <c r="C35" s="13">
        <v>464.4</v>
      </c>
      <c r="D35" s="13">
        <v>28.8</v>
      </c>
      <c r="E35" s="13">
        <f>10003.4+0.1</f>
        <v>10003.5</v>
      </c>
      <c r="F35" s="14">
        <v>-254</v>
      </c>
      <c r="G35" s="14">
        <v>17.3</v>
      </c>
      <c r="H35" s="14">
        <v>-3242.8</v>
      </c>
      <c r="I35" s="66">
        <f t="shared" si="0"/>
        <v>6760.7</v>
      </c>
      <c r="J35" s="13">
        <v>73.8</v>
      </c>
      <c r="K35" s="13">
        <v>0</v>
      </c>
      <c r="L35" s="13">
        <v>552.70000000000005</v>
      </c>
      <c r="M35" s="29">
        <v>-9.6999999999999993</v>
      </c>
      <c r="N35" s="14">
        <v>0</v>
      </c>
      <c r="O35" s="13">
        <v>-153.6</v>
      </c>
      <c r="P35" s="66">
        <f t="shared" si="1"/>
        <v>399.1</v>
      </c>
      <c r="Q35" s="14">
        <v>26.7</v>
      </c>
      <c r="R35" s="13">
        <v>-161.80000000000001</v>
      </c>
      <c r="S35" s="13">
        <v>562</v>
      </c>
      <c r="T35" s="14">
        <v>-58.3</v>
      </c>
      <c r="U35" s="14">
        <v>161.69999999999999</v>
      </c>
      <c r="V35" s="13">
        <v>-401.9</v>
      </c>
      <c r="W35" s="23">
        <f t="shared" si="2"/>
        <v>160.10000000000002</v>
      </c>
      <c r="AB35" t="s">
        <v>23</v>
      </c>
      <c r="AC35" s="38"/>
    </row>
    <row r="36" spans="2:29">
      <c r="B36">
        <v>2022</v>
      </c>
      <c r="C36" s="13">
        <f>595.1+4.4</f>
        <v>599.5</v>
      </c>
      <c r="D36" s="13">
        <v>-36.5</v>
      </c>
      <c r="E36" s="13">
        <v>10566.5</v>
      </c>
      <c r="F36" s="14">
        <v>-269.10000000000002</v>
      </c>
      <c r="G36" s="14">
        <v>81.8</v>
      </c>
      <c r="H36" s="14">
        <v>-3430.2</v>
      </c>
      <c r="I36" s="66">
        <f>E36+H36</f>
        <v>7136.3</v>
      </c>
      <c r="J36" s="13">
        <v>49.7</v>
      </c>
      <c r="K36" s="13">
        <v>0</v>
      </c>
      <c r="L36" s="13">
        <v>602.4</v>
      </c>
      <c r="M36" s="29">
        <v>-10.8</v>
      </c>
      <c r="N36" s="14">
        <v>0</v>
      </c>
      <c r="O36" s="13">
        <v>-164.4</v>
      </c>
      <c r="P36" s="66">
        <f t="shared" si="1"/>
        <v>438</v>
      </c>
      <c r="Q36" s="14">
        <f>66.6+7.2</f>
        <v>73.8</v>
      </c>
      <c r="R36" s="13">
        <v>-93.9</v>
      </c>
      <c r="S36" s="13">
        <v>542</v>
      </c>
      <c r="T36" s="14">
        <v>-41.3</v>
      </c>
      <c r="U36" s="14">
        <v>93.9</v>
      </c>
      <c r="V36" s="13">
        <v>-349.2</v>
      </c>
      <c r="W36" s="23">
        <f t="shared" si="2"/>
        <v>192.8</v>
      </c>
      <c r="AB36" t="s">
        <v>24</v>
      </c>
    </row>
    <row r="37" spans="2:29">
      <c r="E37" s="41"/>
      <c r="F37" s="60"/>
      <c r="H37" s="41"/>
      <c r="M37" s="63"/>
      <c r="N37" s="63"/>
      <c r="T37" s="63"/>
      <c r="U37" s="63"/>
      <c r="Y37" s="64"/>
    </row>
    <row r="38" spans="2:29">
      <c r="B38">
        <v>1998</v>
      </c>
      <c r="E38" s="41">
        <f t="shared" ref="E38:E43" si="7">E11+SUM(C12:D12)-E12</f>
        <v>0.4000000000005457</v>
      </c>
      <c r="F38" s="60"/>
      <c r="H38" s="41">
        <f t="shared" ref="H38:H43" si="8">H11+SUM(F12:G12)-H12</f>
        <v>-0.32598025000004327</v>
      </c>
      <c r="L38" s="41">
        <f t="shared" ref="L38:L43" si="9">L11+SUM(J12:K12)-L12</f>
        <v>0</v>
      </c>
      <c r="M38" s="60"/>
      <c r="O38" s="41">
        <f t="shared" ref="O38:O43" si="10">O11+SUM(M12:N12)-O12</f>
        <v>-7.0027799999998308E-2</v>
      </c>
      <c r="S38" s="41">
        <f t="shared" ref="S38:S43" si="11">S11+SUM(Q12:R12)-S12</f>
        <v>1.5</v>
      </c>
      <c r="T38" s="60"/>
      <c r="V38" s="41">
        <f t="shared" ref="V38:V43" si="12">V11+SUM(T12:U12)-V12</f>
        <v>-0.86474437999999054</v>
      </c>
      <c r="Y38" s="64"/>
    </row>
    <row r="39" spans="2:29">
      <c r="B39">
        <v>1999</v>
      </c>
      <c r="E39" s="41">
        <f t="shared" si="7"/>
        <v>-0.30000000000063665</v>
      </c>
      <c r="F39" s="60"/>
      <c r="H39" s="41">
        <f t="shared" si="8"/>
        <v>1.1714485300001343</v>
      </c>
      <c r="L39" s="41">
        <f t="shared" si="9"/>
        <v>0</v>
      </c>
      <c r="M39" s="60"/>
      <c r="O39" s="41">
        <f t="shared" si="10"/>
        <v>0.12760929000000232</v>
      </c>
      <c r="S39" s="41">
        <f t="shared" si="11"/>
        <v>-0.90000000000009095</v>
      </c>
      <c r="T39" s="60"/>
      <c r="V39" s="41">
        <f t="shared" si="12"/>
        <v>-0.3776424400000451</v>
      </c>
      <c r="Y39" s="64"/>
    </row>
    <row r="40" spans="2:29">
      <c r="B40">
        <v>2000</v>
      </c>
      <c r="E40" s="41">
        <f t="shared" si="7"/>
        <v>-1.3999999999996362</v>
      </c>
      <c r="F40" s="60"/>
      <c r="H40" s="41">
        <f t="shared" si="8"/>
        <v>1.4433849900000268</v>
      </c>
      <c r="L40" s="41">
        <f t="shared" si="9"/>
        <v>0.60000000000002274</v>
      </c>
      <c r="M40" s="60"/>
      <c r="O40" s="41">
        <f t="shared" si="10"/>
        <v>0.1328952000000001</v>
      </c>
      <c r="S40" s="41">
        <f t="shared" si="11"/>
        <v>884.80000000000007</v>
      </c>
      <c r="T40" s="60" t="s">
        <v>25</v>
      </c>
      <c r="V40" s="41">
        <f t="shared" si="12"/>
        <v>-295.8055521</v>
      </c>
      <c r="W40" s="60" t="s">
        <v>25</v>
      </c>
      <c r="Y40" s="64"/>
    </row>
    <row r="41" spans="2:29">
      <c r="B41">
        <v>2001</v>
      </c>
      <c r="E41" s="41">
        <f t="shared" si="7"/>
        <v>0</v>
      </c>
      <c r="F41" s="60"/>
      <c r="H41" s="41">
        <f t="shared" si="8"/>
        <v>-8.5910386299999573</v>
      </c>
      <c r="I41" s="60" t="s">
        <v>26</v>
      </c>
      <c r="L41" s="41">
        <f t="shared" si="9"/>
        <v>0</v>
      </c>
      <c r="M41" s="60"/>
      <c r="O41" s="41">
        <f t="shared" si="10"/>
        <v>0.22547593000000177</v>
      </c>
      <c r="S41" s="41">
        <f t="shared" si="11"/>
        <v>33.599999999999994</v>
      </c>
      <c r="T41" s="60" t="s">
        <v>26</v>
      </c>
      <c r="V41" s="41">
        <f t="shared" si="12"/>
        <v>14.500324779999971</v>
      </c>
      <c r="W41" s="60" t="s">
        <v>26</v>
      </c>
      <c r="Y41" s="64"/>
    </row>
    <row r="42" spans="2:29">
      <c r="B42">
        <v>2002</v>
      </c>
      <c r="E42" s="41">
        <f t="shared" si="7"/>
        <v>0</v>
      </c>
      <c r="F42" s="60"/>
      <c r="H42" s="41">
        <f t="shared" si="8"/>
        <v>1.7873544660000107</v>
      </c>
      <c r="L42" s="41">
        <f t="shared" si="9"/>
        <v>0</v>
      </c>
      <c r="M42" s="60"/>
      <c r="O42" s="41">
        <f t="shared" si="10"/>
        <v>7.5177639999999712E-2</v>
      </c>
      <c r="S42" s="41">
        <f t="shared" si="11"/>
        <v>0</v>
      </c>
      <c r="T42" s="60"/>
      <c r="V42" s="41">
        <f t="shared" si="12"/>
        <v>-0.68639819999998508</v>
      </c>
      <c r="Y42" s="64"/>
    </row>
    <row r="43" spans="2:29">
      <c r="B43">
        <v>2003</v>
      </c>
      <c r="E43" s="41">
        <f t="shared" si="7"/>
        <v>9.9999999999909051E-2</v>
      </c>
      <c r="F43" s="60"/>
      <c r="H43" s="41">
        <f t="shared" si="8"/>
        <v>-0.24109080000016547</v>
      </c>
      <c r="L43" s="41">
        <f t="shared" si="9"/>
        <v>0</v>
      </c>
      <c r="M43" s="60"/>
      <c r="O43" s="41">
        <f t="shared" si="10"/>
        <v>4.0474370000012527E-2</v>
      </c>
      <c r="S43" s="41">
        <f t="shared" si="11"/>
        <v>0</v>
      </c>
      <c r="T43" s="60"/>
      <c r="V43" s="41">
        <f t="shared" si="12"/>
        <v>0.24231577299997298</v>
      </c>
      <c r="Y43" s="64"/>
    </row>
    <row r="44" spans="2:29">
      <c r="B44">
        <v>2004</v>
      </c>
      <c r="E44" s="41">
        <f t="shared" ref="E44:E60" si="13">E17+SUM(C18:D18)-E18</f>
        <v>0.20000000000027285</v>
      </c>
      <c r="F44" s="60"/>
      <c r="H44" s="41">
        <f t="shared" ref="H44:H60" si="14">H17+SUM(F18:G18)-H18</f>
        <v>-9.4818519999989803E-2</v>
      </c>
      <c r="I44" s="60"/>
      <c r="L44" s="41">
        <f t="shared" ref="L44:L60" si="15">L17+SUM(J18:K18)-L18</f>
        <v>0.10000000000002274</v>
      </c>
      <c r="M44" s="60"/>
      <c r="O44" s="41">
        <f t="shared" ref="O44:O60" si="16">O17+SUM(M18:N18)-O18</f>
        <v>-9.0197100000011687E-2</v>
      </c>
      <c r="P44" s="60"/>
      <c r="S44" s="41">
        <f t="shared" ref="S44:S60" si="17">S17+SUM(Q18:R18)-S18</f>
        <v>9.9999999999994316E-2</v>
      </c>
      <c r="T44" s="60"/>
      <c r="V44" s="41">
        <f t="shared" ref="V44:V60" si="18">V17+SUM(T18:U18)-V18</f>
        <v>-0.37922259000001191</v>
      </c>
      <c r="W44" s="60"/>
      <c r="Y44" s="64"/>
    </row>
    <row r="45" spans="2:29">
      <c r="B45">
        <v>2005</v>
      </c>
      <c r="E45" s="41">
        <f t="shared" si="13"/>
        <v>-39.300000000000182</v>
      </c>
      <c r="F45" s="62" t="s">
        <v>27</v>
      </c>
      <c r="G45" s="23"/>
      <c r="H45" s="41">
        <f>H18+SUM(F19:G19)-H19</f>
        <v>34.680191650000097</v>
      </c>
      <c r="I45" s="62" t="s">
        <v>27</v>
      </c>
      <c r="J45" s="23"/>
      <c r="K45" s="23"/>
      <c r="L45" s="41">
        <f t="shared" si="15"/>
        <v>-0.20000000000001705</v>
      </c>
      <c r="M45" s="62" t="s">
        <v>27</v>
      </c>
      <c r="N45" s="23"/>
      <c r="O45" s="41">
        <f t="shared" si="16"/>
        <v>1.3699956199999974</v>
      </c>
      <c r="P45" s="62" t="s">
        <v>27</v>
      </c>
      <c r="Q45" s="23"/>
      <c r="R45" s="23"/>
      <c r="S45" s="41">
        <f t="shared" si="17"/>
        <v>-12.799999999999983</v>
      </c>
      <c r="T45" s="62" t="s">
        <v>27</v>
      </c>
      <c r="U45" s="23"/>
      <c r="V45" s="41">
        <f t="shared" si="18"/>
        <v>5.7005993400000108</v>
      </c>
      <c r="W45" s="62" t="s">
        <v>27</v>
      </c>
      <c r="Y45" s="64"/>
    </row>
    <row r="46" spans="2:29">
      <c r="B46">
        <v>2006</v>
      </c>
      <c r="E46" s="41">
        <f t="shared" si="13"/>
        <v>0</v>
      </c>
      <c r="H46" s="41">
        <f t="shared" si="14"/>
        <v>-7.2616769999967801E-2</v>
      </c>
      <c r="L46" s="41">
        <f t="shared" si="15"/>
        <v>0</v>
      </c>
      <c r="O46" s="41">
        <f t="shared" si="16"/>
        <v>4.9428090000006364E-2</v>
      </c>
      <c r="S46" s="41">
        <f t="shared" si="17"/>
        <v>0</v>
      </c>
      <c r="V46" s="41">
        <f t="shared" si="18"/>
        <v>7.4334180000022343E-2</v>
      </c>
      <c r="Y46" s="64"/>
    </row>
    <row r="47" spans="2:29">
      <c r="B47">
        <v>2007</v>
      </c>
      <c r="E47" s="41">
        <f t="shared" si="13"/>
        <v>0</v>
      </c>
      <c r="H47" s="41">
        <f t="shared" si="14"/>
        <v>0.18296469000006255</v>
      </c>
      <c r="L47" s="41">
        <f t="shared" si="15"/>
        <v>0</v>
      </c>
      <c r="O47" s="41">
        <f t="shared" si="16"/>
        <v>-1.0233400000032589E-3</v>
      </c>
      <c r="S47" s="41">
        <f t="shared" si="17"/>
        <v>2.9999999999999432</v>
      </c>
      <c r="V47" s="41">
        <f t="shared" si="18"/>
        <v>4.974354999998809E-2</v>
      </c>
      <c r="Y47" s="64"/>
    </row>
    <row r="48" spans="2:29">
      <c r="B48">
        <v>2008</v>
      </c>
      <c r="E48" s="41">
        <f t="shared" si="13"/>
        <v>0</v>
      </c>
      <c r="H48" s="41">
        <f t="shared" si="14"/>
        <v>-0.12074626000003263</v>
      </c>
      <c r="L48" s="41">
        <f t="shared" si="15"/>
        <v>0</v>
      </c>
      <c r="O48" s="41">
        <f t="shared" si="16"/>
        <v>7.2540270000004625E-2</v>
      </c>
      <c r="S48" s="41">
        <f t="shared" si="17"/>
        <v>0</v>
      </c>
      <c r="V48" s="41">
        <f t="shared" si="18"/>
        <v>-0.23443099000002121</v>
      </c>
      <c r="Y48" s="64"/>
    </row>
    <row r="49" spans="2:25">
      <c r="B49">
        <v>2009</v>
      </c>
      <c r="E49" s="41">
        <f t="shared" si="13"/>
        <v>0</v>
      </c>
      <c r="H49" s="41">
        <f t="shared" si="14"/>
        <v>4.1012730000147712E-2</v>
      </c>
      <c r="I49" s="59"/>
      <c r="L49" s="41">
        <f t="shared" si="15"/>
        <v>-9.9999999999965894E-2</v>
      </c>
      <c r="O49" s="41">
        <f>O22+SUM(M23:N23)-O23</f>
        <v>-0.14411725000002207</v>
      </c>
      <c r="S49" s="41">
        <f t="shared" si="17"/>
        <v>0.40000000000003411</v>
      </c>
      <c r="V49" s="41">
        <f t="shared" si="18"/>
        <v>3.4047690000008402E-2</v>
      </c>
      <c r="Y49" s="64"/>
    </row>
    <row r="50" spans="2:25">
      <c r="B50">
        <v>2010</v>
      </c>
      <c r="E50" s="41">
        <f t="shared" si="13"/>
        <v>0</v>
      </c>
      <c r="H50" s="41">
        <f t="shared" si="14"/>
        <v>-7.6163159999850905E-2</v>
      </c>
      <c r="L50" s="41">
        <f t="shared" si="15"/>
        <v>0</v>
      </c>
      <c r="O50" s="41">
        <f t="shared" si="16"/>
        <v>-1.2811009999992962E-2</v>
      </c>
      <c r="S50" s="41">
        <f t="shared" si="17"/>
        <v>0</v>
      </c>
      <c r="V50" s="41">
        <f t="shared" si="18"/>
        <v>1.6645769999982463E-2</v>
      </c>
      <c r="Y50" s="64"/>
    </row>
    <row r="51" spans="2:25">
      <c r="B51">
        <v>2011</v>
      </c>
      <c r="E51" s="41">
        <f t="shared" si="13"/>
        <v>0.1000000000003638</v>
      </c>
      <c r="H51" s="41">
        <f t="shared" si="14"/>
        <v>-0.12954593999984354</v>
      </c>
      <c r="L51" s="41">
        <f t="shared" si="15"/>
        <v>0.60000000000002274</v>
      </c>
      <c r="O51" s="41">
        <f t="shared" si="16"/>
        <v>3.1742239999999811E-2</v>
      </c>
      <c r="S51" s="41">
        <f t="shared" si="17"/>
        <v>0</v>
      </c>
      <c r="V51" s="41">
        <f t="shared" si="18"/>
        <v>-1.3237179999975979E-2</v>
      </c>
      <c r="Y51" s="64"/>
    </row>
    <row r="52" spans="2:25">
      <c r="B52">
        <v>2012</v>
      </c>
      <c r="E52" s="41">
        <f t="shared" si="13"/>
        <v>0</v>
      </c>
      <c r="H52" s="41">
        <f t="shared" si="14"/>
        <v>-6.6792109999823879E-2</v>
      </c>
      <c r="L52" s="41">
        <f t="shared" si="15"/>
        <v>0</v>
      </c>
      <c r="O52" s="41">
        <f t="shared" si="16"/>
        <v>-1.1562919999988708E-2</v>
      </c>
      <c r="S52" s="41">
        <f t="shared" si="17"/>
        <v>0.10000000000002274</v>
      </c>
      <c r="V52" s="41">
        <f t="shared" si="18"/>
        <v>-5.2400900000009187E-2</v>
      </c>
      <c r="Y52" s="64"/>
    </row>
    <row r="53" spans="2:25">
      <c r="B53">
        <v>2013</v>
      </c>
      <c r="E53" s="41">
        <f t="shared" si="13"/>
        <v>0</v>
      </c>
      <c r="H53" s="41">
        <f t="shared" si="14"/>
        <v>3.7627469999733876E-2</v>
      </c>
      <c r="L53" s="41">
        <f t="shared" si="15"/>
        <v>-9.9999999999965894E-2</v>
      </c>
      <c r="O53" s="41">
        <f t="shared" si="16"/>
        <v>-8.736047000000724E-2</v>
      </c>
      <c r="S53" s="41">
        <f t="shared" si="17"/>
        <v>0</v>
      </c>
      <c r="V53" s="41">
        <f t="shared" si="18"/>
        <v>6.7347390000009E-2</v>
      </c>
      <c r="Y53" s="64"/>
    </row>
    <row r="54" spans="2:25">
      <c r="B54">
        <v>2014</v>
      </c>
      <c r="E54" s="41">
        <f t="shared" si="13"/>
        <v>0</v>
      </c>
      <c r="H54" s="41">
        <f>H27+SUM(F28:G28)-H28</f>
        <v>-6.5513860000010027E-2</v>
      </c>
      <c r="I54" s="59"/>
      <c r="L54" s="41">
        <f t="shared" si="15"/>
        <v>0</v>
      </c>
      <c r="O54" s="41">
        <f t="shared" si="16"/>
        <v>2.4351480000007086E-2</v>
      </c>
      <c r="S54" s="41">
        <f t="shared" si="17"/>
        <v>0</v>
      </c>
      <c r="V54" s="41">
        <f t="shared" si="18"/>
        <v>-7.7135150000032127E-2</v>
      </c>
      <c r="Y54" s="64"/>
    </row>
    <row r="55" spans="2:25">
      <c r="B55">
        <v>2015</v>
      </c>
      <c r="E55" s="41">
        <f t="shared" si="13"/>
        <v>-0.1000000000003638</v>
      </c>
      <c r="H55" s="41">
        <f t="shared" si="14"/>
        <v>-0.6634871800001747</v>
      </c>
      <c r="L55" s="41">
        <f t="shared" si="15"/>
        <v>5.5000000000000568</v>
      </c>
      <c r="M55" s="59" t="s">
        <v>28</v>
      </c>
      <c r="O55" s="41">
        <f t="shared" si="16"/>
        <v>6.6889599999910843E-3</v>
      </c>
      <c r="S55" s="41">
        <f t="shared" si="17"/>
        <v>-9.9999999999965894E-2</v>
      </c>
      <c r="V55" s="41">
        <f t="shared" si="18"/>
        <v>0.47976882000000387</v>
      </c>
      <c r="Y55" s="64"/>
    </row>
    <row r="56" spans="2:25">
      <c r="B56">
        <v>2016</v>
      </c>
      <c r="E56" s="41">
        <f t="shared" si="13"/>
        <v>0</v>
      </c>
      <c r="H56" s="41">
        <f t="shared" si="14"/>
        <v>0.1000000000003638</v>
      </c>
      <c r="L56" s="41">
        <f t="shared" si="15"/>
        <v>0</v>
      </c>
      <c r="O56" s="41">
        <f t="shared" si="16"/>
        <v>0</v>
      </c>
      <c r="S56" s="41">
        <f t="shared" si="17"/>
        <v>0</v>
      </c>
      <c r="V56" s="41">
        <f t="shared" si="18"/>
        <v>0</v>
      </c>
    </row>
    <row r="57" spans="2:25">
      <c r="B57">
        <v>2017</v>
      </c>
      <c r="E57" s="41">
        <f t="shared" si="13"/>
        <v>0</v>
      </c>
      <c r="H57" s="41">
        <f t="shared" si="14"/>
        <v>-0.1000000000003638</v>
      </c>
      <c r="L57" s="41">
        <f t="shared" si="15"/>
        <v>0</v>
      </c>
      <c r="O57" s="41">
        <f t="shared" si="16"/>
        <v>0</v>
      </c>
      <c r="S57" s="41">
        <f t="shared" si="17"/>
        <v>0</v>
      </c>
      <c r="V57" s="41">
        <f t="shared" si="18"/>
        <v>0</v>
      </c>
    </row>
    <row r="58" spans="2:25">
      <c r="B58">
        <v>2018</v>
      </c>
      <c r="E58" s="41">
        <f t="shared" si="13"/>
        <v>0</v>
      </c>
      <c r="H58" s="41">
        <f t="shared" si="14"/>
        <v>-9.9999999999454303E-2</v>
      </c>
      <c r="L58" s="41">
        <f t="shared" si="15"/>
        <v>0.10000000000002274</v>
      </c>
      <c r="O58" s="41">
        <f t="shared" si="16"/>
        <v>-0.10000000000002274</v>
      </c>
      <c r="S58" s="41">
        <f t="shared" si="17"/>
        <v>0</v>
      </c>
      <c r="V58" s="41">
        <f t="shared" si="18"/>
        <v>0</v>
      </c>
    </row>
    <row r="59" spans="2:25">
      <c r="B59">
        <v>2019</v>
      </c>
      <c r="E59" s="41">
        <f t="shared" si="13"/>
        <v>0</v>
      </c>
      <c r="H59" s="41">
        <f t="shared" si="14"/>
        <v>-9.9999999999909051E-2</v>
      </c>
      <c r="L59" s="41">
        <f t="shared" si="15"/>
        <v>0</v>
      </c>
      <c r="O59" s="41">
        <f t="shared" si="16"/>
        <v>0</v>
      </c>
      <c r="S59" s="41">
        <f t="shared" si="17"/>
        <v>0</v>
      </c>
      <c r="V59" s="41">
        <f t="shared" si="18"/>
        <v>-0.10000000000002274</v>
      </c>
    </row>
    <row r="60" spans="2:25">
      <c r="B60">
        <v>2020</v>
      </c>
      <c r="E60" s="41">
        <f t="shared" si="13"/>
        <v>0</v>
      </c>
      <c r="H60" s="41">
        <f t="shared" si="14"/>
        <v>9.9999999999909051E-2</v>
      </c>
      <c r="L60" s="41">
        <f t="shared" si="15"/>
        <v>0</v>
      </c>
      <c r="O60" s="41">
        <f t="shared" si="16"/>
        <v>0</v>
      </c>
      <c r="S60" s="41">
        <f t="shared" si="17"/>
        <v>0</v>
      </c>
      <c r="V60" s="41">
        <f t="shared" si="18"/>
        <v>0.10000000000002274</v>
      </c>
    </row>
    <row r="61" spans="2:25">
      <c r="B61">
        <v>2021</v>
      </c>
      <c r="E61" s="41">
        <f t="shared" ref="E61" si="19">E34+SUM(C35:D35)-E35</f>
        <v>0</v>
      </c>
      <c r="H61" s="41">
        <f t="shared" ref="H61" si="20">H34+SUM(F35:G35)-H35</f>
        <v>-9.9999999999909051E-2</v>
      </c>
      <c r="L61" s="41">
        <f t="shared" ref="L61" si="21">L34+SUM(J35:K35)-L35</f>
        <v>0</v>
      </c>
      <c r="O61" s="41">
        <f t="shared" ref="O61" si="22">O34+SUM(M35:N35)-O35</f>
        <v>0</v>
      </c>
      <c r="S61" s="41">
        <f t="shared" ref="S61" si="23">S34+SUM(Q35:R35)-S35</f>
        <v>0</v>
      </c>
      <c r="V61" s="41">
        <f t="shared" ref="V61" si="24">V34+SUM(T35:U35)-V35</f>
        <v>9.9999999999965894E-2</v>
      </c>
    </row>
    <row r="62" spans="2:25">
      <c r="B62">
        <v>2022</v>
      </c>
      <c r="E62" s="41">
        <f t="shared" ref="E62" si="25">E35+SUM(C36:D36)-E36</f>
        <v>0</v>
      </c>
      <c r="H62" s="41">
        <f t="shared" ref="H62" si="26">H35+SUM(F36:G36)-H36</f>
        <v>9.9999999999454303E-2</v>
      </c>
      <c r="L62" s="41">
        <f t="shared" ref="L62" si="27">L35+SUM(J36:K36)-L36</f>
        <v>0</v>
      </c>
      <c r="O62" s="41">
        <f t="shared" ref="O62" si="28">O35+SUM(M36:N36)-O36</f>
        <v>0</v>
      </c>
      <c r="S62" s="41">
        <f t="shared" ref="S62" si="29">S35+SUM(Q36:R36)-S36</f>
        <v>-0.10000000000002274</v>
      </c>
      <c r="V62" s="41">
        <f t="shared" ref="V62" si="30">V35+SUM(T36:U36)-V36</f>
        <v>-9.9999999999965894E-2</v>
      </c>
    </row>
  </sheetData>
  <mergeCells count="3">
    <mergeCell ref="C2:I2"/>
    <mergeCell ref="J2:P2"/>
    <mergeCell ref="Q2:W2"/>
  </mergeCells>
  <conditionalFormatting sqref="Z3 E3:F3 H3">
    <cfRule type="containsText" dxfId="55" priority="35" operator="containsText" text="See Memo on TFP Update for Enbridge">
      <formula>NOT(ISERROR(SEARCH("See Memo on TFP Update for Enbridge",E3)))</formula>
    </cfRule>
  </conditionalFormatting>
  <conditionalFormatting sqref="C3">
    <cfRule type="containsText" dxfId="54" priority="42" operator="containsText" text="See Memo on TFP Update for Enbridge">
      <formula>NOT(ISERROR(SEARCH("See Memo on TFP Update for Enbridge",C3)))</formula>
    </cfRule>
  </conditionalFormatting>
  <conditionalFormatting sqref="D3">
    <cfRule type="containsText" dxfId="53" priority="41" operator="containsText" text="See Memo on TFP Update for Enbridge">
      <formula>NOT(ISERROR(SEARCH("See Memo on TFP Update for Enbridge",D3)))</formula>
    </cfRule>
  </conditionalFormatting>
  <conditionalFormatting sqref="X3">
    <cfRule type="containsText" dxfId="52" priority="36" operator="containsText" text="See Memo on TFP Update for Enbridge">
      <formula>NOT(ISERROR(SEARCH("See Memo on TFP Update for Enbridge",X3)))</formula>
    </cfRule>
  </conditionalFormatting>
  <conditionalFormatting sqref="I3">
    <cfRule type="containsText" dxfId="51" priority="29" operator="containsText" text="See Memo on TFP Update for Enbridge">
      <formula>NOT(ISERROR(SEARCH("See Memo on TFP Update for Enbridge",I3)))</formula>
    </cfRule>
  </conditionalFormatting>
  <conditionalFormatting sqref="G3:H3">
    <cfRule type="containsText" dxfId="50" priority="16" operator="containsText" text="See Memo on TFP Update for Enbridge">
      <formula>NOT(ISERROR(SEARCH("See Memo on TFP Update for Enbridge",G3)))</formula>
    </cfRule>
  </conditionalFormatting>
  <conditionalFormatting sqref="Y3">
    <cfRule type="containsText" dxfId="49" priority="20" operator="containsText" text="See Memo on TFP Update for Enbridge">
      <formula>NOT(ISERROR(SEARCH("See Memo on TFP Update for Enbridge",Y3)))</formula>
    </cfRule>
  </conditionalFormatting>
  <conditionalFormatting sqref="G3:H3">
    <cfRule type="containsText" dxfId="48" priority="15" operator="containsText" text="See Memo on TFP Update for Enbridge">
      <formula>NOT(ISERROR(SEARCH("See Memo on TFP Update for Enbridge",G3)))</formula>
    </cfRule>
  </conditionalFormatting>
  <conditionalFormatting sqref="L3:M3 O3">
    <cfRule type="containsText" dxfId="47" priority="10" operator="containsText" text="See Memo on TFP Update for Enbridge">
      <formula>NOT(ISERROR(SEARCH("See Memo on TFP Update for Enbridge",L3)))</formula>
    </cfRule>
  </conditionalFormatting>
  <conditionalFormatting sqref="J3">
    <cfRule type="containsText" dxfId="46" priority="12" operator="containsText" text="See Memo on TFP Update for Enbridge">
      <formula>NOT(ISERROR(SEARCH("See Memo on TFP Update for Enbridge",J3)))</formula>
    </cfRule>
  </conditionalFormatting>
  <conditionalFormatting sqref="K3">
    <cfRule type="containsText" dxfId="45" priority="11" operator="containsText" text="See Memo on TFP Update for Enbridge">
      <formula>NOT(ISERROR(SEARCH("See Memo on TFP Update for Enbridge",K3)))</formula>
    </cfRule>
  </conditionalFormatting>
  <conditionalFormatting sqref="P3">
    <cfRule type="containsText" dxfId="44" priority="9" operator="containsText" text="See Memo on TFP Update for Enbridge">
      <formula>NOT(ISERROR(SEARCH("See Memo on TFP Update for Enbridge",P3)))</formula>
    </cfRule>
  </conditionalFormatting>
  <conditionalFormatting sqref="N3:O3">
    <cfRule type="containsText" dxfId="43" priority="7" operator="containsText" text="See Memo on TFP Update for Enbridge">
      <formula>NOT(ISERROR(SEARCH("See Memo on TFP Update for Enbridge",N3)))</formula>
    </cfRule>
  </conditionalFormatting>
  <conditionalFormatting sqref="N3:O3">
    <cfRule type="containsText" dxfId="42" priority="8" operator="containsText" text="See Memo on TFP Update for Enbridge">
      <formula>NOT(ISERROR(SEARCH("See Memo on TFP Update for Enbridge",N3)))</formula>
    </cfRule>
  </conditionalFormatting>
  <conditionalFormatting sqref="U3:V3">
    <cfRule type="containsText" dxfId="41" priority="1" operator="containsText" text="See Memo on TFP Update for Enbridge">
      <formula>NOT(ISERROR(SEARCH("See Memo on TFP Update for Enbridge",U3)))</formula>
    </cfRule>
  </conditionalFormatting>
  <conditionalFormatting sqref="S3:T3 V3">
    <cfRule type="containsText" dxfId="40" priority="4" operator="containsText" text="See Memo on TFP Update for Enbridge">
      <formula>NOT(ISERROR(SEARCH("See Memo on TFP Update for Enbridge",S3)))</formula>
    </cfRule>
  </conditionalFormatting>
  <conditionalFormatting sqref="Q3">
    <cfRule type="containsText" dxfId="39" priority="6" operator="containsText" text="See Memo on TFP Update for Enbridge">
      <formula>NOT(ISERROR(SEARCH("See Memo on TFP Update for Enbridge",Q3)))</formula>
    </cfRule>
  </conditionalFormatting>
  <conditionalFormatting sqref="R3">
    <cfRule type="containsText" dxfId="38" priority="5" operator="containsText" text="See Memo on TFP Update for Enbridge">
      <formula>NOT(ISERROR(SEARCH("See Memo on TFP Update for Enbridge",R3)))</formula>
    </cfRule>
  </conditionalFormatting>
  <conditionalFormatting sqref="W3">
    <cfRule type="containsText" dxfId="37" priority="3" operator="containsText" text="See Memo on TFP Update for Enbridge">
      <formula>NOT(ISERROR(SEARCH("See Memo on TFP Update for Enbridge",W3)))</formula>
    </cfRule>
  </conditionalFormatting>
  <conditionalFormatting sqref="U3:V3">
    <cfRule type="containsText" dxfId="36" priority="2" operator="containsText" text="See Memo on TFP Update for Enbridge">
      <formula>NOT(ISERROR(SEARCH("See Memo on TFP Update for Enbridge",U3)))</formula>
    </cfRule>
  </conditionalFormatting>
  <pageMargins left="0.7" right="0.7" top="0.75" bottom="0.75" header="0.3" footer="0.3"/>
  <pageSetup scale="44" orientation="landscape" r:id="rId1"/>
  <colBreaks count="1" manualBreakCount="1">
    <brk id="16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00F3-9BF9-433C-9CF4-E859A7C436B6}">
  <dimension ref="A2:BD60"/>
  <sheetViews>
    <sheetView tabSelected="1" topLeftCell="B1" zoomScale="70" zoomScaleNormal="70" workbookViewId="0">
      <pane xSplit="1" ySplit="3" topLeftCell="AF16" activePane="bottomRight" state="frozen"/>
      <selection pane="topRight" activeCell="C1" sqref="C1"/>
      <selection pane="bottomLeft" activeCell="B5" sqref="B5"/>
      <selection pane="bottomRight" activeCell="AX57" sqref="AX57"/>
    </sheetView>
  </sheetViews>
  <sheetFormatPr defaultColWidth="9.1796875" defaultRowHeight="14.5"/>
  <cols>
    <col min="1" max="1" width="24.81640625" customWidth="1"/>
    <col min="3" max="3" width="12.81640625" customWidth="1"/>
    <col min="4" max="4" width="16.54296875" customWidth="1"/>
    <col min="5" max="5" width="14.1796875" customWidth="1"/>
    <col min="6" max="6" width="19.26953125" customWidth="1"/>
    <col min="7" max="7" width="19.6328125" customWidth="1"/>
    <col min="8" max="8" width="16.36328125" customWidth="1"/>
    <col min="9" max="10" width="14.1796875" customWidth="1"/>
    <col min="11" max="11" width="14.1796875" hidden="1" customWidth="1"/>
    <col min="12" max="12" width="16.26953125" customWidth="1"/>
    <col min="13" max="13" width="14.1796875" customWidth="1"/>
    <col min="14" max="14" width="18.26953125" customWidth="1"/>
    <col min="15" max="15" width="21.1796875" customWidth="1"/>
    <col min="16" max="16" width="17.36328125" customWidth="1"/>
    <col min="17" max="18" width="14.1796875" customWidth="1"/>
    <col min="19" max="19" width="14.1796875" hidden="1" customWidth="1"/>
    <col min="20" max="20" width="19" customWidth="1"/>
    <col min="21" max="21" width="25.6328125" customWidth="1"/>
    <col min="22" max="22" width="22" customWidth="1"/>
    <col min="23" max="23" width="20.1796875" customWidth="1"/>
    <col min="24" max="24" width="17.36328125" customWidth="1"/>
    <col min="25" max="26" width="14.1796875" customWidth="1"/>
    <col min="27" max="27" width="14.1796875" hidden="1" customWidth="1"/>
    <col min="28" max="28" width="18.7265625" customWidth="1"/>
    <col min="29" max="29" width="14.1796875" customWidth="1"/>
    <col min="30" max="30" width="19.08984375" customWidth="1"/>
    <col min="31" max="31" width="22.26953125" customWidth="1"/>
    <col min="32" max="32" width="19.81640625" customWidth="1"/>
    <col min="33" max="33" width="16" customWidth="1"/>
    <col min="34" max="34" width="14.1796875" customWidth="1"/>
    <col min="35" max="35" width="14.1796875" hidden="1" customWidth="1"/>
    <col min="36" max="36" width="17.36328125" customWidth="1"/>
    <col min="37" max="37" width="14.1796875" customWidth="1"/>
    <col min="38" max="38" width="19.26953125" customWidth="1"/>
    <col min="39" max="39" width="22.54296875" customWidth="1"/>
    <col min="40" max="40" width="17.36328125" customWidth="1"/>
    <col min="41" max="42" width="14.1796875" customWidth="1"/>
    <col min="43" max="43" width="14.1796875" hidden="1" customWidth="1"/>
    <col min="44" max="45" width="14.1796875" customWidth="1"/>
    <col min="46" max="46" width="17.36328125" customWidth="1"/>
    <col min="47" max="47" width="19.81640625" customWidth="1"/>
    <col min="48" max="48" width="16.54296875" customWidth="1"/>
    <col min="49" max="49" width="14.1796875" customWidth="1"/>
    <col min="50" max="50" width="41.453125" bestFit="1" customWidth="1"/>
  </cols>
  <sheetData>
    <row r="2" spans="1:50">
      <c r="C2" s="69" t="s">
        <v>29</v>
      </c>
      <c r="D2" s="69"/>
      <c r="E2" s="69"/>
      <c r="F2" s="69"/>
      <c r="G2" s="69"/>
      <c r="H2" s="69"/>
      <c r="I2" s="69"/>
      <c r="J2" s="69" t="s">
        <v>30</v>
      </c>
      <c r="K2" s="69"/>
      <c r="L2" s="69"/>
      <c r="M2" s="69"/>
      <c r="N2" s="69"/>
      <c r="O2" s="69"/>
      <c r="P2" s="69"/>
      <c r="Q2" s="69"/>
      <c r="R2" s="69" t="s">
        <v>31</v>
      </c>
      <c r="S2" s="69"/>
      <c r="T2" s="69"/>
      <c r="U2" s="69"/>
      <c r="V2" s="69"/>
      <c r="W2" s="69"/>
      <c r="X2" s="69"/>
      <c r="Y2" s="69"/>
      <c r="Z2" s="69" t="s">
        <v>32</v>
      </c>
      <c r="AA2" s="69"/>
      <c r="AB2" s="69"/>
      <c r="AC2" s="69"/>
      <c r="AD2" s="69"/>
      <c r="AE2" s="69"/>
      <c r="AF2" s="69"/>
      <c r="AG2" s="69"/>
      <c r="AH2" s="69" t="s">
        <v>0</v>
      </c>
      <c r="AI2" s="69"/>
      <c r="AJ2" s="69"/>
      <c r="AK2" s="69"/>
      <c r="AL2" s="69"/>
      <c r="AM2" s="69"/>
      <c r="AN2" s="69"/>
      <c r="AO2" s="69"/>
      <c r="AP2" s="69" t="s">
        <v>2</v>
      </c>
      <c r="AQ2" s="69"/>
      <c r="AR2" s="69"/>
      <c r="AS2" s="69"/>
      <c r="AT2" s="69"/>
      <c r="AU2" s="69"/>
      <c r="AV2" s="69"/>
      <c r="AW2" s="69"/>
    </row>
    <row r="3" spans="1:50" s="18" customFormat="1" ht="74" customHeight="1">
      <c r="A3" s="17" t="s">
        <v>3</v>
      </c>
      <c r="B3" s="19" t="s">
        <v>4</v>
      </c>
      <c r="C3" s="20" t="s">
        <v>5</v>
      </c>
      <c r="D3" s="20" t="s">
        <v>6</v>
      </c>
      <c r="E3" s="21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5</v>
      </c>
      <c r="K3" s="20"/>
      <c r="L3" s="20" t="s">
        <v>6</v>
      </c>
      <c r="M3" s="21" t="s">
        <v>7</v>
      </c>
      <c r="N3" s="20" t="s">
        <v>8</v>
      </c>
      <c r="O3" s="20" t="s">
        <v>9</v>
      </c>
      <c r="P3" s="20" t="s">
        <v>10</v>
      </c>
      <c r="Q3" s="20" t="s">
        <v>11</v>
      </c>
      <c r="R3" s="20" t="s">
        <v>5</v>
      </c>
      <c r="S3" s="20"/>
      <c r="T3" s="20" t="s">
        <v>6</v>
      </c>
      <c r="U3" s="21" t="s">
        <v>7</v>
      </c>
      <c r="V3" s="20" t="s">
        <v>8</v>
      </c>
      <c r="W3" s="20" t="s">
        <v>9</v>
      </c>
      <c r="X3" s="20" t="s">
        <v>10</v>
      </c>
      <c r="Y3" s="20" t="s">
        <v>11</v>
      </c>
      <c r="Z3" s="20" t="s">
        <v>5</v>
      </c>
      <c r="AA3" s="20"/>
      <c r="AB3" s="20" t="s">
        <v>6</v>
      </c>
      <c r="AC3" s="21" t="s">
        <v>7</v>
      </c>
      <c r="AD3" s="20" t="s">
        <v>8</v>
      </c>
      <c r="AE3" s="20" t="s">
        <v>9</v>
      </c>
      <c r="AF3" s="20" t="s">
        <v>10</v>
      </c>
      <c r="AG3" s="20" t="s">
        <v>11</v>
      </c>
      <c r="AH3" s="20" t="s">
        <v>5</v>
      </c>
      <c r="AI3" s="20"/>
      <c r="AJ3" s="20" t="s">
        <v>6</v>
      </c>
      <c r="AK3" s="21" t="s">
        <v>7</v>
      </c>
      <c r="AL3" s="20" t="s">
        <v>8</v>
      </c>
      <c r="AM3" s="20" t="s">
        <v>9</v>
      </c>
      <c r="AN3" s="20" t="s">
        <v>10</v>
      </c>
      <c r="AO3" s="20" t="s">
        <v>11</v>
      </c>
      <c r="AP3" s="20" t="s">
        <v>5</v>
      </c>
      <c r="AQ3" s="20"/>
      <c r="AR3" s="20" t="s">
        <v>6</v>
      </c>
      <c r="AS3" s="21" t="s">
        <v>7</v>
      </c>
      <c r="AT3" s="20" t="s">
        <v>8</v>
      </c>
      <c r="AU3" s="20" t="s">
        <v>9</v>
      </c>
      <c r="AV3" s="20" t="s">
        <v>10</v>
      </c>
      <c r="AW3" s="20" t="s">
        <v>11</v>
      </c>
    </row>
    <row r="4" spans="1:50">
      <c r="A4" s="1"/>
      <c r="C4" s="63"/>
      <c r="D4" s="63"/>
      <c r="E4" s="63"/>
      <c r="F4" s="63"/>
      <c r="G4" s="63"/>
      <c r="H4" s="63"/>
      <c r="I4" s="25"/>
      <c r="J4" s="63"/>
      <c r="K4" s="63"/>
      <c r="L4" s="3"/>
      <c r="M4" s="63"/>
      <c r="N4" s="63"/>
      <c r="O4" s="63"/>
      <c r="P4" s="63"/>
      <c r="Q4" s="25"/>
      <c r="R4" s="2"/>
      <c r="S4" s="63"/>
      <c r="T4" s="63"/>
      <c r="U4" s="3"/>
      <c r="V4" s="63"/>
      <c r="W4" s="63"/>
      <c r="X4" s="3"/>
      <c r="Y4" s="25"/>
      <c r="Z4" s="63"/>
      <c r="AA4" s="63"/>
      <c r="AB4" s="63"/>
      <c r="AC4" s="3"/>
      <c r="AD4" s="63"/>
      <c r="AE4" s="63"/>
      <c r="AF4" s="3"/>
      <c r="AG4" s="25"/>
      <c r="AH4" s="2"/>
      <c r="AI4" s="63"/>
      <c r="AJ4" s="63"/>
      <c r="AK4" s="3"/>
      <c r="AL4" s="63"/>
      <c r="AM4" s="63"/>
      <c r="AN4" s="3"/>
      <c r="AO4" s="25"/>
      <c r="AP4" s="2"/>
      <c r="AQ4" s="63"/>
      <c r="AR4" s="63"/>
      <c r="AS4" s="3"/>
      <c r="AT4" s="63"/>
      <c r="AU4" s="63"/>
      <c r="AV4" s="3"/>
      <c r="AW4" s="25"/>
    </row>
    <row r="5" spans="1:50">
      <c r="B5">
        <v>1996</v>
      </c>
      <c r="C5" s="54"/>
      <c r="D5" s="54"/>
      <c r="E5" s="35">
        <v>10.39072378</v>
      </c>
      <c r="F5" s="54"/>
      <c r="G5" s="54"/>
      <c r="H5" s="35">
        <v>-7.311371180000001</v>
      </c>
      <c r="I5" s="31">
        <f>E5+H5</f>
        <v>3.0793525999999991</v>
      </c>
      <c r="J5" s="54"/>
      <c r="K5" s="54"/>
      <c r="L5" s="54"/>
      <c r="M5" s="35">
        <v>6.5024813699999999</v>
      </c>
      <c r="N5" s="54"/>
      <c r="O5" s="54"/>
      <c r="P5" s="35">
        <v>-4.5977587300000007</v>
      </c>
      <c r="Q5" s="31">
        <f>M5+P5</f>
        <v>1.9047226399999992</v>
      </c>
      <c r="R5" s="35"/>
      <c r="S5" s="35"/>
      <c r="T5" s="35"/>
      <c r="U5" s="45">
        <v>434.93496447000001</v>
      </c>
      <c r="V5" s="35"/>
      <c r="W5" s="35"/>
      <c r="X5" s="45">
        <v>-87.582979140000049</v>
      </c>
      <c r="Y5" s="31">
        <f>U5+X5</f>
        <v>347.35198532999993</v>
      </c>
      <c r="Z5" s="35"/>
      <c r="AA5" s="35"/>
      <c r="AB5" s="35"/>
      <c r="AC5" s="45">
        <v>887.41973099999996</v>
      </c>
      <c r="AD5" s="35"/>
      <c r="AE5" s="35"/>
      <c r="AF5" s="45">
        <v>-205.98066167000002</v>
      </c>
      <c r="AG5" s="31">
        <f>AC5+AF5</f>
        <v>681.43906932999994</v>
      </c>
      <c r="AH5" s="35"/>
      <c r="AI5" s="35"/>
      <c r="AJ5" s="35"/>
      <c r="AK5" s="45">
        <v>2073.1853080599999</v>
      </c>
      <c r="AL5" s="35"/>
      <c r="AM5" s="35"/>
      <c r="AN5" s="45">
        <v>-559.87371797000014</v>
      </c>
      <c r="AO5" s="31">
        <f>AK5+AN5</f>
        <v>1513.3115900899998</v>
      </c>
      <c r="AP5" s="46"/>
      <c r="AQ5" s="35"/>
      <c r="AR5" s="35"/>
      <c r="AS5" s="45">
        <v>759.00649060000001</v>
      </c>
      <c r="AT5" s="35"/>
      <c r="AU5" s="35"/>
      <c r="AV5" s="45">
        <v>-196.64312799999999</v>
      </c>
      <c r="AW5" s="31">
        <f>AS5+AV5</f>
        <v>562.36336260000007</v>
      </c>
      <c r="AX5" s="55" t="s">
        <v>33</v>
      </c>
    </row>
    <row r="6" spans="1:50">
      <c r="B6">
        <f t="shared" ref="B6:B29" si="0">B5+1</f>
        <v>1997</v>
      </c>
      <c r="C6" s="34">
        <v>0</v>
      </c>
      <c r="D6" s="34">
        <v>0</v>
      </c>
      <c r="E6" s="35">
        <v>10.390724000000001</v>
      </c>
      <c r="F6" s="34">
        <v>-0.14673111</v>
      </c>
      <c r="G6" s="34">
        <v>0</v>
      </c>
      <c r="H6" s="35">
        <v>-7.465325</v>
      </c>
      <c r="I6" s="31">
        <f t="shared" ref="I6:I27" si="1">E6+H6</f>
        <v>2.9253990000000005</v>
      </c>
      <c r="J6" s="34">
        <v>0</v>
      </c>
      <c r="K6" s="34"/>
      <c r="L6" s="34">
        <v>0</v>
      </c>
      <c r="M6" s="35">
        <v>6.5024810000000004</v>
      </c>
      <c r="N6" s="34">
        <v>-0.27369165000000001</v>
      </c>
      <c r="O6" s="34">
        <v>0</v>
      </c>
      <c r="P6" s="35">
        <v>-4.8714500000000003</v>
      </c>
      <c r="Q6" s="31">
        <f t="shared" ref="Q6:Q27" si="2">M6+P6</f>
        <v>1.6310310000000001</v>
      </c>
      <c r="R6" s="34">
        <v>33.450998970000001</v>
      </c>
      <c r="S6" s="37"/>
      <c r="T6" s="40">
        <v>-0.58942501000000003</v>
      </c>
      <c r="U6" s="45">
        <v>467.79654399999998</v>
      </c>
      <c r="V6" s="40">
        <f>-0.47542592-12.05034204</f>
        <v>-12.52576796</v>
      </c>
      <c r="W6" s="40">
        <v>0.83467199999999997</v>
      </c>
      <c r="X6" s="45">
        <v>-99.274072000000004</v>
      </c>
      <c r="Y6" s="31">
        <f t="shared" ref="Y6:Y27" si="3">U6+X6</f>
        <v>368.52247199999999</v>
      </c>
      <c r="Z6" s="34">
        <f>11.12054517+1.19996662</f>
        <v>12.320511789999999</v>
      </c>
      <c r="AA6" s="37"/>
      <c r="AB6" s="40">
        <v>-0.62382062999999999</v>
      </c>
      <c r="AC6" s="45">
        <v>899.11641599999996</v>
      </c>
      <c r="AD6" s="40">
        <v>-24.058562250000001</v>
      </c>
      <c r="AE6" s="40">
        <v>0.27360000000000001</v>
      </c>
      <c r="AF6" s="45">
        <v>-229.765536</v>
      </c>
      <c r="AG6" s="31">
        <f t="shared" ref="AG6:AG27" si="4">AC6+AF6</f>
        <v>669.35087999999996</v>
      </c>
      <c r="AH6" s="40">
        <v>157.1</v>
      </c>
      <c r="AI6" s="37"/>
      <c r="AJ6" s="40">
        <v>-6.0432881399999996</v>
      </c>
      <c r="AK6" s="45">
        <v>2224.279552</v>
      </c>
      <c r="AL6" s="40">
        <f>-20.56848171-42.67302341</f>
        <v>-63.241505119999999</v>
      </c>
      <c r="AM6" s="40">
        <f>1.62942922+5.166432</f>
        <v>6.7958612200000008</v>
      </c>
      <c r="AN6" s="45">
        <v>-616.31935999999996</v>
      </c>
      <c r="AO6" s="31">
        <f t="shared" ref="AO6:AO27" si="5">AK6+AN6</f>
        <v>1607.960192</v>
      </c>
      <c r="AP6" s="57">
        <v>96.133472490000003</v>
      </c>
      <c r="AQ6" s="35"/>
      <c r="AR6" s="40">
        <v>-62.35000659</v>
      </c>
      <c r="AS6" s="45">
        <v>792.96121600000004</v>
      </c>
      <c r="AT6" s="40">
        <f>-18.82635145-43.71801571</f>
        <v>-62.544367160000007</v>
      </c>
      <c r="AU6" s="40">
        <f>7.67957319+51.089</f>
        <v>58.768573189999998</v>
      </c>
      <c r="AV6" s="45">
        <v>-200.41811200000001</v>
      </c>
      <c r="AW6" s="31">
        <f t="shared" ref="AW6:AW27" si="6">AS6+AV6</f>
        <v>592.54310400000008</v>
      </c>
    </row>
    <row r="7" spans="1:50">
      <c r="B7">
        <f t="shared" si="0"/>
        <v>1998</v>
      </c>
      <c r="C7" s="34">
        <v>3.2495969999999999E-2</v>
      </c>
      <c r="D7" s="34">
        <v>0</v>
      </c>
      <c r="E7" s="35">
        <v>10.423220000000001</v>
      </c>
      <c r="F7" s="34">
        <v>-0.15395391999999999</v>
      </c>
      <c r="G7" s="40">
        <v>0</v>
      </c>
      <c r="H7" s="35">
        <v>-7.6192789999999997</v>
      </c>
      <c r="I7" s="31">
        <f t="shared" si="1"/>
        <v>2.8039410000000009</v>
      </c>
      <c r="J7" s="34">
        <v>1.4705931400000001</v>
      </c>
      <c r="K7" s="34"/>
      <c r="L7" s="40">
        <v>0</v>
      </c>
      <c r="M7" s="35">
        <v>7.9730749999999997</v>
      </c>
      <c r="N7" s="40">
        <v>-0.27369165000000001</v>
      </c>
      <c r="O7" s="40">
        <v>0</v>
      </c>
      <c r="P7" s="35">
        <v>-5.1451419999999999</v>
      </c>
      <c r="Q7" s="31">
        <f t="shared" si="2"/>
        <v>2.8279329999999998</v>
      </c>
      <c r="R7" s="34">
        <v>7.7326684599999993</v>
      </c>
      <c r="S7" s="34"/>
      <c r="T7" s="40">
        <v>-1.7981882199999999</v>
      </c>
      <c r="U7" s="45">
        <v>473.73100799999997</v>
      </c>
      <c r="V7" s="34">
        <v>-13.026794900000001</v>
      </c>
      <c r="W7" s="40">
        <v>1.8405936699999998</v>
      </c>
      <c r="X7" s="45">
        <v>-110.460272</v>
      </c>
      <c r="Y7" s="31">
        <f t="shared" si="3"/>
        <v>363.27073599999994</v>
      </c>
      <c r="Z7" s="34">
        <v>18.519938289999999</v>
      </c>
      <c r="AA7" s="34"/>
      <c r="AB7" s="40">
        <v>-0.26151215</v>
      </c>
      <c r="AC7" s="45">
        <v>917.37484800000004</v>
      </c>
      <c r="AD7" s="34">
        <v>-24.510282929999999</v>
      </c>
      <c r="AE7" s="40">
        <v>0.33679535999999999</v>
      </c>
      <c r="AF7" s="45">
        <v>-253.93902399999999</v>
      </c>
      <c r="AG7" s="31">
        <f t="shared" si="4"/>
        <v>663.43582400000003</v>
      </c>
      <c r="AH7" s="40">
        <v>165.00279310000002</v>
      </c>
      <c r="AI7" s="34"/>
      <c r="AJ7" s="40">
        <v>-4.3658291400000007</v>
      </c>
      <c r="AK7" s="45">
        <v>2384.9164799999999</v>
      </c>
      <c r="AL7" s="34">
        <v>-68.02879154</v>
      </c>
      <c r="AM7" s="40">
        <v>5.3099505700000007</v>
      </c>
      <c r="AN7" s="45">
        <v>-679.03820800000005</v>
      </c>
      <c r="AO7" s="31">
        <f t="shared" si="5"/>
        <v>1705.8782719999999</v>
      </c>
      <c r="AP7" s="57">
        <v>90.460119789999993</v>
      </c>
      <c r="AQ7" s="35"/>
      <c r="AR7" s="40">
        <v>-34.022663980000004</v>
      </c>
      <c r="AS7" s="45">
        <v>849.39865599999996</v>
      </c>
      <c r="AT7" s="40">
        <v>-66.417454150000012</v>
      </c>
      <c r="AU7" s="40">
        <v>28.947510630000007</v>
      </c>
      <c r="AV7" s="45">
        <v>-237.888048</v>
      </c>
      <c r="AW7" s="31">
        <f t="shared" si="6"/>
        <v>611.51060799999993</v>
      </c>
    </row>
    <row r="8" spans="1:50">
      <c r="B8">
        <f t="shared" si="0"/>
        <v>1999</v>
      </c>
      <c r="C8" s="34">
        <v>0</v>
      </c>
      <c r="D8" s="34">
        <v>0</v>
      </c>
      <c r="E8" s="35">
        <v>10.423220000000001</v>
      </c>
      <c r="F8" s="34">
        <v>0.12865595999999996</v>
      </c>
      <c r="G8" s="40">
        <v>0</v>
      </c>
      <c r="H8" s="35">
        <v>-7.4906230000000003</v>
      </c>
      <c r="I8" s="31">
        <f t="shared" si="1"/>
        <v>2.9325970000000003</v>
      </c>
      <c r="J8" s="34">
        <v>2.2481149199999999</v>
      </c>
      <c r="K8" s="34"/>
      <c r="L8" s="40">
        <v>-0.18</v>
      </c>
      <c r="M8" s="35">
        <v>10.041188999999999</v>
      </c>
      <c r="N8" s="40">
        <v>2.0299544800000002</v>
      </c>
      <c r="O8" s="40">
        <v>0.18</v>
      </c>
      <c r="P8" s="35">
        <v>-2.9351875000000001</v>
      </c>
      <c r="Q8" s="31">
        <f t="shared" si="2"/>
        <v>7.1060014999999996</v>
      </c>
      <c r="R8" s="34">
        <v>17.35602489</v>
      </c>
      <c r="S8" s="34"/>
      <c r="T8" s="40">
        <v>-0.69947925</v>
      </c>
      <c r="U8" s="45">
        <v>490.38755200000003</v>
      </c>
      <c r="V8" s="34">
        <v>-14.251479659999998</v>
      </c>
      <c r="W8" s="40">
        <v>0.69947925</v>
      </c>
      <c r="X8" s="45">
        <v>-124.012272</v>
      </c>
      <c r="Y8" s="31">
        <f t="shared" si="3"/>
        <v>366.37528000000003</v>
      </c>
      <c r="Z8" s="34">
        <v>64.289350839999997</v>
      </c>
      <c r="AA8" s="37"/>
      <c r="AB8" s="40">
        <v>-2.6956791399999998</v>
      </c>
      <c r="AC8" s="45">
        <v>978.96851200000003</v>
      </c>
      <c r="AD8" s="34">
        <v>-22.65679222</v>
      </c>
      <c r="AE8" s="40">
        <v>2.5696029399999998</v>
      </c>
      <c r="AF8" s="45">
        <v>-274.026208</v>
      </c>
      <c r="AG8" s="31">
        <f t="shared" si="4"/>
        <v>704.94230400000004</v>
      </c>
      <c r="AH8" s="40">
        <v>123.08940582999998</v>
      </c>
      <c r="AI8" s="37"/>
      <c r="AJ8" s="40">
        <v>-14.865533079999999</v>
      </c>
      <c r="AK8" s="45">
        <v>2493.1402240000002</v>
      </c>
      <c r="AL8" s="34">
        <v>-40.235632149999986</v>
      </c>
      <c r="AM8" s="40">
        <v>15.247442339999999</v>
      </c>
      <c r="AN8" s="45">
        <v>-704.02636800000005</v>
      </c>
      <c r="AO8" s="31">
        <f t="shared" si="5"/>
        <v>1789.1138560000002</v>
      </c>
      <c r="AP8" s="57">
        <v>20.155676400000001</v>
      </c>
      <c r="AQ8" s="35"/>
      <c r="AR8" s="40">
        <v>-610.70341444000007</v>
      </c>
      <c r="AS8" s="45">
        <v>258.85094400000003</v>
      </c>
      <c r="AT8" s="40">
        <v>-55.775505639999999</v>
      </c>
      <c r="AU8" s="40">
        <v>193.84051398</v>
      </c>
      <c r="AV8" s="45">
        <v>-99.823040000000006</v>
      </c>
      <c r="AW8" s="31">
        <f t="shared" si="6"/>
        <v>159.02790400000004</v>
      </c>
    </row>
    <row r="9" spans="1:50">
      <c r="B9">
        <f t="shared" si="0"/>
        <v>2000</v>
      </c>
      <c r="C9" s="34">
        <v>0.65866338999999996</v>
      </c>
      <c r="D9" s="34">
        <v>0</v>
      </c>
      <c r="E9" s="35">
        <v>11.081884000000001</v>
      </c>
      <c r="F9" s="34">
        <v>-0.16376587000000001</v>
      </c>
      <c r="G9" s="40">
        <v>0</v>
      </c>
      <c r="H9" s="35">
        <v>-7.6543890000000001</v>
      </c>
      <c r="I9" s="31">
        <f t="shared" si="1"/>
        <v>3.4274950000000004</v>
      </c>
      <c r="J9" s="34">
        <v>0.13583230999999998</v>
      </c>
      <c r="K9" s="34"/>
      <c r="L9" s="40">
        <v>0</v>
      </c>
      <c r="M9" s="35">
        <v>10.177021999999999</v>
      </c>
      <c r="N9" s="40">
        <v>-0.39076333999999996</v>
      </c>
      <c r="O9" s="40">
        <v>0</v>
      </c>
      <c r="P9" s="35">
        <v>-3.3259509999999999</v>
      </c>
      <c r="Q9" s="31">
        <f t="shared" si="2"/>
        <v>6.8510709999999992</v>
      </c>
      <c r="R9" s="34">
        <v>49.765841349999995</v>
      </c>
      <c r="S9" s="34"/>
      <c r="T9" s="40">
        <v>-2.0254478600000003</v>
      </c>
      <c r="U9" s="45">
        <v>538.12793599999998</v>
      </c>
      <c r="V9" s="34">
        <v>-14.8216228</v>
      </c>
      <c r="W9" s="40">
        <v>1.6200028600000003</v>
      </c>
      <c r="X9" s="45">
        <v>-137.213888</v>
      </c>
      <c r="Y9" s="31">
        <f t="shared" si="3"/>
        <v>400.91404799999998</v>
      </c>
      <c r="Z9" s="34">
        <v>16.761447830000002</v>
      </c>
      <c r="AA9" s="34"/>
      <c r="AB9" s="40">
        <v>-0.58016017999999991</v>
      </c>
      <c r="AC9" s="45">
        <v>995.14982399999997</v>
      </c>
      <c r="AD9" s="34">
        <v>-26.291275450000001</v>
      </c>
      <c r="AE9" s="40">
        <v>0.65559330999999987</v>
      </c>
      <c r="AF9" s="45">
        <v>-299.66188799999998</v>
      </c>
      <c r="AG9" s="31">
        <f t="shared" si="4"/>
        <v>695.48793599999999</v>
      </c>
      <c r="AH9" s="40">
        <v>118.08959451999999</v>
      </c>
      <c r="AI9" s="34"/>
      <c r="AJ9" s="40">
        <v>-11.828878130000001</v>
      </c>
      <c r="AK9" s="45">
        <v>2599.40099134</v>
      </c>
      <c r="AL9" s="34">
        <v>-77.18261133</v>
      </c>
      <c r="AM9" s="40">
        <v>10.89945728</v>
      </c>
      <c r="AN9" s="45">
        <v>-770.30956800000001</v>
      </c>
      <c r="AO9" s="31">
        <f t="shared" si="5"/>
        <v>1829.0914233399999</v>
      </c>
      <c r="AP9" s="57">
        <v>30.858148909999997</v>
      </c>
      <c r="AQ9" s="35"/>
      <c r="AR9" s="40">
        <v>-38.85177916</v>
      </c>
      <c r="AS9" s="45">
        <v>250.85699199999999</v>
      </c>
      <c r="AT9" s="40">
        <v>-33.059877020000002</v>
      </c>
      <c r="AU9" s="40">
        <v>37.569680340000005</v>
      </c>
      <c r="AV9" s="45">
        <v>-95.313239999999993</v>
      </c>
      <c r="AW9" s="31">
        <f t="shared" si="6"/>
        <v>155.54375199999998</v>
      </c>
    </row>
    <row r="10" spans="1:50">
      <c r="B10">
        <f t="shared" si="0"/>
        <v>2001</v>
      </c>
      <c r="C10" s="34">
        <v>0.18370108999999998</v>
      </c>
      <c r="D10" s="34">
        <v>0</v>
      </c>
      <c r="E10" s="35">
        <v>11.265884</v>
      </c>
      <c r="F10" s="34">
        <v>-0.17714499</v>
      </c>
      <c r="G10" s="40">
        <v>0</v>
      </c>
      <c r="H10" s="35">
        <v>-7.8315340000000004</v>
      </c>
      <c r="I10" s="31">
        <f t="shared" si="1"/>
        <v>3.4343499999999993</v>
      </c>
      <c r="J10" s="34">
        <v>0.74893573000000013</v>
      </c>
      <c r="K10" s="34"/>
      <c r="L10" s="40">
        <v>0</v>
      </c>
      <c r="M10" s="35">
        <v>10.926022</v>
      </c>
      <c r="N10" s="40">
        <v>-0.40704388000000002</v>
      </c>
      <c r="O10" s="40">
        <v>0</v>
      </c>
      <c r="P10" s="35">
        <v>-3.73299475</v>
      </c>
      <c r="Q10" s="31">
        <f t="shared" si="2"/>
        <v>7.1930272500000001</v>
      </c>
      <c r="R10" s="34">
        <v>24.088498609999998</v>
      </c>
      <c r="S10" s="34"/>
      <c r="T10" s="40">
        <v>-5.7625240000000001E-2</v>
      </c>
      <c r="U10" s="45">
        <v>562.15897600000005</v>
      </c>
      <c r="V10" s="34">
        <v>-15.762735220000001</v>
      </c>
      <c r="W10" s="40">
        <v>0.13444912000000001</v>
      </c>
      <c r="X10" s="45">
        <v>-152.84217599999999</v>
      </c>
      <c r="Y10" s="31">
        <f t="shared" si="3"/>
        <v>409.31680000000006</v>
      </c>
      <c r="Z10" s="34">
        <v>51.466337740000007</v>
      </c>
      <c r="AA10" s="34"/>
      <c r="AB10" s="40">
        <v>-0.66380338000000005</v>
      </c>
      <c r="AC10" s="45">
        <v>1045.951808</v>
      </c>
      <c r="AD10" s="34">
        <v>-27.074109440000004</v>
      </c>
      <c r="AE10" s="40">
        <v>1.6169197400000002</v>
      </c>
      <c r="AF10" s="45">
        <v>-325.11910399999999</v>
      </c>
      <c r="AG10" s="31">
        <f t="shared" si="4"/>
        <v>720.83270400000004</v>
      </c>
      <c r="AH10" s="40">
        <v>108.59092316</v>
      </c>
      <c r="AI10" s="34"/>
      <c r="AJ10" s="40">
        <v>-7.5182022699999997</v>
      </c>
      <c r="AK10" s="45">
        <v>2700.4737122299998</v>
      </c>
      <c r="AL10" s="34">
        <v>-77.431173110000003</v>
      </c>
      <c r="AM10" s="40">
        <v>7.7286594800000001</v>
      </c>
      <c r="AN10" s="45">
        <v>-840.01203199999998</v>
      </c>
      <c r="AO10" s="31">
        <f t="shared" si="5"/>
        <v>1860.4616802299997</v>
      </c>
      <c r="AP10" s="57">
        <v>34.026599370000007</v>
      </c>
      <c r="AQ10" s="35"/>
      <c r="AR10" s="40">
        <v>-22.167021470000002</v>
      </c>
      <c r="AS10" s="45">
        <v>262.71689600000002</v>
      </c>
      <c r="AT10" s="40">
        <v>-32.825623050000004</v>
      </c>
      <c r="AU10" s="40">
        <v>19.67061378</v>
      </c>
      <c r="AV10" s="45">
        <v>-108.468248</v>
      </c>
      <c r="AW10" s="31">
        <f t="shared" si="6"/>
        <v>154.248648</v>
      </c>
    </row>
    <row r="11" spans="1:50">
      <c r="B11">
        <f t="shared" si="0"/>
        <v>2002</v>
      </c>
      <c r="C11" s="34">
        <v>0.20374251000000002</v>
      </c>
      <c r="D11" s="34">
        <v>0</v>
      </c>
      <c r="E11" s="35">
        <v>11.468883999999999</v>
      </c>
      <c r="F11" s="34">
        <v>-0.18329951</v>
      </c>
      <c r="G11" s="40">
        <v>0</v>
      </c>
      <c r="H11" s="35">
        <v>-8.0153890000000008</v>
      </c>
      <c r="I11" s="31">
        <f t="shared" si="1"/>
        <v>3.4534949999999984</v>
      </c>
      <c r="J11" s="34">
        <v>1.2366247299999999</v>
      </c>
      <c r="K11" s="34"/>
      <c r="L11" s="40">
        <v>0</v>
      </c>
      <c r="M11" s="35">
        <v>12.163022</v>
      </c>
      <c r="N11" s="40">
        <v>-0.44407272999999997</v>
      </c>
      <c r="O11" s="40">
        <v>0</v>
      </c>
      <c r="P11" s="35">
        <v>-4.1779510000000002</v>
      </c>
      <c r="Q11" s="31">
        <f t="shared" si="2"/>
        <v>7.9850709999999996</v>
      </c>
      <c r="R11" s="34">
        <v>8.8745229400000003</v>
      </c>
      <c r="S11" s="34"/>
      <c r="T11" s="40">
        <v>0</v>
      </c>
      <c r="U11" s="45">
        <v>571.03398400000003</v>
      </c>
      <c r="V11" s="34">
        <v>-16.28543359</v>
      </c>
      <c r="W11" s="40">
        <v>-6.2329999999999998E-3</v>
      </c>
      <c r="X11" s="45">
        <v>-169.13385600000001</v>
      </c>
      <c r="Y11" s="31">
        <f t="shared" si="3"/>
        <v>401.900128</v>
      </c>
      <c r="Z11" s="34">
        <v>62.963682260000006</v>
      </c>
      <c r="AA11" s="34"/>
      <c r="AB11" s="40">
        <v>-2.6069691999999995</v>
      </c>
      <c r="AC11" s="45">
        <v>1106.3088640000001</v>
      </c>
      <c r="AD11" s="34">
        <v>-28.419125629999996</v>
      </c>
      <c r="AE11" s="40">
        <v>2.6366862699999998</v>
      </c>
      <c r="AF11" s="45">
        <v>-350.90153600000002</v>
      </c>
      <c r="AG11" s="31">
        <f t="shared" si="4"/>
        <v>755.40732800000001</v>
      </c>
      <c r="AH11" s="40">
        <v>116.96578918</v>
      </c>
      <c r="AI11" s="37"/>
      <c r="AJ11" s="40">
        <v>-12.130266959999998</v>
      </c>
      <c r="AK11" s="45">
        <v>2806.5912320000002</v>
      </c>
      <c r="AL11" s="34">
        <v>-83.514737360000012</v>
      </c>
      <c r="AM11" s="40">
        <v>11.869742289999998</v>
      </c>
      <c r="AN11" s="45">
        <v>-911.65702399999998</v>
      </c>
      <c r="AO11" s="31">
        <f t="shared" si="5"/>
        <v>1894.9342080000001</v>
      </c>
      <c r="AP11" s="57">
        <v>21.583880269999998</v>
      </c>
      <c r="AQ11" s="51"/>
      <c r="AR11" s="40">
        <v>-52.603504209999997</v>
      </c>
      <c r="AS11" s="45">
        <v>231.69726399999999</v>
      </c>
      <c r="AT11" s="40">
        <v>-28.691784459999997</v>
      </c>
      <c r="AU11" s="40">
        <v>43.745823600000001</v>
      </c>
      <c r="AV11" s="45">
        <v>-93.414208000000002</v>
      </c>
      <c r="AW11" s="31">
        <f t="shared" si="6"/>
        <v>138.28305599999999</v>
      </c>
    </row>
    <row r="12" spans="1:50">
      <c r="B12">
        <f t="shared" si="0"/>
        <v>2003</v>
      </c>
      <c r="C12" s="34">
        <v>-1.1909870000000001E-2</v>
      </c>
      <c r="D12" s="34">
        <v>0</v>
      </c>
      <c r="E12" s="35">
        <v>11.457417</v>
      </c>
      <c r="F12" s="34">
        <v>-0.18634112999999999</v>
      </c>
      <c r="G12" s="40">
        <v>0</v>
      </c>
      <c r="H12" s="35">
        <v>-8.2011745000000005</v>
      </c>
      <c r="I12" s="31">
        <f t="shared" si="1"/>
        <v>3.256242499999999</v>
      </c>
      <c r="J12" s="34">
        <v>3.3326230000000005E-2</v>
      </c>
      <c r="K12" s="34"/>
      <c r="L12" s="40">
        <v>0</v>
      </c>
      <c r="M12" s="35">
        <v>12.195907999999999</v>
      </c>
      <c r="N12" s="40">
        <v>-0.46793122999999998</v>
      </c>
      <c r="O12" s="40">
        <v>0</v>
      </c>
      <c r="P12" s="35">
        <v>-4.6449984999999998</v>
      </c>
      <c r="Q12" s="31">
        <f t="shared" si="2"/>
        <v>7.5509094999999995</v>
      </c>
      <c r="R12" s="40">
        <v>3.8471723799999999</v>
      </c>
      <c r="S12" s="37"/>
      <c r="T12" s="40">
        <v>-2.6007E-4</v>
      </c>
      <c r="U12" s="45">
        <v>574.88025600000003</v>
      </c>
      <c r="V12" s="34">
        <v>-16.477637219999998</v>
      </c>
      <c r="W12" s="40">
        <v>-2.3844890899999998</v>
      </c>
      <c r="X12" s="45">
        <v>-187.995968</v>
      </c>
      <c r="Y12" s="31">
        <f t="shared" si="3"/>
        <v>386.88428800000003</v>
      </c>
      <c r="Z12" s="34">
        <v>1.5906014500000012</v>
      </c>
      <c r="AA12" s="37"/>
      <c r="AB12" s="40">
        <v>-2.4765359500000002</v>
      </c>
      <c r="AC12" s="45">
        <v>1105.423104</v>
      </c>
      <c r="AD12" s="34">
        <v>-25.364431310000004</v>
      </c>
      <c r="AE12" s="40">
        <v>3.1737018900000002</v>
      </c>
      <c r="AF12" s="45">
        <v>-373.09225600000002</v>
      </c>
      <c r="AG12" s="31">
        <f t="shared" si="4"/>
        <v>732.33084799999995</v>
      </c>
      <c r="AH12" s="40">
        <v>-42.555300410000001</v>
      </c>
      <c r="AI12" s="37"/>
      <c r="AJ12" s="40">
        <v>-10.329876950000001</v>
      </c>
      <c r="AK12" s="45">
        <v>2753.7072640000001</v>
      </c>
      <c r="AL12" s="34">
        <v>-50.547497540000002</v>
      </c>
      <c r="AM12" s="40">
        <v>10.087103110000001</v>
      </c>
      <c r="AN12" s="45">
        <v>-952.11743999999999</v>
      </c>
      <c r="AO12" s="31">
        <f t="shared" si="5"/>
        <v>1801.5898240000001</v>
      </c>
      <c r="AP12" s="57">
        <v>14.42166759</v>
      </c>
      <c r="AQ12" s="35"/>
      <c r="AR12" s="40">
        <v>-15.872225039999998</v>
      </c>
      <c r="AS12" s="45">
        <v>230.24672000000001</v>
      </c>
      <c r="AT12" s="40">
        <v>-26.38937868</v>
      </c>
      <c r="AU12" s="40">
        <v>15.33439613</v>
      </c>
      <c r="AV12" s="45">
        <v>-104.46919200000001</v>
      </c>
      <c r="AW12" s="31">
        <f t="shared" si="6"/>
        <v>125.777528</v>
      </c>
    </row>
    <row r="13" spans="1:50">
      <c r="B13">
        <f t="shared" si="0"/>
        <v>2004</v>
      </c>
      <c r="C13" s="34">
        <v>3.2681799999999999E-3</v>
      </c>
      <c r="D13" s="34">
        <v>0</v>
      </c>
      <c r="E13" s="35">
        <v>11.460686000000001</v>
      </c>
      <c r="F13" s="34">
        <v>-4.5329179999999997E-2</v>
      </c>
      <c r="G13" s="40">
        <v>0</v>
      </c>
      <c r="H13" s="35">
        <v>-8.2465034999999993</v>
      </c>
      <c r="I13" s="31">
        <f t="shared" si="1"/>
        <v>3.2141825000000015</v>
      </c>
      <c r="J13" s="34">
        <v>4.6709389999999996E-2</v>
      </c>
      <c r="K13" s="34"/>
      <c r="L13" s="40">
        <v>0</v>
      </c>
      <c r="M13" s="35">
        <v>12.242618</v>
      </c>
      <c r="N13" s="40">
        <v>-7.13648039</v>
      </c>
      <c r="O13" s="40">
        <v>0</v>
      </c>
      <c r="P13" s="35">
        <v>-11.781478999999999</v>
      </c>
      <c r="Q13" s="31">
        <f t="shared" si="2"/>
        <v>0.46113900000000108</v>
      </c>
      <c r="R13" s="40">
        <v>3.0719396900000002</v>
      </c>
      <c r="S13" s="37"/>
      <c r="T13" s="40">
        <v>-0.66838357000000004</v>
      </c>
      <c r="U13" s="45">
        <v>577.28384000000005</v>
      </c>
      <c r="V13" s="34">
        <v>-17.281666399999999</v>
      </c>
      <c r="W13" s="40">
        <v>2.4663668300000001</v>
      </c>
      <c r="X13" s="45">
        <v>-202.81128000000001</v>
      </c>
      <c r="Y13" s="31">
        <f t="shared" si="3"/>
        <v>374.47256000000004</v>
      </c>
      <c r="Z13" s="34">
        <v>18.573532200000002</v>
      </c>
      <c r="AA13" s="37"/>
      <c r="AB13" s="40">
        <v>-1.03273784</v>
      </c>
      <c r="AC13" s="45">
        <v>1122.963968</v>
      </c>
      <c r="AD13" s="34">
        <v>-19.878410240000001</v>
      </c>
      <c r="AE13" s="40">
        <v>-1.4695890899999997</v>
      </c>
      <c r="AF13" s="45">
        <v>-394.44025599999998</v>
      </c>
      <c r="AG13" s="31">
        <f t="shared" si="4"/>
        <v>728.52371200000005</v>
      </c>
      <c r="AH13" s="40">
        <v>100.62595816</v>
      </c>
      <c r="AI13" s="37"/>
      <c r="AJ13" s="40">
        <v>-8.9489644800000008</v>
      </c>
      <c r="AK13" s="45">
        <v>2845.384192</v>
      </c>
      <c r="AL13" s="34">
        <v>-84.447588490000001</v>
      </c>
      <c r="AM13" s="40">
        <v>10.06208612</v>
      </c>
      <c r="AN13" s="45">
        <v>-1026.502976</v>
      </c>
      <c r="AO13" s="31">
        <f t="shared" si="5"/>
        <v>1818.881216</v>
      </c>
      <c r="AP13" s="57">
        <v>17.959862419999997</v>
      </c>
      <c r="AQ13" s="35"/>
      <c r="AR13" s="40">
        <v>-30.060826869999996</v>
      </c>
      <c r="AS13" s="45">
        <v>218.14574400000001</v>
      </c>
      <c r="AT13" s="40">
        <v>-24.47734449</v>
      </c>
      <c r="AU13" s="40">
        <v>25.989843579999999</v>
      </c>
      <c r="AV13" s="45">
        <v>-102.95669599999999</v>
      </c>
      <c r="AW13" s="31">
        <f t="shared" si="6"/>
        <v>115.18904800000001</v>
      </c>
    </row>
    <row r="14" spans="1:50">
      <c r="B14">
        <f t="shared" si="0"/>
        <v>2005</v>
      </c>
      <c r="C14" s="34">
        <v>1.1466629999999998E-2</v>
      </c>
      <c r="D14" s="34">
        <v>0</v>
      </c>
      <c r="E14" s="35">
        <v>11.472151999999999</v>
      </c>
      <c r="F14" s="34">
        <v>-0.22426963</v>
      </c>
      <c r="G14" s="40">
        <v>0</v>
      </c>
      <c r="H14" s="35">
        <v>-8.4707729999999994</v>
      </c>
      <c r="I14" s="31">
        <f t="shared" si="1"/>
        <v>3.001379</v>
      </c>
      <c r="J14" s="34">
        <v>0.18172866000000001</v>
      </c>
      <c r="K14" s="34"/>
      <c r="L14" s="40">
        <v>0</v>
      </c>
      <c r="M14" s="35">
        <v>12.424346</v>
      </c>
      <c r="N14" s="40">
        <v>-0.40081466000000004</v>
      </c>
      <c r="O14" s="40">
        <v>0</v>
      </c>
      <c r="P14" s="35">
        <v>-12.182294000000001</v>
      </c>
      <c r="Q14" s="31">
        <f t="shared" si="2"/>
        <v>0.24205199999999927</v>
      </c>
      <c r="R14" s="40">
        <v>6.9905038700000004</v>
      </c>
      <c r="S14" s="37"/>
      <c r="T14" s="40">
        <v>0</v>
      </c>
      <c r="U14" s="45">
        <v>584.27430400000003</v>
      </c>
      <c r="V14" s="34">
        <v>-15.639738280000001</v>
      </c>
      <c r="W14" s="40">
        <v>-3.655659E-2</v>
      </c>
      <c r="X14" s="45">
        <v>-218.48756800000001</v>
      </c>
      <c r="Y14" s="31">
        <f t="shared" si="3"/>
        <v>365.78673600000002</v>
      </c>
      <c r="Z14" s="34">
        <v>14.71350322</v>
      </c>
      <c r="AA14" s="37"/>
      <c r="AB14" s="40">
        <v>-7.30010095</v>
      </c>
      <c r="AC14" s="45">
        <v>1130.377344</v>
      </c>
      <c r="AD14" s="34">
        <v>-29.374884259999998</v>
      </c>
      <c r="AE14" s="40">
        <v>7.67678774</v>
      </c>
      <c r="AF14" s="45">
        <v>-416.13836800000001</v>
      </c>
      <c r="AG14" s="31">
        <f t="shared" si="4"/>
        <v>714.23897599999998</v>
      </c>
      <c r="AH14" s="40">
        <v>116.18414917</v>
      </c>
      <c r="AI14" s="37"/>
      <c r="AJ14" s="40">
        <v>-8.7250502900000022</v>
      </c>
      <c r="AK14" s="45">
        <v>2952.8432640000001</v>
      </c>
      <c r="AL14" s="34">
        <v>-86.202286009999995</v>
      </c>
      <c r="AM14" s="40">
        <v>10.542819860000002</v>
      </c>
      <c r="AN14" s="45">
        <v>-1102.1624320000001</v>
      </c>
      <c r="AO14" s="31">
        <f t="shared" si="5"/>
        <v>1850.680832</v>
      </c>
      <c r="AP14" s="57">
        <v>40.464666639999997</v>
      </c>
      <c r="AQ14" s="35"/>
      <c r="AR14" s="40">
        <v>-32.2676157</v>
      </c>
      <c r="AS14" s="45">
        <v>226.34280000000001</v>
      </c>
      <c r="AT14" s="40">
        <v>-25.177166769999999</v>
      </c>
      <c r="AU14" s="40">
        <v>31.163941829999999</v>
      </c>
      <c r="AV14" s="45">
        <v>-96.969928899999999</v>
      </c>
      <c r="AW14" s="31">
        <f t="shared" si="6"/>
        <v>129.3728711</v>
      </c>
    </row>
    <row r="15" spans="1:50">
      <c r="B15">
        <f t="shared" si="0"/>
        <v>2006</v>
      </c>
      <c r="C15" s="34">
        <v>0</v>
      </c>
      <c r="D15" s="34">
        <v>0</v>
      </c>
      <c r="E15" s="35">
        <v>11.472152149999998</v>
      </c>
      <c r="F15" s="34">
        <v>-0.22455900000000001</v>
      </c>
      <c r="G15" s="40">
        <v>0</v>
      </c>
      <c r="H15" s="35">
        <v>-8.6953323699999991</v>
      </c>
      <c r="I15" s="31">
        <f t="shared" si="1"/>
        <v>2.7768197799999985</v>
      </c>
      <c r="J15" s="34">
        <v>2.3722724700000004</v>
      </c>
      <c r="K15" s="34"/>
      <c r="L15" s="40">
        <v>-0.29380200000000001</v>
      </c>
      <c r="M15" s="35">
        <v>14.50281695</v>
      </c>
      <c r="N15" s="40">
        <v>-0.44160547000000006</v>
      </c>
      <c r="O15" s="40">
        <v>0.29380200000000001</v>
      </c>
      <c r="P15" s="35">
        <v>-12.33009725</v>
      </c>
      <c r="Q15" s="31">
        <f t="shared" si="2"/>
        <v>2.1727197</v>
      </c>
      <c r="R15" s="40">
        <v>56.10338917</v>
      </c>
      <c r="S15" s="37"/>
      <c r="T15" s="40">
        <v>-0.95422470999999998</v>
      </c>
      <c r="U15" s="45">
        <v>639.42349240999999</v>
      </c>
      <c r="V15" s="34">
        <v>-16.769661370000001</v>
      </c>
      <c r="W15" s="40">
        <v>1.05407166</v>
      </c>
      <c r="X15" s="45">
        <v>-234.20315905000001</v>
      </c>
      <c r="Y15" s="31">
        <f t="shared" si="3"/>
        <v>405.22033335999998</v>
      </c>
      <c r="Z15" s="34">
        <v>136.80843281999998</v>
      </c>
      <c r="AA15" s="34"/>
      <c r="AB15" s="40">
        <v>-1.36335126</v>
      </c>
      <c r="AC15" s="45">
        <v>1265.8223990200001</v>
      </c>
      <c r="AD15" s="34">
        <v>-31.002373520000003</v>
      </c>
      <c r="AE15" s="40">
        <v>1.77299206</v>
      </c>
      <c r="AF15" s="45">
        <v>-445.36773559000005</v>
      </c>
      <c r="AG15" s="31">
        <f t="shared" si="4"/>
        <v>820.4546634300001</v>
      </c>
      <c r="AH15" s="40">
        <v>130.66699757000001</v>
      </c>
      <c r="AI15" s="34"/>
      <c r="AJ15" s="40">
        <v>-10.111376450000002</v>
      </c>
      <c r="AK15" s="45">
        <v>3073.39891175</v>
      </c>
      <c r="AL15" s="34">
        <v>-89.708329999999989</v>
      </c>
      <c r="AM15" s="40">
        <v>12.528192440000002</v>
      </c>
      <c r="AN15" s="45">
        <v>-1179.3425553799998</v>
      </c>
      <c r="AO15" s="31">
        <f t="shared" si="5"/>
        <v>1894.0563563700002</v>
      </c>
      <c r="AP15" s="57">
        <v>32.464220699999998</v>
      </c>
      <c r="AQ15" s="35"/>
      <c r="AR15" s="40">
        <v>-20.086928539999999</v>
      </c>
      <c r="AS15" s="45">
        <v>238.72009234000004</v>
      </c>
      <c r="AT15" s="40">
        <v>-26.322620359999998</v>
      </c>
      <c r="AU15" s="40">
        <v>20.008559129999998</v>
      </c>
      <c r="AV15" s="45">
        <v>-103.28399012999999</v>
      </c>
      <c r="AW15" s="31">
        <f t="shared" si="6"/>
        <v>135.43610221000006</v>
      </c>
    </row>
    <row r="16" spans="1:50">
      <c r="B16">
        <f t="shared" si="0"/>
        <v>2007</v>
      </c>
      <c r="C16" s="34">
        <v>0</v>
      </c>
      <c r="D16" s="34">
        <v>0</v>
      </c>
      <c r="E16" s="35">
        <v>11.472152149999998</v>
      </c>
      <c r="F16" s="34">
        <v>-0.22453899999999999</v>
      </c>
      <c r="G16" s="40">
        <v>0</v>
      </c>
      <c r="H16" s="35">
        <v>-8.9198713699999992</v>
      </c>
      <c r="I16" s="31">
        <f t="shared" si="1"/>
        <v>2.5522807799999985</v>
      </c>
      <c r="J16" s="34">
        <v>0.21822870000000003</v>
      </c>
      <c r="K16" s="34"/>
      <c r="L16" s="40">
        <v>0</v>
      </c>
      <c r="M16" s="35">
        <v>14.721045650000001</v>
      </c>
      <c r="N16" s="40">
        <v>-0.48316970000000004</v>
      </c>
      <c r="O16" s="40">
        <v>9.1500000000000001E-4</v>
      </c>
      <c r="P16" s="35">
        <v>-12.81235195</v>
      </c>
      <c r="Q16" s="31">
        <f t="shared" si="2"/>
        <v>1.9086937000000006</v>
      </c>
      <c r="R16" s="40">
        <v>9.5000750499999995</v>
      </c>
      <c r="S16" s="37"/>
      <c r="T16" s="40">
        <v>-2.4743639100000001</v>
      </c>
      <c r="U16" s="45">
        <v>646.44920354999999</v>
      </c>
      <c r="V16" s="34">
        <v>-17.726521909999999</v>
      </c>
      <c r="W16" s="40">
        <v>2.80334101</v>
      </c>
      <c r="X16" s="45">
        <v>-249.12633994999999</v>
      </c>
      <c r="Y16" s="31">
        <f t="shared" si="3"/>
        <v>397.32286360000001</v>
      </c>
      <c r="Z16" s="34">
        <v>99.409794109999993</v>
      </c>
      <c r="AA16" s="34"/>
      <c r="AB16" s="40">
        <v>-0.61709078000000006</v>
      </c>
      <c r="AC16" s="45">
        <v>1364.6151023500001</v>
      </c>
      <c r="AD16" s="34">
        <v>-33.848404129999999</v>
      </c>
      <c r="AE16" s="40">
        <v>0.34499481999999998</v>
      </c>
      <c r="AF16" s="45">
        <v>-478.8711449000001</v>
      </c>
      <c r="AG16" s="31">
        <f t="shared" si="4"/>
        <v>885.74395745000004</v>
      </c>
      <c r="AH16" s="40">
        <v>108.74050979</v>
      </c>
      <c r="AI16" s="34"/>
      <c r="AJ16" s="40">
        <v>-20.631047190000004</v>
      </c>
      <c r="AK16" s="45">
        <v>3161.5083743499999</v>
      </c>
      <c r="AL16" s="34">
        <v>-92.893661840000007</v>
      </c>
      <c r="AM16" s="40">
        <v>21.825164930000007</v>
      </c>
      <c r="AN16" s="45">
        <v>-1250.4110522900003</v>
      </c>
      <c r="AO16" s="31">
        <f t="shared" si="5"/>
        <v>1911.0973220599997</v>
      </c>
      <c r="AP16" s="57">
        <v>47.256825909999996</v>
      </c>
      <c r="AQ16" s="35"/>
      <c r="AR16" s="40">
        <v>-23.042310780000001</v>
      </c>
      <c r="AS16" s="45">
        <v>262.93460747</v>
      </c>
      <c r="AT16" s="40">
        <v>-29.789276050000002</v>
      </c>
      <c r="AU16" s="40">
        <v>22.25139892</v>
      </c>
      <c r="AV16" s="45">
        <v>-110.82186725999999</v>
      </c>
      <c r="AW16" s="31">
        <f t="shared" si="6"/>
        <v>152.11274021000003</v>
      </c>
    </row>
    <row r="17" spans="2:56">
      <c r="B17">
        <f t="shared" si="0"/>
        <v>2008</v>
      </c>
      <c r="C17" s="34">
        <v>0</v>
      </c>
      <c r="D17" s="34">
        <v>0</v>
      </c>
      <c r="E17" s="35">
        <v>11.472152149999998</v>
      </c>
      <c r="F17" s="34">
        <v>-0.224103</v>
      </c>
      <c r="G17" s="40">
        <v>0</v>
      </c>
      <c r="H17" s="35">
        <v>-9.1439743699999987</v>
      </c>
      <c r="I17" s="31">
        <f t="shared" si="1"/>
        <v>2.328177779999999</v>
      </c>
      <c r="J17" s="34">
        <v>2.493954E-2</v>
      </c>
      <c r="K17" s="37"/>
      <c r="L17" s="34">
        <v>0</v>
      </c>
      <c r="M17" s="35">
        <v>14.745985189999999</v>
      </c>
      <c r="N17" s="40">
        <v>-0.48735290999999997</v>
      </c>
      <c r="O17" s="40">
        <v>4.2533700000000002E-3</v>
      </c>
      <c r="P17" s="35">
        <v>-13.29545149</v>
      </c>
      <c r="Q17" s="31">
        <f t="shared" si="2"/>
        <v>1.4505336999999994</v>
      </c>
      <c r="R17" s="40">
        <v>5.6981665499999998</v>
      </c>
      <c r="S17" s="37"/>
      <c r="T17" s="40">
        <v>-1.3885348100000001</v>
      </c>
      <c r="U17" s="36">
        <v>475.80182728999995</v>
      </c>
      <c r="V17" s="34">
        <v>-13.332988600000002</v>
      </c>
      <c r="W17" s="40">
        <v>1.8547298600000002</v>
      </c>
      <c r="X17" s="36">
        <v>-206.21806769000003</v>
      </c>
      <c r="Y17" s="31">
        <f t="shared" si="3"/>
        <v>269.58375959999989</v>
      </c>
      <c r="Z17" s="34">
        <v>180.33847987000001</v>
      </c>
      <c r="AA17" s="34"/>
      <c r="AB17" s="40">
        <v>-0.30798076000000002</v>
      </c>
      <c r="AC17" s="45">
        <v>1544.6456014599999</v>
      </c>
      <c r="AD17" s="34">
        <v>-38.134666580000001</v>
      </c>
      <c r="AE17" s="40">
        <v>0.1799944</v>
      </c>
      <c r="AF17" s="45">
        <v>-516.82581707999998</v>
      </c>
      <c r="AG17" s="31">
        <f t="shared" si="4"/>
        <v>1027.8197843799999</v>
      </c>
      <c r="AH17" s="40">
        <v>151.20369438</v>
      </c>
      <c r="AI17" s="34"/>
      <c r="AJ17" s="40">
        <v>-13.633639440000001</v>
      </c>
      <c r="AK17" s="45">
        <v>3299.0784292900003</v>
      </c>
      <c r="AL17" s="34">
        <v>-96.245875740000002</v>
      </c>
      <c r="AM17" s="40">
        <v>17.80079241</v>
      </c>
      <c r="AN17" s="45">
        <v>-1328.85613562</v>
      </c>
      <c r="AO17" s="31">
        <f t="shared" si="5"/>
        <v>1970.2222936700002</v>
      </c>
      <c r="AP17" s="57">
        <v>32.977731739999996</v>
      </c>
      <c r="AQ17" s="35"/>
      <c r="AR17" s="40">
        <v>-26.823600799999998</v>
      </c>
      <c r="AS17" s="36">
        <v>260.39999999999998</v>
      </c>
      <c r="AT17" s="40">
        <v>-32.977502579999999</v>
      </c>
      <c r="AU17" s="40">
        <v>26.230252639999996</v>
      </c>
      <c r="AV17" s="36">
        <v>-114.19696512999997</v>
      </c>
      <c r="AW17" s="31">
        <f t="shared" si="6"/>
        <v>146.20303487000001</v>
      </c>
    </row>
    <row r="18" spans="2:56">
      <c r="B18">
        <f t="shared" si="0"/>
        <v>2009</v>
      </c>
      <c r="C18" s="34">
        <v>0</v>
      </c>
      <c r="D18" s="40">
        <v>-3.7804557499999998</v>
      </c>
      <c r="E18" s="35">
        <v>7.6916964000000005</v>
      </c>
      <c r="F18" s="34">
        <v>-0.204846</v>
      </c>
      <c r="G18" s="34">
        <v>3.7804557499999998</v>
      </c>
      <c r="H18" s="35">
        <v>-5.5683646199999988</v>
      </c>
      <c r="I18" s="31">
        <f t="shared" si="1"/>
        <v>2.1233317800000018</v>
      </c>
      <c r="J18" s="40">
        <v>1.02554228</v>
      </c>
      <c r="K18" s="37"/>
      <c r="L18" s="40">
        <v>0</v>
      </c>
      <c r="M18" s="35">
        <v>15.771527470000001</v>
      </c>
      <c r="N18" s="40">
        <v>-1.3223252300000001</v>
      </c>
      <c r="O18" s="40">
        <v>1.706595E-2</v>
      </c>
      <c r="P18" s="35">
        <v>-14.600710769999999</v>
      </c>
      <c r="Q18" s="31">
        <f t="shared" si="2"/>
        <v>1.1708167000000014</v>
      </c>
      <c r="R18" s="40">
        <v>7.3855781200000017</v>
      </c>
      <c r="S18" s="37"/>
      <c r="T18" s="40">
        <v>-2.5573933899999997</v>
      </c>
      <c r="U18" s="36">
        <v>480.63001201999998</v>
      </c>
      <c r="V18" s="34">
        <v>-13.55896486</v>
      </c>
      <c r="W18" s="40">
        <v>8.6669701299999993</v>
      </c>
      <c r="X18" s="36">
        <v>-211.11006242000005</v>
      </c>
      <c r="Y18" s="31">
        <f t="shared" si="3"/>
        <v>269.5199495999999</v>
      </c>
      <c r="Z18" s="34">
        <v>60.024890629999994</v>
      </c>
      <c r="AA18" s="34"/>
      <c r="AB18" s="40">
        <v>-18.237931370000002</v>
      </c>
      <c r="AC18" s="45">
        <v>1586.4325607200001</v>
      </c>
      <c r="AD18" s="34">
        <v>-41.707595560000009</v>
      </c>
      <c r="AE18" s="40">
        <v>18.291415989999997</v>
      </c>
      <c r="AF18" s="45">
        <v>-540.24199665000003</v>
      </c>
      <c r="AG18" s="31">
        <f t="shared" si="4"/>
        <v>1046.1905640700002</v>
      </c>
      <c r="AH18" s="40">
        <v>159.21218815999998</v>
      </c>
      <c r="AI18" s="37"/>
      <c r="AJ18" s="40">
        <v>-17.89778003</v>
      </c>
      <c r="AK18" s="45">
        <v>3440.39283742</v>
      </c>
      <c r="AL18" s="34">
        <v>-99.461551280000023</v>
      </c>
      <c r="AM18" s="40">
        <v>22.507193630000003</v>
      </c>
      <c r="AN18" s="45">
        <v>-1405.8104932700003</v>
      </c>
      <c r="AO18" s="31">
        <f t="shared" si="5"/>
        <v>2034.5823441499997</v>
      </c>
      <c r="AP18" s="57">
        <v>21.115848920000001</v>
      </c>
      <c r="AQ18" s="35"/>
      <c r="AR18" s="40">
        <v>-40.046223599999998</v>
      </c>
      <c r="AS18" s="36">
        <v>241.5</v>
      </c>
      <c r="AT18" s="40">
        <v>-32.060787060000003</v>
      </c>
      <c r="AU18" s="40">
        <v>39.936176740000001</v>
      </c>
      <c r="AV18" s="36">
        <v>-106.32157544999995</v>
      </c>
      <c r="AW18" s="31">
        <f t="shared" si="6"/>
        <v>135.17842455000005</v>
      </c>
    </row>
    <row r="19" spans="2:56">
      <c r="B19">
        <f t="shared" si="0"/>
        <v>2010</v>
      </c>
      <c r="C19" s="34">
        <v>0</v>
      </c>
      <c r="D19" s="34">
        <v>0</v>
      </c>
      <c r="E19" s="35">
        <v>7.6916964000000005</v>
      </c>
      <c r="F19" s="34">
        <v>-0.18112300000000001</v>
      </c>
      <c r="G19" s="40">
        <v>0</v>
      </c>
      <c r="H19" s="35">
        <v>-5.74948762</v>
      </c>
      <c r="I19" s="31">
        <f t="shared" si="1"/>
        <v>1.9422087800000005</v>
      </c>
      <c r="J19" s="34">
        <v>1.4843801700000001</v>
      </c>
      <c r="K19" s="37"/>
      <c r="L19" s="34">
        <v>0</v>
      </c>
      <c r="M19" s="35">
        <v>17.25590764</v>
      </c>
      <c r="N19" s="40">
        <v>-0.39016981000000001</v>
      </c>
      <c r="O19" s="40">
        <v>7.1621599999999999E-3</v>
      </c>
      <c r="P19" s="35">
        <v>-14.98752294</v>
      </c>
      <c r="Q19" s="31">
        <f t="shared" si="2"/>
        <v>2.2683847000000004</v>
      </c>
      <c r="R19" s="40">
        <v>14.051603210000001</v>
      </c>
      <c r="S19" s="37"/>
      <c r="T19" s="34">
        <v>-10.615915189999999</v>
      </c>
      <c r="U19" s="36">
        <v>484.06570004000002</v>
      </c>
      <c r="V19" s="34">
        <v>-13.49891461</v>
      </c>
      <c r="W19" s="34">
        <v>10.650663439999999</v>
      </c>
      <c r="X19" s="36">
        <v>-213.95831359000002</v>
      </c>
      <c r="Y19" s="31">
        <f t="shared" si="3"/>
        <v>270.10738645000004</v>
      </c>
      <c r="Z19" s="34">
        <v>22.716951959999999</v>
      </c>
      <c r="AA19" s="37"/>
      <c r="AB19" s="40">
        <v>-1.1364642300000001</v>
      </c>
      <c r="AC19" s="45">
        <v>1608.01304845</v>
      </c>
      <c r="AD19" s="34">
        <v>-42.797204240000006</v>
      </c>
      <c r="AE19" s="34">
        <v>1.3042567600000001</v>
      </c>
      <c r="AF19" s="45">
        <v>-581.69688179999991</v>
      </c>
      <c r="AG19" s="31">
        <f t="shared" si="4"/>
        <v>1026.31616665</v>
      </c>
      <c r="AH19" s="40">
        <v>127.70333135000001</v>
      </c>
      <c r="AI19" s="37"/>
      <c r="AJ19" s="40">
        <v>-18.883392549999996</v>
      </c>
      <c r="AK19" s="45">
        <v>3549.2127762199998</v>
      </c>
      <c r="AL19" s="34">
        <v>-103.85689069000001</v>
      </c>
      <c r="AM19" s="34">
        <v>23.805762159999997</v>
      </c>
      <c r="AN19" s="45">
        <v>-1485.8577167400001</v>
      </c>
      <c r="AO19" s="31">
        <f t="shared" si="5"/>
        <v>2063.3550594799999</v>
      </c>
      <c r="AP19" s="58">
        <v>35.166677820000004</v>
      </c>
      <c r="AQ19" s="51"/>
      <c r="AR19" s="34">
        <v>-29.112783560000004</v>
      </c>
      <c r="AS19" s="36">
        <v>247.5</v>
      </c>
      <c r="AT19" s="34">
        <v>-30.991430780000005</v>
      </c>
      <c r="AU19" s="34">
        <v>28.980455540000005</v>
      </c>
      <c r="AV19" s="36">
        <v>-108.33255068999999</v>
      </c>
      <c r="AW19" s="31">
        <f t="shared" si="6"/>
        <v>139.16744930999999</v>
      </c>
    </row>
    <row r="20" spans="2:56">
      <c r="B20">
        <f t="shared" si="0"/>
        <v>2011</v>
      </c>
      <c r="C20" s="34">
        <v>0</v>
      </c>
      <c r="D20" s="34">
        <v>0</v>
      </c>
      <c r="E20" s="35">
        <v>7.6916960000000003</v>
      </c>
      <c r="F20" s="34">
        <v>-0.184867</v>
      </c>
      <c r="G20" s="40">
        <v>0</v>
      </c>
      <c r="H20" s="35">
        <v>-5.9343546199999997</v>
      </c>
      <c r="I20" s="31">
        <f t="shared" si="1"/>
        <v>1.7573413800000006</v>
      </c>
      <c r="J20" s="34">
        <v>0.66268846999999997</v>
      </c>
      <c r="K20" s="37"/>
      <c r="L20" s="34">
        <v>-2.6919999999999999E-2</v>
      </c>
      <c r="M20" s="35">
        <v>17.891676110000002</v>
      </c>
      <c r="N20" s="40">
        <v>-0.46437646999999993</v>
      </c>
      <c r="O20" s="40">
        <v>2.6919999999999999E-2</v>
      </c>
      <c r="P20" s="35">
        <v>-15.42677641</v>
      </c>
      <c r="Q20" s="31">
        <f t="shared" si="2"/>
        <v>2.4648997000000019</v>
      </c>
      <c r="R20" s="40">
        <v>34.866477549999999</v>
      </c>
      <c r="S20" s="37"/>
      <c r="T20" s="34">
        <v>-1.3791852799999997</v>
      </c>
      <c r="U20" s="36">
        <f>518.31910631-0.766</f>
        <v>517.55310631000009</v>
      </c>
      <c r="V20" s="34">
        <v>-14.43247038</v>
      </c>
      <c r="W20" s="34">
        <v>1.4326789599999998</v>
      </c>
      <c r="X20" s="36">
        <v>-227.00090186000006</v>
      </c>
      <c r="Y20" s="31">
        <f t="shared" si="3"/>
        <v>290.55220445000003</v>
      </c>
      <c r="Z20" s="34">
        <v>72.29847058</v>
      </c>
      <c r="AA20" s="37"/>
      <c r="AB20" s="34">
        <v>-0.75234832000000007</v>
      </c>
      <c r="AC20" s="45">
        <v>1679.55917071</v>
      </c>
      <c r="AD20" s="34">
        <v>-43.901154380000001</v>
      </c>
      <c r="AE20" s="34">
        <v>1.9326070499999999</v>
      </c>
      <c r="AF20" s="45">
        <v>-623.68849712999997</v>
      </c>
      <c r="AG20" s="31">
        <f t="shared" si="4"/>
        <v>1055.8706735800001</v>
      </c>
      <c r="AH20" s="40">
        <v>135.23010060999999</v>
      </c>
      <c r="AI20" s="37"/>
      <c r="AJ20" s="34">
        <v>-12.558490429999999</v>
      </c>
      <c r="AK20" s="45">
        <v>3671.8843864</v>
      </c>
      <c r="AL20" s="40">
        <v>-107.49554800000001</v>
      </c>
      <c r="AM20" s="34">
        <v>17.513193660000002</v>
      </c>
      <c r="AN20" s="45">
        <v>-1575.9920830800002</v>
      </c>
      <c r="AO20" s="31">
        <f t="shared" si="5"/>
        <v>2095.8923033199999</v>
      </c>
      <c r="AP20" s="58">
        <v>39.759248980000002</v>
      </c>
      <c r="AQ20" s="51"/>
      <c r="AR20" s="34">
        <v>-41.472740080000001</v>
      </c>
      <c r="AS20" s="36">
        <v>245.81107889</v>
      </c>
      <c r="AT20" s="34">
        <v>-30.316984270000003</v>
      </c>
      <c r="AU20" s="34">
        <v>40.423533499999998</v>
      </c>
      <c r="AV20" s="36">
        <v>-98.221367479999969</v>
      </c>
      <c r="AW20" s="31">
        <f t="shared" si="6"/>
        <v>147.58971141000004</v>
      </c>
    </row>
    <row r="21" spans="2:56">
      <c r="B21">
        <f t="shared" si="0"/>
        <v>2012</v>
      </c>
      <c r="C21" s="34">
        <v>0</v>
      </c>
      <c r="D21" s="34">
        <v>0</v>
      </c>
      <c r="E21" s="35">
        <v>7.6916960000000003</v>
      </c>
      <c r="F21" s="34">
        <v>-0.184867</v>
      </c>
      <c r="G21" s="40">
        <v>0</v>
      </c>
      <c r="H21" s="35">
        <v>-6.1192219999999997</v>
      </c>
      <c r="I21" s="31">
        <f t="shared" si="1"/>
        <v>1.5724740000000006</v>
      </c>
      <c r="J21" s="34">
        <v>1.3564923200000001</v>
      </c>
      <c r="K21" s="37"/>
      <c r="L21" s="34">
        <v>0</v>
      </c>
      <c r="M21" s="35">
        <v>19.248168430000003</v>
      </c>
      <c r="N21" s="40">
        <v>-0.49989231999999995</v>
      </c>
      <c r="O21" s="40">
        <v>0</v>
      </c>
      <c r="P21" s="35">
        <v>-15.92666876</v>
      </c>
      <c r="Q21" s="31">
        <f t="shared" si="2"/>
        <v>3.3214996700000032</v>
      </c>
      <c r="R21" s="40">
        <v>15.841693489999999</v>
      </c>
      <c r="S21" s="37"/>
      <c r="T21" s="34">
        <v>-9.171416240000001</v>
      </c>
      <c r="U21" s="36">
        <f>524.98938356-0.766114</f>
        <v>524.22326955999995</v>
      </c>
      <c r="V21" s="34">
        <v>-19.499672289999999</v>
      </c>
      <c r="W21" s="34">
        <v>11.132381030000001</v>
      </c>
      <c r="X21" s="36">
        <v>-235.36819311999997</v>
      </c>
      <c r="Y21" s="31">
        <f t="shared" si="3"/>
        <v>288.85507643999995</v>
      </c>
      <c r="Z21" s="34">
        <v>17.557298749999994</v>
      </c>
      <c r="AA21" s="37"/>
      <c r="AB21" s="34">
        <v>-5.2106169199999997</v>
      </c>
      <c r="AC21" s="45">
        <v>1691.9058525400001</v>
      </c>
      <c r="AD21" s="34">
        <v>-40.93950461</v>
      </c>
      <c r="AE21" s="34">
        <v>4.4101513900000002</v>
      </c>
      <c r="AF21" s="45">
        <v>-665.65045163000002</v>
      </c>
      <c r="AG21" s="31">
        <f t="shared" si="4"/>
        <v>1026.2554009099999</v>
      </c>
      <c r="AH21" s="40">
        <v>161.18689649999999</v>
      </c>
      <c r="AI21" s="37"/>
      <c r="AJ21" s="34">
        <v>-19.726805990000003</v>
      </c>
      <c r="AK21" s="45">
        <v>3814.6352789400003</v>
      </c>
      <c r="AL21" s="40">
        <v>-111.59445526999998</v>
      </c>
      <c r="AM21" s="34">
        <v>24.551614850000004</v>
      </c>
      <c r="AN21" s="45">
        <v>-1664.3725794099998</v>
      </c>
      <c r="AO21" s="31">
        <f t="shared" si="5"/>
        <v>2150.2626995300006</v>
      </c>
      <c r="AP21" s="58">
        <v>41.299641149999992</v>
      </c>
      <c r="AQ21" s="51"/>
      <c r="AR21" s="34">
        <v>-34.585946399999997</v>
      </c>
      <c r="AS21" s="36">
        <v>252.52477363999998</v>
      </c>
      <c r="AT21" s="34">
        <v>-29.739737310000006</v>
      </c>
      <c r="AU21" s="34">
        <v>33.286533370000008</v>
      </c>
      <c r="AV21" s="36">
        <v>-94.674541420000011</v>
      </c>
      <c r="AW21" s="31">
        <f t="shared" si="6"/>
        <v>157.85023221999995</v>
      </c>
    </row>
    <row r="22" spans="2:56">
      <c r="B22">
        <f t="shared" si="0"/>
        <v>2013</v>
      </c>
      <c r="C22" s="34">
        <v>0</v>
      </c>
      <c r="D22" s="34">
        <v>-7.6192539999999989E-2</v>
      </c>
      <c r="E22" s="35">
        <v>7.6155038600000005</v>
      </c>
      <c r="F22" s="34">
        <v>-0.18782799999999999</v>
      </c>
      <c r="G22" s="34">
        <v>0</v>
      </c>
      <c r="H22" s="35">
        <v>-6.2402958600000007</v>
      </c>
      <c r="I22" s="31">
        <f t="shared" si="1"/>
        <v>1.3752079999999998</v>
      </c>
      <c r="J22" s="34">
        <v>4.2884860499999995</v>
      </c>
      <c r="K22" s="37"/>
      <c r="L22" s="34">
        <v>-5.7920000000000003E-3</v>
      </c>
      <c r="M22" s="35">
        <v>23.53086248</v>
      </c>
      <c r="N22" s="40">
        <v>4.9577969500000005</v>
      </c>
      <c r="O22" s="40">
        <v>5.7920000000000003E-3</v>
      </c>
      <c r="P22" s="35">
        <v>-10.961282779999999</v>
      </c>
      <c r="Q22" s="31">
        <f t="shared" si="2"/>
        <v>12.5695797</v>
      </c>
      <c r="R22" s="34">
        <v>7.0250044500000008</v>
      </c>
      <c r="S22" s="37"/>
      <c r="T22" s="34">
        <v>-1.1536488599999999</v>
      </c>
      <c r="U22" s="36">
        <f>530.60007724-0.505452</f>
        <v>530.09462524000003</v>
      </c>
      <c r="V22" s="34">
        <v>-17.74525534</v>
      </c>
      <c r="W22" s="34">
        <v>1.3353158799999996</v>
      </c>
      <c r="X22" s="36">
        <v>-251.77813257999998</v>
      </c>
      <c r="Y22" s="31">
        <f t="shared" si="3"/>
        <v>278.31649266000005</v>
      </c>
      <c r="Z22" s="34">
        <v>76.828799880000005</v>
      </c>
      <c r="AA22" s="37"/>
      <c r="AB22" s="34">
        <v>-4.7757055900000003</v>
      </c>
      <c r="AC22" s="45">
        <v>1763.9589466700002</v>
      </c>
      <c r="AD22" s="34">
        <v>-50.96260899</v>
      </c>
      <c r="AE22" s="34">
        <v>4.8355630799999991</v>
      </c>
      <c r="AF22" s="45">
        <v>-706.32182825999985</v>
      </c>
      <c r="AG22" s="31">
        <f t="shared" si="4"/>
        <v>1057.6371184100003</v>
      </c>
      <c r="AH22" s="40">
        <v>219.6598826</v>
      </c>
      <c r="AI22" s="37"/>
      <c r="AJ22" s="34">
        <v>-62.574006939999997</v>
      </c>
      <c r="AK22" s="45">
        <v>3970.4303525700002</v>
      </c>
      <c r="AL22" s="40">
        <v>-109.39452894999997</v>
      </c>
      <c r="AM22" s="34">
        <v>68.040826450000012</v>
      </c>
      <c r="AN22" s="45">
        <v>-1704.23661492</v>
      </c>
      <c r="AO22" s="31">
        <f t="shared" si="5"/>
        <v>2266.19373765</v>
      </c>
      <c r="AP22" s="58">
        <v>31.666272602425</v>
      </c>
      <c r="AQ22" s="51"/>
      <c r="AR22" s="34">
        <v>-23.379230316695999</v>
      </c>
      <c r="AS22" s="36">
        <v>260.81181592572898</v>
      </c>
      <c r="AT22" s="34">
        <v>-31.048300294163994</v>
      </c>
      <c r="AU22" s="34">
        <v>23.048541831357998</v>
      </c>
      <c r="AV22" s="36">
        <v>-102.831549882806</v>
      </c>
      <c r="AW22" s="31">
        <f t="shared" si="6"/>
        <v>157.98026604292298</v>
      </c>
    </row>
    <row r="23" spans="2:56">
      <c r="B23">
        <f t="shared" si="0"/>
        <v>2014</v>
      </c>
      <c r="C23" s="34">
        <v>0</v>
      </c>
      <c r="D23" s="34">
        <v>-2.1744369999999999E-2</v>
      </c>
      <c r="E23" s="35">
        <v>7.5937594900000001</v>
      </c>
      <c r="F23" s="34">
        <v>-0.185807</v>
      </c>
      <c r="G23" s="34">
        <v>2.1744369999999999E-2</v>
      </c>
      <c r="H23" s="35">
        <v>-6.4043584899999999</v>
      </c>
      <c r="I23" s="31">
        <f t="shared" si="1"/>
        <v>1.1894010000000002</v>
      </c>
      <c r="J23" s="34">
        <v>2.28506484</v>
      </c>
      <c r="K23" s="37"/>
      <c r="L23" s="34">
        <v>-0.197628</v>
      </c>
      <c r="M23" s="35">
        <v>25.618299</v>
      </c>
      <c r="N23" s="40">
        <v>-0.79569893000000014</v>
      </c>
      <c r="O23" s="40">
        <v>0.20761209</v>
      </c>
      <c r="P23" s="35">
        <v>-11.549369619999998</v>
      </c>
      <c r="Q23" s="31">
        <f t="shared" si="2"/>
        <v>14.068929380000002</v>
      </c>
      <c r="R23" s="34">
        <v>3.6406117</v>
      </c>
      <c r="S23" s="34"/>
      <c r="T23" s="34">
        <v>-0.60767668000000008</v>
      </c>
      <c r="U23" s="36">
        <f>533.63310776-0.505452</f>
        <v>533.12765576000004</v>
      </c>
      <c r="V23" s="34">
        <v>-11.74750699</v>
      </c>
      <c r="W23" s="34">
        <v>0.67355640000000006</v>
      </c>
      <c r="X23" s="36">
        <v>-262.85208317000001</v>
      </c>
      <c r="Y23" s="31">
        <f t="shared" si="3"/>
        <v>270.27557259000002</v>
      </c>
      <c r="Z23" s="34">
        <v>145.27625696999999</v>
      </c>
      <c r="AA23" s="37"/>
      <c r="AB23" s="34">
        <v>-7.1146816399999997</v>
      </c>
      <c r="AC23" s="45">
        <v>1902.12052204</v>
      </c>
      <c r="AD23" s="34">
        <v>-40.867338329999995</v>
      </c>
      <c r="AE23" s="34">
        <v>7.3098166000000004</v>
      </c>
      <c r="AF23" s="45">
        <v>-739.87934998999992</v>
      </c>
      <c r="AG23" s="31">
        <f t="shared" si="4"/>
        <v>1162.2411720499999</v>
      </c>
      <c r="AH23" s="40">
        <v>186.93538589000002</v>
      </c>
      <c r="AI23" s="37"/>
      <c r="AJ23" s="34">
        <v>-22.432460969999998</v>
      </c>
      <c r="AK23" s="45">
        <v>4134.9332774899995</v>
      </c>
      <c r="AL23" s="40">
        <v>-113.76750894000001</v>
      </c>
      <c r="AM23" s="34">
        <v>30.998831260000003</v>
      </c>
      <c r="AN23" s="45">
        <v>-1787.0052926800001</v>
      </c>
      <c r="AO23" s="31">
        <f t="shared" si="5"/>
        <v>2347.9279848099995</v>
      </c>
      <c r="AP23" s="58">
        <v>39.411283511960001</v>
      </c>
      <c r="AQ23" s="51"/>
      <c r="AR23" s="34">
        <v>-25.247772551106003</v>
      </c>
      <c r="AS23" s="36">
        <v>274.97532688658299</v>
      </c>
      <c r="AT23" s="34">
        <v>-34.135329083638005</v>
      </c>
      <c r="AU23" s="34">
        <v>24.810014266161001</v>
      </c>
      <c r="AV23" s="36">
        <v>-112.15686470070499</v>
      </c>
      <c r="AW23" s="31">
        <f t="shared" si="6"/>
        <v>162.81846218587799</v>
      </c>
    </row>
    <row r="24" spans="2:56">
      <c r="B24">
        <f t="shared" si="0"/>
        <v>2015</v>
      </c>
      <c r="C24" s="34">
        <v>0</v>
      </c>
      <c r="D24" s="34">
        <v>-2.0915590000000001E-2</v>
      </c>
      <c r="E24" s="35">
        <v>7.5728439000000005</v>
      </c>
      <c r="F24" s="34">
        <v>-0.185032</v>
      </c>
      <c r="G24" s="34">
        <v>2.0915590000000001E-2</v>
      </c>
      <c r="H24" s="35">
        <v>-6.5684749</v>
      </c>
      <c r="I24" s="31">
        <f t="shared" si="1"/>
        <v>1.0043690000000005</v>
      </c>
      <c r="J24" s="34">
        <v>0.72532816999999994</v>
      </c>
      <c r="K24" s="37"/>
      <c r="L24" s="34">
        <v>0</v>
      </c>
      <c r="M24" s="35">
        <v>26.343627490000003</v>
      </c>
      <c r="N24" s="40">
        <v>-0.84367216999999994</v>
      </c>
      <c r="O24" s="40">
        <v>0</v>
      </c>
      <c r="P24" s="35">
        <v>-12.39304179</v>
      </c>
      <c r="Q24" s="31">
        <f t="shared" si="2"/>
        <v>13.950585700000003</v>
      </c>
      <c r="R24" s="34">
        <v>3.7944619400000001</v>
      </c>
      <c r="S24" s="37"/>
      <c r="T24" s="34">
        <v>-0.11379841</v>
      </c>
      <c r="U24" s="36">
        <f>537.31377129-0.505452</f>
        <v>536.80831928999999</v>
      </c>
      <c r="V24" s="34">
        <v>-13.460276449999999</v>
      </c>
      <c r="W24" s="34">
        <v>0.11817468</v>
      </c>
      <c r="X24" s="36">
        <v>-276.19418494999996</v>
      </c>
      <c r="Y24" s="31">
        <f t="shared" si="3"/>
        <v>260.61413434000002</v>
      </c>
      <c r="Z24" s="34">
        <v>392.51966645999994</v>
      </c>
      <c r="AA24" s="37"/>
      <c r="AB24" s="34">
        <v>-0.69623983999999994</v>
      </c>
      <c r="AC24" s="45">
        <v>2293.9425237799996</v>
      </c>
      <c r="AD24" s="34">
        <v>-51.813872249999996</v>
      </c>
      <c r="AE24" s="34">
        <v>0.81696124999999997</v>
      </c>
      <c r="AF24" s="45">
        <v>-790.87626098999999</v>
      </c>
      <c r="AG24" s="31">
        <f t="shared" si="4"/>
        <v>1503.0662627899997</v>
      </c>
      <c r="AH24" s="40">
        <v>197.97205799999995</v>
      </c>
      <c r="AI24" s="37"/>
      <c r="AJ24" s="34">
        <v>-24.698368560000006</v>
      </c>
      <c r="AK24" s="45">
        <v>4308.206966929999</v>
      </c>
      <c r="AL24" s="40">
        <v>-113.70320962000001</v>
      </c>
      <c r="AM24" s="34">
        <v>31.288959910000006</v>
      </c>
      <c r="AN24" s="45">
        <v>-1869.4195423900001</v>
      </c>
      <c r="AO24" s="31">
        <f t="shared" si="5"/>
        <v>2438.7874245399989</v>
      </c>
      <c r="AP24" s="58">
        <v>56.734944765879995</v>
      </c>
      <c r="AQ24" s="51"/>
      <c r="AR24" s="34">
        <v>-35.840576421982007</v>
      </c>
      <c r="AS24" s="36">
        <v>295.869695230481</v>
      </c>
      <c r="AT24" s="34">
        <v>-34.829416056631999</v>
      </c>
      <c r="AU24" s="34">
        <v>35.569793812654005</v>
      </c>
      <c r="AV24" s="36">
        <v>-111.41648694468299</v>
      </c>
      <c r="AW24" s="31">
        <f t="shared" si="6"/>
        <v>184.45320828579801</v>
      </c>
    </row>
    <row r="25" spans="2:56">
      <c r="B25">
        <f t="shared" si="0"/>
        <v>2016</v>
      </c>
      <c r="C25" s="34">
        <v>0</v>
      </c>
      <c r="D25" s="34">
        <v>-2.998721E-2</v>
      </c>
      <c r="E25" s="35">
        <v>7.5428566900000007</v>
      </c>
      <c r="F25" s="34">
        <v>-0.183646</v>
      </c>
      <c r="G25" s="34">
        <v>2.998721E-2</v>
      </c>
      <c r="H25" s="35">
        <v>-6.7221336900000006</v>
      </c>
      <c r="I25" s="31">
        <f t="shared" si="1"/>
        <v>0.82072300000000009</v>
      </c>
      <c r="J25" s="34">
        <v>1.4477944799999998</v>
      </c>
      <c r="K25" s="37"/>
      <c r="L25" s="34">
        <v>0</v>
      </c>
      <c r="M25" s="35">
        <v>27.791421970000002</v>
      </c>
      <c r="N25" s="40">
        <v>-0.88041977000000005</v>
      </c>
      <c r="O25" s="40">
        <v>5.7142900000000003E-3</v>
      </c>
      <c r="P25" s="35">
        <v>-13.267747269999999</v>
      </c>
      <c r="Q25" s="31">
        <f t="shared" si="2"/>
        <v>14.523674700000003</v>
      </c>
      <c r="R25" s="34">
        <v>33.926168930000003</v>
      </c>
      <c r="S25" s="34"/>
      <c r="T25" s="34">
        <v>-3.1794385300000001</v>
      </c>
      <c r="U25" s="36">
        <v>567.55499999999995</v>
      </c>
      <c r="V25" s="34">
        <v>-13.266084449999997</v>
      </c>
      <c r="W25" s="34">
        <v>4.5786909500000004</v>
      </c>
      <c r="X25" s="36">
        <v>-284.88157844000006</v>
      </c>
      <c r="Y25" s="31">
        <f t="shared" si="3"/>
        <v>282.67342155999989</v>
      </c>
      <c r="Z25" s="34">
        <v>551.11862621000012</v>
      </c>
      <c r="AA25" s="37"/>
      <c r="AB25" s="34">
        <v>-1.88492149</v>
      </c>
      <c r="AC25" s="45">
        <v>2845.2846442300006</v>
      </c>
      <c r="AD25" s="34">
        <v>-58.9677851</v>
      </c>
      <c r="AE25" s="34">
        <v>2.3468615800000001</v>
      </c>
      <c r="AF25" s="45">
        <v>-847.49718451000012</v>
      </c>
      <c r="AG25" s="31">
        <f t="shared" si="4"/>
        <v>1997.7874597200005</v>
      </c>
      <c r="AH25" s="40">
        <v>234.98685129</v>
      </c>
      <c r="AI25" s="37"/>
      <c r="AJ25" s="34">
        <v>-17.760713509999999</v>
      </c>
      <c r="AK25" s="45">
        <v>4533.2982942100007</v>
      </c>
      <c r="AL25" s="40">
        <v>-124.25370014000001</v>
      </c>
      <c r="AM25" s="34">
        <v>23.946806989999999</v>
      </c>
      <c r="AN25" s="45">
        <v>-1969.72643554</v>
      </c>
      <c r="AO25" s="31">
        <f t="shared" si="5"/>
        <v>2563.5718586700004</v>
      </c>
      <c r="AP25" s="58">
        <v>25.133431833122003</v>
      </c>
      <c r="AQ25" s="51"/>
      <c r="AR25" s="34">
        <v>-31.226928687333999</v>
      </c>
      <c r="AS25" s="36">
        <v>289.77619837626901</v>
      </c>
      <c r="AT25" s="34">
        <v>-33.675655867730008</v>
      </c>
      <c r="AU25" s="34">
        <v>30.933777994093997</v>
      </c>
      <c r="AV25" s="36">
        <v>-114.158364818319</v>
      </c>
      <c r="AW25" s="31">
        <f t="shared" si="6"/>
        <v>175.61783355795001</v>
      </c>
    </row>
    <row r="26" spans="2:56">
      <c r="B26">
        <f t="shared" si="0"/>
        <v>2017</v>
      </c>
      <c r="C26" s="36">
        <v>0</v>
      </c>
      <c r="D26" s="36">
        <v>-5.8730147000000006</v>
      </c>
      <c r="E26" s="36">
        <v>1.6698419899999999</v>
      </c>
      <c r="F26" s="34">
        <v>-0.18172099999999999</v>
      </c>
      <c r="G26" s="34">
        <v>5.8730147000000006</v>
      </c>
      <c r="H26" s="34">
        <v>-1.03083999</v>
      </c>
      <c r="I26" s="31">
        <f t="shared" si="1"/>
        <v>0.63900199999999985</v>
      </c>
      <c r="J26" s="48">
        <v>2.7561267100000002</v>
      </c>
      <c r="K26" s="47"/>
      <c r="L26" s="36">
        <v>0</v>
      </c>
      <c r="M26" s="48">
        <v>30.547548680000006</v>
      </c>
      <c r="N26" s="40">
        <v>-0.9524037099999999</v>
      </c>
      <c r="O26" s="40">
        <v>0</v>
      </c>
      <c r="P26" s="40">
        <f>-13.95079656-0.26935442</f>
        <v>-14.22015098</v>
      </c>
      <c r="Q26" s="31">
        <f t="shared" si="2"/>
        <v>16.327397700000006</v>
      </c>
      <c r="R26" s="40">
        <v>237.55254907</v>
      </c>
      <c r="S26" s="47"/>
      <c r="T26" s="36">
        <v>-5.7418089999999998E-2</v>
      </c>
      <c r="U26" s="40">
        <v>805.05018057999996</v>
      </c>
      <c r="V26" s="40">
        <v>-16.87093518</v>
      </c>
      <c r="W26" s="40">
        <v>0.39573912999999994</v>
      </c>
      <c r="X26" s="40">
        <f>-299.19915917-2.15761532</f>
        <v>-301.35677448999996</v>
      </c>
      <c r="Y26" s="31">
        <f t="shared" si="3"/>
        <v>503.69340609</v>
      </c>
      <c r="Z26" s="48">
        <v>518.22902017999991</v>
      </c>
      <c r="AA26" s="47"/>
      <c r="AB26" s="36">
        <v>-2.8226245199999997</v>
      </c>
      <c r="AC26" s="48">
        <v>3358.5826241800005</v>
      </c>
      <c r="AD26" s="40">
        <v>-71.944232419999992</v>
      </c>
      <c r="AE26" s="34">
        <v>4.1347340900000003</v>
      </c>
      <c r="AF26" s="40">
        <f>-904.99298136-10.313701</f>
        <v>-915.30668236000008</v>
      </c>
      <c r="AG26" s="31">
        <f t="shared" si="4"/>
        <v>2443.2759418200003</v>
      </c>
      <c r="AH26" s="48">
        <v>230.41853824</v>
      </c>
      <c r="AI26" s="47"/>
      <c r="AJ26" s="36">
        <v>-22.820066779999994</v>
      </c>
      <c r="AK26" s="48">
        <v>4733.0315761699994</v>
      </c>
      <c r="AL26" s="40">
        <v>-130.58400535999999</v>
      </c>
      <c r="AM26" s="34">
        <v>30.145407649999999</v>
      </c>
      <c r="AN26" s="40">
        <f>-2035.07986663-35.085</f>
        <v>-2070.1648666299998</v>
      </c>
      <c r="AO26" s="31">
        <f t="shared" si="5"/>
        <v>2662.8667095399996</v>
      </c>
      <c r="AP26" s="48">
        <v>63.948201217080999</v>
      </c>
      <c r="AQ26" s="15"/>
      <c r="AR26" s="36">
        <v>-22.812362797183997</v>
      </c>
      <c r="AS26" s="48">
        <v>330.91203679616592</v>
      </c>
      <c r="AT26" s="40">
        <v>-36.754045026616005</v>
      </c>
      <c r="AU26" s="40">
        <v>22.495609937410997</v>
      </c>
      <c r="AV26" s="40">
        <f>-113.074932367524-15.34186754</f>
        <v>-128.41679990752399</v>
      </c>
      <c r="AW26" s="31">
        <f t="shared" si="6"/>
        <v>202.49523688864193</v>
      </c>
    </row>
    <row r="27" spans="2:56">
      <c r="B27">
        <f t="shared" si="0"/>
        <v>2018</v>
      </c>
      <c r="C27" s="36">
        <v>0</v>
      </c>
      <c r="D27" s="36">
        <v>0</v>
      </c>
      <c r="E27" s="36">
        <v>1.6698419899999999</v>
      </c>
      <c r="F27" s="34">
        <v>-6.4639000000000002E-2</v>
      </c>
      <c r="G27" s="34">
        <v>0</v>
      </c>
      <c r="H27" s="34">
        <v>-1.0954789899999999</v>
      </c>
      <c r="I27" s="31">
        <f t="shared" si="1"/>
        <v>0.57436299999999996</v>
      </c>
      <c r="J27" s="36">
        <v>0.54357927000000006</v>
      </c>
      <c r="K27" s="36"/>
      <c r="L27" s="36">
        <v>0</v>
      </c>
      <c r="M27" s="48">
        <v>31.091127949999997</v>
      </c>
      <c r="N27" s="40">
        <v>-1.0087438799999999</v>
      </c>
      <c r="O27" s="40">
        <v>1.7315610000000002E-2</v>
      </c>
      <c r="P27" s="40">
        <f>-14.88280345-0.3287758</f>
        <v>-15.211579250000002</v>
      </c>
      <c r="Q27" s="31">
        <f t="shared" si="2"/>
        <v>15.879548699999996</v>
      </c>
      <c r="R27" s="40">
        <v>24.417260189999997</v>
      </c>
      <c r="S27" s="36"/>
      <c r="T27" s="36">
        <v>-25.31937868</v>
      </c>
      <c r="U27" s="40">
        <v>804.14806199999998</v>
      </c>
      <c r="V27" s="40">
        <v>-19.42105621</v>
      </c>
      <c r="W27" s="34">
        <v>30.938991479999999</v>
      </c>
      <c r="X27" s="40">
        <f>-287.24380082-2.595038</f>
        <v>-289.83883881999998</v>
      </c>
      <c r="Y27" s="31">
        <f t="shared" si="3"/>
        <v>514.30922318</v>
      </c>
      <c r="Z27" s="48">
        <v>104.43686235999998</v>
      </c>
      <c r="AA27" s="47"/>
      <c r="AB27" s="36">
        <v>-12.40976156</v>
      </c>
      <c r="AC27" s="48">
        <v>3450.6097249800005</v>
      </c>
      <c r="AD27" s="40">
        <v>-80.034201240000002</v>
      </c>
      <c r="AE27" s="34">
        <v>12.74495591</v>
      </c>
      <c r="AF27" s="40">
        <f>-968.67382078-13.922107</f>
        <v>-982.59592778000001</v>
      </c>
      <c r="AG27" s="31">
        <f t="shared" si="4"/>
        <v>2468.0137972000002</v>
      </c>
      <c r="AH27" s="48">
        <v>313.36236972000012</v>
      </c>
      <c r="AI27" s="47"/>
      <c r="AJ27" s="36">
        <v>-22.986383240000002</v>
      </c>
      <c r="AK27" s="48">
        <v>5023.4075626500007</v>
      </c>
      <c r="AL27" s="40">
        <v>-136.59236598000001</v>
      </c>
      <c r="AM27" s="34">
        <v>29.698718769999999</v>
      </c>
      <c r="AN27" s="40">
        <f>-2131.90726068-45.151</f>
        <v>-2177.0582606799999</v>
      </c>
      <c r="AO27" s="31">
        <f t="shared" si="5"/>
        <v>2846.3493019700009</v>
      </c>
      <c r="AP27" s="48">
        <v>39.674131444990998</v>
      </c>
      <c r="AQ27" s="47"/>
      <c r="AR27" s="36">
        <v>-24.051964076739996</v>
      </c>
      <c r="AS27" s="48">
        <v>343.8728152043779</v>
      </c>
      <c r="AT27" s="40">
        <v>-41.384994977734003</v>
      </c>
      <c r="AU27" s="40">
        <v>23.514189833475996</v>
      </c>
      <c r="AV27" s="40">
        <f>-126.431803254258-19.8558018</f>
        <v>-146.28760505425799</v>
      </c>
      <c r="AW27" s="31">
        <f t="shared" si="6"/>
        <v>197.58521015011991</v>
      </c>
    </row>
    <row r="28" spans="2:56">
      <c r="B28">
        <f t="shared" si="0"/>
        <v>2019</v>
      </c>
      <c r="C28" s="30">
        <v>0</v>
      </c>
      <c r="D28" s="30">
        <v>0</v>
      </c>
      <c r="E28" s="30">
        <v>1.7</v>
      </c>
      <c r="F28" s="30">
        <v>-6.4637280000000005E-2</v>
      </c>
      <c r="G28" s="30">
        <v>0</v>
      </c>
      <c r="H28" s="30">
        <v>-1.2</v>
      </c>
      <c r="I28" s="32">
        <f>E28+H28</f>
        <v>0.5</v>
      </c>
      <c r="J28" s="30">
        <v>1.3067939099999999</v>
      </c>
      <c r="K28" s="30"/>
      <c r="L28" s="30">
        <v>0</v>
      </c>
      <c r="M28" s="30">
        <v>32.4</v>
      </c>
      <c r="N28" s="56">
        <v>-1.1000000000000001</v>
      </c>
      <c r="O28" s="56">
        <v>0</v>
      </c>
      <c r="P28" s="56">
        <v>-16.3</v>
      </c>
      <c r="Q28" s="32">
        <f>M28+P28</f>
        <v>16.099999999999998</v>
      </c>
      <c r="R28" s="30">
        <v>9</v>
      </c>
      <c r="S28" s="30"/>
      <c r="T28" s="30">
        <v>-3.4</v>
      </c>
      <c r="U28" s="30">
        <v>809.7</v>
      </c>
      <c r="V28" s="30">
        <v>-20.3</v>
      </c>
      <c r="W28" s="30">
        <v>3.4</v>
      </c>
      <c r="X28" s="30">
        <v>-306.7</v>
      </c>
      <c r="Y28" s="32">
        <f>U28+X28</f>
        <v>503.00000000000006</v>
      </c>
      <c r="Z28" s="30">
        <v>156.19999999999999</v>
      </c>
      <c r="AA28" s="30"/>
      <c r="AB28" s="30">
        <v>-2</v>
      </c>
      <c r="AC28" s="30">
        <v>3612.2</v>
      </c>
      <c r="AD28" s="30">
        <v>-81.7</v>
      </c>
      <c r="AE28" s="30">
        <v>2</v>
      </c>
      <c r="AF28" s="30">
        <v>-1062.2</v>
      </c>
      <c r="AG28" s="32">
        <f>AC28+AF28</f>
        <v>2550</v>
      </c>
      <c r="AH28" s="56">
        <f>184.5+102.1</f>
        <v>286.60000000000002</v>
      </c>
      <c r="AI28" s="30"/>
      <c r="AJ28" s="30">
        <f>-12.1-5.1</f>
        <v>-17.2</v>
      </c>
      <c r="AK28" s="30">
        <f>3274.2+2018.7</f>
        <v>5292.9</v>
      </c>
      <c r="AL28" s="30">
        <f>-87.1-56.9</f>
        <v>-144</v>
      </c>
      <c r="AM28" s="30">
        <f>12.2+8.5+5+0.6</f>
        <v>26.3</v>
      </c>
      <c r="AN28" s="30">
        <f>-1399.9-894.9</f>
        <v>-2294.8000000000002</v>
      </c>
      <c r="AO28" s="32">
        <f>AK28+AN28</f>
        <v>2998.0999999999995</v>
      </c>
      <c r="AP28" s="30">
        <v>60.3</v>
      </c>
      <c r="AQ28" s="30"/>
      <c r="AR28" s="30">
        <v>-6.1</v>
      </c>
      <c r="AS28" s="30">
        <v>398.1</v>
      </c>
      <c r="AT28" s="30">
        <v>-44.3</v>
      </c>
      <c r="AU28" s="30">
        <f>6.1-0.4</f>
        <v>5.6999999999999993</v>
      </c>
      <c r="AV28" s="30">
        <v>-184.9</v>
      </c>
      <c r="AW28" s="32">
        <f>AS28+AV28</f>
        <v>213.20000000000002</v>
      </c>
      <c r="AX28" t="s">
        <v>21</v>
      </c>
      <c r="AY28">
        <f>C28+J28+R28+Z28+AH28+AP28</f>
        <v>513.40679391000003</v>
      </c>
      <c r="AZ28">
        <f t="shared" ref="AZ28:BD29" si="7">D28+L28+T28+AB28+AJ28+AR28</f>
        <v>-28.700000000000003</v>
      </c>
      <c r="BA28">
        <f t="shared" si="7"/>
        <v>10147</v>
      </c>
      <c r="BB28">
        <f t="shared" si="7"/>
        <v>-291.46463728000003</v>
      </c>
      <c r="BC28">
        <f t="shared" si="7"/>
        <v>37.400000000000006</v>
      </c>
      <c r="BD28">
        <f t="shared" si="7"/>
        <v>-3866.1000000000004</v>
      </c>
    </row>
    <row r="29" spans="2:56">
      <c r="B29">
        <f t="shared" si="0"/>
        <v>2020</v>
      </c>
      <c r="C29" s="30">
        <v>0</v>
      </c>
      <c r="D29" s="30">
        <v>0</v>
      </c>
      <c r="E29" s="30">
        <v>1.7</v>
      </c>
      <c r="F29" s="30">
        <v>-6.4637280000000005E-2</v>
      </c>
      <c r="G29" s="30">
        <v>0</v>
      </c>
      <c r="H29" s="30">
        <v>-1.2</v>
      </c>
      <c r="I29" s="32">
        <f>E29+H29</f>
        <v>0.5</v>
      </c>
      <c r="J29" s="30">
        <v>-0.57103476999999991</v>
      </c>
      <c r="K29" s="30"/>
      <c r="L29" s="30">
        <v>0</v>
      </c>
      <c r="M29" s="30">
        <v>31.8</v>
      </c>
      <c r="N29" s="56">
        <v>-1.1000000000000001</v>
      </c>
      <c r="O29" s="56">
        <v>0</v>
      </c>
      <c r="P29" s="56">
        <v>-17.3</v>
      </c>
      <c r="Q29" s="32">
        <f>M29+P29</f>
        <v>14.5</v>
      </c>
      <c r="R29" s="30">
        <f>27.3-16.6</f>
        <v>10.7</v>
      </c>
      <c r="S29" s="30"/>
      <c r="T29" s="30">
        <f>-2.5</f>
        <v>-2.5</v>
      </c>
      <c r="U29" s="30">
        <v>817.9</v>
      </c>
      <c r="V29" s="30">
        <v>-20.7</v>
      </c>
      <c r="W29" s="30">
        <v>2.1</v>
      </c>
      <c r="X29" s="30">
        <v>-325.3</v>
      </c>
      <c r="Y29" s="32">
        <f>U29+X29</f>
        <v>492.59999999999997</v>
      </c>
      <c r="Z29" s="30">
        <v>134.80000000000001</v>
      </c>
      <c r="AA29" s="30"/>
      <c r="AB29" s="30">
        <v>-5.5</v>
      </c>
      <c r="AC29" s="30">
        <v>3741.6</v>
      </c>
      <c r="AD29" s="30">
        <v>-84.8</v>
      </c>
      <c r="AE29" s="30">
        <v>1.9</v>
      </c>
      <c r="AF29" s="30">
        <v>-1145.0999999999999</v>
      </c>
      <c r="AG29" s="32">
        <f>AC29+AF29</f>
        <v>2596.5</v>
      </c>
      <c r="AH29" s="56">
        <f>174.3+88.7+16.6</f>
        <v>279.60000000000002</v>
      </c>
      <c r="AI29" s="30"/>
      <c r="AJ29" s="30">
        <f>-7.9-2.7</f>
        <v>-10.600000000000001</v>
      </c>
      <c r="AK29" s="30">
        <f>3457.2+2104.7</f>
        <v>5561.9</v>
      </c>
      <c r="AL29" s="30">
        <f>-92.1-60</f>
        <v>-152.1</v>
      </c>
      <c r="AM29" s="30">
        <f>7.8+8.3+2.7+1.2</f>
        <v>20</v>
      </c>
      <c r="AN29" s="30">
        <f>-1475.9-950.9</f>
        <v>-2426.8000000000002</v>
      </c>
      <c r="AO29" s="32">
        <f>AK29+AN29</f>
        <v>3135.0999999999995</v>
      </c>
      <c r="AP29" s="30">
        <v>27.5</v>
      </c>
      <c r="AQ29" s="30"/>
      <c r="AR29" s="30">
        <v>-7</v>
      </c>
      <c r="AS29" s="30">
        <v>418.6</v>
      </c>
      <c r="AT29" s="30">
        <v>-50.1</v>
      </c>
      <c r="AU29" s="30">
        <f>7-0.7</f>
        <v>6.3</v>
      </c>
      <c r="AV29" s="30">
        <v>-228.7</v>
      </c>
      <c r="AW29" s="32">
        <f>AS29+AV29</f>
        <v>189.90000000000003</v>
      </c>
      <c r="AX29" t="s">
        <v>22</v>
      </c>
      <c r="AY29" s="33">
        <f>C29+J29+R29+Z29+AH29+AP29</f>
        <v>452.02896523000004</v>
      </c>
      <c r="AZ29" s="33">
        <f t="shared" si="7"/>
        <v>-25.6</v>
      </c>
      <c r="BA29" s="33">
        <f t="shared" si="7"/>
        <v>10573.5</v>
      </c>
      <c r="BB29" s="33">
        <f t="shared" si="7"/>
        <v>-308.86463728000001</v>
      </c>
      <c r="BC29" s="33">
        <f t="shared" si="7"/>
        <v>30.3</v>
      </c>
      <c r="BD29" s="33">
        <f t="shared" si="7"/>
        <v>-4144.3999999999996</v>
      </c>
    </row>
    <row r="30" spans="2:56">
      <c r="B30">
        <v>2021</v>
      </c>
      <c r="C30" s="30">
        <v>0</v>
      </c>
      <c r="D30" s="30">
        <v>0</v>
      </c>
      <c r="E30" s="30">
        <v>1.7</v>
      </c>
      <c r="F30" s="30">
        <v>-0.3</v>
      </c>
      <c r="G30" s="30">
        <v>0</v>
      </c>
      <c r="H30" s="30">
        <v>-1.5</v>
      </c>
      <c r="I30" s="32">
        <f>E30+H30</f>
        <v>0.19999999999999996</v>
      </c>
      <c r="J30" s="30">
        <v>1.8</v>
      </c>
      <c r="K30" s="30"/>
      <c r="L30" s="30">
        <v>0</v>
      </c>
      <c r="M30" s="30">
        <v>33.6</v>
      </c>
      <c r="N30" s="56">
        <v>-1</v>
      </c>
      <c r="O30" s="56">
        <v>0.2</v>
      </c>
      <c r="P30" s="56">
        <f>-18.2</f>
        <v>-18.2</v>
      </c>
      <c r="Q30" s="32">
        <f>M30+P30</f>
        <v>15.400000000000002</v>
      </c>
      <c r="R30" s="30">
        <v>-12.1</v>
      </c>
      <c r="S30" s="30"/>
      <c r="T30" s="30">
        <v>0</v>
      </c>
      <c r="U30" s="30">
        <v>805.8</v>
      </c>
      <c r="V30" s="30">
        <v>-16.600000000000001</v>
      </c>
      <c r="W30" s="30">
        <v>0.1</v>
      </c>
      <c r="X30" s="30">
        <v>-341.7</v>
      </c>
      <c r="Y30" s="32">
        <f>U30+X30</f>
        <v>464.09999999999997</v>
      </c>
      <c r="Z30" s="30">
        <v>145.5</v>
      </c>
      <c r="AA30" s="30"/>
      <c r="AB30" s="30">
        <v>-4.0999999999999996</v>
      </c>
      <c r="AC30" s="30">
        <v>3883.1</v>
      </c>
      <c r="AD30" s="30">
        <v>-91.4</v>
      </c>
      <c r="AE30" s="30">
        <f>4.1+0.5</f>
        <v>4.5999999999999996</v>
      </c>
      <c r="AF30" s="30">
        <v>-1231.9000000000001</v>
      </c>
      <c r="AG30" s="32">
        <f>AC30+AF30</f>
        <v>2651.2</v>
      </c>
      <c r="AH30" s="56">
        <f>300.8+114.4</f>
        <v>415.20000000000005</v>
      </c>
      <c r="AI30" s="30"/>
      <c r="AJ30" s="30">
        <f>-12.7-5</f>
        <v>-17.7</v>
      </c>
      <c r="AK30" s="30">
        <f>3745.4+2214.1</f>
        <v>5959.5</v>
      </c>
      <c r="AL30" s="30">
        <f>-98.3-62.7</f>
        <v>-161</v>
      </c>
      <c r="AM30" s="30">
        <f>5+12.7+13.1+2.7</f>
        <v>33.5</v>
      </c>
      <c r="AN30" s="30">
        <f>-1548.5-1005.9</f>
        <v>-2554.4</v>
      </c>
      <c r="AO30" s="32">
        <f>AK30+AN30</f>
        <v>3405.1</v>
      </c>
      <c r="AP30" s="30">
        <v>97.4</v>
      </c>
      <c r="AQ30" s="30"/>
      <c r="AR30" s="30">
        <v>-96.5</v>
      </c>
      <c r="AS30" s="30">
        <v>419.5</v>
      </c>
      <c r="AT30" s="30">
        <v>-46.7</v>
      </c>
      <c r="AU30" s="30">
        <v>94.3</v>
      </c>
      <c r="AV30" s="30">
        <v>-181</v>
      </c>
      <c r="AW30" s="32">
        <f>AS30+AV30</f>
        <v>238.5</v>
      </c>
      <c r="AX30" t="s">
        <v>23</v>
      </c>
      <c r="AY30" s="38"/>
      <c r="AZ30" s="33"/>
      <c r="BA30" s="33"/>
      <c r="BB30" s="33"/>
      <c r="BC30" s="33"/>
      <c r="BD30" s="33"/>
    </row>
    <row r="31" spans="2:56">
      <c r="B31">
        <v>2022</v>
      </c>
      <c r="C31" s="30">
        <v>0</v>
      </c>
      <c r="D31" s="30">
        <v>0</v>
      </c>
      <c r="E31" s="30">
        <v>1.7</v>
      </c>
      <c r="F31" s="30">
        <v>-0.1</v>
      </c>
      <c r="G31" s="30">
        <v>0</v>
      </c>
      <c r="H31" s="30">
        <v>-1.5</v>
      </c>
      <c r="I31" s="32">
        <f>E31+H31</f>
        <v>0.19999999999999996</v>
      </c>
      <c r="J31" s="30">
        <v>0.3</v>
      </c>
      <c r="K31" s="30"/>
      <c r="L31" s="30">
        <v>-0.1</v>
      </c>
      <c r="M31" s="30">
        <v>33.799999999999997</v>
      </c>
      <c r="N31" s="56">
        <v>-1.1000000000000001</v>
      </c>
      <c r="O31" s="56">
        <v>0.1</v>
      </c>
      <c r="P31" s="56">
        <v>-19.100000000000001</v>
      </c>
      <c r="Q31" s="32">
        <f>M31+P31</f>
        <v>14.699999999999996</v>
      </c>
      <c r="R31" s="30">
        <v>17.600000000000001</v>
      </c>
      <c r="S31" s="30"/>
      <c r="T31" s="30">
        <v>0</v>
      </c>
      <c r="U31" s="30">
        <v>823.4</v>
      </c>
      <c r="V31" s="30">
        <v>-20.2</v>
      </c>
      <c r="W31" s="30">
        <v>0.2</v>
      </c>
      <c r="X31" s="30">
        <v>-361.8</v>
      </c>
      <c r="Y31" s="32">
        <f>U31+X31</f>
        <v>461.59999999999997</v>
      </c>
      <c r="Z31" s="30">
        <v>155.19999999999999</v>
      </c>
      <c r="AA31" s="30"/>
      <c r="AB31" s="30">
        <v>-4.4000000000000004</v>
      </c>
      <c r="AC31" s="30">
        <v>4033.9</v>
      </c>
      <c r="AD31" s="30">
        <v>-90.9</v>
      </c>
      <c r="AE31" s="30">
        <v>4.8</v>
      </c>
      <c r="AF31" s="30">
        <v>-1318</v>
      </c>
      <c r="AG31" s="32">
        <f>AC31+AF31</f>
        <v>2715.9</v>
      </c>
      <c r="AH31" s="56">
        <v>436</v>
      </c>
      <c r="AI31" s="30"/>
      <c r="AJ31" s="30">
        <v>-22.9</v>
      </c>
      <c r="AK31" s="30">
        <v>6372.6</v>
      </c>
      <c r="AL31" s="30">
        <v>-173</v>
      </c>
      <c r="AM31" s="30">
        <v>40.799999999999997</v>
      </c>
      <c r="AN31" s="30">
        <v>-2686.6</v>
      </c>
      <c r="AO31" s="32">
        <f>AK31+AN31</f>
        <v>3686.0000000000005</v>
      </c>
      <c r="AP31" s="30">
        <v>58.8</v>
      </c>
      <c r="AQ31" s="30"/>
      <c r="AR31" s="30">
        <v>-52.3</v>
      </c>
      <c r="AS31" s="30">
        <v>426.1</v>
      </c>
      <c r="AT31" s="30">
        <v>-47</v>
      </c>
      <c r="AU31" s="30">
        <v>51.5</v>
      </c>
      <c r="AV31" s="30">
        <v>-176.4</v>
      </c>
      <c r="AW31" s="32">
        <f>AS31+AV31</f>
        <v>249.70000000000002</v>
      </c>
      <c r="AX31" t="s">
        <v>24</v>
      </c>
    </row>
    <row r="32" spans="2:56">
      <c r="C32" s="38" t="s">
        <v>34</v>
      </c>
      <c r="I32" s="24"/>
      <c r="J32" s="24"/>
      <c r="K32" s="24"/>
      <c r="L32" s="24"/>
      <c r="M32" s="24"/>
      <c r="P32" s="24"/>
      <c r="Q32" s="24"/>
      <c r="R32" s="67"/>
      <c r="S32" s="24"/>
      <c r="T32" s="24"/>
      <c r="U32" s="24"/>
      <c r="X32" s="24"/>
      <c r="Y32" s="24"/>
      <c r="Z32" s="24"/>
      <c r="AA32" s="24"/>
      <c r="AB32" s="24"/>
      <c r="AC32" s="24"/>
      <c r="AF32" s="24"/>
      <c r="AG32" s="24"/>
      <c r="AH32" s="24"/>
      <c r="AI32" s="24"/>
      <c r="AJ32" s="24"/>
      <c r="AK32" s="24"/>
      <c r="AN32" s="24"/>
      <c r="AO32" s="24"/>
      <c r="AP32" s="24"/>
      <c r="AQ32" s="24"/>
      <c r="AR32" s="24"/>
      <c r="AS32" s="24"/>
      <c r="AV32" s="24"/>
      <c r="AW32" s="24"/>
    </row>
    <row r="33" spans="2:49">
      <c r="B33">
        <v>1996</v>
      </c>
      <c r="E33" s="39"/>
      <c r="I33" s="64"/>
      <c r="J33" s="64"/>
      <c r="K33" s="64"/>
      <c r="L33" s="64"/>
      <c r="M33" s="64"/>
      <c r="P33" s="64"/>
      <c r="Q33" s="64"/>
      <c r="R33" s="64"/>
      <c r="S33" s="64"/>
      <c r="T33" s="64"/>
      <c r="U33" s="64"/>
      <c r="X33" s="64"/>
      <c r="Y33" s="64"/>
      <c r="Z33" s="64"/>
      <c r="AA33" s="64"/>
      <c r="AB33" s="64"/>
      <c r="AC33" s="64"/>
      <c r="AF33" s="64"/>
      <c r="AG33" s="64"/>
      <c r="AH33" s="64"/>
      <c r="AI33" s="64"/>
      <c r="AJ33" s="64"/>
      <c r="AK33" s="64"/>
      <c r="AN33" s="64"/>
      <c r="AO33" s="64"/>
      <c r="AP33" s="64"/>
      <c r="AQ33" s="64"/>
      <c r="AR33" s="64"/>
      <c r="AS33" s="64"/>
      <c r="AV33" s="64"/>
      <c r="AW33" s="64"/>
    </row>
    <row r="34" spans="2:49">
      <c r="B34">
        <f t="shared" ref="B34:B59" si="8">B33+1</f>
        <v>1997</v>
      </c>
      <c r="E34" s="39">
        <f>E5+SUM(C6:D6)-E6</f>
        <v>-2.2000000043931323E-7</v>
      </c>
      <c r="H34" s="41">
        <f>H5+SUM(F6:G6)-H6</f>
        <v>7.2227099999988553E-3</v>
      </c>
      <c r="I34" s="64"/>
      <c r="J34" s="64"/>
      <c r="K34" s="64"/>
      <c r="L34" s="42"/>
      <c r="M34" s="41">
        <f t="shared" ref="M34:M57" si="9">M5+SUM(J6:L6)-M6</f>
        <v>3.6999999952769258E-7</v>
      </c>
      <c r="N34" s="43"/>
      <c r="O34" s="43"/>
      <c r="P34" s="41">
        <f>P5+SUM(N6:O6)-P6</f>
        <v>-3.8000000035509629E-7</v>
      </c>
      <c r="Q34" s="42"/>
      <c r="R34" s="42"/>
      <c r="S34" s="42"/>
      <c r="T34" s="42"/>
      <c r="U34" s="41">
        <f t="shared" ref="U34:U57" si="10">U5+SUM(R6:T6)-U6</f>
        <v>-5.5699999848002335E-6</v>
      </c>
      <c r="V34" s="52"/>
      <c r="W34" s="43"/>
      <c r="X34" s="41">
        <f>X5+SUM(V6:W6)-X6</f>
        <v>-3.1000000433323294E-6</v>
      </c>
      <c r="Y34" s="52"/>
      <c r="Z34" s="42"/>
      <c r="AA34" s="42"/>
      <c r="AB34" s="42"/>
      <c r="AC34" s="41">
        <f>AC5+SUM(Z6:AB6)-AC6</f>
        <v>6.1599999980899156E-6</v>
      </c>
      <c r="AD34" s="52"/>
      <c r="AE34" s="43"/>
      <c r="AF34" s="41">
        <f>AF5+SUM(AD6:AE6)-AF6</f>
        <v>-8.7920000026997513E-5</v>
      </c>
      <c r="AG34" s="52"/>
      <c r="AH34" s="42"/>
      <c r="AI34" s="42"/>
      <c r="AJ34" s="42"/>
      <c r="AK34" s="41">
        <f>AK5+SUM(AH6:AJ6)-AK6</f>
        <v>-3.7532079999891721E-2</v>
      </c>
      <c r="AL34" s="49"/>
      <c r="AM34" s="43"/>
      <c r="AN34" s="41">
        <f>AN5+SUM(AL6:AM6)-AN6</f>
        <v>-1.8700002328841947E-6</v>
      </c>
      <c r="AO34" s="49"/>
      <c r="AP34" s="42"/>
      <c r="AQ34" s="42"/>
      <c r="AR34" s="42"/>
      <c r="AS34" s="41">
        <f>AS5+SUM(AP6:AR6)-AS6</f>
        <v>-0.17125950000001922</v>
      </c>
      <c r="AT34" s="50" t="s">
        <v>35</v>
      </c>
      <c r="AU34" s="43"/>
      <c r="AV34" s="41">
        <f>AV5+SUM(AT6:AU6)-AV6</f>
        <v>-8.0996999997751118E-4</v>
      </c>
      <c r="AW34" s="49"/>
    </row>
    <row r="35" spans="2:49">
      <c r="B35">
        <f t="shared" si="8"/>
        <v>1998</v>
      </c>
      <c r="E35" s="39">
        <f t="shared" ref="E35:E57" si="11">E6+SUM(C7:D7)-E7</f>
        <v>-3.0000000705854291E-8</v>
      </c>
      <c r="H35" s="41">
        <f t="shared" ref="H35:H57" si="12">H6+SUM(F7:G7)-H7</f>
        <v>7.9999999513802322E-8</v>
      </c>
      <c r="I35" s="64"/>
      <c r="J35" s="64"/>
      <c r="K35" s="64"/>
      <c r="L35" s="42"/>
      <c r="M35" s="41">
        <f t="shared" si="9"/>
        <v>-8.5999999921426706E-7</v>
      </c>
      <c r="N35" s="43"/>
      <c r="O35" s="43"/>
      <c r="P35" s="41">
        <f t="shared" ref="P35:P57" si="13">P6+SUM(N7:O7)-P7</f>
        <v>3.49999999649242E-7</v>
      </c>
      <c r="Q35" s="42"/>
      <c r="R35" s="42"/>
      <c r="S35" s="42"/>
      <c r="T35" s="42"/>
      <c r="U35" s="41">
        <f t="shared" si="10"/>
        <v>1.6240000036304991E-5</v>
      </c>
      <c r="V35" s="43"/>
      <c r="W35" s="43"/>
      <c r="X35" s="41">
        <f t="shared" ref="X35:X57" si="14">X6+SUM(V7:W7)-X7</f>
        <v>-1.229999995189246E-6</v>
      </c>
      <c r="Y35" s="42"/>
      <c r="Z35" s="42"/>
      <c r="AA35" s="42"/>
      <c r="AB35" s="42"/>
      <c r="AC35" s="41">
        <f t="shared" ref="AC35:AC57" si="15">AC6+SUM(Z7:AB7)-AC7</f>
        <v>-5.8600001011654967E-6</v>
      </c>
      <c r="AD35" s="38"/>
      <c r="AE35" s="43"/>
      <c r="AF35" s="41">
        <f t="shared" ref="AF35:AF57" si="16">AF6+SUM(AD7:AE7)-AF7</f>
        <v>4.3000000005122274E-7</v>
      </c>
      <c r="AG35" s="42"/>
      <c r="AH35" s="42"/>
      <c r="AI35" s="42"/>
      <c r="AJ35" s="42"/>
      <c r="AK35" s="41">
        <f t="shared" ref="AK35:AK57" si="17">AK6+SUM(AH7:AJ7)-AK7</f>
        <v>3.5960000332124764E-5</v>
      </c>
      <c r="AL35" s="43"/>
      <c r="AM35" s="43"/>
      <c r="AN35" s="41">
        <f t="shared" ref="AN35:AN57" si="18">AN6+SUM(AL7:AM7)-AN7</f>
        <v>7.0300001198120299E-6</v>
      </c>
      <c r="AO35" s="42"/>
      <c r="AP35" s="42"/>
      <c r="AQ35" s="42"/>
      <c r="AR35" s="42"/>
      <c r="AS35" s="41">
        <f t="shared" ref="AS35:AS57" si="19">AS6+SUM(AP7:AR7)-AS7</f>
        <v>1.5810000036253768E-5</v>
      </c>
      <c r="AT35" s="43"/>
      <c r="AU35" s="43"/>
      <c r="AV35" s="41">
        <f t="shared" ref="AV35:AV57" si="20">AV6+SUM(AT7:AU7)-AV7</f>
        <v>-7.5200000253516919E-6</v>
      </c>
      <c r="AW35" s="64"/>
    </row>
    <row r="36" spans="2:49">
      <c r="B36">
        <f t="shared" si="8"/>
        <v>1999</v>
      </c>
      <c r="E36" s="39">
        <f t="shared" si="11"/>
        <v>0</v>
      </c>
      <c r="H36" s="41">
        <f t="shared" si="12"/>
        <v>-3.9999999756901161E-8</v>
      </c>
      <c r="I36" s="64"/>
      <c r="J36" s="64"/>
      <c r="K36" s="64"/>
      <c r="L36" s="42"/>
      <c r="M36" s="41">
        <f t="shared" si="9"/>
        <v>9.1999999973779722E-7</v>
      </c>
      <c r="N36" s="43"/>
      <c r="O36" s="43"/>
      <c r="P36" s="41">
        <f t="shared" si="13"/>
        <v>-1.9999999434361371E-8</v>
      </c>
      <c r="Q36" s="42"/>
      <c r="R36" s="42"/>
      <c r="S36" s="42"/>
      <c r="T36" s="42"/>
      <c r="U36" s="41">
        <f t="shared" si="10"/>
        <v>1.6399999367422424E-6</v>
      </c>
      <c r="V36" s="43"/>
      <c r="W36" s="43"/>
      <c r="X36" s="41">
        <f t="shared" si="14"/>
        <v>-4.1000001260727004E-7</v>
      </c>
      <c r="Y36" s="42"/>
      <c r="Z36" s="42"/>
      <c r="AA36" s="42"/>
      <c r="AB36" s="42"/>
      <c r="AC36" s="41">
        <f t="shared" si="15"/>
        <v>7.6999999691906851E-6</v>
      </c>
      <c r="AD36" s="38"/>
      <c r="AE36" s="43"/>
      <c r="AF36" s="41">
        <f t="shared" si="16"/>
        <v>-5.279999982121808E-6</v>
      </c>
      <c r="AG36" s="42"/>
      <c r="AH36" s="42"/>
      <c r="AI36" s="42"/>
      <c r="AJ36" s="42"/>
      <c r="AK36" s="41">
        <f t="shared" si="17"/>
        <v>1.2874999947598553E-4</v>
      </c>
      <c r="AL36" s="43"/>
      <c r="AM36" s="43"/>
      <c r="AN36" s="41">
        <f t="shared" si="18"/>
        <v>-2.9810000000907166E-5</v>
      </c>
      <c r="AO36" s="42"/>
      <c r="AP36" s="42"/>
      <c r="AQ36" s="42"/>
      <c r="AR36" s="42"/>
      <c r="AS36" s="41">
        <f t="shared" si="19"/>
        <v>-2.604000019346131E-5</v>
      </c>
      <c r="AT36" s="43"/>
      <c r="AU36" s="43"/>
      <c r="AV36" s="41">
        <f t="shared" si="20"/>
        <v>3.3999999971001671E-7</v>
      </c>
      <c r="AW36" s="64"/>
    </row>
    <row r="37" spans="2:49">
      <c r="B37">
        <f t="shared" si="8"/>
        <v>2000</v>
      </c>
      <c r="E37" s="39">
        <f t="shared" si="11"/>
        <v>-6.1000000073363481E-7</v>
      </c>
      <c r="H37" s="41">
        <f t="shared" si="12"/>
        <v>1.3000000009810719E-7</v>
      </c>
      <c r="I37" s="64"/>
      <c r="J37" s="64"/>
      <c r="K37" s="64"/>
      <c r="L37" s="42"/>
      <c r="M37" s="41">
        <f t="shared" si="9"/>
        <v>-6.9000000024743713E-7</v>
      </c>
      <c r="N37" s="43"/>
      <c r="O37" s="43"/>
      <c r="P37" s="41">
        <f t="shared" si="13"/>
        <v>1.5999999991578306E-7</v>
      </c>
      <c r="Q37" s="42"/>
      <c r="R37" s="42"/>
      <c r="S37" s="42"/>
      <c r="T37" s="42"/>
      <c r="U37" s="41">
        <f t="shared" si="10"/>
        <v>9.4900000249253935E-6</v>
      </c>
      <c r="V37" s="43"/>
      <c r="W37" s="43"/>
      <c r="X37" s="41">
        <f t="shared" si="14"/>
        <v>-3.9399999991474033E-6</v>
      </c>
      <c r="Y37" s="42"/>
      <c r="Z37" s="42"/>
      <c r="AA37" s="42"/>
      <c r="AB37" s="42"/>
      <c r="AC37" s="41">
        <f t="shared" si="15"/>
        <v>-2.4349999989681237E-5</v>
      </c>
      <c r="AD37" s="43"/>
      <c r="AE37" s="43"/>
      <c r="AF37" s="41">
        <f t="shared" si="16"/>
        <v>-2.1399999923232826E-6</v>
      </c>
      <c r="AG37" s="42"/>
      <c r="AH37" s="42"/>
      <c r="AI37" s="42"/>
      <c r="AJ37" s="42"/>
      <c r="AK37" s="41">
        <f t="shared" si="17"/>
        <v>-5.0949999604199547E-5</v>
      </c>
      <c r="AL37" s="43"/>
      <c r="AM37" s="43"/>
      <c r="AN37" s="41">
        <f t="shared" si="18"/>
        <v>4.5949999957883847E-5</v>
      </c>
      <c r="AO37" s="42"/>
      <c r="AP37" s="42"/>
      <c r="AQ37" s="42"/>
      <c r="AR37" s="42"/>
      <c r="AS37" s="41">
        <f t="shared" si="19"/>
        <v>3.2175000004031062E-4</v>
      </c>
      <c r="AT37" s="43"/>
      <c r="AU37" s="43"/>
      <c r="AV37" s="41">
        <f t="shared" si="20"/>
        <v>3.3199999904809374E-6</v>
      </c>
      <c r="AW37" s="64"/>
    </row>
    <row r="38" spans="2:49">
      <c r="B38">
        <f t="shared" si="8"/>
        <v>2001</v>
      </c>
      <c r="E38" s="39">
        <f t="shared" si="11"/>
        <v>-2.9890999999970802E-4</v>
      </c>
      <c r="H38" s="41">
        <f t="shared" si="12"/>
        <v>9.9999999392252903E-9</v>
      </c>
      <c r="I38" s="64"/>
      <c r="J38" s="64"/>
      <c r="K38" s="64"/>
      <c r="L38" s="42"/>
      <c r="M38" s="41">
        <f t="shared" si="9"/>
        <v>-6.4270000001087624E-5</v>
      </c>
      <c r="N38" s="43"/>
      <c r="O38" s="43"/>
      <c r="P38" s="41">
        <f t="shared" si="13"/>
        <v>-1.2999999965401798E-7</v>
      </c>
      <c r="Q38" s="42"/>
      <c r="R38" s="42"/>
      <c r="S38" s="42"/>
      <c r="T38" s="42"/>
      <c r="U38" s="41">
        <f t="shared" si="10"/>
        <v>-1.6663000008065865E-4</v>
      </c>
      <c r="V38" s="43"/>
      <c r="W38" s="43"/>
      <c r="X38" s="41">
        <f t="shared" si="14"/>
        <v>1.900000000887303E-6</v>
      </c>
      <c r="Y38" s="42"/>
      <c r="Z38" s="42"/>
      <c r="AA38" s="42"/>
      <c r="AB38" s="42"/>
      <c r="AC38" s="41">
        <f t="shared" si="15"/>
        <v>5.5036000003383378E-4</v>
      </c>
      <c r="AD38" s="43"/>
      <c r="AE38" s="43"/>
      <c r="AF38" s="41">
        <f t="shared" si="16"/>
        <v>2.6300000001810986E-5</v>
      </c>
      <c r="AG38" s="42"/>
      <c r="AH38" s="42"/>
      <c r="AI38" s="42"/>
      <c r="AJ38" s="42"/>
      <c r="AK38" s="41">
        <f t="shared" si="17"/>
        <v>0</v>
      </c>
      <c r="AL38" s="43"/>
      <c r="AM38" s="43"/>
      <c r="AN38" s="41">
        <f t="shared" si="18"/>
        <v>-4.9630000034994737E-5</v>
      </c>
      <c r="AO38" s="42"/>
      <c r="AP38" s="42"/>
      <c r="AQ38" s="42"/>
      <c r="AR38" s="42"/>
      <c r="AS38" s="41">
        <f t="shared" si="19"/>
        <v>-3.261000000520653E-4</v>
      </c>
      <c r="AT38" s="43"/>
      <c r="AU38" s="43"/>
      <c r="AV38" s="41">
        <f t="shared" si="20"/>
        <v>-1.2699999984988608E-6</v>
      </c>
      <c r="AW38" s="64"/>
    </row>
    <row r="39" spans="2:49">
      <c r="B39">
        <f t="shared" si="8"/>
        <v>2002</v>
      </c>
      <c r="E39" s="39">
        <f t="shared" si="11"/>
        <v>7.4251000000025158E-4</v>
      </c>
      <c r="H39" s="41">
        <f t="shared" si="12"/>
        <v>5.5548999999999182E-4</v>
      </c>
      <c r="I39" s="64"/>
      <c r="J39" s="64"/>
      <c r="K39" s="64"/>
      <c r="L39" s="42"/>
      <c r="M39" s="41">
        <f t="shared" si="9"/>
        <v>-3.7527000000103783E-4</v>
      </c>
      <c r="N39" s="43"/>
      <c r="O39" s="43"/>
      <c r="P39" s="41">
        <f t="shared" si="13"/>
        <v>8.8352000000035957E-4</v>
      </c>
      <c r="Q39" s="42"/>
      <c r="R39" s="42"/>
      <c r="S39" s="42"/>
      <c r="T39" s="42"/>
      <c r="U39" s="41">
        <f t="shared" si="10"/>
        <v>-4.8505999995995808E-4</v>
      </c>
      <c r="V39" s="43"/>
      <c r="W39" s="43"/>
      <c r="X39" s="41">
        <f t="shared" si="14"/>
        <v>1.3410000008207135E-5</v>
      </c>
      <c r="Y39" s="42"/>
      <c r="Z39" s="42"/>
      <c r="AA39" s="42"/>
      <c r="AB39" s="42"/>
      <c r="AC39" s="41">
        <f t="shared" si="15"/>
        <v>-3.429400001095928E-4</v>
      </c>
      <c r="AD39" s="43"/>
      <c r="AE39" s="43"/>
      <c r="AF39" s="41">
        <f t="shared" si="16"/>
        <v>-7.3599999836915231E-6</v>
      </c>
      <c r="AG39" s="42"/>
      <c r="AH39" s="42"/>
      <c r="AI39" s="42"/>
      <c r="AJ39" s="42"/>
      <c r="AK39" s="41">
        <f t="shared" si="17"/>
        <v>-1.2819975500005967</v>
      </c>
      <c r="AL39" s="53" t="s">
        <v>35</v>
      </c>
      <c r="AM39" s="43"/>
      <c r="AN39" s="41">
        <f t="shared" si="18"/>
        <v>-3.0700000479555456E-6</v>
      </c>
      <c r="AO39" s="42"/>
      <c r="AP39" s="42"/>
      <c r="AQ39" s="42"/>
      <c r="AR39" s="42"/>
      <c r="AS39" s="41">
        <f t="shared" si="19"/>
        <v>8.0600000273989281E-6</v>
      </c>
      <c r="AT39" s="43"/>
      <c r="AU39" s="43"/>
      <c r="AV39" s="41">
        <f t="shared" si="20"/>
        <v>-8.6000000010244548E-7</v>
      </c>
      <c r="AW39" s="64"/>
    </row>
    <row r="40" spans="2:49">
      <c r="B40">
        <f t="shared" si="8"/>
        <v>2003</v>
      </c>
      <c r="E40" s="39">
        <f t="shared" si="11"/>
        <v>-4.4287000000053922E-4</v>
      </c>
      <c r="H40" s="41">
        <f t="shared" si="12"/>
        <v>-5.5563000000091733E-4</v>
      </c>
      <c r="I40" s="64"/>
      <c r="J40" s="64"/>
      <c r="K40" s="64"/>
      <c r="L40" s="42"/>
      <c r="M40" s="41">
        <f t="shared" si="9"/>
        <v>4.4023000000059653E-4</v>
      </c>
      <c r="N40" s="43"/>
      <c r="O40" s="43"/>
      <c r="P40" s="41">
        <f t="shared" si="13"/>
        <v>-8.8372999999997148E-4</v>
      </c>
      <c r="Q40" s="42"/>
      <c r="R40" s="42"/>
      <c r="S40" s="42"/>
      <c r="T40" s="42"/>
      <c r="U40" s="41">
        <f t="shared" si="10"/>
        <v>6.4030999999431515E-4</v>
      </c>
      <c r="V40" s="43"/>
      <c r="W40" s="43"/>
      <c r="X40" s="41">
        <f t="shared" si="14"/>
        <v>-1.4310000011619195E-5</v>
      </c>
      <c r="Y40" s="42"/>
      <c r="Z40" s="42"/>
      <c r="AA40" s="42"/>
      <c r="AB40" s="42"/>
      <c r="AC40" s="41">
        <f t="shared" si="15"/>
        <v>-1.7449999995733378E-4</v>
      </c>
      <c r="AD40" s="53"/>
      <c r="AE40" s="43"/>
      <c r="AF40" s="41">
        <f t="shared" si="16"/>
        <v>-9.4200000262389949E-6</v>
      </c>
      <c r="AG40" s="42"/>
      <c r="AH40" s="42"/>
      <c r="AI40" s="42"/>
      <c r="AJ40" s="42"/>
      <c r="AK40" s="41">
        <f t="shared" si="17"/>
        <v>-1.2093599998479476E-3</v>
      </c>
      <c r="AL40" s="43"/>
      <c r="AM40" s="43"/>
      <c r="AN40" s="41">
        <f t="shared" si="18"/>
        <v>2.1570000058090955E-5</v>
      </c>
      <c r="AO40" s="42"/>
      <c r="AP40" s="42"/>
      <c r="AQ40" s="42"/>
      <c r="AR40" s="42"/>
      <c r="AS40" s="41">
        <f t="shared" si="19"/>
        <v>-1.345000001151675E-5</v>
      </c>
      <c r="AT40" s="43"/>
      <c r="AU40" s="43"/>
      <c r="AV40" s="41">
        <f t="shared" si="20"/>
        <v>1.4499999991812729E-6</v>
      </c>
      <c r="AW40" s="64"/>
    </row>
    <row r="41" spans="2:49">
      <c r="B41">
        <f t="shared" si="8"/>
        <v>2004</v>
      </c>
      <c r="E41" s="39">
        <f t="shared" si="11"/>
        <v>-8.2000000212190116E-7</v>
      </c>
      <c r="H41" s="41">
        <f t="shared" si="12"/>
        <v>-1.8000000068241206E-7</v>
      </c>
      <c r="I41" s="64"/>
      <c r="J41" s="64"/>
      <c r="K41" s="64"/>
      <c r="L41" s="42"/>
      <c r="M41" s="41">
        <f t="shared" si="9"/>
        <v>-6.1000000073363481E-7</v>
      </c>
      <c r="N41" s="43"/>
      <c r="O41" s="43"/>
      <c r="P41" s="41">
        <f t="shared" si="13"/>
        <v>1.1000000021965661E-7</v>
      </c>
      <c r="Q41" s="42"/>
      <c r="R41" s="42"/>
      <c r="S41" s="42"/>
      <c r="T41" s="42"/>
      <c r="U41" s="41">
        <f t="shared" si="10"/>
        <v>-2.7880000061486498E-5</v>
      </c>
      <c r="V41" s="43"/>
      <c r="W41" s="43"/>
      <c r="X41" s="41">
        <f t="shared" si="14"/>
        <v>1.2429999998175845E-5</v>
      </c>
      <c r="Y41" s="42"/>
      <c r="Z41" s="42"/>
      <c r="AA41" s="42"/>
      <c r="AB41" s="42"/>
      <c r="AC41" s="41">
        <f t="shared" si="15"/>
        <v>-6.9639999992432422E-5</v>
      </c>
      <c r="AD41" s="38"/>
      <c r="AE41" s="43"/>
      <c r="AF41" s="41">
        <f t="shared" si="16"/>
        <v>6.6999996306549292E-7</v>
      </c>
      <c r="AG41" s="42"/>
      <c r="AH41" s="42"/>
      <c r="AI41" s="42"/>
      <c r="AJ41" s="42"/>
      <c r="AK41" s="41">
        <f t="shared" si="17"/>
        <v>6.5680000261636451E-5</v>
      </c>
      <c r="AL41" s="43"/>
      <c r="AM41" s="43"/>
      <c r="AN41" s="41">
        <f t="shared" si="18"/>
        <v>3.3629999961704016E-5</v>
      </c>
      <c r="AO41" s="42"/>
      <c r="AP41" s="42"/>
      <c r="AQ41" s="42"/>
      <c r="AR41" s="42"/>
      <c r="AS41" s="41">
        <f t="shared" si="19"/>
        <v>1.1550000010629446E-5</v>
      </c>
      <c r="AT41" s="43"/>
      <c r="AU41" s="43"/>
      <c r="AV41" s="41">
        <f t="shared" si="20"/>
        <v>3.0899999785560794E-6</v>
      </c>
      <c r="AW41" s="64"/>
    </row>
    <row r="42" spans="2:49">
      <c r="B42">
        <f t="shared" si="8"/>
        <v>2005</v>
      </c>
      <c r="E42" s="39">
        <f t="shared" si="11"/>
        <v>6.3000000061208539E-7</v>
      </c>
      <c r="H42" s="41">
        <f t="shared" si="12"/>
        <v>-1.3000000009810719E-7</v>
      </c>
      <c r="I42" s="64"/>
      <c r="J42" s="64"/>
      <c r="K42" s="64"/>
      <c r="L42" s="42"/>
      <c r="M42" s="41">
        <f t="shared" si="9"/>
        <v>6.5999999954158284E-7</v>
      </c>
      <c r="N42" s="43"/>
      <c r="O42" s="43"/>
      <c r="P42" s="41">
        <f t="shared" si="13"/>
        <v>3.4000000148637355E-7</v>
      </c>
      <c r="Q42" s="42"/>
      <c r="R42" s="42"/>
      <c r="S42" s="42"/>
      <c r="T42" s="42"/>
      <c r="U42" s="41">
        <f t="shared" si="10"/>
        <v>3.987000002325658E-5</v>
      </c>
      <c r="V42" s="43"/>
      <c r="W42" s="43"/>
      <c r="X42" s="41">
        <f t="shared" si="14"/>
        <v>-6.8699999928867328E-6</v>
      </c>
      <c r="Y42" s="42"/>
      <c r="Z42" s="42"/>
      <c r="AA42" s="42"/>
      <c r="AB42" s="42"/>
      <c r="AC42" s="41">
        <f t="shared" si="15"/>
        <v>2.6270000034855912E-5</v>
      </c>
      <c r="AD42" s="38"/>
      <c r="AE42" s="43"/>
      <c r="AF42" s="41">
        <f t="shared" si="16"/>
        <v>1.5480000058687438E-5</v>
      </c>
      <c r="AG42" s="42"/>
      <c r="AH42" s="42"/>
      <c r="AI42" s="42"/>
      <c r="AJ42" s="42"/>
      <c r="AK42" s="41">
        <f t="shared" si="17"/>
        <v>2.6879999950324418E-5</v>
      </c>
      <c r="AL42" s="43"/>
      <c r="AM42" s="43"/>
      <c r="AN42" s="41">
        <f t="shared" si="18"/>
        <v>-1.0149999980058055E-5</v>
      </c>
      <c r="AO42" s="42"/>
      <c r="AP42" s="42"/>
      <c r="AQ42" s="42"/>
      <c r="AR42" s="42"/>
      <c r="AS42" s="41">
        <f t="shared" si="19"/>
        <v>-5.0600000065514905E-6</v>
      </c>
      <c r="AT42" s="43"/>
      <c r="AU42" s="43"/>
      <c r="AV42" s="41">
        <f t="shared" si="20"/>
        <v>7.9600000049140363E-6</v>
      </c>
      <c r="AW42" s="64"/>
    </row>
    <row r="43" spans="2:49">
      <c r="B43">
        <f t="shared" si="8"/>
        <v>2006</v>
      </c>
      <c r="E43" s="39">
        <f t="shared" si="11"/>
        <v>-1.4999999820020093E-7</v>
      </c>
      <c r="H43" s="39">
        <f t="shared" si="12"/>
        <v>3.70000000415871E-7</v>
      </c>
      <c r="I43" s="64"/>
      <c r="J43" s="64"/>
      <c r="K43" s="64"/>
      <c r="L43" s="42"/>
      <c r="M43" s="41">
        <f t="shared" si="9"/>
        <v>-4.7999999885917077E-7</v>
      </c>
      <c r="N43" s="43"/>
      <c r="O43" s="43"/>
      <c r="P43" s="41">
        <f t="shared" si="13"/>
        <v>-2.2000000043931323E-7</v>
      </c>
      <c r="Q43" s="42"/>
      <c r="R43" s="42"/>
      <c r="S43" s="42"/>
      <c r="T43" s="42"/>
      <c r="U43" s="41">
        <f t="shared" si="10"/>
        <v>-2.3950000013428507E-5</v>
      </c>
      <c r="V43" s="43"/>
      <c r="W43" s="43"/>
      <c r="X43" s="41">
        <f t="shared" si="14"/>
        <v>1.3400000113961141E-6</v>
      </c>
      <c r="Y43" s="42"/>
      <c r="Z43" s="42"/>
      <c r="AA43" s="42"/>
      <c r="AB43" s="42"/>
      <c r="AC43" s="41">
        <f t="shared" si="15"/>
        <v>2.6539999907981837E-5</v>
      </c>
      <c r="AD43" s="43"/>
      <c r="AE43" s="43"/>
      <c r="AF43" s="41">
        <f t="shared" si="16"/>
        <v>-1.3869999975213432E-5</v>
      </c>
      <c r="AG43" s="42"/>
      <c r="AH43" s="42"/>
      <c r="AI43" s="42"/>
      <c r="AJ43" s="42"/>
      <c r="AK43" s="41">
        <f t="shared" si="17"/>
        <v>-2.6629999865690479E-5</v>
      </c>
      <c r="AL43" s="43"/>
      <c r="AM43" s="43"/>
      <c r="AN43" s="41">
        <f t="shared" si="18"/>
        <v>-1.4180000334818033E-5</v>
      </c>
      <c r="AO43" s="42"/>
      <c r="AP43" s="42"/>
      <c r="AQ43" s="42"/>
      <c r="AR43" s="42"/>
      <c r="AS43" s="41">
        <f t="shared" si="19"/>
        <v>-1.800000291041215E-7</v>
      </c>
      <c r="AT43" s="43"/>
      <c r="AU43" s="43"/>
      <c r="AV43" s="41">
        <f t="shared" si="20"/>
        <v>0</v>
      </c>
      <c r="AW43" s="64"/>
    </row>
    <row r="44" spans="2:49">
      <c r="B44">
        <f t="shared" si="8"/>
        <v>2007</v>
      </c>
      <c r="E44" s="39">
        <f t="shared" si="11"/>
        <v>0</v>
      </c>
      <c r="H44" s="39">
        <f t="shared" si="12"/>
        <v>0</v>
      </c>
      <c r="I44" s="64"/>
      <c r="J44" s="64"/>
      <c r="K44" s="64"/>
      <c r="L44" s="42"/>
      <c r="M44" s="41">
        <f t="shared" si="9"/>
        <v>0</v>
      </c>
      <c r="N44" s="43"/>
      <c r="O44" s="43"/>
      <c r="P44" s="41">
        <f t="shared" si="13"/>
        <v>0</v>
      </c>
      <c r="Q44" s="42"/>
      <c r="R44" s="42"/>
      <c r="S44" s="42"/>
      <c r="T44" s="42"/>
      <c r="U44" s="41">
        <f t="shared" si="10"/>
        <v>0</v>
      </c>
      <c r="V44" s="43"/>
      <c r="W44" s="43"/>
      <c r="X44" s="41">
        <f t="shared" si="14"/>
        <v>0</v>
      </c>
      <c r="Y44" s="42"/>
      <c r="Z44" s="42"/>
      <c r="AA44" s="42"/>
      <c r="AB44" s="42"/>
      <c r="AC44" s="41">
        <f t="shared" si="15"/>
        <v>0</v>
      </c>
      <c r="AD44" s="43"/>
      <c r="AE44" s="43"/>
      <c r="AF44" s="41">
        <f t="shared" si="16"/>
        <v>0</v>
      </c>
      <c r="AG44" s="42"/>
      <c r="AH44" s="42"/>
      <c r="AI44" s="42"/>
      <c r="AJ44" s="42"/>
      <c r="AK44" s="41">
        <f t="shared" si="17"/>
        <v>0</v>
      </c>
      <c r="AL44" s="43"/>
      <c r="AM44" s="43"/>
      <c r="AN44" s="41">
        <f t="shared" si="18"/>
        <v>0</v>
      </c>
      <c r="AO44" s="42"/>
      <c r="AP44" s="42"/>
      <c r="AQ44" s="42"/>
      <c r="AR44" s="42"/>
      <c r="AS44" s="41">
        <f t="shared" si="19"/>
        <v>0</v>
      </c>
      <c r="AT44" s="43"/>
      <c r="AU44" s="43"/>
      <c r="AV44" s="41">
        <f t="shared" si="20"/>
        <v>0</v>
      </c>
      <c r="AW44" s="50"/>
    </row>
    <row r="45" spans="2:49">
      <c r="B45">
        <f t="shared" si="8"/>
        <v>2008</v>
      </c>
      <c r="E45" s="41">
        <f t="shared" si="11"/>
        <v>0</v>
      </c>
      <c r="H45" s="39">
        <f t="shared" si="12"/>
        <v>0</v>
      </c>
      <c r="I45" s="64"/>
      <c r="J45" s="64"/>
      <c r="K45" s="64"/>
      <c r="L45" s="42"/>
      <c r="M45" s="41">
        <f t="shared" si="9"/>
        <v>0</v>
      </c>
      <c r="N45" s="43"/>
      <c r="O45" s="43"/>
      <c r="P45" s="41">
        <f t="shared" si="13"/>
        <v>0</v>
      </c>
      <c r="Q45" s="42"/>
      <c r="R45" s="42"/>
      <c r="S45" s="42"/>
      <c r="T45" s="42"/>
      <c r="U45" s="41">
        <f t="shared" si="10"/>
        <v>174.95700800000003</v>
      </c>
      <c r="V45" s="53" t="s">
        <v>36</v>
      </c>
      <c r="W45" s="43"/>
      <c r="X45" s="41">
        <f t="shared" si="14"/>
        <v>-54.386530999999962</v>
      </c>
      <c r="Y45" s="53" t="s">
        <v>36</v>
      </c>
      <c r="Z45" s="42"/>
      <c r="AA45" s="42"/>
      <c r="AB45" s="42"/>
      <c r="AC45" s="41">
        <f t="shared" si="15"/>
        <v>0</v>
      </c>
      <c r="AD45" s="43"/>
      <c r="AE45" s="43"/>
      <c r="AF45" s="41">
        <f t="shared" si="16"/>
        <v>0</v>
      </c>
      <c r="AG45" s="42"/>
      <c r="AH45" s="42"/>
      <c r="AI45" s="42"/>
      <c r="AJ45" s="42"/>
      <c r="AK45" s="41">
        <f t="shared" si="17"/>
        <v>0</v>
      </c>
      <c r="AL45" s="43"/>
      <c r="AM45" s="43"/>
      <c r="AN45" s="41">
        <f t="shared" si="18"/>
        <v>0</v>
      </c>
      <c r="AO45" s="42"/>
      <c r="AP45" s="42"/>
      <c r="AQ45" s="42"/>
      <c r="AR45" s="42"/>
      <c r="AS45" s="41">
        <f>AS16+SUM(AP17:AR17)-AS17</f>
        <v>8.6887384100000418</v>
      </c>
      <c r="AT45" s="53" t="s">
        <v>36</v>
      </c>
      <c r="AU45" s="43"/>
      <c r="AV45" s="41">
        <f>AV16+SUM(AT17:AU17)-AV17</f>
        <v>-3.3721520700000269</v>
      </c>
      <c r="AW45" s="53" t="s">
        <v>36</v>
      </c>
    </row>
    <row r="46" spans="2:49">
      <c r="B46">
        <f t="shared" si="8"/>
        <v>2009</v>
      </c>
      <c r="E46" s="41">
        <f t="shared" si="11"/>
        <v>0</v>
      </c>
      <c r="H46" s="39">
        <f t="shared" si="12"/>
        <v>0</v>
      </c>
      <c r="I46" s="64"/>
      <c r="J46" s="64"/>
      <c r="K46" s="64"/>
      <c r="L46" s="42"/>
      <c r="M46" s="41">
        <f t="shared" si="9"/>
        <v>0</v>
      </c>
      <c r="N46" s="43"/>
      <c r="O46" s="43"/>
      <c r="P46" s="41">
        <f t="shared" si="13"/>
        <v>0</v>
      </c>
      <c r="Q46" s="42"/>
      <c r="R46" s="42"/>
      <c r="S46" s="42"/>
      <c r="T46" s="42"/>
      <c r="U46" s="41">
        <f t="shared" si="10"/>
        <v>0</v>
      </c>
      <c r="V46" s="43"/>
      <c r="W46" s="43"/>
      <c r="X46" s="41">
        <f t="shared" si="14"/>
        <v>0</v>
      </c>
      <c r="Y46" s="42"/>
      <c r="Z46" s="42"/>
      <c r="AA46" s="42"/>
      <c r="AB46" s="42"/>
      <c r="AC46" s="41">
        <f t="shared" si="15"/>
        <v>0</v>
      </c>
      <c r="AD46" s="43"/>
      <c r="AE46" s="43"/>
      <c r="AF46" s="41">
        <f t="shared" si="16"/>
        <v>0</v>
      </c>
      <c r="AG46" s="42"/>
      <c r="AH46" s="42"/>
      <c r="AI46" s="42"/>
      <c r="AJ46" s="42"/>
      <c r="AK46" s="41">
        <f t="shared" si="17"/>
        <v>0</v>
      </c>
      <c r="AL46" s="43"/>
      <c r="AM46" s="43"/>
      <c r="AN46" s="41">
        <f t="shared" si="18"/>
        <v>0</v>
      </c>
      <c r="AO46" s="42"/>
      <c r="AP46" s="42"/>
      <c r="AQ46" s="42"/>
      <c r="AR46" s="42"/>
      <c r="AS46" s="41">
        <f t="shared" si="19"/>
        <v>-3.0374680000022636E-2</v>
      </c>
      <c r="AT46" s="43"/>
      <c r="AU46" s="43"/>
      <c r="AV46" s="41">
        <f t="shared" si="20"/>
        <v>0</v>
      </c>
      <c r="AW46" s="50"/>
    </row>
    <row r="47" spans="2:49">
      <c r="B47">
        <f t="shared" si="8"/>
        <v>2010</v>
      </c>
      <c r="E47" s="39">
        <f t="shared" si="11"/>
        <v>0</v>
      </c>
      <c r="H47" s="39">
        <f t="shared" si="12"/>
        <v>0</v>
      </c>
      <c r="I47" s="64"/>
      <c r="J47" s="64"/>
      <c r="K47" s="64"/>
      <c r="L47" s="42"/>
      <c r="M47" s="41">
        <f t="shared" si="9"/>
        <v>0</v>
      </c>
      <c r="N47" s="43"/>
      <c r="O47" s="43"/>
      <c r="P47" s="41">
        <f t="shared" si="13"/>
        <v>3.8045200000009771E-3</v>
      </c>
      <c r="Q47" s="42"/>
      <c r="R47" s="42"/>
      <c r="S47" s="42"/>
      <c r="T47" s="42"/>
      <c r="U47" s="41">
        <f>U18+SUM(R19:T19)-U19</f>
        <v>0</v>
      </c>
      <c r="V47" s="43"/>
      <c r="W47" s="43"/>
      <c r="X47" s="41">
        <f t="shared" si="14"/>
        <v>0</v>
      </c>
      <c r="Y47" s="42"/>
      <c r="Z47" s="42"/>
      <c r="AA47" s="42"/>
      <c r="AB47" s="42"/>
      <c r="AC47" s="41">
        <f t="shared" si="15"/>
        <v>0</v>
      </c>
      <c r="AD47" s="43"/>
      <c r="AE47" s="43"/>
      <c r="AF47" s="41">
        <f t="shared" si="16"/>
        <v>-3.8062330000116162E-2</v>
      </c>
      <c r="AG47" s="42"/>
      <c r="AH47" s="42"/>
      <c r="AI47" s="42"/>
      <c r="AJ47" s="42"/>
      <c r="AK47" s="41">
        <f t="shared" si="17"/>
        <v>0</v>
      </c>
      <c r="AL47" s="43"/>
      <c r="AM47" s="43"/>
      <c r="AN47" s="41">
        <f t="shared" si="18"/>
        <v>-3.9050600000791746E-3</v>
      </c>
      <c r="AO47" s="42"/>
      <c r="AP47" s="42"/>
      <c r="AQ47" s="42"/>
      <c r="AR47" s="42"/>
      <c r="AS47" s="41">
        <f t="shared" si="19"/>
        <v>5.3894259999992755E-2</v>
      </c>
      <c r="AT47" s="50" t="s">
        <v>35</v>
      </c>
      <c r="AU47" s="43"/>
      <c r="AV47" s="41">
        <f t="shared" si="20"/>
        <v>0</v>
      </c>
      <c r="AW47" s="64"/>
    </row>
    <row r="48" spans="2:49">
      <c r="B48">
        <f t="shared" si="8"/>
        <v>2011</v>
      </c>
      <c r="E48" s="39">
        <f t="shared" si="11"/>
        <v>4.0000000023354687E-7</v>
      </c>
      <c r="H48" s="39">
        <f t="shared" si="12"/>
        <v>0</v>
      </c>
      <c r="I48" s="64"/>
      <c r="J48" s="64"/>
      <c r="K48" s="64"/>
      <c r="L48" s="42"/>
      <c r="M48" s="41">
        <f t="shared" si="9"/>
        <v>0</v>
      </c>
      <c r="N48" s="43"/>
      <c r="O48" s="43"/>
      <c r="P48" s="41">
        <f t="shared" si="13"/>
        <v>1.7969999999998265E-3</v>
      </c>
      <c r="Q48" s="42"/>
      <c r="R48" s="42"/>
      <c r="S48" s="42"/>
      <c r="T48" s="42"/>
      <c r="U48" s="41">
        <f t="shared" si="10"/>
        <v>-1.1400000005323818E-4</v>
      </c>
      <c r="V48" s="43"/>
      <c r="W48" s="43"/>
      <c r="X48" s="41">
        <f t="shared" si="14"/>
        <v>4.2796850000030418E-2</v>
      </c>
      <c r="Y48" s="42"/>
      <c r="Z48" s="42"/>
      <c r="AA48" s="42"/>
      <c r="AB48" s="42"/>
      <c r="AC48" s="41">
        <f t="shared" si="15"/>
        <v>0</v>
      </c>
      <c r="AD48" s="43"/>
      <c r="AE48" s="43"/>
      <c r="AF48" s="41">
        <f t="shared" si="16"/>
        <v>2.3068000000080247E-2</v>
      </c>
      <c r="AG48" s="42"/>
      <c r="AH48" s="42"/>
      <c r="AI48" s="42"/>
      <c r="AJ48" s="42"/>
      <c r="AK48" s="41">
        <f t="shared" si="17"/>
        <v>0</v>
      </c>
      <c r="AL48" s="43"/>
      <c r="AM48" s="43"/>
      <c r="AN48" s="41">
        <f t="shared" si="18"/>
        <v>0.15201200000001336</v>
      </c>
      <c r="AO48" s="50" t="s">
        <v>35</v>
      </c>
      <c r="AP48" s="42"/>
      <c r="AQ48" s="42"/>
      <c r="AR48" s="42"/>
      <c r="AS48" s="41">
        <f t="shared" si="19"/>
        <v>-2.4569990000003372E-2</v>
      </c>
      <c r="AT48" s="43"/>
      <c r="AU48" s="43"/>
      <c r="AV48" s="41">
        <f t="shared" si="20"/>
        <v>-4.633980000022575E-3</v>
      </c>
      <c r="AW48" s="50"/>
    </row>
    <row r="49" spans="2:49">
      <c r="B49">
        <f t="shared" si="8"/>
        <v>2012</v>
      </c>
      <c r="E49" s="39">
        <f t="shared" si="11"/>
        <v>0</v>
      </c>
      <c r="H49" s="39">
        <f t="shared" si="12"/>
        <v>3.8000000035509629E-7</v>
      </c>
      <c r="I49" s="64"/>
      <c r="J49" s="64"/>
      <c r="K49" s="64"/>
      <c r="L49" s="42"/>
      <c r="M49" s="41">
        <f t="shared" si="9"/>
        <v>0</v>
      </c>
      <c r="N49" s="43"/>
      <c r="O49" s="43"/>
      <c r="P49" s="41">
        <f t="shared" si="13"/>
        <v>2.9999998929497451E-8</v>
      </c>
      <c r="Q49" s="42"/>
      <c r="R49" s="42"/>
      <c r="S49" s="42"/>
      <c r="T49" s="42"/>
      <c r="U49" s="41">
        <f t="shared" si="10"/>
        <v>1.1400000016692502E-4</v>
      </c>
      <c r="V49" s="43"/>
      <c r="W49" s="43"/>
      <c r="X49" s="41">
        <f t="shared" si="14"/>
        <v>0</v>
      </c>
      <c r="Y49" s="53"/>
      <c r="Z49" s="42"/>
      <c r="AA49" s="42"/>
      <c r="AB49" s="42"/>
      <c r="AC49" s="41">
        <f t="shared" si="15"/>
        <v>0</v>
      </c>
      <c r="AD49" s="43"/>
      <c r="AE49" s="43"/>
      <c r="AF49" s="41">
        <f t="shared" si="16"/>
        <v>5.4326012800000854</v>
      </c>
      <c r="AG49" s="53" t="s">
        <v>37</v>
      </c>
      <c r="AH49" s="42"/>
      <c r="AI49" s="42"/>
      <c r="AJ49" s="42"/>
      <c r="AK49" s="41">
        <f t="shared" si="17"/>
        <v>-1.2908020300001226</v>
      </c>
      <c r="AL49" s="53" t="s">
        <v>37</v>
      </c>
      <c r="AM49" s="43"/>
      <c r="AN49" s="41">
        <f t="shared" si="18"/>
        <v>1.3376559099997394</v>
      </c>
      <c r="AO49" s="53" t="s">
        <v>37</v>
      </c>
      <c r="AP49" s="42"/>
      <c r="AQ49" s="42"/>
      <c r="AR49" s="42"/>
      <c r="AS49" s="41">
        <f t="shared" si="19"/>
        <v>0</v>
      </c>
      <c r="AT49" s="43"/>
      <c r="AU49" s="43"/>
      <c r="AV49" s="41">
        <f t="shared" si="20"/>
        <v>-2.9999999952678991E-5</v>
      </c>
      <c r="AW49" s="50"/>
    </row>
    <row r="50" spans="2:49">
      <c r="B50">
        <f t="shared" si="8"/>
        <v>2013</v>
      </c>
      <c r="E50" s="39">
        <f t="shared" si="11"/>
        <v>-4.0000000023354687E-7</v>
      </c>
      <c r="H50" s="39">
        <f t="shared" si="12"/>
        <v>-6.6754139999998685E-2</v>
      </c>
      <c r="I50" s="44" t="s">
        <v>35</v>
      </c>
      <c r="J50" s="64"/>
      <c r="K50" s="64"/>
      <c r="L50" s="42"/>
      <c r="M50" s="41">
        <f t="shared" si="9"/>
        <v>0</v>
      </c>
      <c r="N50" s="43"/>
      <c r="O50" s="43"/>
      <c r="P50" s="41">
        <f t="shared" si="13"/>
        <v>-1.7970300000005324E-3</v>
      </c>
      <c r="Q50" s="42"/>
      <c r="R50" s="42"/>
      <c r="S50" s="42"/>
      <c r="T50" s="42"/>
      <c r="U50" s="41">
        <f t="shared" si="10"/>
        <v>-9.0000071395479608E-8</v>
      </c>
      <c r="V50" s="44"/>
      <c r="W50" s="43"/>
      <c r="X50" s="41">
        <f t="shared" si="14"/>
        <v>0</v>
      </c>
      <c r="Y50" s="53"/>
      <c r="Z50" s="42"/>
      <c r="AA50" s="42"/>
      <c r="AB50" s="42"/>
      <c r="AC50" s="41">
        <f t="shared" si="15"/>
        <v>1.5999989955162164E-7</v>
      </c>
      <c r="AD50" s="43"/>
      <c r="AE50" s="43"/>
      <c r="AF50" s="41">
        <f t="shared" si="16"/>
        <v>-5.4556692800001656</v>
      </c>
      <c r="AG50" s="53" t="s">
        <v>38</v>
      </c>
      <c r="AH50" s="42"/>
      <c r="AI50" s="42"/>
      <c r="AJ50" s="42"/>
      <c r="AK50" s="41">
        <f t="shared" si="17"/>
        <v>1.2908020300001226</v>
      </c>
      <c r="AL50" s="53" t="s">
        <v>38</v>
      </c>
      <c r="AM50" s="43"/>
      <c r="AN50" s="41">
        <f t="shared" si="18"/>
        <v>-1.4896669899999324</v>
      </c>
      <c r="AO50" s="53" t="s">
        <v>38</v>
      </c>
      <c r="AP50" s="42"/>
      <c r="AQ50" s="42"/>
      <c r="AR50" s="42"/>
      <c r="AS50" s="41">
        <f t="shared" si="19"/>
        <v>0</v>
      </c>
      <c r="AT50" s="43"/>
      <c r="AU50" s="43"/>
      <c r="AV50" s="41">
        <f t="shared" si="20"/>
        <v>0.15724999999999056</v>
      </c>
      <c r="AW50" s="50" t="s">
        <v>35</v>
      </c>
    </row>
    <row r="51" spans="2:49">
      <c r="B51">
        <f t="shared" si="8"/>
        <v>2014</v>
      </c>
      <c r="E51" s="39">
        <f t="shared" si="11"/>
        <v>0</v>
      </c>
      <c r="H51" s="39">
        <f t="shared" si="12"/>
        <v>0</v>
      </c>
      <c r="I51" s="64"/>
      <c r="J51" s="64"/>
      <c r="K51" s="64"/>
      <c r="L51" s="42"/>
      <c r="M51" s="41">
        <f t="shared" si="9"/>
        <v>3.1999999805520929E-7</v>
      </c>
      <c r="N51" s="43"/>
      <c r="O51" s="43"/>
      <c r="P51" s="41">
        <f t="shared" si="13"/>
        <v>0</v>
      </c>
      <c r="Q51" s="42"/>
      <c r="R51" s="42"/>
      <c r="S51" s="42"/>
      <c r="T51" s="42"/>
      <c r="U51" s="41">
        <f t="shared" si="10"/>
        <v>-9.5500000043102773E-5</v>
      </c>
      <c r="V51" s="43"/>
      <c r="W51" s="43"/>
      <c r="X51" s="41">
        <f t="shared" si="14"/>
        <v>0</v>
      </c>
      <c r="Y51" s="42"/>
      <c r="Z51" s="42"/>
      <c r="AA51" s="42"/>
      <c r="AB51" s="42"/>
      <c r="AC51" s="41">
        <f t="shared" si="15"/>
        <v>-3.9999804357648827E-8</v>
      </c>
      <c r="AD51" s="43"/>
      <c r="AE51" s="43"/>
      <c r="AF51" s="41">
        <f t="shared" si="16"/>
        <v>0</v>
      </c>
      <c r="AG51" s="42"/>
      <c r="AH51" s="42"/>
      <c r="AI51" s="42"/>
      <c r="AJ51" s="42"/>
      <c r="AK51" s="41">
        <f t="shared" si="17"/>
        <v>0</v>
      </c>
      <c r="AL51" s="43"/>
      <c r="AM51" s="43"/>
      <c r="AN51" s="41">
        <f t="shared" si="18"/>
        <v>8.0000063462648541E-8</v>
      </c>
      <c r="AO51" s="42"/>
      <c r="AP51" s="42"/>
      <c r="AQ51" s="42"/>
      <c r="AR51" s="42"/>
      <c r="AS51" s="41">
        <f t="shared" si="19"/>
        <v>0</v>
      </c>
      <c r="AT51" s="43"/>
      <c r="AU51" s="43"/>
      <c r="AV51" s="41">
        <f t="shared" si="20"/>
        <v>4.219771199132083E-10</v>
      </c>
      <c r="AW51" s="64"/>
    </row>
    <row r="52" spans="2:49">
      <c r="B52">
        <f t="shared" si="8"/>
        <v>2015</v>
      </c>
      <c r="E52" s="39">
        <f t="shared" si="11"/>
        <v>0</v>
      </c>
      <c r="H52" s="39">
        <f t="shared" si="12"/>
        <v>0</v>
      </c>
      <c r="I52" s="64"/>
      <c r="J52" s="64"/>
      <c r="K52" s="64"/>
      <c r="L52" s="42"/>
      <c r="M52" s="41">
        <f t="shared" si="9"/>
        <v>-3.2000000160792297E-7</v>
      </c>
      <c r="N52" s="43"/>
      <c r="O52" s="43"/>
      <c r="P52" s="41">
        <f t="shared" si="13"/>
        <v>0</v>
      </c>
      <c r="Q52" s="42"/>
      <c r="R52" s="42"/>
      <c r="S52" s="42"/>
      <c r="T52" s="42"/>
      <c r="U52" s="41">
        <f t="shared" si="10"/>
        <v>0</v>
      </c>
      <c r="V52" s="43"/>
      <c r="W52" s="43"/>
      <c r="X52" s="41">
        <f t="shared" si="14"/>
        <v>9.9999510894122068E-9</v>
      </c>
      <c r="Y52" s="53"/>
      <c r="Z52" s="42"/>
      <c r="AA52" s="42"/>
      <c r="AB52" s="42"/>
      <c r="AC52" s="41">
        <f t="shared" si="15"/>
        <v>1.4248800002860662E-3</v>
      </c>
      <c r="AD52" s="43"/>
      <c r="AE52" s="43"/>
      <c r="AF52" s="41">
        <f t="shared" si="16"/>
        <v>0</v>
      </c>
      <c r="AG52" s="42"/>
      <c r="AH52" s="42"/>
      <c r="AI52" s="42"/>
      <c r="AJ52" s="42"/>
      <c r="AK52" s="41">
        <f t="shared" si="17"/>
        <v>0</v>
      </c>
      <c r="AL52" s="43"/>
      <c r="AM52" s="43"/>
      <c r="AN52" s="41">
        <f t="shared" si="18"/>
        <v>0</v>
      </c>
      <c r="AO52" s="42"/>
      <c r="AP52" s="42"/>
      <c r="AQ52" s="42"/>
      <c r="AR52" s="42"/>
      <c r="AS52" s="41">
        <f t="shared" si="19"/>
        <v>0</v>
      </c>
      <c r="AT52" s="43"/>
      <c r="AU52" s="43"/>
      <c r="AV52" s="41">
        <f t="shared" si="20"/>
        <v>0</v>
      </c>
      <c r="AW52" s="64"/>
    </row>
    <row r="53" spans="2:49">
      <c r="B53">
        <f t="shared" si="8"/>
        <v>2016</v>
      </c>
      <c r="E53" s="39">
        <f t="shared" si="11"/>
        <v>0</v>
      </c>
      <c r="H53" s="39">
        <f t="shared" si="12"/>
        <v>0</v>
      </c>
      <c r="I53" s="64"/>
      <c r="J53" s="64"/>
      <c r="K53" s="64"/>
      <c r="L53" s="42"/>
      <c r="M53" s="41">
        <f t="shared" si="9"/>
        <v>0</v>
      </c>
      <c r="N53" s="43"/>
      <c r="O53" s="43"/>
      <c r="P53" s="41">
        <f t="shared" si="13"/>
        <v>0</v>
      </c>
      <c r="Q53" s="42"/>
      <c r="R53" s="42"/>
      <c r="S53" s="42"/>
      <c r="T53" s="42"/>
      <c r="U53" s="41">
        <f t="shared" si="10"/>
        <v>4.9690000082591723E-5</v>
      </c>
      <c r="V53" s="43"/>
      <c r="W53" s="43"/>
      <c r="X53" s="41">
        <f t="shared" si="14"/>
        <v>-9.999894245993346E-9</v>
      </c>
      <c r="Y53" s="53"/>
      <c r="Z53" s="42"/>
      <c r="AA53" s="42"/>
      <c r="AB53" s="42"/>
      <c r="AC53" s="41">
        <f t="shared" si="15"/>
        <v>-2.1084157300010702</v>
      </c>
      <c r="AD53" s="53" t="s">
        <v>39</v>
      </c>
      <c r="AE53" s="43"/>
      <c r="AF53" s="41">
        <f t="shared" si="16"/>
        <v>0</v>
      </c>
      <c r="AG53" s="42"/>
      <c r="AH53" s="42"/>
      <c r="AI53" s="42"/>
      <c r="AJ53" s="42"/>
      <c r="AK53" s="41">
        <f t="shared" si="17"/>
        <v>-7.8651895000020886</v>
      </c>
      <c r="AL53" s="53" t="s">
        <v>39</v>
      </c>
      <c r="AM53" s="43"/>
      <c r="AN53" s="41">
        <f t="shared" si="18"/>
        <v>0</v>
      </c>
      <c r="AO53" s="42"/>
      <c r="AP53" s="42"/>
      <c r="AQ53" s="42"/>
      <c r="AR53" s="42"/>
      <c r="AS53" s="41">
        <f t="shared" si="19"/>
        <v>0</v>
      </c>
      <c r="AT53" s="43"/>
      <c r="AU53" s="43"/>
      <c r="AV53" s="41">
        <f t="shared" si="20"/>
        <v>0</v>
      </c>
      <c r="AW53" s="64"/>
    </row>
    <row r="54" spans="2:49">
      <c r="B54">
        <f t="shared" si="8"/>
        <v>2017</v>
      </c>
      <c r="E54" s="39">
        <f t="shared" si="11"/>
        <v>0</v>
      </c>
      <c r="H54" s="39">
        <f t="shared" si="12"/>
        <v>0</v>
      </c>
      <c r="I54" s="64"/>
      <c r="J54" s="64"/>
      <c r="K54" s="64"/>
      <c r="L54" s="42"/>
      <c r="M54" s="41">
        <f t="shared" si="9"/>
        <v>0</v>
      </c>
      <c r="N54" s="43"/>
      <c r="O54" s="43"/>
      <c r="P54" s="41">
        <f t="shared" si="13"/>
        <v>0</v>
      </c>
      <c r="Q54" s="42"/>
      <c r="R54" s="42"/>
      <c r="S54" s="42"/>
      <c r="T54" s="42"/>
      <c r="U54" s="41">
        <f t="shared" si="10"/>
        <v>-4.9600000011196244E-5</v>
      </c>
      <c r="V54" s="43"/>
      <c r="W54" s="43"/>
      <c r="X54" s="41">
        <f t="shared" si="14"/>
        <v>0</v>
      </c>
      <c r="Y54" s="42"/>
      <c r="Z54" s="42"/>
      <c r="AA54" s="42"/>
      <c r="AB54" s="42"/>
      <c r="AC54" s="41">
        <f t="shared" si="15"/>
        <v>2.1084157099999175</v>
      </c>
      <c r="AD54" s="53" t="s">
        <v>40</v>
      </c>
      <c r="AE54" s="43"/>
      <c r="AF54" s="41">
        <f t="shared" si="16"/>
        <v>-4.8000003971537808E-7</v>
      </c>
      <c r="AG54" s="42"/>
      <c r="AH54" s="42"/>
      <c r="AI54" s="42"/>
      <c r="AJ54" s="42"/>
      <c r="AK54" s="41">
        <f t="shared" si="17"/>
        <v>7.8651895000011791</v>
      </c>
      <c r="AL54" s="53" t="s">
        <v>40</v>
      </c>
      <c r="AM54" s="43"/>
      <c r="AN54" s="41">
        <f t="shared" si="18"/>
        <v>-1.6662000007272582E-4</v>
      </c>
      <c r="AO54" s="42"/>
      <c r="AP54" s="42"/>
      <c r="AQ54" s="42"/>
      <c r="AR54" s="42"/>
      <c r="AS54" s="41">
        <f t="shared" si="19"/>
        <v>0</v>
      </c>
      <c r="AT54" s="43"/>
      <c r="AU54" s="43"/>
      <c r="AV54" s="41">
        <f t="shared" si="20"/>
        <v>0</v>
      </c>
      <c r="AW54" s="64"/>
    </row>
    <row r="55" spans="2:49">
      <c r="B55">
        <f t="shared" si="8"/>
        <v>2018</v>
      </c>
      <c r="E55" s="39">
        <f t="shared" si="11"/>
        <v>0</v>
      </c>
      <c r="H55" s="39">
        <f t="shared" si="12"/>
        <v>0</v>
      </c>
      <c r="I55" s="64"/>
      <c r="J55" s="64"/>
      <c r="K55" s="64"/>
      <c r="L55" s="42"/>
      <c r="M55" s="41">
        <f t="shared" si="9"/>
        <v>0</v>
      </c>
      <c r="N55" s="43"/>
      <c r="O55" s="43"/>
      <c r="P55" s="41">
        <f t="shared" si="13"/>
        <v>0</v>
      </c>
      <c r="Q55" s="42"/>
      <c r="R55" s="42"/>
      <c r="S55" s="42"/>
      <c r="T55" s="42"/>
      <c r="U55" s="41">
        <f t="shared" si="10"/>
        <v>8.9999957708641887E-8</v>
      </c>
      <c r="V55" s="43"/>
      <c r="W55" s="43"/>
      <c r="X55" s="41">
        <f t="shared" si="14"/>
        <v>-3.9999997625272954E-7</v>
      </c>
      <c r="Y55" s="42"/>
      <c r="Z55" s="42"/>
      <c r="AA55" s="42"/>
      <c r="AB55" s="42"/>
      <c r="AC55" s="41">
        <f t="shared" si="15"/>
        <v>0</v>
      </c>
      <c r="AD55" s="43"/>
      <c r="AE55" s="43"/>
      <c r="AF55" s="41">
        <f t="shared" si="16"/>
        <v>8.9999957708641887E-8</v>
      </c>
      <c r="AG55" s="42"/>
      <c r="AH55" s="42"/>
      <c r="AI55" s="42"/>
      <c r="AJ55" s="42"/>
      <c r="AK55" s="41">
        <f t="shared" si="17"/>
        <v>0</v>
      </c>
      <c r="AL55" s="43"/>
      <c r="AM55" s="43"/>
      <c r="AN55" s="41">
        <f t="shared" si="18"/>
        <v>-2.5315999982922222E-4</v>
      </c>
      <c r="AO55" s="42"/>
      <c r="AP55" s="42"/>
      <c r="AQ55" s="42"/>
      <c r="AR55" s="42"/>
      <c r="AS55" s="41">
        <f t="shared" si="19"/>
        <v>2.6613889600390053</v>
      </c>
      <c r="AT55" s="50" t="s">
        <v>35</v>
      </c>
      <c r="AU55" s="43"/>
      <c r="AV55" s="41">
        <f t="shared" si="20"/>
        <v>2.4759856387390755E-9</v>
      </c>
      <c r="AW55" s="64"/>
    </row>
    <row r="56" spans="2:49">
      <c r="B56">
        <f t="shared" si="8"/>
        <v>2019</v>
      </c>
      <c r="E56" s="39">
        <f t="shared" si="11"/>
        <v>-3.0158010000000068E-2</v>
      </c>
      <c r="H56" s="39">
        <f t="shared" si="12"/>
        <v>3.9883730000000117E-2</v>
      </c>
      <c r="I56" s="64"/>
      <c r="J56" s="64"/>
      <c r="K56" s="64"/>
      <c r="L56" s="42"/>
      <c r="M56" s="41">
        <f t="shared" si="9"/>
        <v>-2.078140000001838E-3</v>
      </c>
      <c r="N56" s="43"/>
      <c r="O56" s="43"/>
      <c r="P56" s="41">
        <f t="shared" si="13"/>
        <v>-1.1579250000000485E-2</v>
      </c>
      <c r="Q56" s="42"/>
      <c r="R56" s="42"/>
      <c r="S56" s="42"/>
      <c r="T56" s="42"/>
      <c r="U56" s="41">
        <f t="shared" si="10"/>
        <v>4.8061999999958971E-2</v>
      </c>
      <c r="V56" s="38"/>
      <c r="W56" s="43"/>
      <c r="X56" s="41">
        <f t="shared" si="14"/>
        <v>-3.8838819999966745E-2</v>
      </c>
      <c r="Y56" s="38"/>
      <c r="Z56" s="42"/>
      <c r="AA56" s="42"/>
      <c r="AB56" s="42"/>
      <c r="AC56" s="41">
        <f t="shared" si="15"/>
        <v>-7.3902750199995353</v>
      </c>
      <c r="AD56" s="53" t="s">
        <v>35</v>
      </c>
      <c r="AE56" s="43"/>
      <c r="AF56" s="41">
        <f t="shared" si="16"/>
        <v>-9.5927780000010898E-2</v>
      </c>
      <c r="AG56" s="53" t="s">
        <v>35</v>
      </c>
      <c r="AH56" s="42"/>
      <c r="AI56" s="42"/>
      <c r="AJ56" s="42"/>
      <c r="AK56" s="41">
        <f t="shared" si="17"/>
        <v>-9.2437349999272556E-2</v>
      </c>
      <c r="AL56" s="53" t="s">
        <v>35</v>
      </c>
      <c r="AM56" s="43"/>
      <c r="AN56" s="41">
        <f t="shared" si="18"/>
        <v>4.1739320000488078E-2</v>
      </c>
      <c r="AO56" s="42"/>
      <c r="AP56" s="42"/>
      <c r="AQ56" s="42"/>
      <c r="AR56" s="42"/>
      <c r="AS56" s="41">
        <f t="shared" si="19"/>
        <v>-2.7184795622133606E-2</v>
      </c>
      <c r="AT56" s="38"/>
      <c r="AU56" s="43"/>
      <c r="AV56" s="41">
        <f t="shared" si="20"/>
        <v>1.2394945742016716E-2</v>
      </c>
      <c r="AW56" s="38"/>
    </row>
    <row r="57" spans="2:49">
      <c r="B57">
        <f t="shared" si="8"/>
        <v>2020</v>
      </c>
      <c r="E57" s="39">
        <f t="shared" si="11"/>
        <v>0</v>
      </c>
      <c r="H57" s="41">
        <f t="shared" si="12"/>
        <v>-6.4637279999999908E-2</v>
      </c>
      <c r="I57" s="44" t="s">
        <v>35</v>
      </c>
      <c r="J57" s="64"/>
      <c r="K57" s="64"/>
      <c r="L57" s="42"/>
      <c r="M57" s="41">
        <f t="shared" si="9"/>
        <v>2.8965229999997177E-2</v>
      </c>
      <c r="N57" s="43"/>
      <c r="O57" s="43"/>
      <c r="P57" s="41">
        <f t="shared" si="13"/>
        <v>-0.10000000000000142</v>
      </c>
      <c r="Q57" s="44" t="s">
        <v>35</v>
      </c>
      <c r="R57" s="42"/>
      <c r="S57" s="42"/>
      <c r="T57" s="42"/>
      <c r="U57" s="41">
        <f t="shared" si="10"/>
        <v>0</v>
      </c>
      <c r="V57" s="43"/>
      <c r="W57" s="43"/>
      <c r="X57" s="41">
        <f t="shared" si="14"/>
        <v>0</v>
      </c>
      <c r="Y57" s="42"/>
      <c r="Z57" s="42"/>
      <c r="AA57" s="42"/>
      <c r="AB57" s="42"/>
      <c r="AC57" s="41">
        <f t="shared" si="15"/>
        <v>-9.9999999999909051E-2</v>
      </c>
      <c r="AD57" s="53" t="s">
        <v>35</v>
      </c>
      <c r="AE57" s="43"/>
      <c r="AF57" s="41">
        <f t="shared" si="16"/>
        <v>0</v>
      </c>
      <c r="AG57" s="42"/>
      <c r="AH57" s="42"/>
      <c r="AI57" s="42"/>
      <c r="AJ57" s="42"/>
      <c r="AK57" s="41">
        <f t="shared" si="17"/>
        <v>0</v>
      </c>
      <c r="AM57" s="43"/>
      <c r="AN57" s="41">
        <f t="shared" si="18"/>
        <v>-9.9999999999909051E-2</v>
      </c>
      <c r="AO57" s="53" t="s">
        <v>35</v>
      </c>
      <c r="AP57" s="42"/>
      <c r="AQ57" s="42"/>
      <c r="AR57" s="42"/>
      <c r="AS57" s="41">
        <f t="shared" si="19"/>
        <v>0</v>
      </c>
      <c r="AT57" s="43"/>
      <c r="AU57" s="43"/>
      <c r="AV57" s="41">
        <f t="shared" si="20"/>
        <v>0</v>
      </c>
      <c r="AW57" s="64"/>
    </row>
    <row r="58" spans="2:49">
      <c r="B58">
        <f t="shared" si="8"/>
        <v>2021</v>
      </c>
      <c r="E58" s="39">
        <f t="shared" ref="E58" si="21">E29+SUM(C30:D30)-E30</f>
        <v>0</v>
      </c>
      <c r="H58" s="41">
        <f t="shared" ref="H58" si="22">H29+SUM(F30:G30)-H30</f>
        <v>0</v>
      </c>
      <c r="I58" s="44"/>
      <c r="J58" s="64"/>
      <c r="K58" s="64"/>
      <c r="L58" s="42"/>
      <c r="M58" s="41">
        <f t="shared" ref="M58" si="23">M29+SUM(J30:L30)-M30</f>
        <v>0</v>
      </c>
      <c r="N58" s="43"/>
      <c r="O58" s="43"/>
      <c r="P58" s="41">
        <f t="shared" ref="P58" si="24">P29+SUM(N30:O30)-P30</f>
        <v>9.9999999999997868E-2</v>
      </c>
      <c r="Q58" s="44"/>
      <c r="R58" s="42"/>
      <c r="S58" s="42"/>
      <c r="T58" s="42"/>
      <c r="U58" s="41">
        <f t="shared" ref="U58" si="25">U29+SUM(R30:T30)-U30</f>
        <v>0</v>
      </c>
      <c r="V58" s="43"/>
      <c r="W58" s="43"/>
      <c r="X58" s="41">
        <f t="shared" ref="X58" si="26">X29+SUM(V30:W30)-X30</f>
        <v>-0.10000000000002274</v>
      </c>
      <c r="Y58" s="53"/>
      <c r="Z58" s="42"/>
      <c r="AA58" s="42"/>
      <c r="AB58" s="42"/>
      <c r="AC58" s="41">
        <f t="shared" ref="AC58" si="27">AC29+SUM(Z30:AB30)-AC30</f>
        <v>-9.9999999999909051E-2</v>
      </c>
      <c r="AD58" s="53"/>
      <c r="AE58" s="43"/>
      <c r="AF58" s="41">
        <f t="shared" ref="AF58" si="28">AF29+SUM(AD30:AE30)-AF30</f>
        <v>0</v>
      </c>
      <c r="AG58" s="42"/>
      <c r="AH58" s="42"/>
      <c r="AI58" s="42"/>
      <c r="AJ58" s="42"/>
      <c r="AK58" s="41">
        <f t="shared" ref="AK58" si="29">AK29+SUM(AH30:AJ30)-AK30</f>
        <v>-0.1000000000003638</v>
      </c>
      <c r="AL58" s="53"/>
      <c r="AM58" s="43"/>
      <c r="AN58" s="41">
        <f t="shared" ref="AN58" si="30">AN29+SUM(AL30:AM30)-AN30</f>
        <v>9.9999999999909051E-2</v>
      </c>
      <c r="AO58" s="53"/>
      <c r="AP58" s="64"/>
      <c r="AQ58" s="64"/>
      <c r="AR58" s="64"/>
      <c r="AS58" s="41">
        <f t="shared" ref="AS58" si="31">AS29+SUM(AP30:AR30)-AS30</f>
        <v>0</v>
      </c>
      <c r="AT58" s="43"/>
      <c r="AU58" s="43"/>
      <c r="AV58" s="41">
        <f t="shared" ref="AV58" si="32">AV29+SUM(AT30:AU30)-AV30</f>
        <v>-9.9999999999994316E-2</v>
      </c>
      <c r="AW58" s="64"/>
    </row>
    <row r="59" spans="2:49">
      <c r="B59">
        <f t="shared" si="8"/>
        <v>2022</v>
      </c>
      <c r="E59" s="39">
        <f t="shared" ref="E59" si="33">E30+SUM(C31:D31)-E31</f>
        <v>0</v>
      </c>
      <c r="H59" s="41">
        <f t="shared" ref="H59" si="34">H30+SUM(F31:G31)-H31</f>
        <v>-0.10000000000000009</v>
      </c>
      <c r="I59" s="44"/>
      <c r="J59" s="64"/>
      <c r="K59" s="64"/>
      <c r="L59" s="42"/>
      <c r="M59" s="41">
        <f t="shared" ref="M59" si="35">M30+SUM(J31:L31)-M31</f>
        <v>0</v>
      </c>
      <c r="N59" s="43"/>
      <c r="O59" s="43"/>
      <c r="P59" s="41">
        <f t="shared" ref="P59" si="36">P30+SUM(N31:O31)-P31</f>
        <v>-9.9999999999997868E-2</v>
      </c>
      <c r="Q59" s="44"/>
      <c r="R59" s="42"/>
      <c r="S59" s="42"/>
      <c r="T59" s="42"/>
      <c r="U59" s="41">
        <f t="shared" ref="U59" si="37">U30+SUM(R31:T31)-U31</f>
        <v>0</v>
      </c>
      <c r="V59" s="43"/>
      <c r="W59" s="43"/>
      <c r="X59" s="41">
        <f t="shared" ref="X59" si="38">X30+SUM(V31:W31)-X31</f>
        <v>0.10000000000002274</v>
      </c>
      <c r="Y59" s="53"/>
      <c r="Z59" s="42"/>
      <c r="AA59" s="42"/>
      <c r="AB59" s="42"/>
      <c r="AC59" s="41">
        <f t="shared" ref="AC59" si="39">AC30+SUM(Z31:AB31)-AC31</f>
        <v>0</v>
      </c>
      <c r="AD59" s="53"/>
      <c r="AE59" s="43"/>
      <c r="AF59" s="41">
        <f t="shared" ref="AF59" si="40">AF30+SUM(AD31:AE31)-AF31</f>
        <v>0</v>
      </c>
      <c r="AG59" s="42"/>
      <c r="AH59" s="42"/>
      <c r="AI59" s="42"/>
      <c r="AJ59" s="42"/>
      <c r="AK59" s="41">
        <f t="shared" ref="AK59" si="41">AK30+SUM(AH31:AJ31)-AK31</f>
        <v>0</v>
      </c>
      <c r="AL59" s="53"/>
      <c r="AM59" s="43"/>
      <c r="AN59" s="41">
        <f t="shared" ref="AN59" si="42">AN30+SUM(AL31:AM31)-AN31</f>
        <v>0</v>
      </c>
      <c r="AO59" s="53"/>
      <c r="AP59" s="64"/>
      <c r="AQ59" s="64"/>
      <c r="AR59" s="64"/>
      <c r="AS59" s="41">
        <f t="shared" ref="AS59" si="43">AS30+SUM(AP31:AR31)-AS31</f>
        <v>-0.10000000000002274</v>
      </c>
      <c r="AT59" s="43"/>
      <c r="AU59" s="43"/>
      <c r="AV59" s="41">
        <f t="shared" ref="AV59" si="44">AV30+SUM(AT31:AU31)-AV31</f>
        <v>-9.9999999999994316E-2</v>
      </c>
    </row>
    <row r="60" spans="2:49">
      <c r="I60" s="16"/>
    </row>
  </sheetData>
  <mergeCells count="6">
    <mergeCell ref="AP2:AW2"/>
    <mergeCell ref="C2:I2"/>
    <mergeCell ref="J2:Q2"/>
    <mergeCell ref="R2:Y2"/>
    <mergeCell ref="Z2:AG2"/>
    <mergeCell ref="AH2:AO2"/>
  </mergeCells>
  <conditionalFormatting sqref="E3:F3 H3">
    <cfRule type="containsText" dxfId="35" priority="35" operator="containsText" text="See Memo on TFP Update for Enbridge">
      <formula>NOT(ISERROR(SEARCH("See Memo on TFP Update for Enbridge",E3)))</formula>
    </cfRule>
  </conditionalFormatting>
  <conditionalFormatting sqref="C3">
    <cfRule type="containsText" dxfId="34" priority="38" operator="containsText" text="See Memo on TFP Update for Enbridge">
      <formula>NOT(ISERROR(SEARCH("See Memo on TFP Update for Enbridge",C3)))</formula>
    </cfRule>
  </conditionalFormatting>
  <conditionalFormatting sqref="D3">
    <cfRule type="containsText" dxfId="33" priority="37" operator="containsText" text="See Memo on TFP Update for Enbridge">
      <formula>NOT(ISERROR(SEARCH("See Memo on TFP Update for Enbridge",D3)))</formula>
    </cfRule>
  </conditionalFormatting>
  <conditionalFormatting sqref="I3">
    <cfRule type="containsText" dxfId="32" priority="34" operator="containsText" text="See Memo on TFP Update for Enbridge">
      <formula>NOT(ISERROR(SEARCH("See Memo on TFP Update for Enbridge",I3)))</formula>
    </cfRule>
  </conditionalFormatting>
  <conditionalFormatting sqref="G3:H3">
    <cfRule type="containsText" dxfId="31" priority="32" operator="containsText" text="See Memo on TFP Update for Enbridge">
      <formula>NOT(ISERROR(SEARCH("See Memo on TFP Update for Enbridge",G3)))</formula>
    </cfRule>
  </conditionalFormatting>
  <conditionalFormatting sqref="G3:H3">
    <cfRule type="containsText" dxfId="30" priority="31" operator="containsText" text="See Memo on TFP Update for Enbridge">
      <formula>NOT(ISERROR(SEARCH("See Memo on TFP Update for Enbridge",G3)))</formula>
    </cfRule>
  </conditionalFormatting>
  <conditionalFormatting sqref="M3:N3 P3">
    <cfRule type="containsText" dxfId="29" priority="28" operator="containsText" text="See Memo on TFP Update for Enbridge">
      <formula>NOT(ISERROR(SEARCH("See Memo on TFP Update for Enbridge",M3)))</formula>
    </cfRule>
  </conditionalFormatting>
  <conditionalFormatting sqref="J3:K3">
    <cfRule type="containsText" dxfId="28" priority="30" operator="containsText" text="See Memo on TFP Update for Enbridge">
      <formula>NOT(ISERROR(SEARCH("See Memo on TFP Update for Enbridge",J3)))</formula>
    </cfRule>
  </conditionalFormatting>
  <conditionalFormatting sqref="L3">
    <cfRule type="containsText" dxfId="27" priority="29" operator="containsText" text="See Memo on TFP Update for Enbridge">
      <formula>NOT(ISERROR(SEARCH("See Memo on TFP Update for Enbridge",L3)))</formula>
    </cfRule>
  </conditionalFormatting>
  <conditionalFormatting sqref="Q3">
    <cfRule type="containsText" dxfId="26" priority="27" operator="containsText" text="See Memo on TFP Update for Enbridge">
      <formula>NOT(ISERROR(SEARCH("See Memo on TFP Update for Enbridge",Q3)))</formula>
    </cfRule>
  </conditionalFormatting>
  <conditionalFormatting sqref="O3:P3">
    <cfRule type="containsText" dxfId="25" priority="25" operator="containsText" text="See Memo on TFP Update for Enbridge">
      <formula>NOT(ISERROR(SEARCH("See Memo on TFP Update for Enbridge",O3)))</formula>
    </cfRule>
  </conditionalFormatting>
  <conditionalFormatting sqref="O3:P3">
    <cfRule type="containsText" dxfId="24" priority="26" operator="containsText" text="See Memo on TFP Update for Enbridge">
      <formula>NOT(ISERROR(SEARCH("See Memo on TFP Update for Enbridge",O3)))</formula>
    </cfRule>
  </conditionalFormatting>
  <conditionalFormatting sqref="W3:X3">
    <cfRule type="containsText" dxfId="23" priority="19" operator="containsText" text="See Memo on TFP Update for Enbridge">
      <formula>NOT(ISERROR(SEARCH("See Memo on TFP Update for Enbridge",W3)))</formula>
    </cfRule>
  </conditionalFormatting>
  <conditionalFormatting sqref="U3:V3 X3">
    <cfRule type="containsText" dxfId="22" priority="22" operator="containsText" text="See Memo on TFP Update for Enbridge">
      <formula>NOT(ISERROR(SEARCH("See Memo on TFP Update for Enbridge",U3)))</formula>
    </cfRule>
  </conditionalFormatting>
  <conditionalFormatting sqref="R3:S3">
    <cfRule type="containsText" dxfId="21" priority="24" operator="containsText" text="See Memo on TFP Update for Enbridge">
      <formula>NOT(ISERROR(SEARCH("See Memo on TFP Update for Enbridge",R3)))</formula>
    </cfRule>
  </conditionalFormatting>
  <conditionalFormatting sqref="T3">
    <cfRule type="containsText" dxfId="20" priority="23" operator="containsText" text="See Memo on TFP Update for Enbridge">
      <formula>NOT(ISERROR(SEARCH("See Memo on TFP Update for Enbridge",T3)))</formula>
    </cfRule>
  </conditionalFormatting>
  <conditionalFormatting sqref="Y3">
    <cfRule type="containsText" dxfId="19" priority="21" operator="containsText" text="See Memo on TFP Update for Enbridge">
      <formula>NOT(ISERROR(SEARCH("See Memo on TFP Update for Enbridge",Y3)))</formula>
    </cfRule>
  </conditionalFormatting>
  <conditionalFormatting sqref="W3:X3">
    <cfRule type="containsText" dxfId="18" priority="20" operator="containsText" text="See Memo on TFP Update for Enbridge">
      <formula>NOT(ISERROR(SEARCH("See Memo on TFP Update for Enbridge",W3)))</formula>
    </cfRule>
  </conditionalFormatting>
  <conditionalFormatting sqref="AE3:AF3">
    <cfRule type="containsText" dxfId="17" priority="13" operator="containsText" text="See Memo on TFP Update for Enbridge">
      <formula>NOT(ISERROR(SEARCH("See Memo on TFP Update for Enbridge",AE3)))</formula>
    </cfRule>
  </conditionalFormatting>
  <conditionalFormatting sqref="AC3:AD3 AF3">
    <cfRule type="containsText" dxfId="16" priority="16" operator="containsText" text="See Memo on TFP Update for Enbridge">
      <formula>NOT(ISERROR(SEARCH("See Memo on TFP Update for Enbridge",AC3)))</formula>
    </cfRule>
  </conditionalFormatting>
  <conditionalFormatting sqref="Z3:AA3">
    <cfRule type="containsText" dxfId="15" priority="18" operator="containsText" text="See Memo on TFP Update for Enbridge">
      <formula>NOT(ISERROR(SEARCH("See Memo on TFP Update for Enbridge",Z3)))</formula>
    </cfRule>
  </conditionalFormatting>
  <conditionalFormatting sqref="AB3">
    <cfRule type="containsText" dxfId="14" priority="17" operator="containsText" text="See Memo on TFP Update for Enbridge">
      <formula>NOT(ISERROR(SEARCH("See Memo on TFP Update for Enbridge",AB3)))</formula>
    </cfRule>
  </conditionalFormatting>
  <conditionalFormatting sqref="AG3">
    <cfRule type="containsText" dxfId="13" priority="15" operator="containsText" text="See Memo on TFP Update for Enbridge">
      <formula>NOT(ISERROR(SEARCH("See Memo on TFP Update for Enbridge",AG3)))</formula>
    </cfRule>
  </conditionalFormatting>
  <conditionalFormatting sqref="AE3:AF3">
    <cfRule type="containsText" dxfId="12" priority="14" operator="containsText" text="See Memo on TFP Update for Enbridge">
      <formula>NOT(ISERROR(SEARCH("See Memo on TFP Update for Enbridge",AE3)))</formula>
    </cfRule>
  </conditionalFormatting>
  <conditionalFormatting sqref="AM3:AN3">
    <cfRule type="containsText" dxfId="11" priority="7" operator="containsText" text="See Memo on TFP Update for Enbridge">
      <formula>NOT(ISERROR(SEARCH("See Memo on TFP Update for Enbridge",AM3)))</formula>
    </cfRule>
  </conditionalFormatting>
  <conditionalFormatting sqref="AK3:AL3 AN3">
    <cfRule type="containsText" dxfId="10" priority="10" operator="containsText" text="See Memo on TFP Update for Enbridge">
      <formula>NOT(ISERROR(SEARCH("See Memo on TFP Update for Enbridge",AK3)))</formula>
    </cfRule>
  </conditionalFormatting>
  <conditionalFormatting sqref="AH3:AI3">
    <cfRule type="containsText" dxfId="9" priority="12" operator="containsText" text="See Memo on TFP Update for Enbridge">
      <formula>NOT(ISERROR(SEARCH("See Memo on TFP Update for Enbridge",AH3)))</formula>
    </cfRule>
  </conditionalFormatting>
  <conditionalFormatting sqref="AJ3">
    <cfRule type="containsText" dxfId="8" priority="11" operator="containsText" text="See Memo on TFP Update for Enbridge">
      <formula>NOT(ISERROR(SEARCH("See Memo on TFP Update for Enbridge",AJ3)))</formula>
    </cfRule>
  </conditionalFormatting>
  <conditionalFormatting sqref="AO3">
    <cfRule type="containsText" dxfId="7" priority="9" operator="containsText" text="See Memo on TFP Update for Enbridge">
      <formula>NOT(ISERROR(SEARCH("See Memo on TFP Update for Enbridge",AO3)))</formula>
    </cfRule>
  </conditionalFormatting>
  <conditionalFormatting sqref="AM3:AN3">
    <cfRule type="containsText" dxfId="6" priority="8" operator="containsText" text="See Memo on TFP Update for Enbridge">
      <formula>NOT(ISERROR(SEARCH("See Memo on TFP Update for Enbridge",AM3)))</formula>
    </cfRule>
  </conditionalFormatting>
  <conditionalFormatting sqref="AU3:AV3">
    <cfRule type="containsText" dxfId="5" priority="1" operator="containsText" text="See Memo on TFP Update for Enbridge">
      <formula>NOT(ISERROR(SEARCH("See Memo on TFP Update for Enbridge",AU3)))</formula>
    </cfRule>
  </conditionalFormatting>
  <conditionalFormatting sqref="AS3:AT3 AV3">
    <cfRule type="containsText" dxfId="4" priority="4" operator="containsText" text="See Memo on TFP Update for Enbridge">
      <formula>NOT(ISERROR(SEARCH("See Memo on TFP Update for Enbridge",AS3)))</formula>
    </cfRule>
  </conditionalFormatting>
  <conditionalFormatting sqref="AP3:AQ3">
    <cfRule type="containsText" dxfId="3" priority="6" operator="containsText" text="See Memo on TFP Update for Enbridge">
      <formula>NOT(ISERROR(SEARCH("See Memo on TFP Update for Enbridge",AP3)))</formula>
    </cfRule>
  </conditionalFormatting>
  <conditionalFormatting sqref="AR3">
    <cfRule type="containsText" dxfId="2" priority="5" operator="containsText" text="See Memo on TFP Update for Enbridge">
      <formula>NOT(ISERROR(SEARCH("See Memo on TFP Update for Enbridge",AR3)))</formula>
    </cfRule>
  </conditionalFormatting>
  <conditionalFormatting sqref="AW3">
    <cfRule type="containsText" dxfId="1" priority="3" operator="containsText" text="See Memo on TFP Update for Enbridge">
      <formula>NOT(ISERROR(SEARCH("See Memo on TFP Update for Enbridge",AW3)))</formula>
    </cfRule>
  </conditionalFormatting>
  <conditionalFormatting sqref="AU3:AV3">
    <cfRule type="containsText" dxfId="0" priority="2" operator="containsText" text="See Memo on TFP Update for Enbridge">
      <formula>NOT(ISERROR(SEARCH("See Memo on TFP Update for Enbridge",AU3)))</formula>
    </cfRule>
  </conditionalFormatting>
  <pageMargins left="0.7" right="0.7" top="0.75" bottom="0.75" header="0.3" footer="0.3"/>
  <pageSetup scale="43" orientation="landscape" r:id="rId1"/>
  <colBreaks count="3" manualBreakCount="3">
    <brk id="17" max="1048575" man="1"/>
    <brk id="33" max="1048575" man="1"/>
    <brk id="5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C6U45NHNYSXQ-1112273616-1639</_dlc_DocId>
    <_dlc_DocIdUrl xmlns="bc9be6ef-036f-4d38-ab45-2a4da0c93cb0">
      <Url>https://enbridge.sharepoint.com/teams/EB-2022-02002024Rebasing/_layouts/15/DocIdRedir.aspx?ID=C6U45NHNYSXQ-1112273616-1639</Url>
      <Description>C6U45NHNYSXQ-1112273616-1639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EC7001-9169-4C76-A67E-6BBC4CD24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53EB5-625E-4714-B43C-A0D33AD8DA65}">
  <ds:schemaRefs>
    <ds:schemaRef ds:uri="http://schemas.microsoft.com/office/2006/metadata/properties"/>
    <ds:schemaRef ds:uri="http://schemas.microsoft.com/office/infopath/2007/PartnerControls"/>
    <ds:schemaRef ds:uri="79eb6668-01c5-4cb9-9feb-9820398bbe3e"/>
    <ds:schemaRef ds:uri="http://schemas.microsoft.com/sharepoint/v3"/>
    <ds:schemaRef ds:uri="bc9be6ef-036f-4d38-ab45-2a4da0c93cb0"/>
  </ds:schemaRefs>
</ds:datastoreItem>
</file>

<file path=customXml/itemProps3.xml><?xml version="1.0" encoding="utf-8"?>
<ds:datastoreItem xmlns:ds="http://schemas.openxmlformats.org/officeDocument/2006/customXml" ds:itemID="{95C93B4D-63BA-4DF2-87A6-2CECAEC4003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71C9BD2-55B5-415F-B227-0001819B7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EGD</vt:lpstr>
      <vt:lpstr>UG</vt:lpstr>
      <vt:lpstr>EGD!Print_Area</vt:lpstr>
      <vt:lpstr>UG!Print_Area</vt:lpstr>
      <vt:lpstr>EGD!Print_Titles</vt:lpstr>
      <vt:lpstr>UG!Print_Titles</vt:lpstr>
    </vt:vector>
  </TitlesOfParts>
  <Manager/>
  <Company>NERA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Bradley, Conor</dc:creator>
  <cp:keywords/>
  <dc:description/>
  <cp:lastModifiedBy>Bonnie Adams</cp:lastModifiedBy>
  <cp:revision/>
  <cp:lastPrinted>2024-07-06T21:35:09Z</cp:lastPrinted>
  <dcterms:created xsi:type="dcterms:W3CDTF">2017-06-06T13:42:25Z</dcterms:created>
  <dcterms:modified xsi:type="dcterms:W3CDTF">2024-07-06T21:35:25Z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{D83AD1E3-FCDC-4B36-962B-553AA7611780}</vt:lpwstr>
  </property>
  <property fmtid="{D5CDD505-2E9C-101B-9397-08002B2CF9AE}" pid="3" name="_NewReviewCycle">
    <vt:lpwstr/>
  </property>
  <property fmtid="{D5CDD505-2E9C-101B-9397-08002B2CF9AE}" pid="4" name="ContentTypeId">
    <vt:lpwstr>0x010100DDDF03B111AE4A46B96BC00628899F8B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b1a6f161-e42b-4c47-8f69-f6a81e023e2d_Enabled">
    <vt:lpwstr>true</vt:lpwstr>
  </property>
  <property fmtid="{D5CDD505-2E9C-101B-9397-08002B2CF9AE}" pid="8" name="MSIP_Label_b1a6f161-e42b-4c47-8f69-f6a81e023e2d_SetDate">
    <vt:lpwstr>2022-03-01T13:04:16Z</vt:lpwstr>
  </property>
  <property fmtid="{D5CDD505-2E9C-101B-9397-08002B2CF9AE}" pid="9" name="MSIP_Label_b1a6f161-e42b-4c47-8f69-f6a81e023e2d_Method">
    <vt:lpwstr>Privileged</vt:lpwstr>
  </property>
  <property fmtid="{D5CDD505-2E9C-101B-9397-08002B2CF9AE}" pid="10" name="MSIP_Label_b1a6f161-e42b-4c47-8f69-f6a81e023e2d_Name">
    <vt:lpwstr>b1a6f161-e42b-4c47-8f69-f6a81e023e2d</vt:lpwstr>
  </property>
  <property fmtid="{D5CDD505-2E9C-101B-9397-08002B2CF9AE}" pid="11" name="MSIP_Label_b1a6f161-e42b-4c47-8f69-f6a81e023e2d_SiteId">
    <vt:lpwstr>271df5c2-953a-497b-93ad-7adf7a4b3cd7</vt:lpwstr>
  </property>
  <property fmtid="{D5CDD505-2E9C-101B-9397-08002B2CF9AE}" pid="12" name="MSIP_Label_b1a6f161-e42b-4c47-8f69-f6a81e023e2d_ActionId">
    <vt:lpwstr>76b1f7e7-e55c-48f9-9028-0bf8cb7f5146</vt:lpwstr>
  </property>
  <property fmtid="{D5CDD505-2E9C-101B-9397-08002B2CF9AE}" pid="13" name="MSIP_Label_b1a6f161-e42b-4c47-8f69-f6a81e023e2d_ContentBits">
    <vt:lpwstr>0</vt:lpwstr>
  </property>
  <property fmtid="{D5CDD505-2E9C-101B-9397-08002B2CF9AE}" pid="14" name="_AdHocReviewCycleID">
    <vt:i4>-1375687553</vt:i4>
  </property>
  <property fmtid="{D5CDD505-2E9C-101B-9397-08002B2CF9AE}" pid="15" name="_EmailSubject">
    <vt:lpwstr>staff-82</vt:lpwstr>
  </property>
  <property fmtid="{D5CDD505-2E9C-101B-9397-08002B2CF9AE}" pid="16" name="_AuthorEmail">
    <vt:lpwstr>Rakesh.Torul@enbridge.com</vt:lpwstr>
  </property>
  <property fmtid="{D5CDD505-2E9C-101B-9397-08002B2CF9AE}" pid="17" name="_AuthorEmailDisplayName">
    <vt:lpwstr>Rakesh Torul</vt:lpwstr>
  </property>
  <property fmtid="{D5CDD505-2E9C-101B-9397-08002B2CF9AE}" pid="18" name="MediaServiceImageTags">
    <vt:lpwstr/>
  </property>
  <property fmtid="{D5CDD505-2E9C-101B-9397-08002B2CF9AE}" pid="19" name="_dlc_DocIdItemGuid">
    <vt:lpwstr>77f3742b-d8da-4217-8265-19785c596e96</vt:lpwstr>
  </property>
  <property fmtid="{D5CDD505-2E9C-101B-9397-08002B2CF9AE}" pid="20" name="_ReviewingToolsShownOnce">
    <vt:lpwstr/>
  </property>
</Properties>
</file>